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https://acadianconsulting.sharepoint.com/sites/ACGFS/Shared Documents/FS_Shared/Current/WA-AVC-RTC/Testimony-ACG/Direct/Drafts-Schedules and Exhibits/"/>
    </mc:Choice>
  </mc:AlternateContent>
  <xr:revisionPtr revIDLastSave="0" documentId="8_{B5860231-04B4-46D7-BBDD-5E8CB69FA9F6}" xr6:coauthVersionLast="47" xr6:coauthVersionMax="47" xr10:uidLastSave="{00000000-0000-0000-0000-000000000000}"/>
  <bookViews>
    <workbookView xWindow="-110" yWindow="-110" windowWidth="38620" windowHeight="21100" xr2:uid="{00000000-000D-0000-FFFF-FFFF00000000}"/>
  </bookViews>
  <sheets>
    <sheet name="Exhibit DED-8" sheetId="49" r:id="rId1"/>
    <sheet name="Pres &amp; Prop Rev" sheetId="1" r:id="rId2"/>
    <sheet name="Rate Design" sheetId="14" r:id="rId3"/>
    <sheet name="RS" sheetId="18" r:id="rId4"/>
    <sheet name="JDM-4, pg 3" sheetId="20" r:id="rId5"/>
    <sheet name="JDM-4, pg 2" sheetId="47" r:id="rId6"/>
    <sheet name="Rate Spread GRC" sheetId="41" r:id="rId7"/>
    <sheet name="ROR" sheetId="43" r:id="rId8"/>
    <sheet name="Colstrip" sheetId="42" r:id="rId9"/>
    <sheet name="Bill Determ" sheetId="5" r:id="rId10"/>
    <sheet name="Sp Cnt Exh B" sheetId="45" r:id="rId11"/>
    <sheet name="Bill Impact" sheetId="44" r:id="rId12"/>
    <sheet name="WA Sch 25" sheetId="6" r:id="rId13"/>
    <sheet name="Lighting summary" sheetId="7" r:id="rId14"/>
    <sheet name="St Lts" sheetId="9" r:id="rId15"/>
    <sheet name="Area Lts" sheetId="10" r:id="rId16"/>
    <sheet name="Capital Recovery Factor" sheetId="46" r:id="rId17"/>
    <sheet name="Block Data" sheetId="27" r:id="rId18"/>
    <sheet name="REVRUNS 12ME0623" sheetId="37" r:id="rId19"/>
    <sheet name="UPC" sheetId="48" r:id="rId20"/>
  </sheets>
  <definedNames>
    <definedName name="_xlnm._FilterDatabase" localSheetId="15" hidden="1">'Area Lts'!$D$8:$D$95</definedName>
    <definedName name="_xlnm._FilterDatabase" localSheetId="14" hidden="1">'St Lts'!$D$7:$D$140</definedName>
    <definedName name="Base1_Billing2">'Pres &amp; Prop Rev'!$Q$8</definedName>
    <definedName name="ERM">'Rate Design'!$D$45</definedName>
    <definedName name="_xlnm.Extract" localSheetId="15">'Area Lts'!#REF!</definedName>
    <definedName name="_xlnm.Print_Area" localSheetId="15">'Area Lts'!$I$1:$AH$56</definedName>
    <definedName name="_xlnm.Print_Area" localSheetId="9">'Bill Determ'!$A$1:$G$84</definedName>
    <definedName name="_xlnm.Print_Area" localSheetId="17">'Block Data'!$A$3:$O$155</definedName>
    <definedName name="_xlnm.Print_Area" localSheetId="5">'JDM-4, pg 2'!$A$1:$L$22</definedName>
    <definedName name="_xlnm.Print_Area" localSheetId="4">'JDM-4, pg 3'!$A$1:$N$121</definedName>
    <definedName name="_xlnm.Print_Area" localSheetId="13">'Lighting summary'!$B$1:$J$24</definedName>
    <definedName name="_xlnm.Print_Area" localSheetId="1">'Pres &amp; Prop Rev'!$A$1:$L$295</definedName>
    <definedName name="_xlnm.Print_Area" localSheetId="2">'Rate Design'!$A$49:$M$107</definedName>
    <definedName name="_xlnm.Print_Area" localSheetId="6">'Rate Spread GRC'!$A$3:$J$33</definedName>
    <definedName name="_xlnm.Print_Area" localSheetId="18">'REVRUNS 12ME0623'!$A$332:$P$407</definedName>
    <definedName name="_xlnm.Print_Area" localSheetId="3">RS!$A$1:$P$43</definedName>
    <definedName name="_xlnm.Print_Area" localSheetId="14">'St Lts'!$I$1:$AC$107</definedName>
    <definedName name="_xlnm.Print_Area" localSheetId="12">'WA Sch 25'!$A$1:$S$102</definedName>
    <definedName name="_xlnm.Print_Titles" localSheetId="15">'Area Lts'!$I:$L</definedName>
    <definedName name="_xlnm.Print_Titles" localSheetId="2">'Rate Design'!$1:$2</definedName>
    <definedName name="_xlnm.Print_Titles" localSheetId="14">'St Lts'!$I:$L</definedName>
    <definedName name="Print1" localSheetId="15">'Area Lts'!$M$1:$T$56</definedName>
    <definedName name="Print1" localSheetId="14">'St Lts'!$M$1:$AC$106</definedName>
    <definedName name="Print1">'St Lts'!$M$1:$AC$108</definedName>
    <definedName name="Print2" localSheetId="15">'Area Lts'!$AA$1:$AH$56</definedName>
    <definedName name="Print2" localSheetId="14">'St Lts'!$AE$1:$AU$106</definedName>
    <definedName name="Print2">'St Lts'!$AE$1:$AU$106</definedName>
    <definedName name="PrintHeader" localSheetId="1">'Pres &amp; Prop Rev'!$S$6</definedName>
    <definedName name="Rates_Base_Present">'Rate Design'!$D$4:$M$11</definedName>
    <definedName name="Rates_Base_Proposed">'Rate Design'!$D$26:$M$33</definedName>
    <definedName name="Rates_Billing_Present">'Rate Design'!$D$14:$M$21</definedName>
    <definedName name="Rates_Billing_Proposed">'Rate Design'!$D$36:$M$43</definedName>
    <definedName name="Sch25_Annual_excess_kva">'WA Sch 25'!$P$70:$P$92</definedName>
    <definedName name="Sch25_Annual_kva">'WA Sch 25'!$P$45:$P$67</definedName>
    <definedName name="Sch25_Annual_kW">'WA Sch 25'!$P$70:$P$92</definedName>
    <definedName name="Sch25_Annual_kWh">'WA Sch 25'!$P$4:$P$35</definedName>
    <definedName name="Sch25_kWh">'WA Sch 25'!$D$4:$O$35</definedName>
    <definedName name="Sch25_n">'WA Sch 25'!$A$4:$A$35</definedName>
    <definedName name="Sch25_nD">'WA Sch 25'!$A$70:$A$92</definedName>
    <definedName name="SL_RateIncr">'St Lts'!$AD$1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49" l="1"/>
  <c r="H33" i="49"/>
  <c r="E33" i="49"/>
  <c r="J31" i="49"/>
  <c r="G31" i="49"/>
  <c r="G30" i="49"/>
  <c r="G29" i="49"/>
  <c r="D31" i="49"/>
  <c r="D30" i="49"/>
  <c r="D29" i="49"/>
  <c r="D28" i="49"/>
  <c r="E29" i="49"/>
  <c r="K31" i="49"/>
  <c r="H31" i="49"/>
  <c r="H30" i="49"/>
  <c r="E31" i="49"/>
  <c r="E30" i="49"/>
  <c r="D21" i="49"/>
  <c r="J21" i="49" s="1"/>
  <c r="D20" i="49"/>
  <c r="G20" i="49" s="1"/>
  <c r="J20" i="49" s="1"/>
  <c r="D19" i="49"/>
  <c r="G19" i="49" s="1"/>
  <c r="J19" i="49" s="1"/>
  <c r="D18" i="49"/>
  <c r="G18" i="49" s="1"/>
  <c r="D14" i="49"/>
  <c r="J14" i="49" s="1"/>
  <c r="J30" i="49"/>
  <c r="K30" i="49" s="1"/>
  <c r="G28" i="49"/>
  <c r="K21" i="49" l="1"/>
  <c r="K20" i="49"/>
  <c r="K19" i="49"/>
  <c r="E19" i="49"/>
  <c r="E20" i="49"/>
  <c r="E21" i="49"/>
  <c r="G14" i="49"/>
  <c r="G21" i="49"/>
  <c r="J18" i="49"/>
  <c r="K18" i="49" s="1"/>
  <c r="K23" i="49" s="1"/>
  <c r="H18" i="49"/>
  <c r="H28" i="49"/>
  <c r="J28" i="49"/>
  <c r="K28" i="49" s="1"/>
  <c r="H29" i="49"/>
  <c r="E28" i="49"/>
  <c r="E18" i="49"/>
  <c r="E23" i="49" l="1"/>
  <c r="H21" i="49"/>
  <c r="H20" i="49"/>
  <c r="H19" i="49"/>
  <c r="H23" i="49" s="1"/>
  <c r="E34" i="49"/>
  <c r="J29" i="49"/>
  <c r="K29" i="49" s="1"/>
  <c r="K34" i="49" l="1"/>
  <c r="H34" i="49"/>
  <c r="O21" i="46" l="1"/>
  <c r="N38" i="43" l="1"/>
  <c r="H21" i="47"/>
  <c r="C46" i="43" l="1"/>
  <c r="K15" i="47" l="1"/>
  <c r="K16" i="47"/>
  <c r="K17" i="47"/>
  <c r="K18" i="47"/>
  <c r="K19" i="47"/>
  <c r="K20" i="47"/>
  <c r="K21" i="47"/>
  <c r="K22" i="47"/>
  <c r="K14" i="47"/>
  <c r="L21" i="47"/>
  <c r="L20" i="47"/>
  <c r="L18" i="47"/>
  <c r="L16" i="47"/>
  <c r="C26" i="43" l="1"/>
  <c r="C28" i="43"/>
  <c r="L57" i="43"/>
  <c r="K57" i="43"/>
  <c r="J57" i="43"/>
  <c r="I57" i="43"/>
  <c r="H57" i="43"/>
  <c r="G57" i="43"/>
  <c r="F57" i="43"/>
  <c r="E57" i="43"/>
  <c r="D57" i="43"/>
  <c r="J12" i="43"/>
  <c r="J19" i="43" s="1"/>
  <c r="J20" i="43" s="1"/>
  <c r="J14" i="43"/>
  <c r="J67" i="43" s="1"/>
  <c r="J68" i="43"/>
  <c r="J75" i="43"/>
  <c r="H12" i="43"/>
  <c r="H19" i="43" s="1"/>
  <c r="H20" i="43" s="1"/>
  <c r="D20" i="47" s="1"/>
  <c r="H14" i="43"/>
  <c r="H67" i="43" s="1"/>
  <c r="H68" i="43"/>
  <c r="H75" i="43"/>
  <c r="J44" i="43" l="1"/>
  <c r="J74" i="43"/>
  <c r="H44" i="43"/>
  <c r="H74" i="43"/>
  <c r="T101" i="9" l="1"/>
  <c r="AL56" i="9"/>
  <c r="AL146" i="9" l="1"/>
  <c r="O40" i="48" l="1"/>
  <c r="O43" i="48"/>
  <c r="O37" i="48"/>
  <c r="O41" i="48" s="1"/>
  <c r="O35" i="48"/>
  <c r="O32" i="48"/>
  <c r="O30" i="48"/>
  <c r="K60" i="20"/>
  <c r="K61" i="20" s="1"/>
  <c r="P59" i="20"/>
  <c r="P60" i="20" s="1"/>
  <c r="O59" i="20"/>
  <c r="O60" i="20" s="1"/>
  <c r="K54" i="20"/>
  <c r="P53" i="20"/>
  <c r="P54" i="20" s="1"/>
  <c r="O53" i="20"/>
  <c r="O54" i="20" s="1"/>
  <c r="K29" i="20"/>
  <c r="K28" i="20"/>
  <c r="P27" i="20"/>
  <c r="P28" i="20" s="1"/>
  <c r="O27" i="20"/>
  <c r="O28" i="20" s="1"/>
  <c r="K22" i="20"/>
  <c r="P21" i="20"/>
  <c r="O21" i="20"/>
  <c r="O22" i="20" s="1"/>
  <c r="P22" i="20" l="1"/>
  <c r="G34" i="48" l="1"/>
  <c r="E34" i="48"/>
  <c r="G32" i="48"/>
  <c r="G30" i="48"/>
  <c r="E32" i="48"/>
  <c r="E30" i="48"/>
  <c r="D25" i="48"/>
  <c r="E25" i="48"/>
  <c r="F25" i="48"/>
  <c r="G25" i="48"/>
  <c r="H25" i="48"/>
  <c r="I25" i="48"/>
  <c r="J25" i="48"/>
  <c r="K25" i="48"/>
  <c r="L25" i="48"/>
  <c r="M25" i="48"/>
  <c r="N25" i="48"/>
  <c r="O25" i="48"/>
  <c r="C25" i="48"/>
  <c r="O22" i="48"/>
  <c r="O23" i="48"/>
  <c r="D22" i="48"/>
  <c r="E22" i="48"/>
  <c r="F22" i="48"/>
  <c r="G22" i="48"/>
  <c r="H22" i="48"/>
  <c r="I22" i="48"/>
  <c r="J22" i="48"/>
  <c r="K22" i="48"/>
  <c r="L22" i="48"/>
  <c r="M22" i="48"/>
  <c r="N22" i="48"/>
  <c r="D23" i="48"/>
  <c r="E23" i="48"/>
  <c r="F23" i="48"/>
  <c r="G23" i="48"/>
  <c r="H23" i="48"/>
  <c r="I23" i="48"/>
  <c r="J23" i="48"/>
  <c r="K23" i="48"/>
  <c r="L23" i="48"/>
  <c r="M23" i="48"/>
  <c r="N23" i="48"/>
  <c r="C23" i="48"/>
  <c r="C22" i="48"/>
  <c r="O19" i="48"/>
  <c r="D19" i="48"/>
  <c r="E19" i="48"/>
  <c r="F19" i="48"/>
  <c r="G19" i="48"/>
  <c r="H19" i="48"/>
  <c r="I19" i="48"/>
  <c r="J19" i="48"/>
  <c r="K19" i="48"/>
  <c r="L19" i="48"/>
  <c r="M19" i="48"/>
  <c r="N19" i="48"/>
  <c r="C19" i="48"/>
  <c r="D15" i="48"/>
  <c r="E15" i="48"/>
  <c r="F15" i="48"/>
  <c r="G15" i="48"/>
  <c r="H15" i="48"/>
  <c r="I15" i="48"/>
  <c r="J15" i="48"/>
  <c r="K15" i="48"/>
  <c r="L15" i="48"/>
  <c r="M15" i="48"/>
  <c r="N15" i="48"/>
  <c r="C15" i="48"/>
  <c r="P8" i="48"/>
  <c r="O8" i="48"/>
  <c r="P7" i="48"/>
  <c r="O7" i="48"/>
  <c r="J68" i="14"/>
  <c r="I68" i="14"/>
  <c r="G68" i="14"/>
  <c r="E68" i="14"/>
  <c r="K61" i="14"/>
  <c r="O15" i="48" l="1"/>
  <c r="D12" i="14"/>
  <c r="B95" i="1"/>
  <c r="J79" i="41" l="1"/>
  <c r="E61" i="41"/>
  <c r="I16" i="18" l="1"/>
  <c r="K86" i="14" l="1"/>
  <c r="K85" i="14"/>
  <c r="G85" i="14"/>
  <c r="G86" i="14"/>
  <c r="E31" i="41"/>
  <c r="E29" i="41"/>
  <c r="E25" i="41"/>
  <c r="E23" i="41"/>
  <c r="E21" i="41"/>
  <c r="E19" i="41"/>
  <c r="E17" i="41"/>
  <c r="D101" i="14" l="1"/>
  <c r="D403" i="37" l="1"/>
  <c r="F77" i="20" l="1"/>
  <c r="H19" i="14" l="1"/>
  <c r="L19" i="7"/>
  <c r="L15" i="7"/>
  <c r="L14" i="7"/>
  <c r="I30" i="18"/>
  <c r="I22" i="18"/>
  <c r="I18" i="18"/>
  <c r="J200" i="1"/>
  <c r="K198" i="1"/>
  <c r="L15" i="42" l="1"/>
  <c r="G67" i="14" l="1"/>
  <c r="V13" i="45" l="1"/>
  <c r="V11" i="45"/>
  <c r="T13" i="45"/>
  <c r="T11" i="45"/>
  <c r="E22" i="45"/>
  <c r="E21" i="45"/>
  <c r="G116" i="6"/>
  <c r="E17" i="45"/>
  <c r="E13" i="45"/>
  <c r="E12" i="45"/>
  <c r="E11" i="45"/>
  <c r="L19" i="47"/>
  <c r="L17" i="47"/>
  <c r="L15" i="47"/>
  <c r="O34" i="46" l="1"/>
  <c r="O36" i="46" s="1"/>
  <c r="I34" i="46"/>
  <c r="I36" i="46" s="1"/>
  <c r="D34" i="46"/>
  <c r="D36" i="46" s="1"/>
  <c r="I21" i="46"/>
  <c r="D21" i="46"/>
  <c r="M16" i="46"/>
  <c r="G16" i="46"/>
  <c r="B16" i="46"/>
  <c r="O15" i="46"/>
  <c r="O24" i="46" s="1"/>
  <c r="I15" i="46"/>
  <c r="I24" i="46" s="1"/>
  <c r="D15" i="46"/>
  <c r="D24" i="46" s="1"/>
  <c r="O14" i="46"/>
  <c r="O26" i="46" s="1"/>
  <c r="I14" i="46"/>
  <c r="I26" i="46" s="1"/>
  <c r="D14" i="46"/>
  <c r="D26" i="46" s="1"/>
  <c r="O13" i="46"/>
  <c r="O25" i="46" s="1"/>
  <c r="I13" i="46"/>
  <c r="I25" i="46" s="1"/>
  <c r="D13" i="46"/>
  <c r="D16" i="46" s="1"/>
  <c r="I11" i="45"/>
  <c r="I12" i="45"/>
  <c r="M12" i="45" s="1"/>
  <c r="I13" i="45"/>
  <c r="F16" i="45"/>
  <c r="I16" i="45"/>
  <c r="J16" i="45"/>
  <c r="F17" i="45"/>
  <c r="I17" i="45"/>
  <c r="J17" i="45" s="1"/>
  <c r="F20" i="45"/>
  <c r="I20" i="45"/>
  <c r="J20" i="45"/>
  <c r="F21" i="45"/>
  <c r="I21" i="45"/>
  <c r="J21" i="45" s="1"/>
  <c r="F22" i="45"/>
  <c r="I22" i="45"/>
  <c r="J22" i="45"/>
  <c r="M11" i="45"/>
  <c r="N12" i="45"/>
  <c r="N13" i="45"/>
  <c r="X13" i="45"/>
  <c r="X11" i="45"/>
  <c r="A18" i="44"/>
  <c r="O27" i="46" l="1"/>
  <c r="M40" i="46"/>
  <c r="O16" i="46"/>
  <c r="M14" i="45"/>
  <c r="N11" i="45"/>
  <c r="N14" i="45" s="1"/>
  <c r="X16" i="45"/>
  <c r="I27" i="46"/>
  <c r="G40" i="46" s="1"/>
  <c r="I16" i="46"/>
  <c r="D25" i="46"/>
  <c r="D27" i="46" s="1"/>
  <c r="B40" i="46" s="1"/>
  <c r="L75" i="43" l="1"/>
  <c r="K75" i="43"/>
  <c r="I75" i="43"/>
  <c r="G75" i="43"/>
  <c r="F75" i="43"/>
  <c r="E75" i="43"/>
  <c r="D75" i="43"/>
  <c r="L68" i="43"/>
  <c r="K68" i="43"/>
  <c r="I68" i="43"/>
  <c r="G68" i="43"/>
  <c r="F68" i="43"/>
  <c r="E68" i="43"/>
  <c r="D68" i="43"/>
  <c r="C55" i="43"/>
  <c r="C53" i="43"/>
  <c r="B44" i="43"/>
  <c r="C36" i="43"/>
  <c r="C32" i="43"/>
  <c r="C23" i="43"/>
  <c r="C16" i="43"/>
  <c r="C66" i="43" s="1"/>
  <c r="C15" i="43"/>
  <c r="C69" i="43" s="1"/>
  <c r="L14" i="43"/>
  <c r="K14" i="43"/>
  <c r="I14" i="43"/>
  <c r="I44" i="43" s="1"/>
  <c r="G14" i="43"/>
  <c r="G74" i="43" s="1"/>
  <c r="F14" i="43"/>
  <c r="E14" i="43"/>
  <c r="D14" i="43"/>
  <c r="D67" i="43" s="1"/>
  <c r="L12" i="43"/>
  <c r="L19" i="43" s="1"/>
  <c r="L20" i="43" s="1"/>
  <c r="D18" i="47" s="1"/>
  <c r="K12" i="43"/>
  <c r="K19" i="43" s="1"/>
  <c r="K20" i="43" s="1"/>
  <c r="D16" i="47" s="1"/>
  <c r="I12" i="43"/>
  <c r="I19" i="43" s="1"/>
  <c r="I20" i="43" s="1"/>
  <c r="D21" i="47" s="1"/>
  <c r="G12" i="43"/>
  <c r="G19" i="43" s="1"/>
  <c r="G20" i="43" s="1"/>
  <c r="D19" i="47" s="1"/>
  <c r="F12" i="43"/>
  <c r="F19" i="43" s="1"/>
  <c r="F20" i="43" s="1"/>
  <c r="D17" i="47" s="1"/>
  <c r="E12" i="43"/>
  <c r="E19" i="43" s="1"/>
  <c r="E20" i="43" s="1"/>
  <c r="D15" i="47" s="1"/>
  <c r="D12" i="43"/>
  <c r="D19" i="43" s="1"/>
  <c r="D20" i="43" s="1"/>
  <c r="D14" i="47" s="1"/>
  <c r="C11" i="43"/>
  <c r="C10" i="43"/>
  <c r="C8" i="43"/>
  <c r="C30" i="43" l="1"/>
  <c r="D30" i="43" s="1"/>
  <c r="J66" i="43"/>
  <c r="C73" i="43"/>
  <c r="D73" i="43" s="1"/>
  <c r="C68" i="43"/>
  <c r="G44" i="43"/>
  <c r="H66" i="43"/>
  <c r="C75" i="43"/>
  <c r="G67" i="43"/>
  <c r="I74" i="43"/>
  <c r="C14" i="43"/>
  <c r="C44" i="43" s="1"/>
  <c r="D44" i="43"/>
  <c r="I67" i="43"/>
  <c r="D74" i="43"/>
  <c r="C57" i="43"/>
  <c r="C58" i="43" s="1"/>
  <c r="L66" i="43"/>
  <c r="F66" i="43"/>
  <c r="K66" i="43"/>
  <c r="E66" i="43"/>
  <c r="I66" i="43"/>
  <c r="G66" i="43"/>
  <c r="D66" i="43"/>
  <c r="G73" i="43"/>
  <c r="E74" i="43"/>
  <c r="E67" i="43"/>
  <c r="E44" i="43"/>
  <c r="K74" i="43"/>
  <c r="K67" i="43"/>
  <c r="K44" i="43"/>
  <c r="F74" i="43"/>
  <c r="F67" i="43"/>
  <c r="F44" i="43"/>
  <c r="L74" i="43"/>
  <c r="L67" i="43"/>
  <c r="L44" i="43"/>
  <c r="D26" i="43"/>
  <c r="C12" i="43"/>
  <c r="C31" i="43"/>
  <c r="M44" i="43" l="1"/>
  <c r="K73" i="43"/>
  <c r="I73" i="43"/>
  <c r="E73" i="43"/>
  <c r="L73" i="43"/>
  <c r="F73" i="43"/>
  <c r="C17" i="43"/>
  <c r="C19" i="43" s="1"/>
  <c r="C33" i="43" s="1"/>
  <c r="H73" i="43"/>
  <c r="J73" i="43"/>
  <c r="C67" i="43"/>
  <c r="C45" i="43"/>
  <c r="C76" i="43"/>
  <c r="C74" i="43"/>
  <c r="C20" i="43" l="1"/>
  <c r="J21" i="43" s="1"/>
  <c r="C65" i="43"/>
  <c r="D65" i="43" s="1"/>
  <c r="H40" i="43"/>
  <c r="H39" i="43" s="1"/>
  <c r="J20" i="47" s="1"/>
  <c r="J40" i="43"/>
  <c r="G40" i="43"/>
  <c r="C40" i="43"/>
  <c r="L40" i="43"/>
  <c r="F40" i="43"/>
  <c r="C34" i="43"/>
  <c r="D33" i="43"/>
  <c r="K40" i="43"/>
  <c r="I40" i="43"/>
  <c r="E40" i="43"/>
  <c r="C72" i="43"/>
  <c r="G65" i="43" l="1"/>
  <c r="K65" i="43"/>
  <c r="K69" i="43" s="1"/>
  <c r="K70" i="43" s="1"/>
  <c r="K81" i="43" s="1"/>
  <c r="F65" i="43"/>
  <c r="F69" i="43" s="1"/>
  <c r="F70" i="43" s="1"/>
  <c r="F81" i="43" s="1"/>
  <c r="I65" i="43"/>
  <c r="I69" i="43" s="1"/>
  <c r="I70" i="43" s="1"/>
  <c r="I81" i="43" s="1"/>
  <c r="L65" i="43"/>
  <c r="C70" i="43"/>
  <c r="C81" i="43" s="1"/>
  <c r="E65" i="43"/>
  <c r="E69" i="43" s="1"/>
  <c r="E70" i="43" s="1"/>
  <c r="E81" i="43" s="1"/>
  <c r="F21" i="43"/>
  <c r="F17" i="47" s="1"/>
  <c r="D21" i="43"/>
  <c r="F14" i="47" s="1"/>
  <c r="D22" i="47"/>
  <c r="L21" i="43"/>
  <c r="F18" i="47" s="1"/>
  <c r="C21" i="43"/>
  <c r="F22" i="47" s="1"/>
  <c r="E21" i="43"/>
  <c r="F15" i="47" s="1"/>
  <c r="K21" i="43"/>
  <c r="F16" i="47" s="1"/>
  <c r="I21" i="43"/>
  <c r="F21" i="47" s="1"/>
  <c r="G21" i="43"/>
  <c r="F19" i="47" s="1"/>
  <c r="J39" i="43"/>
  <c r="J41" i="43"/>
  <c r="H65" i="43"/>
  <c r="H69" i="43" s="1"/>
  <c r="H70" i="43" s="1"/>
  <c r="H81" i="43" s="1"/>
  <c r="J65" i="43"/>
  <c r="H41" i="43"/>
  <c r="H72" i="43"/>
  <c r="H76" i="43" s="1"/>
  <c r="H77" i="43" s="1"/>
  <c r="H79" i="43" s="1"/>
  <c r="J72" i="43"/>
  <c r="J60" i="43"/>
  <c r="J62" i="43"/>
  <c r="H21" i="43"/>
  <c r="I41" i="43"/>
  <c r="I39" i="43"/>
  <c r="J21" i="47" s="1"/>
  <c r="G39" i="43"/>
  <c r="J19" i="47" s="1"/>
  <c r="G41" i="43"/>
  <c r="K41" i="43"/>
  <c r="K39" i="43"/>
  <c r="J16" i="47" s="1"/>
  <c r="F41" i="43"/>
  <c r="F39" i="43"/>
  <c r="J17" i="47" s="1"/>
  <c r="D69" i="43"/>
  <c r="D70" i="43" s="1"/>
  <c r="D81" i="43" s="1"/>
  <c r="L72" i="43"/>
  <c r="F72" i="43"/>
  <c r="K72" i="43"/>
  <c r="E72" i="43"/>
  <c r="I72" i="43"/>
  <c r="G72" i="43"/>
  <c r="D72" i="43"/>
  <c r="C77" i="43"/>
  <c r="L41" i="43"/>
  <c r="L39" i="43"/>
  <c r="J18" i="47" s="1"/>
  <c r="G69" i="43"/>
  <c r="G70" i="43" s="1"/>
  <c r="G81" i="43" s="1"/>
  <c r="E60" i="43"/>
  <c r="L60" i="43"/>
  <c r="E41" i="43"/>
  <c r="E39" i="43"/>
  <c r="J15" i="47" s="1"/>
  <c r="D40" i="43"/>
  <c r="M40" i="43" s="1"/>
  <c r="C39" i="43"/>
  <c r="C41" i="43"/>
  <c r="L69" i="43"/>
  <c r="L70" i="43" s="1"/>
  <c r="L81" i="43" s="1"/>
  <c r="L62" i="43" l="1"/>
  <c r="G62" i="43"/>
  <c r="H62" i="43"/>
  <c r="F20" i="47"/>
  <c r="G60" i="43"/>
  <c r="F60" i="43"/>
  <c r="F62" i="43"/>
  <c r="H60" i="43"/>
  <c r="H42" i="43"/>
  <c r="H43" i="43" s="1"/>
  <c r="H46" i="43" s="1"/>
  <c r="H54" i="43" s="1"/>
  <c r="H56" i="43" s="1"/>
  <c r="E62" i="43"/>
  <c r="I62" i="43"/>
  <c r="K62" i="43"/>
  <c r="I60" i="43"/>
  <c r="K60" i="43"/>
  <c r="J76" i="43"/>
  <c r="J77" i="43" s="1"/>
  <c r="J79" i="43" s="1"/>
  <c r="J69" i="43"/>
  <c r="J70" i="43" s="1"/>
  <c r="J81" i="43" s="1"/>
  <c r="J42" i="43"/>
  <c r="J43" i="43" s="1"/>
  <c r="J46" i="43" s="1"/>
  <c r="C38" i="43"/>
  <c r="L22" i="47" s="1"/>
  <c r="J22" i="47"/>
  <c r="E42" i="43"/>
  <c r="E43" i="43" s="1"/>
  <c r="E46" i="43" s="1"/>
  <c r="I76" i="43"/>
  <c r="I77" i="43" s="1"/>
  <c r="I79" i="43" s="1"/>
  <c r="L76" i="43"/>
  <c r="L77" i="43" s="1"/>
  <c r="L79" i="43" s="1"/>
  <c r="K42" i="43"/>
  <c r="K43" i="43" s="1"/>
  <c r="K46" i="43" s="1"/>
  <c r="C42" i="43"/>
  <c r="F76" i="43"/>
  <c r="F77" i="43" s="1"/>
  <c r="F79" i="43" s="1"/>
  <c r="G42" i="43"/>
  <c r="G43" i="43" s="1"/>
  <c r="G46" i="43" s="1"/>
  <c r="E76" i="43"/>
  <c r="E77" i="43" s="1"/>
  <c r="E79" i="43" s="1"/>
  <c r="G76" i="43"/>
  <c r="G77" i="43" s="1"/>
  <c r="G79" i="43" s="1"/>
  <c r="L42" i="43"/>
  <c r="L43" i="43" s="1"/>
  <c r="L46" i="43" s="1"/>
  <c r="D39" i="43"/>
  <c r="J14" i="47" s="1"/>
  <c r="D38" i="43"/>
  <c r="L14" i="47" s="1"/>
  <c r="D41" i="43"/>
  <c r="D42" i="43" s="1"/>
  <c r="D43" i="43" s="1"/>
  <c r="D46" i="43" s="1"/>
  <c r="D76" i="43"/>
  <c r="D77" i="43" s="1"/>
  <c r="D79" i="43" s="1"/>
  <c r="K76" i="43"/>
  <c r="K77" i="43" s="1"/>
  <c r="K79" i="43" s="1"/>
  <c r="F42" i="43"/>
  <c r="F43" i="43" s="1"/>
  <c r="F46" i="43" s="1"/>
  <c r="I42" i="43"/>
  <c r="I43" i="43" s="1"/>
  <c r="I46" i="43" s="1"/>
  <c r="H47" i="43" l="1"/>
  <c r="H51" i="43" s="1"/>
  <c r="H50" i="43"/>
  <c r="H58" i="43"/>
  <c r="C79" i="43"/>
  <c r="C43" i="43"/>
  <c r="C47" i="43" s="1"/>
  <c r="M42" i="43"/>
  <c r="G47" i="43"/>
  <c r="G58" i="43"/>
  <c r="G50" i="43"/>
  <c r="G54" i="43"/>
  <c r="G56" i="43" s="1"/>
  <c r="M41" i="43"/>
  <c r="F50" i="43"/>
  <c r="F47" i="43"/>
  <c r="F58" i="43"/>
  <c r="F54" i="43"/>
  <c r="F56" i="43" s="1"/>
  <c r="L50" i="43"/>
  <c r="L47" i="43"/>
  <c r="L58" i="43"/>
  <c r="L54" i="43"/>
  <c r="L56" i="43" s="1"/>
  <c r="D60" i="43"/>
  <c r="D62" i="43"/>
  <c r="K54" i="43"/>
  <c r="K56" i="43" s="1"/>
  <c r="K50" i="43"/>
  <c r="K58" i="43"/>
  <c r="K47" i="43"/>
  <c r="I58" i="43"/>
  <c r="I54" i="43"/>
  <c r="I56" i="43" s="1"/>
  <c r="I47" i="43"/>
  <c r="I50" i="43"/>
  <c r="E54" i="43"/>
  <c r="E56" i="43" s="1"/>
  <c r="E50" i="43"/>
  <c r="E58" i="43"/>
  <c r="E47" i="43"/>
  <c r="D58" i="43" l="1"/>
  <c r="D54" i="43"/>
  <c r="D56" i="43" s="1"/>
  <c r="D50" i="43"/>
  <c r="D47" i="43"/>
  <c r="D51" i="43" s="1"/>
  <c r="H48" i="43"/>
  <c r="H82" i="43"/>
  <c r="H83" i="43" s="1"/>
  <c r="H84" i="43" s="1"/>
  <c r="I82" i="43"/>
  <c r="I83" i="43" s="1"/>
  <c r="I84" i="43" s="1"/>
  <c r="I51" i="43"/>
  <c r="I48" i="43"/>
  <c r="M43" i="43"/>
  <c r="G82" i="43"/>
  <c r="G83" i="43" s="1"/>
  <c r="G84" i="43" s="1"/>
  <c r="G51" i="43"/>
  <c r="G48" i="43"/>
  <c r="E82" i="43"/>
  <c r="E83" i="43" s="1"/>
  <c r="E84" i="43" s="1"/>
  <c r="E51" i="43"/>
  <c r="E48" i="43"/>
  <c r="K82" i="43"/>
  <c r="K83" i="43" s="1"/>
  <c r="K84" i="43" s="1"/>
  <c r="K51" i="43"/>
  <c r="K48" i="43"/>
  <c r="L82" i="43"/>
  <c r="L83" i="43" s="1"/>
  <c r="L84" i="43" s="1"/>
  <c r="L51" i="43"/>
  <c r="L48" i="43"/>
  <c r="F82" i="43"/>
  <c r="F83" i="43" s="1"/>
  <c r="F84" i="43" s="1"/>
  <c r="F51" i="43"/>
  <c r="F48" i="43"/>
  <c r="D48" i="43" l="1"/>
  <c r="D82" i="43"/>
  <c r="D83" i="43" s="1"/>
  <c r="D84" i="43" s="1"/>
  <c r="F45" i="43"/>
  <c r="E45" i="43"/>
  <c r="H45" i="43"/>
  <c r="K45" i="43"/>
  <c r="I45" i="43"/>
  <c r="G45" i="43"/>
  <c r="D45" i="43"/>
  <c r="L45" i="43"/>
  <c r="C82" i="43"/>
  <c r="C83" i="43" s="1"/>
  <c r="C84" i="43" s="1"/>
  <c r="C48" i="43"/>
  <c r="J31" i="41" l="1"/>
  <c r="J29" i="41"/>
  <c r="J27" i="41"/>
  <c r="J25" i="41"/>
  <c r="J23" i="41"/>
  <c r="J21" i="41"/>
  <c r="J19" i="41"/>
  <c r="J17" i="41"/>
  <c r="J15" i="41"/>
  <c r="R17" i="7"/>
  <c r="S17" i="7" s="1"/>
  <c r="S16" i="7"/>
  <c r="R16" i="7"/>
  <c r="R15" i="7"/>
  <c r="S15" i="7" s="1"/>
  <c r="S14" i="7"/>
  <c r="R14" i="7"/>
  <c r="R13" i="7"/>
  <c r="S13" i="7" s="1"/>
  <c r="S12" i="7"/>
  <c r="R12" i="7"/>
  <c r="R11" i="7"/>
  <c r="S11" i="7" s="1"/>
  <c r="S18" i="7" s="1"/>
  <c r="F74" i="18"/>
  <c r="I74" i="18" s="1"/>
  <c r="F71" i="18"/>
  <c r="I71" i="18" s="1"/>
  <c r="F68" i="18"/>
  <c r="I68" i="18" s="1"/>
  <c r="F65" i="18"/>
  <c r="I65" i="18" s="1"/>
  <c r="F62" i="18"/>
  <c r="I62" i="18" s="1"/>
  <c r="F59" i="18"/>
  <c r="F56" i="18"/>
  <c r="I56" i="18" s="1"/>
  <c r="I59" i="18"/>
  <c r="I32" i="18"/>
  <c r="E19" i="14"/>
  <c r="F19" i="14"/>
  <c r="G19" i="14"/>
  <c r="I19" i="14"/>
  <c r="J19" i="14"/>
  <c r="K19" i="14"/>
  <c r="E20" i="14"/>
  <c r="F20" i="14"/>
  <c r="G20" i="14"/>
  <c r="H20" i="14"/>
  <c r="I20" i="14"/>
  <c r="J20" i="14"/>
  <c r="K20" i="14"/>
  <c r="D20" i="14"/>
  <c r="D19" i="14"/>
  <c r="J17" i="14"/>
  <c r="I17" i="14"/>
  <c r="D17" i="14"/>
  <c r="K16" i="14"/>
  <c r="J16" i="14"/>
  <c r="I16" i="14"/>
  <c r="H16" i="14"/>
  <c r="G16" i="14"/>
  <c r="F16" i="14"/>
  <c r="E16" i="14"/>
  <c r="D16" i="14"/>
  <c r="K15" i="14"/>
  <c r="J15" i="14"/>
  <c r="I15" i="14"/>
  <c r="H15" i="14"/>
  <c r="G15" i="14"/>
  <c r="F15" i="14"/>
  <c r="E15" i="14"/>
  <c r="D15" i="14"/>
  <c r="J33" i="41" l="1"/>
  <c r="I81" i="18"/>
  <c r="D77" i="20" l="1"/>
  <c r="L29" i="42"/>
  <c r="L31" i="42"/>
  <c r="J33" i="42"/>
  <c r="J31" i="42"/>
  <c r="J29" i="42"/>
  <c r="J27" i="42"/>
  <c r="J25" i="42"/>
  <c r="J23" i="42"/>
  <c r="J21" i="42"/>
  <c r="J19" i="42"/>
  <c r="J17" i="42"/>
  <c r="J15" i="42"/>
  <c r="F31" i="42"/>
  <c r="F29" i="42"/>
  <c r="F27" i="42"/>
  <c r="F25" i="42"/>
  <c r="F23" i="42"/>
  <c r="F21" i="42"/>
  <c r="F19" i="42"/>
  <c r="F17" i="42"/>
  <c r="F15" i="42"/>
  <c r="E64" i="41" l="1"/>
  <c r="E47" i="41"/>
  <c r="H26" i="14"/>
  <c r="H65" i="14"/>
  <c r="J76" i="41"/>
  <c r="J74" i="41"/>
  <c r="Q31" i="41"/>
  <c r="Q29" i="41"/>
  <c r="Q27" i="41"/>
  <c r="Q25" i="41"/>
  <c r="Q23" i="41"/>
  <c r="Q21" i="41"/>
  <c r="Q19" i="41"/>
  <c r="Q17" i="41"/>
  <c r="Q15" i="41"/>
  <c r="Q33" i="41" l="1"/>
  <c r="C47" i="5" l="1"/>
  <c r="B47" i="5"/>
  <c r="C25" i="5"/>
  <c r="B25" i="5"/>
  <c r="AQ101" i="9" l="1"/>
  <c r="AS101" i="9"/>
  <c r="AT101" i="9"/>
  <c r="AU101" i="9"/>
  <c r="AE101" i="9"/>
  <c r="AF101" i="9"/>
  <c r="AG101" i="9"/>
  <c r="AH101" i="9"/>
  <c r="AI101" i="9"/>
  <c r="E104" i="6" l="1"/>
  <c r="F104" i="6"/>
  <c r="G104" i="6"/>
  <c r="H104" i="6"/>
  <c r="I104" i="6"/>
  <c r="J104" i="6"/>
  <c r="K104" i="6"/>
  <c r="L104" i="6"/>
  <c r="M104" i="6"/>
  <c r="N104" i="6"/>
  <c r="O104" i="6"/>
  <c r="D104" i="6"/>
  <c r="E99" i="6"/>
  <c r="F99" i="6"/>
  <c r="G99" i="6"/>
  <c r="H99" i="6"/>
  <c r="I99" i="6"/>
  <c r="J99" i="6"/>
  <c r="K99" i="6"/>
  <c r="L99" i="6"/>
  <c r="M99" i="6"/>
  <c r="N99" i="6"/>
  <c r="O99" i="6"/>
  <c r="D99" i="6"/>
  <c r="B160" i="6"/>
  <c r="B161" i="6"/>
  <c r="B162" i="6"/>
  <c r="B163" i="6"/>
  <c r="B164" i="6"/>
  <c r="B165" i="6"/>
  <c r="B166" i="6"/>
  <c r="B167" i="6"/>
  <c r="B168" i="6"/>
  <c r="B169" i="6"/>
  <c r="B170" i="6"/>
  <c r="B171" i="6"/>
  <c r="B172" i="6"/>
  <c r="B173" i="6"/>
  <c r="B174" i="6"/>
  <c r="B175" i="6"/>
  <c r="B176" i="6"/>
  <c r="B177" i="6"/>
  <c r="B178" i="6"/>
  <c r="B179" i="6"/>
  <c r="B159" i="6"/>
  <c r="B133" i="6"/>
  <c r="B134" i="6"/>
  <c r="B135" i="6"/>
  <c r="B136" i="6"/>
  <c r="B137" i="6"/>
  <c r="B138" i="6"/>
  <c r="B139" i="6"/>
  <c r="B140" i="6"/>
  <c r="B141" i="6"/>
  <c r="B142" i="6"/>
  <c r="B143" i="6"/>
  <c r="B144" i="6"/>
  <c r="B145" i="6"/>
  <c r="B146" i="6"/>
  <c r="B147" i="6"/>
  <c r="B148" i="6"/>
  <c r="B149" i="6"/>
  <c r="B150" i="6"/>
  <c r="B151" i="6"/>
  <c r="B152" i="6"/>
  <c r="B132" i="6"/>
  <c r="O98" i="27" l="1"/>
  <c r="P98" i="27" s="1"/>
  <c r="F47" i="5"/>
  <c r="F35" i="5"/>
  <c r="F15" i="5"/>
  <c r="F25" i="5"/>
  <c r="G42" i="7"/>
  <c r="P45" i="27"/>
  <c r="I98" i="27"/>
  <c r="J98" i="27"/>
  <c r="K98" i="27"/>
  <c r="L98" i="27"/>
  <c r="M98" i="27"/>
  <c r="N98" i="27"/>
  <c r="H98" i="27"/>
  <c r="D98" i="27"/>
  <c r="E98" i="27"/>
  <c r="F98" i="27"/>
  <c r="G98" i="27"/>
  <c r="C98" i="27"/>
  <c r="I45" i="27"/>
  <c r="J45" i="27"/>
  <c r="K45" i="27"/>
  <c r="L45" i="27"/>
  <c r="M45" i="27"/>
  <c r="N45" i="27"/>
  <c r="H45" i="27"/>
  <c r="E45" i="27"/>
  <c r="F45" i="27"/>
  <c r="G45" i="27"/>
  <c r="D45" i="27"/>
  <c r="D25" i="27"/>
  <c r="C45" i="27"/>
  <c r="D397" i="37" l="1"/>
  <c r="D198" i="1"/>
  <c r="B71" i="6"/>
  <c r="B75" i="6"/>
  <c r="B79" i="6"/>
  <c r="B83" i="6"/>
  <c r="B87" i="6"/>
  <c r="B70" i="6"/>
  <c r="B46" i="6"/>
  <c r="B47" i="6"/>
  <c r="B72" i="6" s="1"/>
  <c r="B48" i="6"/>
  <c r="B73" i="6" s="1"/>
  <c r="B49" i="6"/>
  <c r="B74" i="6" s="1"/>
  <c r="B50" i="6"/>
  <c r="B51" i="6"/>
  <c r="B76" i="6" s="1"/>
  <c r="B52" i="6"/>
  <c r="B77" i="6" s="1"/>
  <c r="B53" i="6"/>
  <c r="B78" i="6" s="1"/>
  <c r="B54" i="6"/>
  <c r="B55" i="6"/>
  <c r="B80" i="6" s="1"/>
  <c r="B56" i="6"/>
  <c r="B81" i="6" s="1"/>
  <c r="B57" i="6"/>
  <c r="B82" i="6" s="1"/>
  <c r="B58" i="6"/>
  <c r="B59" i="6"/>
  <c r="B84" i="6" s="1"/>
  <c r="B60" i="6"/>
  <c r="B85" i="6" s="1"/>
  <c r="B61" i="6"/>
  <c r="B86" i="6" s="1"/>
  <c r="B62" i="6"/>
  <c r="B63" i="6"/>
  <c r="B88" i="6" s="1"/>
  <c r="B64" i="6"/>
  <c r="B89" i="6" s="1"/>
  <c r="B65" i="6"/>
  <c r="B90" i="6" s="1"/>
  <c r="B45" i="6"/>
  <c r="N123" i="9" l="1"/>
  <c r="N122" i="9"/>
  <c r="Z101" i="9"/>
  <c r="Z105" i="9" s="1"/>
  <c r="N55" i="10" l="1"/>
  <c r="N56" i="10" s="1"/>
  <c r="N57" i="10" s="1"/>
  <c r="E38" i="10"/>
  <c r="B94" i="5"/>
  <c r="P403" i="37" l="1"/>
  <c r="B95" i="5" s="1"/>
  <c r="P382" i="37"/>
  <c r="P383" i="37"/>
  <c r="D335" i="37"/>
  <c r="P334" i="37"/>
  <c r="P335" i="37"/>
  <c r="P336" i="37"/>
  <c r="P337" i="37"/>
  <c r="P338" i="37"/>
  <c r="P339" i="37"/>
  <c r="P340" i="37"/>
  <c r="P341" i="37"/>
  <c r="P342" i="37"/>
  <c r="P343" i="37"/>
  <c r="P344" i="37"/>
  <c r="P333" i="37"/>
  <c r="O344" i="37"/>
  <c r="B89" i="5" s="1"/>
  <c r="E145" i="9" l="1"/>
  <c r="K142" i="1" l="1"/>
  <c r="H142" i="1"/>
  <c r="F142" i="1"/>
  <c r="E142" i="1"/>
  <c r="C145" i="1"/>
  <c r="E129" i="9" l="1"/>
  <c r="D26" i="14"/>
  <c r="E92" i="9"/>
  <c r="E97" i="9" s="1"/>
  <c r="E54" i="9"/>
  <c r="E72" i="9"/>
  <c r="E53" i="9"/>
  <c r="E51" i="9"/>
  <c r="E45" i="9"/>
  <c r="E37" i="9"/>
  <c r="E29" i="9"/>
  <c r="E28" i="9"/>
  <c r="E18" i="9"/>
  <c r="E81" i="9" s="1"/>
  <c r="E106" i="9"/>
  <c r="B108" i="5" l="1"/>
  <c r="B107" i="5"/>
  <c r="F9" i="5"/>
  <c r="S107" i="27"/>
  <c r="E146" i="9" l="1"/>
  <c r="G33" i="10"/>
  <c r="E54" i="10"/>
  <c r="E100" i="10" s="1"/>
  <c r="G7" i="10"/>
  <c r="E141" i="9"/>
  <c r="G136" i="9"/>
  <c r="G80" i="9"/>
  <c r="G78" i="9"/>
  <c r="G14" i="9"/>
  <c r="G8" i="10" l="1"/>
  <c r="E147" i="9"/>
  <c r="D25" i="5"/>
  <c r="C49" i="27"/>
  <c r="C129" i="27"/>
  <c r="C119" i="27"/>
  <c r="C118" i="27"/>
  <c r="D110" i="27"/>
  <c r="E110" i="27"/>
  <c r="F110" i="27"/>
  <c r="G110" i="27"/>
  <c r="H110" i="27"/>
  <c r="I110" i="27"/>
  <c r="J110" i="27"/>
  <c r="K110" i="27"/>
  <c r="L110" i="27"/>
  <c r="M110" i="27"/>
  <c r="N110" i="27"/>
  <c r="C110" i="27"/>
  <c r="E179" i="37"/>
  <c r="E111" i="27"/>
  <c r="F111" i="27"/>
  <c r="G111" i="27"/>
  <c r="H111" i="27"/>
  <c r="I111" i="27"/>
  <c r="J111" i="27"/>
  <c r="K111" i="27"/>
  <c r="L111" i="27"/>
  <c r="M111" i="27"/>
  <c r="N111" i="27"/>
  <c r="C111" i="27"/>
  <c r="O109" i="27"/>
  <c r="D109" i="27"/>
  <c r="E109" i="27"/>
  <c r="F109" i="27"/>
  <c r="G109" i="27"/>
  <c r="H109" i="27"/>
  <c r="I109" i="27"/>
  <c r="J109" i="27"/>
  <c r="K109" i="27"/>
  <c r="L109" i="27"/>
  <c r="M109" i="27"/>
  <c r="N109" i="27"/>
  <c r="C109" i="27"/>
  <c r="D108" i="27"/>
  <c r="E108" i="27"/>
  <c r="F108" i="27"/>
  <c r="G108" i="27"/>
  <c r="H108" i="27"/>
  <c r="I108" i="27"/>
  <c r="J108" i="27"/>
  <c r="K108" i="27"/>
  <c r="L108" i="27"/>
  <c r="M108" i="27"/>
  <c r="N108" i="27"/>
  <c r="C108" i="27"/>
  <c r="D107" i="27"/>
  <c r="E107" i="27"/>
  <c r="F107" i="27"/>
  <c r="G107" i="27"/>
  <c r="H107" i="27"/>
  <c r="I107" i="27"/>
  <c r="J107" i="27"/>
  <c r="K107" i="27"/>
  <c r="L107" i="27"/>
  <c r="M107" i="27"/>
  <c r="N107" i="27"/>
  <c r="C107" i="27"/>
  <c r="D58" i="27"/>
  <c r="E58" i="27"/>
  <c r="F58" i="27"/>
  <c r="G58" i="27"/>
  <c r="H58" i="27"/>
  <c r="I58" i="27"/>
  <c r="J58" i="27"/>
  <c r="K58" i="27"/>
  <c r="L58" i="27"/>
  <c r="M58" i="27"/>
  <c r="N58" i="27"/>
  <c r="C58" i="27"/>
  <c r="I57" i="27"/>
  <c r="D56" i="27"/>
  <c r="E56" i="27"/>
  <c r="F56" i="27"/>
  <c r="G56" i="27"/>
  <c r="O56" i="27" s="1"/>
  <c r="H56" i="27"/>
  <c r="I56" i="27"/>
  <c r="J56" i="27"/>
  <c r="K56" i="27"/>
  <c r="L56" i="27"/>
  <c r="M56" i="27"/>
  <c r="N56" i="27"/>
  <c r="C56" i="27"/>
  <c r="E338" i="37"/>
  <c r="D111" i="27" s="1"/>
  <c r="F338" i="37"/>
  <c r="G338" i="37"/>
  <c r="H338" i="37"/>
  <c r="I338" i="37"/>
  <c r="J338" i="37"/>
  <c r="K338" i="37"/>
  <c r="L338" i="37"/>
  <c r="M338" i="37"/>
  <c r="N338" i="37"/>
  <c r="O338" i="37"/>
  <c r="E337" i="37"/>
  <c r="F337" i="37"/>
  <c r="G337" i="37"/>
  <c r="H337" i="37"/>
  <c r="I337" i="37"/>
  <c r="J337" i="37"/>
  <c r="K337" i="37"/>
  <c r="L337" i="37"/>
  <c r="M337" i="37"/>
  <c r="N337" i="37"/>
  <c r="O337" i="37"/>
  <c r="D338" i="37"/>
  <c r="D337" i="37"/>
  <c r="D55" i="27"/>
  <c r="O55" i="27" s="1"/>
  <c r="E55" i="27"/>
  <c r="E57" i="27" s="1"/>
  <c r="F55" i="27"/>
  <c r="G55" i="27"/>
  <c r="H55" i="27"/>
  <c r="H57" i="27" s="1"/>
  <c r="I55" i="27"/>
  <c r="J55" i="27"/>
  <c r="J57" i="27" s="1"/>
  <c r="K55" i="27"/>
  <c r="L55" i="27"/>
  <c r="M55" i="27"/>
  <c r="N55" i="27"/>
  <c r="C55" i="27"/>
  <c r="D54" i="27"/>
  <c r="E54" i="27"/>
  <c r="F54" i="27"/>
  <c r="F57" i="27" s="1"/>
  <c r="G54" i="27"/>
  <c r="G57" i="27" s="1"/>
  <c r="H54" i="27"/>
  <c r="I54" i="27"/>
  <c r="J54" i="27"/>
  <c r="K54" i="27"/>
  <c r="K57" i="27" s="1"/>
  <c r="L54" i="27"/>
  <c r="L57" i="27" s="1"/>
  <c r="M54" i="27"/>
  <c r="M57" i="27" s="1"/>
  <c r="N54" i="27"/>
  <c r="N57" i="27" s="1"/>
  <c r="C54" i="27"/>
  <c r="C57" i="27" s="1"/>
  <c r="G28" i="27"/>
  <c r="D57" i="27" l="1"/>
  <c r="D70" i="6" l="1"/>
  <c r="E70" i="6"/>
  <c r="F70" i="6"/>
  <c r="G70" i="6"/>
  <c r="H70" i="6"/>
  <c r="I70" i="6"/>
  <c r="D71" i="6"/>
  <c r="E71" i="6"/>
  <c r="F71" i="6"/>
  <c r="G71" i="6"/>
  <c r="H71" i="6"/>
  <c r="I71" i="6"/>
  <c r="D72" i="6"/>
  <c r="E72" i="6"/>
  <c r="F72" i="6"/>
  <c r="G72" i="6"/>
  <c r="H72" i="6"/>
  <c r="I72" i="6"/>
  <c r="D73" i="6"/>
  <c r="E73" i="6"/>
  <c r="F73" i="6"/>
  <c r="G73" i="6"/>
  <c r="H73" i="6"/>
  <c r="I73" i="6"/>
  <c r="D74" i="6"/>
  <c r="E74" i="6"/>
  <c r="F74" i="6"/>
  <c r="G74" i="6"/>
  <c r="H74" i="6"/>
  <c r="I74" i="6"/>
  <c r="D75" i="6"/>
  <c r="E75" i="6"/>
  <c r="F75" i="6"/>
  <c r="G75" i="6"/>
  <c r="H75" i="6"/>
  <c r="I75" i="6"/>
  <c r="D76" i="6"/>
  <c r="E76" i="6"/>
  <c r="F76" i="6"/>
  <c r="G76" i="6"/>
  <c r="H76" i="6"/>
  <c r="I76" i="6"/>
  <c r="D77" i="6"/>
  <c r="E77" i="6"/>
  <c r="F77" i="6"/>
  <c r="G77" i="6"/>
  <c r="H77" i="6"/>
  <c r="I77" i="6"/>
  <c r="J70" i="6"/>
  <c r="K70" i="6"/>
  <c r="L70" i="6"/>
  <c r="M70" i="6"/>
  <c r="N70" i="6"/>
  <c r="O70" i="6"/>
  <c r="J71" i="6"/>
  <c r="K71" i="6"/>
  <c r="L71" i="6"/>
  <c r="M71" i="6"/>
  <c r="N71" i="6"/>
  <c r="O71" i="6"/>
  <c r="J72" i="6"/>
  <c r="K72" i="6"/>
  <c r="L72" i="6"/>
  <c r="M72" i="6"/>
  <c r="N72" i="6"/>
  <c r="O72" i="6"/>
  <c r="J73" i="6"/>
  <c r="K73" i="6"/>
  <c r="L73" i="6"/>
  <c r="M73" i="6"/>
  <c r="N73" i="6"/>
  <c r="O73" i="6"/>
  <c r="J74" i="6"/>
  <c r="K74" i="6"/>
  <c r="L74" i="6"/>
  <c r="M74" i="6"/>
  <c r="N74" i="6"/>
  <c r="O74" i="6"/>
  <c r="J75" i="6"/>
  <c r="K75" i="6"/>
  <c r="L75" i="6"/>
  <c r="M75" i="6"/>
  <c r="N75" i="6"/>
  <c r="O75" i="6"/>
  <c r="J76" i="6"/>
  <c r="K76" i="6"/>
  <c r="L76" i="6"/>
  <c r="M76" i="6"/>
  <c r="N76" i="6"/>
  <c r="O76" i="6"/>
  <c r="J77" i="6"/>
  <c r="K77" i="6"/>
  <c r="L77" i="6"/>
  <c r="M77" i="6"/>
  <c r="N77" i="6"/>
  <c r="O77" i="6"/>
  <c r="D78" i="6"/>
  <c r="E78" i="6"/>
  <c r="F78" i="6"/>
  <c r="G78" i="6"/>
  <c r="H78" i="6"/>
  <c r="I78" i="6"/>
  <c r="D79" i="6"/>
  <c r="E79" i="6"/>
  <c r="F79" i="6"/>
  <c r="G79" i="6"/>
  <c r="H79" i="6"/>
  <c r="I79" i="6"/>
  <c r="D80" i="6"/>
  <c r="E80" i="6"/>
  <c r="F80" i="6"/>
  <c r="G80" i="6"/>
  <c r="H80" i="6"/>
  <c r="I80" i="6"/>
  <c r="D81" i="6"/>
  <c r="E81" i="6"/>
  <c r="F81" i="6"/>
  <c r="G81" i="6"/>
  <c r="H81" i="6"/>
  <c r="I81" i="6"/>
  <c r="D82" i="6"/>
  <c r="E82" i="6"/>
  <c r="F82" i="6"/>
  <c r="G82" i="6"/>
  <c r="H82" i="6"/>
  <c r="I82" i="6"/>
  <c r="J78" i="6"/>
  <c r="K78" i="6"/>
  <c r="L78" i="6"/>
  <c r="M78" i="6"/>
  <c r="N78" i="6"/>
  <c r="O78" i="6"/>
  <c r="J79" i="6"/>
  <c r="K79" i="6"/>
  <c r="L79" i="6"/>
  <c r="M79" i="6"/>
  <c r="N79" i="6"/>
  <c r="O79" i="6"/>
  <c r="J80" i="6"/>
  <c r="K80" i="6"/>
  <c r="L80" i="6"/>
  <c r="M80" i="6"/>
  <c r="N80" i="6"/>
  <c r="O80" i="6"/>
  <c r="J81" i="6"/>
  <c r="K81" i="6"/>
  <c r="L81" i="6"/>
  <c r="M81" i="6"/>
  <c r="N81" i="6"/>
  <c r="O81" i="6"/>
  <c r="J82" i="6"/>
  <c r="K82" i="6"/>
  <c r="L82" i="6"/>
  <c r="M82" i="6"/>
  <c r="N82" i="6"/>
  <c r="O82" i="6"/>
  <c r="D83" i="6"/>
  <c r="E83" i="6"/>
  <c r="F83" i="6"/>
  <c r="G83" i="6"/>
  <c r="H83" i="6"/>
  <c r="I83" i="6"/>
  <c r="D84" i="6"/>
  <c r="E84" i="6"/>
  <c r="F84" i="6"/>
  <c r="G84" i="6"/>
  <c r="H84" i="6"/>
  <c r="I84" i="6"/>
  <c r="D85" i="6"/>
  <c r="E85" i="6"/>
  <c r="F85" i="6"/>
  <c r="G85" i="6"/>
  <c r="H85" i="6"/>
  <c r="I85" i="6"/>
  <c r="D86" i="6"/>
  <c r="E86" i="6"/>
  <c r="F86" i="6"/>
  <c r="G86" i="6"/>
  <c r="H86" i="6"/>
  <c r="I86" i="6"/>
  <c r="D87" i="6"/>
  <c r="E87" i="6"/>
  <c r="F87" i="6"/>
  <c r="G87" i="6"/>
  <c r="H87" i="6"/>
  <c r="I87" i="6"/>
  <c r="D88" i="6"/>
  <c r="E88" i="6"/>
  <c r="F88" i="6"/>
  <c r="G88" i="6"/>
  <c r="H88" i="6"/>
  <c r="I88" i="6"/>
  <c r="D89" i="6"/>
  <c r="E89" i="6"/>
  <c r="F89" i="6"/>
  <c r="G89" i="6"/>
  <c r="H89" i="6"/>
  <c r="I89" i="6"/>
  <c r="D90" i="6"/>
  <c r="E90" i="6"/>
  <c r="F90" i="6"/>
  <c r="G90" i="6"/>
  <c r="H90" i="6"/>
  <c r="I90" i="6"/>
  <c r="E3" i="6"/>
  <c r="F3" i="6" s="1"/>
  <c r="G3" i="6" s="1"/>
  <c r="H3" i="6" s="1"/>
  <c r="I3" i="6" s="1"/>
  <c r="J31" i="10" l="1"/>
  <c r="P443" i="37" l="1"/>
  <c r="P426" i="37"/>
  <c r="D399" i="37" l="1"/>
  <c r="E394" i="37"/>
  <c r="F394" i="37"/>
  <c r="G394" i="37"/>
  <c r="H394" i="37"/>
  <c r="I394" i="37"/>
  <c r="J394" i="37"/>
  <c r="K394" i="37"/>
  <c r="L394" i="37"/>
  <c r="M394" i="37"/>
  <c r="N394" i="37"/>
  <c r="O394" i="37"/>
  <c r="D394" i="37"/>
  <c r="P390" i="37"/>
  <c r="P393" i="37"/>
  <c r="P392" i="37"/>
  <c r="P391" i="37"/>
  <c r="P389" i="37"/>
  <c r="P388" i="37"/>
  <c r="P387" i="37"/>
  <c r="P386" i="37"/>
  <c r="P385" i="37"/>
  <c r="P384" i="37"/>
  <c r="P381" i="37"/>
  <c r="P380" i="37"/>
  <c r="P379" i="37"/>
  <c r="P378" i="37"/>
  <c r="P377" i="37"/>
  <c r="P376" i="37"/>
  <c r="P375" i="37"/>
  <c r="P374" i="37"/>
  <c r="P373" i="37"/>
  <c r="P372" i="37"/>
  <c r="P371" i="37"/>
  <c r="P370" i="37"/>
  <c r="P369" i="37"/>
  <c r="P368" i="37"/>
  <c r="P367" i="37"/>
  <c r="P366" i="37"/>
  <c r="P365" i="37"/>
  <c r="P364" i="37"/>
  <c r="P363" i="37"/>
  <c r="P362" i="37"/>
  <c r="P361" i="37"/>
  <c r="P360" i="37"/>
  <c r="P359" i="37"/>
  <c r="P358" i="37"/>
  <c r="P357" i="37"/>
  <c r="P356" i="37"/>
  <c r="P355" i="37"/>
  <c r="P168" i="37"/>
  <c r="P169" i="37"/>
  <c r="P170" i="37"/>
  <c r="P171" i="37"/>
  <c r="P123" i="37"/>
  <c r="D179" i="37"/>
  <c r="D89" i="37"/>
  <c r="M74" i="37"/>
  <c r="D74" i="37"/>
  <c r="D333" i="37" s="1"/>
  <c r="P394" i="37" l="1"/>
  <c r="C39" i="37" l="1"/>
  <c r="P28" i="37"/>
  <c r="P29" i="37"/>
  <c r="P30" i="37"/>
  <c r="P31" i="37"/>
  <c r="P32" i="37"/>
  <c r="P33" i="37"/>
  <c r="P34" i="37"/>
  <c r="K16" i="18" l="1"/>
  <c r="E24" i="14" l="1"/>
  <c r="G58" i="5"/>
  <c r="O128" i="6" l="1"/>
  <c r="N128" i="6"/>
  <c r="D125" i="6" l="1"/>
  <c r="E11" i="9" l="1"/>
  <c r="E143" i="9" s="1"/>
  <c r="G35" i="10"/>
  <c r="G26" i="10"/>
  <c r="E98" i="10"/>
  <c r="G64" i="9"/>
  <c r="G42" i="9"/>
  <c r="T129" i="9"/>
  <c r="D31" i="6" l="1"/>
  <c r="O31" i="6"/>
  <c r="N31" i="6"/>
  <c r="M31" i="6"/>
  <c r="L31" i="6"/>
  <c r="K31" i="6"/>
  <c r="J31" i="6"/>
  <c r="I31" i="6"/>
  <c r="H31" i="6"/>
  <c r="G31" i="6"/>
  <c r="F31" i="6"/>
  <c r="E31" i="6"/>
  <c r="J3" i="6" l="1"/>
  <c r="K3" i="6" s="1"/>
  <c r="L3" i="6" s="1"/>
  <c r="M3" i="6" s="1"/>
  <c r="N3" i="6" s="1"/>
  <c r="O3" i="6" s="1"/>
  <c r="E397" i="37"/>
  <c r="F397" i="37"/>
  <c r="G397" i="37"/>
  <c r="H397" i="37"/>
  <c r="I397" i="37"/>
  <c r="J397" i="37"/>
  <c r="K397" i="37"/>
  <c r="L397" i="37"/>
  <c r="M397" i="37"/>
  <c r="N397" i="37"/>
  <c r="O397" i="37"/>
  <c r="G398" i="37"/>
  <c r="H398" i="37"/>
  <c r="I398" i="37"/>
  <c r="O398" i="37"/>
  <c r="E399" i="37"/>
  <c r="E398" i="37" s="1"/>
  <c r="F399" i="37"/>
  <c r="F398" i="37" s="1"/>
  <c r="G399" i="37"/>
  <c r="H399" i="37"/>
  <c r="I399" i="37"/>
  <c r="J399" i="37"/>
  <c r="J398" i="37" s="1"/>
  <c r="K399" i="37"/>
  <c r="K398" i="37" s="1"/>
  <c r="L399" i="37"/>
  <c r="L398" i="37" s="1"/>
  <c r="M399" i="37"/>
  <c r="M398" i="37" s="1"/>
  <c r="N399" i="37"/>
  <c r="N398" i="37" s="1"/>
  <c r="O399" i="37"/>
  <c r="I400" i="37"/>
  <c r="J400" i="37"/>
  <c r="K400" i="37"/>
  <c r="E401" i="37"/>
  <c r="E400" i="37" s="1"/>
  <c r="F401" i="37"/>
  <c r="F400" i="37" s="1"/>
  <c r="G401" i="37"/>
  <c r="G400" i="37" s="1"/>
  <c r="H401" i="37"/>
  <c r="H400" i="37" s="1"/>
  <c r="I401" i="37"/>
  <c r="J401" i="37"/>
  <c r="K401" i="37"/>
  <c r="L401" i="37"/>
  <c r="L400" i="37" s="1"/>
  <c r="M401" i="37"/>
  <c r="M400" i="37" s="1"/>
  <c r="N401" i="37"/>
  <c r="N400" i="37" s="1"/>
  <c r="O401" i="37"/>
  <c r="O400" i="37" s="1"/>
  <c r="E402" i="37"/>
  <c r="F402" i="37"/>
  <c r="G402" i="37"/>
  <c r="H402" i="37"/>
  <c r="I402" i="37"/>
  <c r="J402" i="37"/>
  <c r="K402" i="37"/>
  <c r="L402" i="37"/>
  <c r="M402" i="37"/>
  <c r="N402" i="37"/>
  <c r="O402" i="37"/>
  <c r="E403" i="37"/>
  <c r="F403" i="37"/>
  <c r="G403" i="37"/>
  <c r="H403" i="37"/>
  <c r="I403" i="37"/>
  <c r="J403" i="37"/>
  <c r="K403" i="37"/>
  <c r="L403" i="37"/>
  <c r="M403" i="37"/>
  <c r="N403" i="37"/>
  <c r="O403" i="37"/>
  <c r="E404" i="37"/>
  <c r="F404" i="37"/>
  <c r="G404" i="37"/>
  <c r="H404" i="37"/>
  <c r="I404" i="37"/>
  <c r="J404" i="37"/>
  <c r="K404" i="37"/>
  <c r="L404" i="37"/>
  <c r="M404" i="37"/>
  <c r="N404" i="37"/>
  <c r="O404" i="37"/>
  <c r="D404" i="37"/>
  <c r="D402" i="37"/>
  <c r="D401" i="37"/>
  <c r="D400" i="37" s="1"/>
  <c r="D398" i="37"/>
  <c r="D405" i="37" l="1"/>
  <c r="D406" i="37" s="1"/>
  <c r="P397" i="37"/>
  <c r="E405" i="37"/>
  <c r="E406" i="37" s="1"/>
  <c r="BE1" i="9" l="1"/>
  <c r="BE154" i="9" l="1"/>
  <c r="BE89" i="9"/>
  <c r="BE60" i="9"/>
  <c r="BE61" i="9"/>
  <c r="BE34" i="9"/>
  <c r="BE33" i="9"/>
  <c r="BE56" i="9"/>
  <c r="BE79" i="9"/>
  <c r="T126" i="6" l="1"/>
  <c r="T125" i="6"/>
  <c r="T124" i="6"/>
  <c r="T121" i="6"/>
  <c r="L125" i="6"/>
  <c r="C111" i="6"/>
  <c r="E125" i="6"/>
  <c r="F125" i="6"/>
  <c r="G125" i="6"/>
  <c r="H125" i="6"/>
  <c r="I125" i="6"/>
  <c r="J125" i="6"/>
  <c r="K125" i="6"/>
  <c r="M125" i="6"/>
  <c r="N125" i="6"/>
  <c r="O125" i="6"/>
  <c r="E95" i="6"/>
  <c r="F95" i="6"/>
  <c r="G95" i="6"/>
  <c r="H95" i="6"/>
  <c r="I95" i="6"/>
  <c r="J95" i="6"/>
  <c r="K95" i="6"/>
  <c r="L95" i="6"/>
  <c r="M95" i="6"/>
  <c r="N95" i="6"/>
  <c r="O95" i="6"/>
  <c r="O127" i="6" s="1"/>
  <c r="O129" i="6" s="1"/>
  <c r="D95" i="6"/>
  <c r="T123" i="6" l="1"/>
  <c r="L161" i="1" l="1"/>
  <c r="K161" i="1"/>
  <c r="J161" i="1"/>
  <c r="I161" i="1"/>
  <c r="H161" i="1"/>
  <c r="G161" i="1"/>
  <c r="F161" i="1"/>
  <c r="E161" i="1"/>
  <c r="D161" i="1"/>
  <c r="L160" i="1"/>
  <c r="K160" i="1"/>
  <c r="J160" i="1"/>
  <c r="I160" i="1"/>
  <c r="H160" i="1"/>
  <c r="G160" i="1"/>
  <c r="F160" i="1"/>
  <c r="E160" i="1"/>
  <c r="D160" i="1"/>
  <c r="L57" i="1"/>
  <c r="K57" i="1"/>
  <c r="J57" i="1"/>
  <c r="I57" i="1"/>
  <c r="H57" i="1"/>
  <c r="G57" i="1"/>
  <c r="F57" i="1"/>
  <c r="E57" i="1"/>
  <c r="D57" i="1"/>
  <c r="L56" i="1"/>
  <c r="K56" i="1"/>
  <c r="J56" i="1"/>
  <c r="I56" i="1"/>
  <c r="H56" i="1"/>
  <c r="G56" i="1"/>
  <c r="F56" i="1"/>
  <c r="E56" i="1"/>
  <c r="D56" i="1"/>
  <c r="L108" i="1"/>
  <c r="L107" i="1"/>
  <c r="K108" i="1"/>
  <c r="K107" i="1"/>
  <c r="J108" i="1"/>
  <c r="J107" i="1"/>
  <c r="I108" i="1"/>
  <c r="I107" i="1"/>
  <c r="H108" i="1"/>
  <c r="H107" i="1"/>
  <c r="G108" i="1"/>
  <c r="G107" i="1"/>
  <c r="F108" i="1"/>
  <c r="F107" i="1"/>
  <c r="E108" i="1"/>
  <c r="E107" i="1"/>
  <c r="D108" i="1"/>
  <c r="D107" i="1"/>
  <c r="D104" i="20" l="1"/>
  <c r="D103" i="20"/>
  <c r="D101" i="20"/>
  <c r="D13" i="45" s="1"/>
  <c r="F13" i="45" s="1"/>
  <c r="D100" i="20"/>
  <c r="D12" i="45" s="1"/>
  <c r="F12" i="45" s="1"/>
  <c r="D99" i="20"/>
  <c r="D11" i="45" s="1"/>
  <c r="F11" i="45" s="1"/>
  <c r="Q108" i="20"/>
  <c r="J108" i="20"/>
  <c r="S108" i="20" s="1"/>
  <c r="E108" i="20"/>
  <c r="Q107" i="20"/>
  <c r="J107" i="20"/>
  <c r="S107" i="20" s="1"/>
  <c r="E107" i="20"/>
  <c r="Q106" i="20"/>
  <c r="J106" i="20"/>
  <c r="R106" i="20" s="1"/>
  <c r="E106" i="20"/>
  <c r="Q104" i="20"/>
  <c r="A104" i="20"/>
  <c r="Q103" i="20"/>
  <c r="A103" i="20"/>
  <c r="P99" i="20"/>
  <c r="P100" i="20" s="1"/>
  <c r="O99" i="20"/>
  <c r="O101" i="20" s="1"/>
  <c r="A99" i="20"/>
  <c r="D80" i="20"/>
  <c r="D79" i="20"/>
  <c r="J81" i="20"/>
  <c r="R81" i="20" s="1"/>
  <c r="E81" i="20"/>
  <c r="K80" i="20"/>
  <c r="P79" i="20"/>
  <c r="P80" i="20" s="1"/>
  <c r="O79" i="20"/>
  <c r="O80" i="20" s="1"/>
  <c r="D46" i="20"/>
  <c r="D45" i="20"/>
  <c r="K46" i="20"/>
  <c r="D34" i="20"/>
  <c r="D32" i="20"/>
  <c r="D43" i="20"/>
  <c r="P45" i="20"/>
  <c r="P46" i="20" s="1"/>
  <c r="O45" i="20"/>
  <c r="O46" i="20" s="1"/>
  <c r="H199" i="1"/>
  <c r="H192" i="1"/>
  <c r="H146" i="1"/>
  <c r="H139" i="1"/>
  <c r="F139" i="1"/>
  <c r="J25" i="1"/>
  <c r="P94" i="6"/>
  <c r="D51" i="20" l="1"/>
  <c r="D57" i="20"/>
  <c r="R108" i="20"/>
  <c r="S106" i="20"/>
  <c r="F24" i="45"/>
  <c r="S81" i="20"/>
  <c r="R107" i="20"/>
  <c r="O100" i="20"/>
  <c r="P101" i="20"/>
  <c r="E77" i="20"/>
  <c r="P95" i="6"/>
  <c r="F62" i="5" s="1"/>
  <c r="Q39" i="6"/>
  <c r="R39" i="6" s="1"/>
  <c r="Q38" i="6"/>
  <c r="R38" i="6" s="1"/>
  <c r="P39" i="6"/>
  <c r="P38" i="6"/>
  <c r="R40" i="6" l="1"/>
  <c r="C62" i="5" s="1"/>
  <c r="J32" i="1" s="1"/>
  <c r="P40" i="6"/>
  <c r="J27" i="1"/>
  <c r="J50" i="1" s="1"/>
  <c r="Q40" i="6"/>
  <c r="B62" i="5" s="1"/>
  <c r="S39" i="6"/>
  <c r="S38" i="6"/>
  <c r="J8" i="1" l="1"/>
  <c r="J9" i="1"/>
  <c r="S40" i="6"/>
  <c r="D62" i="5" s="1"/>
  <c r="O71" i="27"/>
  <c r="C72" i="27"/>
  <c r="C76" i="27"/>
  <c r="J31" i="1" l="1"/>
  <c r="J10" i="1"/>
  <c r="J33" i="1"/>
  <c r="D50" i="5"/>
  <c r="C125" i="27" l="1"/>
  <c r="C126" i="27" s="1"/>
  <c r="C78" i="27"/>
  <c r="E478" i="37"/>
  <c r="F478" i="37" s="1"/>
  <c r="G478" i="37" s="1"/>
  <c r="H478" i="37" s="1"/>
  <c r="I478" i="37" s="1"/>
  <c r="J478" i="37" s="1"/>
  <c r="K478" i="37" s="1"/>
  <c r="L478" i="37" s="1"/>
  <c r="M478" i="37" s="1"/>
  <c r="N478" i="37" s="1"/>
  <c r="O478" i="37" s="1"/>
  <c r="E477" i="37"/>
  <c r="F477" i="37" s="1"/>
  <c r="G477" i="37" s="1"/>
  <c r="H477" i="37" s="1"/>
  <c r="I477" i="37" s="1"/>
  <c r="J477" i="37" s="1"/>
  <c r="K477" i="37" s="1"/>
  <c r="L477" i="37" s="1"/>
  <c r="M477" i="37" s="1"/>
  <c r="N477" i="37" s="1"/>
  <c r="O477" i="37" s="1"/>
  <c r="E476" i="37"/>
  <c r="F476" i="37" s="1"/>
  <c r="G476" i="37" s="1"/>
  <c r="H476" i="37" s="1"/>
  <c r="I476" i="37" s="1"/>
  <c r="J476" i="37" s="1"/>
  <c r="K476" i="37" s="1"/>
  <c r="L476" i="37" s="1"/>
  <c r="M476" i="37" s="1"/>
  <c r="N476" i="37" s="1"/>
  <c r="O476" i="37" s="1"/>
  <c r="E475" i="37"/>
  <c r="F475" i="37" s="1"/>
  <c r="G475" i="37" s="1"/>
  <c r="H475" i="37" s="1"/>
  <c r="I475" i="37" s="1"/>
  <c r="J475" i="37" s="1"/>
  <c r="K475" i="37" s="1"/>
  <c r="L475" i="37" s="1"/>
  <c r="M475" i="37" s="1"/>
  <c r="N475" i="37" s="1"/>
  <c r="O475" i="37" s="1"/>
  <c r="P474" i="37"/>
  <c r="P473" i="37"/>
  <c r="P472" i="37"/>
  <c r="P471" i="37"/>
  <c r="E460" i="37"/>
  <c r="F460" i="37" s="1"/>
  <c r="G460" i="37" s="1"/>
  <c r="H460" i="37" s="1"/>
  <c r="I460" i="37" s="1"/>
  <c r="J460" i="37" s="1"/>
  <c r="K460" i="37" s="1"/>
  <c r="L460" i="37" s="1"/>
  <c r="M460" i="37" s="1"/>
  <c r="N460" i="37" s="1"/>
  <c r="O460" i="37" s="1"/>
  <c r="E459" i="37"/>
  <c r="F459" i="37" s="1"/>
  <c r="G459" i="37" s="1"/>
  <c r="H459" i="37" s="1"/>
  <c r="I459" i="37" s="1"/>
  <c r="J459" i="37" s="1"/>
  <c r="K459" i="37" s="1"/>
  <c r="L459" i="37" s="1"/>
  <c r="M459" i="37" s="1"/>
  <c r="N459" i="37" s="1"/>
  <c r="O459" i="37" s="1"/>
  <c r="N129" i="27" s="1"/>
  <c r="N131" i="27" s="1"/>
  <c r="E458" i="37"/>
  <c r="F458" i="37" s="1"/>
  <c r="G458" i="37" s="1"/>
  <c r="H458" i="37" s="1"/>
  <c r="I458" i="37" s="1"/>
  <c r="J458" i="37" s="1"/>
  <c r="K458" i="37" s="1"/>
  <c r="L458" i="37" s="1"/>
  <c r="M458" i="37" s="1"/>
  <c r="N458" i="37" s="1"/>
  <c r="O458" i="37" s="1"/>
  <c r="N125" i="27" s="1"/>
  <c r="N126" i="27" s="1"/>
  <c r="P457" i="37"/>
  <c r="H120" i="1" s="1"/>
  <c r="P456" i="37"/>
  <c r="P455" i="37"/>
  <c r="E439" i="37"/>
  <c r="F439" i="37" s="1"/>
  <c r="G439" i="37" s="1"/>
  <c r="H439" i="37" s="1"/>
  <c r="I439" i="37" s="1"/>
  <c r="J439" i="37" s="1"/>
  <c r="K439" i="37" s="1"/>
  <c r="L439" i="37" s="1"/>
  <c r="M439" i="37" s="1"/>
  <c r="N439" i="37" s="1"/>
  <c r="O439" i="37" s="1"/>
  <c r="N76" i="27" s="1"/>
  <c r="N78" i="27" s="1"/>
  <c r="E438" i="37"/>
  <c r="P437" i="37"/>
  <c r="P436" i="37"/>
  <c r="C131" i="27"/>
  <c r="R126" i="27"/>
  <c r="O124" i="27"/>
  <c r="R110" i="27"/>
  <c r="P401" i="37"/>
  <c r="H134" i="1" s="1"/>
  <c r="H21" i="1" s="1"/>
  <c r="H44" i="1" s="1"/>
  <c r="H54" i="14" s="1"/>
  <c r="D45" i="37"/>
  <c r="E45" i="37"/>
  <c r="F45" i="37"/>
  <c r="G45" i="37"/>
  <c r="H45" i="37"/>
  <c r="I45" i="37"/>
  <c r="J45" i="37"/>
  <c r="K45" i="37"/>
  <c r="L45" i="37"/>
  <c r="M45" i="37"/>
  <c r="N45" i="37"/>
  <c r="D43" i="37"/>
  <c r="E43" i="37"/>
  <c r="F43" i="37"/>
  <c r="G43" i="37"/>
  <c r="H43" i="37"/>
  <c r="I43" i="37"/>
  <c r="J43" i="37"/>
  <c r="K43" i="37"/>
  <c r="L43" i="37"/>
  <c r="M43" i="37"/>
  <c r="N43" i="37"/>
  <c r="D41" i="37"/>
  <c r="E41" i="37"/>
  <c r="F41" i="37"/>
  <c r="G41" i="37"/>
  <c r="H41" i="37"/>
  <c r="I41" i="37"/>
  <c r="J41" i="37"/>
  <c r="K41" i="37"/>
  <c r="L41" i="37"/>
  <c r="M41" i="37"/>
  <c r="N41" i="37"/>
  <c r="C41" i="37"/>
  <c r="C43" i="37"/>
  <c r="C45" i="37"/>
  <c r="C44" i="37"/>
  <c r="P19" i="37"/>
  <c r="O19" i="37"/>
  <c r="P17" i="37"/>
  <c r="O17" i="37"/>
  <c r="O14" i="37"/>
  <c r="P14" i="37"/>
  <c r="O209" i="37"/>
  <c r="O341" i="37" s="1"/>
  <c r="N209" i="37"/>
  <c r="N341" i="37" s="1"/>
  <c r="M209" i="37"/>
  <c r="M341" i="37" s="1"/>
  <c r="L209" i="37"/>
  <c r="L341" i="37" s="1"/>
  <c r="K209" i="37"/>
  <c r="K341" i="37" s="1"/>
  <c r="J209" i="37"/>
  <c r="J341" i="37" s="1"/>
  <c r="I209" i="37"/>
  <c r="I341" i="37" s="1"/>
  <c r="H209" i="37"/>
  <c r="H341" i="37" s="1"/>
  <c r="G209" i="37"/>
  <c r="G341" i="37" s="1"/>
  <c r="F209" i="37"/>
  <c r="F341" i="37" s="1"/>
  <c r="E209" i="37"/>
  <c r="E341" i="37" s="1"/>
  <c r="D209" i="37"/>
  <c r="D341" i="37" s="1"/>
  <c r="P208" i="37"/>
  <c r="P207" i="37"/>
  <c r="P206" i="37"/>
  <c r="P205" i="37"/>
  <c r="P204" i="37"/>
  <c r="P203" i="37"/>
  <c r="P202" i="37"/>
  <c r="P201" i="37"/>
  <c r="P200" i="37"/>
  <c r="P199" i="37"/>
  <c r="P198" i="37"/>
  <c r="P197" i="37"/>
  <c r="P196" i="37"/>
  <c r="P195" i="37"/>
  <c r="O179" i="37"/>
  <c r="N179" i="37"/>
  <c r="M179" i="37"/>
  <c r="L179" i="37"/>
  <c r="K179" i="37"/>
  <c r="J179" i="37"/>
  <c r="I179" i="37"/>
  <c r="H179" i="37"/>
  <c r="G179" i="37"/>
  <c r="F179" i="37"/>
  <c r="P167" i="37"/>
  <c r="P179" i="37" s="1"/>
  <c r="O134" i="37"/>
  <c r="N134" i="37"/>
  <c r="M134" i="37"/>
  <c r="L134" i="37"/>
  <c r="K134" i="37"/>
  <c r="J134" i="37"/>
  <c r="I134" i="37"/>
  <c r="H134" i="37"/>
  <c r="G134" i="37"/>
  <c r="F134" i="37"/>
  <c r="E134" i="37"/>
  <c r="D134" i="37"/>
  <c r="P133" i="37"/>
  <c r="P132" i="37"/>
  <c r="P131" i="37"/>
  <c r="P130" i="37"/>
  <c r="P129" i="37"/>
  <c r="P128" i="37"/>
  <c r="P127" i="37"/>
  <c r="P126" i="37"/>
  <c r="P125" i="37"/>
  <c r="P124" i="37"/>
  <c r="P122" i="37"/>
  <c r="P121" i="37"/>
  <c r="P120" i="37"/>
  <c r="R73" i="27"/>
  <c r="C73" i="27"/>
  <c r="R57" i="27"/>
  <c r="E62" i="5"/>
  <c r="D26" i="5"/>
  <c r="D29" i="5" s="1"/>
  <c r="J128" i="1"/>
  <c r="H198" i="1"/>
  <c r="H191" i="1"/>
  <c r="H193" i="1" s="1"/>
  <c r="H147" i="1"/>
  <c r="H140" i="1"/>
  <c r="H173" i="1"/>
  <c r="F199" i="1"/>
  <c r="F198" i="1"/>
  <c r="F192" i="1"/>
  <c r="F193" i="1" s="1"/>
  <c r="F191" i="1"/>
  <c r="F146" i="1"/>
  <c r="F147" i="1" s="1"/>
  <c r="F140" i="1"/>
  <c r="J41" i="1"/>
  <c r="J181" i="1" s="1"/>
  <c r="J38" i="1"/>
  <c r="J35" i="1"/>
  <c r="J34" i="1"/>
  <c r="J21" i="1"/>
  <c r="J44" i="1" s="1"/>
  <c r="J54" i="14" s="1"/>
  <c r="H38" i="1"/>
  <c r="H35" i="1"/>
  <c r="H34" i="1"/>
  <c r="H33" i="1"/>
  <c r="H52" i="14" s="1"/>
  <c r="F38" i="1"/>
  <c r="F35" i="1"/>
  <c r="F34" i="1"/>
  <c r="F33" i="1"/>
  <c r="F52" i="14" s="1"/>
  <c r="P28" i="18"/>
  <c r="K28" i="18"/>
  <c r="P24" i="18"/>
  <c r="K24" i="18"/>
  <c r="P20" i="18"/>
  <c r="K20" i="18"/>
  <c r="F32" i="14"/>
  <c r="F42" i="14" s="1"/>
  <c r="W42" i="14"/>
  <c r="W39" i="14"/>
  <c r="W38" i="14"/>
  <c r="W37" i="14"/>
  <c r="W20" i="14"/>
  <c r="W17" i="14"/>
  <c r="W16" i="14"/>
  <c r="W15" i="14"/>
  <c r="U42" i="14"/>
  <c r="U39" i="14"/>
  <c r="U38" i="14"/>
  <c r="U37" i="14"/>
  <c r="U20" i="14"/>
  <c r="U17" i="14"/>
  <c r="U16" i="14"/>
  <c r="U15" i="14"/>
  <c r="S42" i="14"/>
  <c r="S39" i="14"/>
  <c r="S38" i="14"/>
  <c r="S37" i="14"/>
  <c r="S20" i="14"/>
  <c r="S17" i="14"/>
  <c r="S16" i="14"/>
  <c r="S15" i="14"/>
  <c r="J103" i="14"/>
  <c r="J100" i="14"/>
  <c r="J90" i="14"/>
  <c r="J76" i="14"/>
  <c r="J84" i="14" s="1"/>
  <c r="J87" i="14" s="1"/>
  <c r="J29" i="14" s="1"/>
  <c r="J39" i="14" s="1"/>
  <c r="J75" i="14"/>
  <c r="J83" i="14" s="1"/>
  <c r="J86" i="14" s="1"/>
  <c r="J28" i="14" s="1"/>
  <c r="J38" i="14" s="1"/>
  <c r="J74" i="14"/>
  <c r="J82" i="14" s="1"/>
  <c r="J85" i="14" s="1"/>
  <c r="J70" i="14"/>
  <c r="J65" i="14"/>
  <c r="J67" i="14" s="1"/>
  <c r="J61" i="14"/>
  <c r="J63" i="14" s="1"/>
  <c r="H76" i="14"/>
  <c r="H84" i="14" s="1"/>
  <c r="H87" i="14" s="1"/>
  <c r="H29" i="14" s="1"/>
  <c r="H75" i="14"/>
  <c r="H83" i="14" s="1"/>
  <c r="H86" i="14" s="1"/>
  <c r="H28" i="14" s="1"/>
  <c r="H38" i="14" s="1"/>
  <c r="H74" i="14"/>
  <c r="H82" i="14" s="1"/>
  <c r="H85" i="14" s="1"/>
  <c r="H27" i="14" s="1"/>
  <c r="H37" i="14" s="1"/>
  <c r="H70" i="14"/>
  <c r="H67" i="14"/>
  <c r="H61" i="14"/>
  <c r="H63" i="14" s="1"/>
  <c r="F76" i="14"/>
  <c r="F84" i="14" s="1"/>
  <c r="F87" i="14" s="1"/>
  <c r="F29" i="14" s="1"/>
  <c r="F75" i="14"/>
  <c r="F83" i="14" s="1"/>
  <c r="F86" i="14" s="1"/>
  <c r="F28" i="14" s="1"/>
  <c r="F38" i="14" s="1"/>
  <c r="F74" i="14"/>
  <c r="F82" i="14" s="1"/>
  <c r="F85" i="14" s="1"/>
  <c r="F27" i="14" s="1"/>
  <c r="F37" i="14" s="1"/>
  <c r="F70" i="14"/>
  <c r="F65" i="14"/>
  <c r="F67" i="14" s="1"/>
  <c r="F61" i="14"/>
  <c r="F63" i="14" s="1"/>
  <c r="F12" i="14"/>
  <c r="F45" i="20"/>
  <c r="J34" i="14"/>
  <c r="J32" i="14"/>
  <c r="N104" i="20" s="1"/>
  <c r="J31" i="14"/>
  <c r="J26" i="14"/>
  <c r="J36" i="14" s="1"/>
  <c r="J24" i="14"/>
  <c r="F104" i="20"/>
  <c r="E104" i="20" s="1"/>
  <c r="F103" i="20"/>
  <c r="E103" i="20" s="1"/>
  <c r="F101" i="20"/>
  <c r="F100" i="20"/>
  <c r="F99" i="20"/>
  <c r="J12" i="14"/>
  <c r="H34" i="14"/>
  <c r="H32" i="14"/>
  <c r="H42" i="14" s="1"/>
  <c r="H31" i="14"/>
  <c r="N77" i="20" s="1"/>
  <c r="H24" i="14"/>
  <c r="F80" i="20"/>
  <c r="F79" i="20"/>
  <c r="H12" i="14"/>
  <c r="F34" i="14"/>
  <c r="F31" i="14"/>
  <c r="F26" i="14"/>
  <c r="F24" i="14"/>
  <c r="F46" i="20"/>
  <c r="F43" i="20"/>
  <c r="E43" i="20" s="1"/>
  <c r="M335" i="37" l="1"/>
  <c r="N335" i="37"/>
  <c r="O335" i="37"/>
  <c r="E335" i="37"/>
  <c r="F335" i="37"/>
  <c r="O58" i="27"/>
  <c r="D28" i="5" s="1"/>
  <c r="D30" i="5" s="1"/>
  <c r="G335" i="37"/>
  <c r="H335" i="37"/>
  <c r="I335" i="37"/>
  <c r="J335" i="37"/>
  <c r="K335" i="37"/>
  <c r="L335" i="37"/>
  <c r="P134" i="37"/>
  <c r="K76" i="27"/>
  <c r="K78" i="27" s="1"/>
  <c r="P209" i="37"/>
  <c r="I76" i="27"/>
  <c r="I78" i="27" s="1"/>
  <c r="K129" i="27"/>
  <c r="K131" i="27" s="1"/>
  <c r="I129" i="27"/>
  <c r="I131" i="27" s="1"/>
  <c r="P399" i="37"/>
  <c r="F134" i="1" s="1"/>
  <c r="F187" i="1" s="1"/>
  <c r="F195" i="1" s="1"/>
  <c r="G125" i="27"/>
  <c r="G126" i="27" s="1"/>
  <c r="J76" i="27"/>
  <c r="J78" i="27" s="1"/>
  <c r="F125" i="27"/>
  <c r="F126" i="27" s="1"/>
  <c r="J129" i="27"/>
  <c r="J131" i="27" s="1"/>
  <c r="M125" i="27"/>
  <c r="M126" i="27" s="1"/>
  <c r="E125" i="27"/>
  <c r="E126" i="27" s="1"/>
  <c r="F438" i="37"/>
  <c r="D72" i="27"/>
  <c r="H76" i="27"/>
  <c r="H78" i="27" s="1"/>
  <c r="L125" i="27"/>
  <c r="L126" i="27" s="1"/>
  <c r="D125" i="27"/>
  <c r="D126" i="27" s="1"/>
  <c r="H129" i="27"/>
  <c r="H131" i="27" s="1"/>
  <c r="P45" i="37"/>
  <c r="G76" i="27"/>
  <c r="G78" i="27" s="1"/>
  <c r="K125" i="27"/>
  <c r="K126" i="27" s="1"/>
  <c r="G129" i="27"/>
  <c r="G131" i="27" s="1"/>
  <c r="F76" i="27"/>
  <c r="F78" i="27" s="1"/>
  <c r="J125" i="27"/>
  <c r="J126" i="27" s="1"/>
  <c r="F129" i="27"/>
  <c r="F131" i="27" s="1"/>
  <c r="M76" i="27"/>
  <c r="M78" i="27" s="1"/>
  <c r="E76" i="27"/>
  <c r="E78" i="27" s="1"/>
  <c r="I125" i="27"/>
  <c r="I126" i="27" s="1"/>
  <c r="M129" i="27"/>
  <c r="M131" i="27" s="1"/>
  <c r="E129" i="27"/>
  <c r="E131" i="27" s="1"/>
  <c r="J53" i="14"/>
  <c r="L76" i="27"/>
  <c r="L78" i="27" s="1"/>
  <c r="D76" i="27"/>
  <c r="D78" i="27" s="1"/>
  <c r="H125" i="27"/>
  <c r="H126" i="27" s="1"/>
  <c r="L129" i="27"/>
  <c r="L131" i="27" s="1"/>
  <c r="D129" i="27"/>
  <c r="D131" i="27" s="1"/>
  <c r="J42" i="14"/>
  <c r="M104" i="20" s="1"/>
  <c r="J104" i="20" s="1"/>
  <c r="N101" i="20"/>
  <c r="H79" i="20"/>
  <c r="E79" i="20"/>
  <c r="U79" i="20" s="1"/>
  <c r="H46" i="20"/>
  <c r="E46" i="20"/>
  <c r="U46" i="20" s="1"/>
  <c r="H80" i="20"/>
  <c r="E80" i="20"/>
  <c r="U80" i="20" s="1"/>
  <c r="J41" i="14"/>
  <c r="M103" i="20" s="1"/>
  <c r="N103" i="20"/>
  <c r="N100" i="20"/>
  <c r="H99" i="20"/>
  <c r="E99" i="20"/>
  <c r="U99" i="20" s="1"/>
  <c r="N79" i="20"/>
  <c r="J79" i="20" s="1"/>
  <c r="F36" i="14"/>
  <c r="M43" i="20" s="1"/>
  <c r="N43" i="20"/>
  <c r="Q43" i="20" s="1"/>
  <c r="H36" i="14"/>
  <c r="Q77" i="20"/>
  <c r="N45" i="20"/>
  <c r="J45" i="20" s="1"/>
  <c r="H100" i="20"/>
  <c r="E100" i="20"/>
  <c r="U100" i="20" s="1"/>
  <c r="N80" i="20"/>
  <c r="J80" i="20" s="1"/>
  <c r="H101" i="20"/>
  <c r="E101" i="20"/>
  <c r="U101" i="20" s="1"/>
  <c r="N46" i="20"/>
  <c r="J46" i="20" s="1"/>
  <c r="H45" i="20"/>
  <c r="E45" i="20"/>
  <c r="U45" i="20" s="1"/>
  <c r="H41" i="14"/>
  <c r="M77" i="20" s="1"/>
  <c r="J77" i="20" s="1"/>
  <c r="F200" i="1"/>
  <c r="G112" i="27"/>
  <c r="I112" i="27"/>
  <c r="O111" i="27"/>
  <c r="O107" i="27"/>
  <c r="O108" i="27"/>
  <c r="P43" i="37"/>
  <c r="F49" i="5" s="1"/>
  <c r="H25" i="1" s="1"/>
  <c r="O41" i="37"/>
  <c r="P41" i="37"/>
  <c r="F27" i="5" s="1"/>
  <c r="F25" i="1" s="1"/>
  <c r="O43" i="37"/>
  <c r="P41" i="6"/>
  <c r="O45" i="37"/>
  <c r="O54" i="27"/>
  <c r="J102" i="14"/>
  <c r="H200" i="1"/>
  <c r="H187" i="1"/>
  <c r="J27" i="14"/>
  <c r="J37" i="14" s="1"/>
  <c r="J48" i="1"/>
  <c r="J56" i="14" s="1"/>
  <c r="J64" i="14" s="1"/>
  <c r="J100" i="20" l="1"/>
  <c r="R100" i="20" s="1"/>
  <c r="H12" i="45"/>
  <c r="J12" i="45" s="1"/>
  <c r="J101" i="20"/>
  <c r="S101" i="20" s="1"/>
  <c r="H13" i="45"/>
  <c r="J13" i="45" s="1"/>
  <c r="F21" i="1"/>
  <c r="F44" i="1" s="1"/>
  <c r="F54" i="14" s="1"/>
  <c r="O125" i="27"/>
  <c r="O129" i="27"/>
  <c r="G59" i="27"/>
  <c r="G61" i="27"/>
  <c r="G62" i="27"/>
  <c r="M59" i="27"/>
  <c r="M61" i="27" s="1"/>
  <c r="H59" i="27"/>
  <c r="H61" i="27" s="1"/>
  <c r="M112" i="27"/>
  <c r="M114" i="27"/>
  <c r="M115" i="27"/>
  <c r="H112" i="27"/>
  <c r="H114" i="27"/>
  <c r="H115" i="27"/>
  <c r="L59" i="27"/>
  <c r="L62" i="27" s="1"/>
  <c r="N59" i="27"/>
  <c r="N62" i="27" s="1"/>
  <c r="L112" i="27"/>
  <c r="L115" i="27"/>
  <c r="L114" i="27"/>
  <c r="P125" i="27"/>
  <c r="J59" i="27"/>
  <c r="J62" i="27" s="1"/>
  <c r="D59" i="27"/>
  <c r="D61" i="27"/>
  <c r="D62" i="27"/>
  <c r="D112" i="27"/>
  <c r="D114" i="27"/>
  <c r="D115" i="27"/>
  <c r="E59" i="27"/>
  <c r="E61" i="27" s="1"/>
  <c r="K59" i="27"/>
  <c r="K61" i="27" s="1"/>
  <c r="N112" i="27"/>
  <c r="N115" i="27"/>
  <c r="N114" i="27"/>
  <c r="K112" i="27"/>
  <c r="K115" i="27"/>
  <c r="K114" i="27"/>
  <c r="I114" i="27"/>
  <c r="I115" i="27"/>
  <c r="I59" i="27"/>
  <c r="I62" i="27" s="1"/>
  <c r="O131" i="27"/>
  <c r="P131" i="27" s="1"/>
  <c r="G47" i="5"/>
  <c r="O76" i="27"/>
  <c r="O78" i="27" s="1"/>
  <c r="P78" i="27" s="1"/>
  <c r="F59" i="27"/>
  <c r="F61" i="27" s="1"/>
  <c r="C59" i="27"/>
  <c r="F112" i="27"/>
  <c r="F114" i="27"/>
  <c r="F115" i="27"/>
  <c r="C112" i="27"/>
  <c r="C115" i="27"/>
  <c r="C114" i="27"/>
  <c r="G438" i="37"/>
  <c r="E72" i="27"/>
  <c r="J112" i="27"/>
  <c r="J115" i="27"/>
  <c r="J114" i="27"/>
  <c r="E112" i="27"/>
  <c r="E114" i="27"/>
  <c r="E115" i="27"/>
  <c r="G114" i="27"/>
  <c r="G115" i="27"/>
  <c r="J43" i="20"/>
  <c r="R43" i="20" s="1"/>
  <c r="J103" i="20"/>
  <c r="S103" i="20" s="1"/>
  <c r="R45" i="20"/>
  <c r="V45" i="20"/>
  <c r="M45" i="20"/>
  <c r="Q45" i="20" s="1"/>
  <c r="S104" i="20"/>
  <c r="R104" i="20"/>
  <c r="N99" i="20"/>
  <c r="S77" i="20"/>
  <c r="V80" i="20"/>
  <c r="R80" i="20"/>
  <c r="S80" i="20"/>
  <c r="R46" i="20"/>
  <c r="V46" i="20"/>
  <c r="S46" i="20"/>
  <c r="R101" i="20"/>
  <c r="V101" i="20"/>
  <c r="M79" i="20"/>
  <c r="V79" i="20"/>
  <c r="R79" i="20"/>
  <c r="O110" i="27"/>
  <c r="O126" i="27"/>
  <c r="O57" i="27"/>
  <c r="H195" i="1"/>
  <c r="H11" i="45" l="1"/>
  <c r="J11" i="45" s="1"/>
  <c r="J24" i="45" s="1"/>
  <c r="L24" i="45" s="1"/>
  <c r="V100" i="20"/>
  <c r="C62" i="27"/>
  <c r="C66" i="27" s="1"/>
  <c r="C61" i="27"/>
  <c r="C65" i="27" s="1"/>
  <c r="E62" i="27"/>
  <c r="H62" i="27"/>
  <c r="I61" i="27"/>
  <c r="G25" i="5"/>
  <c r="G27" i="5" s="1"/>
  <c r="F119" i="1" s="1"/>
  <c r="F172" i="1" s="1"/>
  <c r="F72" i="14" s="1"/>
  <c r="F62" i="27"/>
  <c r="J61" i="27"/>
  <c r="M62" i="27"/>
  <c r="K62" i="27"/>
  <c r="O112" i="27"/>
  <c r="P112" i="27" s="1"/>
  <c r="L61" i="27"/>
  <c r="O59" i="27"/>
  <c r="P59" i="27" s="1"/>
  <c r="N61" i="27"/>
  <c r="S43" i="20"/>
  <c r="R103" i="20"/>
  <c r="H438" i="37"/>
  <c r="F72" i="27"/>
  <c r="W45" i="20"/>
  <c r="S45" i="20"/>
  <c r="S79" i="20"/>
  <c r="R77" i="20"/>
  <c r="Q79" i="20"/>
  <c r="W79" i="20"/>
  <c r="M46" i="20"/>
  <c r="Q46" i="20" s="1"/>
  <c r="J99" i="20"/>
  <c r="M101" i="20"/>
  <c r="Q101" i="20" s="1"/>
  <c r="M80" i="20"/>
  <c r="I438" i="37" l="1"/>
  <c r="G72" i="27"/>
  <c r="W46" i="20"/>
  <c r="Q109" i="20"/>
  <c r="V99" i="20"/>
  <c r="R99" i="20"/>
  <c r="Q80" i="20"/>
  <c r="W80" i="20"/>
  <c r="W101" i="20"/>
  <c r="J438" i="37" l="1"/>
  <c r="H72" i="27"/>
  <c r="K438" i="37" l="1"/>
  <c r="I72" i="27"/>
  <c r="L438" i="37" l="1"/>
  <c r="J72" i="27"/>
  <c r="M438" i="37" l="1"/>
  <c r="K72" i="27"/>
  <c r="AL1" i="9"/>
  <c r="AL101" i="9" s="1"/>
  <c r="AK1" i="9"/>
  <c r="BN101" i="9" l="1"/>
  <c r="BT101" i="9" s="1"/>
  <c r="AR101" i="9"/>
  <c r="AK89" i="9"/>
  <c r="AK154" i="9"/>
  <c r="AK90" i="9"/>
  <c r="AL32" i="9"/>
  <c r="AL154" i="9"/>
  <c r="AK34" i="9"/>
  <c r="AK33" i="9"/>
  <c r="AK61" i="9"/>
  <c r="AK60" i="9"/>
  <c r="AK56" i="9"/>
  <c r="AK79" i="9"/>
  <c r="AL79" i="9"/>
  <c r="AL93" i="9"/>
  <c r="AL59" i="9"/>
  <c r="AL35" i="9"/>
  <c r="AL26" i="9"/>
  <c r="N438" i="37"/>
  <c r="L72" i="27"/>
  <c r="AL145" i="9"/>
  <c r="AL144" i="9"/>
  <c r="AL36" i="9" l="1"/>
  <c r="AL90" i="9"/>
  <c r="AL33" i="9"/>
  <c r="AL60" i="9"/>
  <c r="O438" i="37"/>
  <c r="N72" i="27" s="1"/>
  <c r="M72" i="27"/>
  <c r="O72" i="27" l="1"/>
  <c r="P72" i="27" l="1"/>
  <c r="BF2" i="9"/>
  <c r="BG56" i="9" l="1"/>
  <c r="BG60" i="9"/>
  <c r="BG61" i="9"/>
  <c r="BH154" i="9"/>
  <c r="BG89" i="9"/>
  <c r="BG154" i="9"/>
  <c r="BG34" i="9"/>
  <c r="BG33" i="9"/>
  <c r="BG79" i="9"/>
  <c r="G79" i="10"/>
  <c r="G57" i="10" l="1"/>
  <c r="G58" i="10"/>
  <c r="G59" i="10"/>
  <c r="G60" i="10"/>
  <c r="G61" i="10"/>
  <c r="G62" i="10"/>
  <c r="G63" i="10"/>
  <c r="G64" i="10"/>
  <c r="G65" i="10"/>
  <c r="G66" i="10"/>
  <c r="G67" i="10"/>
  <c r="G68" i="10"/>
  <c r="G69" i="10"/>
  <c r="G70" i="10"/>
  <c r="G71" i="10"/>
  <c r="G72" i="10"/>
  <c r="G73" i="10"/>
  <c r="G74" i="10"/>
  <c r="G75" i="10"/>
  <c r="G76" i="10"/>
  <c r="G77" i="10"/>
  <c r="G78" i="10"/>
  <c r="G80" i="10"/>
  <c r="G81" i="10"/>
  <c r="G82" i="10"/>
  <c r="G83" i="10"/>
  <c r="G84" i="10"/>
  <c r="G85" i="10"/>
  <c r="G86" i="10"/>
  <c r="G87" i="10"/>
  <c r="G88" i="10"/>
  <c r="G89" i="10"/>
  <c r="G90" i="10"/>
  <c r="G91" i="10"/>
  <c r="G92" i="10"/>
  <c r="G93" i="10"/>
  <c r="G94" i="10"/>
  <c r="G95" i="10"/>
  <c r="G96" i="10"/>
  <c r="G97" i="10"/>
  <c r="G56" i="10"/>
  <c r="G42" i="10"/>
  <c r="G43" i="10"/>
  <c r="G44" i="10"/>
  <c r="G45" i="10"/>
  <c r="G46" i="10"/>
  <c r="G47" i="10"/>
  <c r="G48" i="10"/>
  <c r="G49" i="10"/>
  <c r="G50" i="10"/>
  <c r="G51" i="10"/>
  <c r="G52" i="10"/>
  <c r="G53" i="10"/>
  <c r="G41" i="10"/>
  <c r="G40" i="10"/>
  <c r="G27" i="10" l="1"/>
  <c r="G24" i="10"/>
  <c r="G21" i="10"/>
  <c r="BE81" i="9" l="1"/>
  <c r="BI81" i="9" s="1"/>
  <c r="G104" i="9"/>
  <c r="G109" i="9" l="1"/>
  <c r="G110" i="9"/>
  <c r="G111" i="9"/>
  <c r="G112" i="9"/>
  <c r="G113" i="9"/>
  <c r="G114" i="9"/>
  <c r="G115" i="9"/>
  <c r="G116" i="9"/>
  <c r="G117" i="9"/>
  <c r="G118" i="9"/>
  <c r="G119" i="9"/>
  <c r="G120" i="9"/>
  <c r="G121" i="9"/>
  <c r="G122" i="9"/>
  <c r="G123" i="9"/>
  <c r="G124" i="9"/>
  <c r="G125" i="9"/>
  <c r="G126" i="9"/>
  <c r="G127" i="9"/>
  <c r="G128" i="9"/>
  <c r="G129" i="9"/>
  <c r="G130" i="9"/>
  <c r="D151" i="6" l="1"/>
  <c r="E151" i="6"/>
  <c r="F151" i="6"/>
  <c r="G151" i="6"/>
  <c r="H151" i="6"/>
  <c r="I151" i="6"/>
  <c r="J89" i="6"/>
  <c r="J151" i="6" s="1"/>
  <c r="K89" i="6"/>
  <c r="K151" i="6" s="1"/>
  <c r="L89" i="6"/>
  <c r="L151" i="6" s="1"/>
  <c r="M89" i="6"/>
  <c r="M151" i="6" s="1"/>
  <c r="N89" i="6"/>
  <c r="N151" i="6" s="1"/>
  <c r="O89" i="6"/>
  <c r="O151" i="6" s="1"/>
  <c r="D152" i="6"/>
  <c r="E152" i="6"/>
  <c r="F152" i="6"/>
  <c r="G152" i="6"/>
  <c r="H152" i="6"/>
  <c r="I152" i="6"/>
  <c r="J90" i="6"/>
  <c r="J152" i="6" s="1"/>
  <c r="K90" i="6"/>
  <c r="K152" i="6" s="1"/>
  <c r="L90" i="6"/>
  <c r="L152" i="6" s="1"/>
  <c r="M90" i="6"/>
  <c r="M152" i="6" s="1"/>
  <c r="N90" i="6"/>
  <c r="N152" i="6" s="1"/>
  <c r="O90" i="6"/>
  <c r="O152" i="6" s="1"/>
  <c r="Q64" i="6"/>
  <c r="Q65" i="6"/>
  <c r="P64" i="6"/>
  <c r="P65" i="6"/>
  <c r="E66" i="6"/>
  <c r="F66" i="6"/>
  <c r="G66" i="6"/>
  <c r="H66" i="6"/>
  <c r="I66" i="6"/>
  <c r="J66" i="6"/>
  <c r="K66" i="6"/>
  <c r="L66" i="6"/>
  <c r="M66" i="6"/>
  <c r="N66" i="6"/>
  <c r="O66" i="6"/>
  <c r="D66" i="6"/>
  <c r="E25" i="6"/>
  <c r="E30" i="6" s="1"/>
  <c r="F25" i="6"/>
  <c r="F30" i="6" s="1"/>
  <c r="G25" i="6"/>
  <c r="H25" i="6"/>
  <c r="H30" i="6" s="1"/>
  <c r="I25" i="6"/>
  <c r="I30" i="6" s="1"/>
  <c r="J25" i="6"/>
  <c r="J30" i="6" s="1"/>
  <c r="K25" i="6"/>
  <c r="K30" i="6" s="1"/>
  <c r="L25" i="6"/>
  <c r="L30" i="6" s="1"/>
  <c r="M25" i="6"/>
  <c r="M30" i="6" s="1"/>
  <c r="N25" i="6"/>
  <c r="N30" i="6" s="1"/>
  <c r="O25" i="6"/>
  <c r="O30" i="6" s="1"/>
  <c r="D25" i="6"/>
  <c r="D30" i="6" s="1"/>
  <c r="Q24" i="6"/>
  <c r="P24" i="6"/>
  <c r="Q23" i="6"/>
  <c r="P23" i="6"/>
  <c r="G30" i="6" l="1"/>
  <c r="G34" i="6" s="1"/>
  <c r="G35" i="6" s="1"/>
  <c r="D34" i="6"/>
  <c r="D35" i="6" s="1"/>
  <c r="Q178" i="6"/>
  <c r="Q179" i="6"/>
  <c r="P89" i="6"/>
  <c r="P90" i="6"/>
  <c r="R24" i="6"/>
  <c r="S24" i="6" s="1"/>
  <c r="R23" i="6"/>
  <c r="S23" i="6" s="1"/>
  <c r="D153" i="27"/>
  <c r="E153" i="27"/>
  <c r="F153" i="27"/>
  <c r="G153" i="27"/>
  <c r="H153" i="27"/>
  <c r="I153" i="27"/>
  <c r="J153" i="27"/>
  <c r="K153" i="27"/>
  <c r="L153" i="27"/>
  <c r="M153" i="27"/>
  <c r="N153" i="27"/>
  <c r="C153" i="27"/>
  <c r="D49" i="27"/>
  <c r="E49" i="27"/>
  <c r="F49" i="27"/>
  <c r="G49" i="27"/>
  <c r="H49" i="27"/>
  <c r="I49" i="27"/>
  <c r="J49" i="27"/>
  <c r="K49" i="27"/>
  <c r="L49" i="27"/>
  <c r="M49" i="27"/>
  <c r="N49" i="27"/>
  <c r="D102" i="27"/>
  <c r="E102" i="27"/>
  <c r="F102" i="27"/>
  <c r="G102" i="27"/>
  <c r="H102" i="27"/>
  <c r="I102" i="27"/>
  <c r="J102" i="27"/>
  <c r="K102" i="27"/>
  <c r="L102" i="27"/>
  <c r="M102" i="27"/>
  <c r="N102" i="27"/>
  <c r="C102" i="27"/>
  <c r="E487" i="37"/>
  <c r="F487" i="37" s="1"/>
  <c r="G487" i="37" s="1"/>
  <c r="H487" i="37" s="1"/>
  <c r="I487" i="37" s="1"/>
  <c r="J487" i="37" s="1"/>
  <c r="K487" i="37" s="1"/>
  <c r="L487" i="37" s="1"/>
  <c r="M487" i="37" s="1"/>
  <c r="N487" i="37" s="1"/>
  <c r="O487" i="37" s="1"/>
  <c r="P486" i="37"/>
  <c r="E484" i="37"/>
  <c r="F484" i="37" s="1"/>
  <c r="G484" i="37" s="1"/>
  <c r="H484" i="37" s="1"/>
  <c r="I484" i="37" s="1"/>
  <c r="J484" i="37" s="1"/>
  <c r="K484" i="37" s="1"/>
  <c r="L484" i="37" s="1"/>
  <c r="M484" i="37" s="1"/>
  <c r="N484" i="37" s="1"/>
  <c r="O484" i="37" s="1"/>
  <c r="P483" i="37"/>
  <c r="E481" i="37"/>
  <c r="F481" i="37" s="1"/>
  <c r="G481" i="37" s="1"/>
  <c r="H481" i="37" s="1"/>
  <c r="I481" i="37" s="1"/>
  <c r="J481" i="37" s="1"/>
  <c r="K481" i="37" s="1"/>
  <c r="L481" i="37" s="1"/>
  <c r="M481" i="37" s="1"/>
  <c r="N481" i="37" s="1"/>
  <c r="O481" i="37" s="1"/>
  <c r="P480" i="37"/>
  <c r="E469" i="37"/>
  <c r="D123" i="6" s="1"/>
  <c r="E468" i="37"/>
  <c r="D121" i="6" s="1"/>
  <c r="D111" i="6" s="1"/>
  <c r="E467" i="37"/>
  <c r="F467" i="37" s="1"/>
  <c r="G467" i="37" s="1"/>
  <c r="H467" i="37" s="1"/>
  <c r="I467" i="37" s="1"/>
  <c r="J467" i="37" s="1"/>
  <c r="K467" i="37" s="1"/>
  <c r="L467" i="37" s="1"/>
  <c r="M467" i="37" s="1"/>
  <c r="N467" i="37" s="1"/>
  <c r="O467" i="37" s="1"/>
  <c r="E466" i="37"/>
  <c r="F466" i="37" s="1"/>
  <c r="G466" i="37" s="1"/>
  <c r="H466" i="37" s="1"/>
  <c r="I466" i="37" s="1"/>
  <c r="J466" i="37" s="1"/>
  <c r="K466" i="37" s="1"/>
  <c r="L466" i="37" s="1"/>
  <c r="M466" i="37" s="1"/>
  <c r="N466" i="37" s="1"/>
  <c r="O466" i="37" s="1"/>
  <c r="P465" i="37"/>
  <c r="P464" i="37"/>
  <c r="P463" i="37"/>
  <c r="P462" i="37"/>
  <c r="E453" i="37"/>
  <c r="F453" i="37" s="1"/>
  <c r="G453" i="37" s="1"/>
  <c r="H453" i="37" s="1"/>
  <c r="I453" i="37" s="1"/>
  <c r="J453" i="37" s="1"/>
  <c r="K453" i="37" s="1"/>
  <c r="L453" i="37" s="1"/>
  <c r="M453" i="37" s="1"/>
  <c r="N453" i="37" s="1"/>
  <c r="O453" i="37" s="1"/>
  <c r="E452" i="37"/>
  <c r="F452" i="37" s="1"/>
  <c r="G452" i="37" s="1"/>
  <c r="H452" i="37" s="1"/>
  <c r="I452" i="37" s="1"/>
  <c r="J452" i="37" s="1"/>
  <c r="K452" i="37" s="1"/>
  <c r="L452" i="37" s="1"/>
  <c r="M452" i="37" s="1"/>
  <c r="N452" i="37" s="1"/>
  <c r="O452" i="37" s="1"/>
  <c r="E451" i="37"/>
  <c r="F451" i="37" s="1"/>
  <c r="G451" i="37" s="1"/>
  <c r="H451" i="37" s="1"/>
  <c r="J451" i="37" s="1"/>
  <c r="K451" i="37" s="1"/>
  <c r="L451" i="37" s="1"/>
  <c r="M451" i="37" s="1"/>
  <c r="N451" i="37" s="1"/>
  <c r="O451" i="37" s="1"/>
  <c r="P450" i="37"/>
  <c r="P449" i="37"/>
  <c r="P448" i="37"/>
  <c r="E446" i="37"/>
  <c r="F446" i="37" s="1"/>
  <c r="G446" i="37" s="1"/>
  <c r="H446" i="37" s="1"/>
  <c r="I446" i="37" s="1"/>
  <c r="J446" i="37" s="1"/>
  <c r="K446" i="37" s="1"/>
  <c r="L446" i="37" s="1"/>
  <c r="M446" i="37" s="1"/>
  <c r="N446" i="37" s="1"/>
  <c r="O446" i="37" s="1"/>
  <c r="E445" i="37"/>
  <c r="F445" i="37" s="1"/>
  <c r="G445" i="37" s="1"/>
  <c r="H445" i="37" s="1"/>
  <c r="I445" i="37" s="1"/>
  <c r="J445" i="37" s="1"/>
  <c r="K445" i="37" s="1"/>
  <c r="L445" i="37" s="1"/>
  <c r="M445" i="37" s="1"/>
  <c r="N445" i="37" s="1"/>
  <c r="O445" i="37" s="1"/>
  <c r="E444" i="37"/>
  <c r="F444" i="37" s="1"/>
  <c r="G444" i="37" s="1"/>
  <c r="H444" i="37" s="1"/>
  <c r="J444" i="37" s="1"/>
  <c r="K444" i="37" s="1"/>
  <c r="L444" i="37" s="1"/>
  <c r="M444" i="37" s="1"/>
  <c r="N444" i="37" s="1"/>
  <c r="O444" i="37" s="1"/>
  <c r="P442" i="37"/>
  <c r="P441" i="37"/>
  <c r="E434" i="37"/>
  <c r="F434" i="37" s="1"/>
  <c r="G434" i="37" s="1"/>
  <c r="H434" i="37" s="1"/>
  <c r="I434" i="37" s="1"/>
  <c r="J434" i="37" s="1"/>
  <c r="K434" i="37" s="1"/>
  <c r="L434" i="37" s="1"/>
  <c r="M434" i="37" s="1"/>
  <c r="N434" i="37" s="1"/>
  <c r="O434" i="37" s="1"/>
  <c r="E433" i="37"/>
  <c r="F433" i="37" s="1"/>
  <c r="G433" i="37" s="1"/>
  <c r="H433" i="37" s="1"/>
  <c r="J433" i="37" s="1"/>
  <c r="K433" i="37" s="1"/>
  <c r="L433" i="37" s="1"/>
  <c r="M433" i="37" s="1"/>
  <c r="N433" i="37" s="1"/>
  <c r="O433" i="37" s="1"/>
  <c r="P432" i="37"/>
  <c r="P431" i="37"/>
  <c r="E429" i="37"/>
  <c r="F429" i="37" s="1"/>
  <c r="G429" i="37" s="1"/>
  <c r="H429" i="37" s="1"/>
  <c r="I429" i="37" s="1"/>
  <c r="J429" i="37" s="1"/>
  <c r="K429" i="37" s="1"/>
  <c r="L429" i="37" s="1"/>
  <c r="M429" i="37" s="1"/>
  <c r="N429" i="37" s="1"/>
  <c r="O429" i="37" s="1"/>
  <c r="E428" i="37"/>
  <c r="F428" i="37" s="1"/>
  <c r="G428" i="37" s="1"/>
  <c r="H428" i="37" s="1"/>
  <c r="J428" i="37" s="1"/>
  <c r="K428" i="37" s="1"/>
  <c r="L428" i="37" s="1"/>
  <c r="M428" i="37" s="1"/>
  <c r="N428" i="37" s="1"/>
  <c r="O428" i="37" s="1"/>
  <c r="P427" i="37"/>
  <c r="D116" i="6" l="1"/>
  <c r="D127" i="6"/>
  <c r="D129" i="6" s="1"/>
  <c r="D117" i="6"/>
  <c r="D112" i="6"/>
  <c r="P30" i="6"/>
  <c r="F468" i="37"/>
  <c r="E121" i="6" s="1"/>
  <c r="E127" i="6" s="1"/>
  <c r="G120" i="1"/>
  <c r="F469" i="37"/>
  <c r="E123" i="6" s="1"/>
  <c r="E117" i="6" s="1"/>
  <c r="E112" i="6" l="1"/>
  <c r="E116" i="6"/>
  <c r="E111" i="6"/>
  <c r="E129" i="6"/>
  <c r="G468" i="37"/>
  <c r="F121" i="6" s="1"/>
  <c r="F127" i="6" s="1"/>
  <c r="P400" i="37"/>
  <c r="G134" i="1" s="1"/>
  <c r="G469" i="37"/>
  <c r="F123" i="6" s="1"/>
  <c r="F117" i="6" s="1"/>
  <c r="E73" i="27"/>
  <c r="P398" i="37"/>
  <c r="D73" i="27"/>
  <c r="P402" i="37"/>
  <c r="I405" i="37"/>
  <c r="I406" i="37" s="1"/>
  <c r="G405" i="37"/>
  <c r="G406" i="37" s="1"/>
  <c r="O405" i="37"/>
  <c r="O406" i="37" s="1"/>
  <c r="J405" i="37"/>
  <c r="J406" i="37" s="1"/>
  <c r="P404" i="37"/>
  <c r="H405" i="37"/>
  <c r="H406" i="37" s="1"/>
  <c r="K405" i="37"/>
  <c r="K406" i="37" s="1"/>
  <c r="N405" i="37"/>
  <c r="N406" i="37" s="1"/>
  <c r="F405" i="37"/>
  <c r="F406" i="37" s="1"/>
  <c r="M405" i="37"/>
  <c r="M406" i="37" s="1"/>
  <c r="L405" i="37"/>
  <c r="L406" i="37" s="1"/>
  <c r="P306" i="37"/>
  <c r="P307" i="37"/>
  <c r="P308" i="37"/>
  <c r="P309" i="37"/>
  <c r="P310" i="37"/>
  <c r="P311" i="37"/>
  <c r="P312" i="37"/>
  <c r="P304" i="37"/>
  <c r="P313" i="37" s="1"/>
  <c r="P305" i="37"/>
  <c r="E313" i="37"/>
  <c r="F313" i="37"/>
  <c r="G313" i="37"/>
  <c r="H313" i="37"/>
  <c r="I313" i="37"/>
  <c r="J313" i="37"/>
  <c r="K313" i="37"/>
  <c r="L313" i="37"/>
  <c r="M313" i="37"/>
  <c r="N313" i="37"/>
  <c r="O313" i="37"/>
  <c r="D313" i="37"/>
  <c r="P295" i="37"/>
  <c r="P297" i="37"/>
  <c r="P298" i="37"/>
  <c r="P299" i="37"/>
  <c r="P300" i="37"/>
  <c r="P301" i="37"/>
  <c r="P302" i="37"/>
  <c r="P296" i="37"/>
  <c r="E303" i="37"/>
  <c r="F303" i="37"/>
  <c r="G303" i="37"/>
  <c r="H303" i="37"/>
  <c r="I303" i="37"/>
  <c r="J303" i="37"/>
  <c r="K303" i="37"/>
  <c r="L303" i="37"/>
  <c r="M303" i="37"/>
  <c r="N303" i="37"/>
  <c r="O303" i="37"/>
  <c r="D303" i="37"/>
  <c r="P286" i="37"/>
  <c r="P288" i="37"/>
  <c r="P289" i="37"/>
  <c r="P290" i="37"/>
  <c r="P291" i="37"/>
  <c r="P292" i="37"/>
  <c r="P293" i="37"/>
  <c r="P287" i="37"/>
  <c r="E294" i="37"/>
  <c r="F294" i="37"/>
  <c r="G294" i="37"/>
  <c r="H294" i="37"/>
  <c r="I294" i="37"/>
  <c r="J294" i="37"/>
  <c r="K294" i="37"/>
  <c r="L294" i="37"/>
  <c r="M294" i="37"/>
  <c r="N294" i="37"/>
  <c r="O294" i="37"/>
  <c r="D294" i="37"/>
  <c r="P279" i="37"/>
  <c r="P280" i="37"/>
  <c r="P281" i="37"/>
  <c r="P282" i="37"/>
  <c r="P283" i="37"/>
  <c r="P284" i="37"/>
  <c r="P277" i="37"/>
  <c r="P278" i="37"/>
  <c r="E285" i="37"/>
  <c r="F285" i="37"/>
  <c r="G285" i="37"/>
  <c r="H285" i="37"/>
  <c r="I285" i="37"/>
  <c r="J285" i="37"/>
  <c r="K285" i="37"/>
  <c r="L285" i="37"/>
  <c r="M285" i="37"/>
  <c r="N285" i="37"/>
  <c r="O285" i="37"/>
  <c r="D285" i="37"/>
  <c r="P268" i="37"/>
  <c r="P270" i="37"/>
  <c r="P271" i="37"/>
  <c r="P272" i="37"/>
  <c r="P273" i="37"/>
  <c r="P274" i="37"/>
  <c r="P275" i="37"/>
  <c r="P269" i="37"/>
  <c r="E276" i="37"/>
  <c r="F276" i="37"/>
  <c r="G276" i="37"/>
  <c r="H276" i="37"/>
  <c r="I276" i="37"/>
  <c r="J276" i="37"/>
  <c r="K276" i="37"/>
  <c r="L276" i="37"/>
  <c r="M276" i="37"/>
  <c r="N276" i="37"/>
  <c r="O276" i="37"/>
  <c r="D276" i="37"/>
  <c r="P260" i="37"/>
  <c r="P261" i="37"/>
  <c r="P262" i="37"/>
  <c r="P263" i="37"/>
  <c r="P264" i="37"/>
  <c r="P265" i="37"/>
  <c r="P266" i="37"/>
  <c r="P259" i="37"/>
  <c r="E267" i="37"/>
  <c r="F267" i="37"/>
  <c r="G267" i="37"/>
  <c r="H267" i="37"/>
  <c r="I267" i="37"/>
  <c r="J267" i="37"/>
  <c r="K267" i="37"/>
  <c r="L267" i="37"/>
  <c r="M267" i="37"/>
  <c r="N267" i="37"/>
  <c r="O267" i="37"/>
  <c r="D267" i="37"/>
  <c r="E258" i="37"/>
  <c r="F258" i="37"/>
  <c r="G258" i="37"/>
  <c r="H258" i="37"/>
  <c r="I258" i="37"/>
  <c r="J258" i="37"/>
  <c r="K258" i="37"/>
  <c r="L258" i="37"/>
  <c r="M258" i="37"/>
  <c r="N258" i="37"/>
  <c r="O258" i="37"/>
  <c r="D258" i="37"/>
  <c r="P252" i="37"/>
  <c r="P253" i="37"/>
  <c r="P254" i="37"/>
  <c r="P255" i="37"/>
  <c r="P256" i="37"/>
  <c r="P257" i="37"/>
  <c r="P250" i="37"/>
  <c r="P251" i="37"/>
  <c r="P237" i="37"/>
  <c r="E249" i="37"/>
  <c r="F249" i="37"/>
  <c r="G249" i="37"/>
  <c r="H249" i="37"/>
  <c r="I249" i="37"/>
  <c r="J249" i="37"/>
  <c r="K249" i="37"/>
  <c r="L249" i="37"/>
  <c r="M249" i="37"/>
  <c r="N249" i="37"/>
  <c r="O249" i="37"/>
  <c r="D249" i="37"/>
  <c r="P236" i="37"/>
  <c r="P238" i="37"/>
  <c r="P239" i="37"/>
  <c r="P240" i="37"/>
  <c r="P241" i="37"/>
  <c r="P242" i="37"/>
  <c r="P243" i="37"/>
  <c r="P244" i="37"/>
  <c r="P245" i="37"/>
  <c r="P246" i="37"/>
  <c r="P247" i="37"/>
  <c r="P248" i="37"/>
  <c r="E235" i="37"/>
  <c r="F235" i="37"/>
  <c r="G235" i="37"/>
  <c r="H235" i="37"/>
  <c r="I235" i="37"/>
  <c r="J235" i="37"/>
  <c r="K235" i="37"/>
  <c r="L235" i="37"/>
  <c r="M235" i="37"/>
  <c r="N235" i="37"/>
  <c r="O235" i="37"/>
  <c r="D235" i="37"/>
  <c r="P222" i="37"/>
  <c r="P223" i="37"/>
  <c r="P225" i="37"/>
  <c r="P226" i="37"/>
  <c r="P227" i="37"/>
  <c r="P228" i="37"/>
  <c r="P229" i="37"/>
  <c r="P230" i="37"/>
  <c r="P231" i="37"/>
  <c r="P232" i="37"/>
  <c r="P233" i="37"/>
  <c r="P234" i="37"/>
  <c r="P224" i="37"/>
  <c r="P213" i="37"/>
  <c r="P214" i="37"/>
  <c r="P215" i="37"/>
  <c r="P216" i="37"/>
  <c r="P217" i="37"/>
  <c r="P218" i="37"/>
  <c r="P219" i="37"/>
  <c r="P220" i="37"/>
  <c r="P210" i="37"/>
  <c r="P211" i="37"/>
  <c r="P212" i="37"/>
  <c r="E221" i="37"/>
  <c r="F221" i="37"/>
  <c r="G221" i="37"/>
  <c r="H221" i="37"/>
  <c r="I221" i="37"/>
  <c r="J221" i="37"/>
  <c r="K221" i="37"/>
  <c r="L221" i="37"/>
  <c r="M221" i="37"/>
  <c r="N221" i="37"/>
  <c r="O221" i="37"/>
  <c r="D221" i="37"/>
  <c r="P180" i="37"/>
  <c r="P181" i="37"/>
  <c r="P183" i="37"/>
  <c r="P184" i="37"/>
  <c r="P185" i="37"/>
  <c r="P186" i="37"/>
  <c r="P187" i="37"/>
  <c r="P188" i="37"/>
  <c r="P189" i="37"/>
  <c r="P190" i="37"/>
  <c r="P191" i="37"/>
  <c r="P192" i="37"/>
  <c r="P193" i="37"/>
  <c r="P182" i="37"/>
  <c r="E194" i="37"/>
  <c r="F194" i="37"/>
  <c r="G194" i="37"/>
  <c r="H194" i="37"/>
  <c r="I194" i="37"/>
  <c r="J194" i="37"/>
  <c r="K194" i="37"/>
  <c r="L194" i="37"/>
  <c r="M194" i="37"/>
  <c r="N194" i="37"/>
  <c r="O194" i="37"/>
  <c r="D194" i="37"/>
  <c r="P153" i="37"/>
  <c r="P152" i="37"/>
  <c r="E164" i="37"/>
  <c r="F164" i="37"/>
  <c r="G164" i="37"/>
  <c r="H164" i="37"/>
  <c r="I164" i="37"/>
  <c r="J164" i="37"/>
  <c r="K164" i="37"/>
  <c r="L164" i="37"/>
  <c r="M164" i="37"/>
  <c r="N164" i="37"/>
  <c r="O164" i="37"/>
  <c r="D164" i="37"/>
  <c r="E119" i="37"/>
  <c r="F119" i="37"/>
  <c r="G119" i="37"/>
  <c r="H119" i="37"/>
  <c r="I119" i="37"/>
  <c r="J119" i="37"/>
  <c r="K119" i="37"/>
  <c r="L119" i="37"/>
  <c r="M119" i="37"/>
  <c r="N119" i="37"/>
  <c r="O119" i="37"/>
  <c r="D119" i="37"/>
  <c r="P105" i="37"/>
  <c r="P106" i="37"/>
  <c r="P107" i="37"/>
  <c r="P109" i="37"/>
  <c r="P110" i="37"/>
  <c r="P111" i="37"/>
  <c r="P112" i="37"/>
  <c r="P113" i="37"/>
  <c r="P114" i="37"/>
  <c r="P115" i="37"/>
  <c r="P116" i="37"/>
  <c r="P117" i="37"/>
  <c r="P118" i="37"/>
  <c r="P108" i="37"/>
  <c r="P135" i="37"/>
  <c r="P136" i="37"/>
  <c r="P137" i="37"/>
  <c r="P139" i="37"/>
  <c r="P140" i="37"/>
  <c r="P141" i="37"/>
  <c r="P142" i="37"/>
  <c r="P143" i="37"/>
  <c r="P144" i="37"/>
  <c r="P145" i="37"/>
  <c r="P146" i="37"/>
  <c r="P147" i="37"/>
  <c r="P148" i="37"/>
  <c r="P138" i="37"/>
  <c r="E149" i="37"/>
  <c r="F149" i="37"/>
  <c r="G149" i="37"/>
  <c r="H149" i="37"/>
  <c r="I149" i="37"/>
  <c r="J149" i="37"/>
  <c r="K149" i="37"/>
  <c r="L149" i="37"/>
  <c r="M149" i="37"/>
  <c r="N149" i="37"/>
  <c r="O149" i="37"/>
  <c r="D149" i="37"/>
  <c r="E104" i="37"/>
  <c r="E334" i="37" s="1"/>
  <c r="F104" i="37"/>
  <c r="F334" i="37" s="1"/>
  <c r="G104" i="37"/>
  <c r="G334" i="37" s="1"/>
  <c r="H104" i="37"/>
  <c r="H334" i="37" s="1"/>
  <c r="I104" i="37"/>
  <c r="I334" i="37" s="1"/>
  <c r="J104" i="37"/>
  <c r="J334" i="37" s="1"/>
  <c r="K104" i="37"/>
  <c r="K334" i="37" s="1"/>
  <c r="L104" i="37"/>
  <c r="L334" i="37" s="1"/>
  <c r="M104" i="37"/>
  <c r="N104" i="37"/>
  <c r="O104" i="37"/>
  <c r="D104" i="37"/>
  <c r="P90" i="37"/>
  <c r="P91" i="37"/>
  <c r="P92" i="37"/>
  <c r="P93" i="37"/>
  <c r="P95" i="37"/>
  <c r="P96" i="37"/>
  <c r="P97" i="37"/>
  <c r="P98" i="37"/>
  <c r="P99" i="37"/>
  <c r="P100" i="37"/>
  <c r="P101" i="37"/>
  <c r="P102" i="37"/>
  <c r="P103" i="37"/>
  <c r="P94" i="37"/>
  <c r="E89" i="37"/>
  <c r="F89" i="37"/>
  <c r="G89" i="37"/>
  <c r="H89" i="37"/>
  <c r="I89" i="37"/>
  <c r="J89" i="37"/>
  <c r="K89" i="37"/>
  <c r="L89" i="37"/>
  <c r="M89" i="37"/>
  <c r="N89" i="37"/>
  <c r="O89" i="37"/>
  <c r="P77" i="37"/>
  <c r="P78" i="37"/>
  <c r="P79" i="37"/>
  <c r="P80" i="37"/>
  <c r="P81" i="37"/>
  <c r="P82" i="37"/>
  <c r="P83" i="37"/>
  <c r="P84" i="37"/>
  <c r="P85" i="37"/>
  <c r="P86" i="37"/>
  <c r="P87" i="37"/>
  <c r="P88" i="37"/>
  <c r="P76" i="37"/>
  <c r="E74" i="37"/>
  <c r="F74" i="37"/>
  <c r="G74" i="37"/>
  <c r="H74" i="37"/>
  <c r="H326" i="37" s="1"/>
  <c r="I74" i="37"/>
  <c r="J74" i="37"/>
  <c r="K74" i="37"/>
  <c r="L74" i="37"/>
  <c r="N74" i="37"/>
  <c r="O74" i="37"/>
  <c r="P62" i="37"/>
  <c r="P63" i="37"/>
  <c r="P64" i="37"/>
  <c r="P65" i="37"/>
  <c r="P66" i="37"/>
  <c r="P67" i="37"/>
  <c r="P68" i="37"/>
  <c r="P69" i="37"/>
  <c r="P70" i="37"/>
  <c r="P71" i="37"/>
  <c r="P72" i="37"/>
  <c r="P61" i="37"/>
  <c r="P221" i="37" l="1"/>
  <c r="D334" i="37"/>
  <c r="O334" i="37"/>
  <c r="N334" i="37"/>
  <c r="M334" i="37"/>
  <c r="F326" i="37"/>
  <c r="P303" i="37"/>
  <c r="E326" i="37"/>
  <c r="E134" i="1"/>
  <c r="P406" i="37"/>
  <c r="P408" i="37" s="1"/>
  <c r="P164" i="37"/>
  <c r="G326" i="37"/>
  <c r="P104" i="37"/>
  <c r="P285" i="37"/>
  <c r="D326" i="37"/>
  <c r="P194" i="37"/>
  <c r="M326" i="37"/>
  <c r="N326" i="37"/>
  <c r="L326" i="37"/>
  <c r="P258" i="37"/>
  <c r="O326" i="37"/>
  <c r="K326" i="37"/>
  <c r="P119" i="37"/>
  <c r="F112" i="6"/>
  <c r="J326" i="37"/>
  <c r="P294" i="37"/>
  <c r="I326" i="37"/>
  <c r="P149" i="37"/>
  <c r="C31" i="27"/>
  <c r="H468" i="37"/>
  <c r="G121" i="6" s="1"/>
  <c r="F116" i="6"/>
  <c r="F129" i="6"/>
  <c r="F111" i="6"/>
  <c r="H469" i="37"/>
  <c r="G123" i="6" s="1"/>
  <c r="G112" i="6" s="1"/>
  <c r="P89" i="37"/>
  <c r="P235" i="37"/>
  <c r="P249" i="37"/>
  <c r="P74" i="37"/>
  <c r="P276" i="37"/>
  <c r="P267" i="37"/>
  <c r="P326" i="37" l="1"/>
  <c r="G117" i="6"/>
  <c r="G127" i="6"/>
  <c r="G129" i="6" s="1"/>
  <c r="G118" i="6"/>
  <c r="G111" i="6"/>
  <c r="G113" i="6" s="1"/>
  <c r="I468" i="37"/>
  <c r="H121" i="6" s="1"/>
  <c r="F73" i="27"/>
  <c r="I469" i="37"/>
  <c r="H123" i="6" s="1"/>
  <c r="H112" i="6" s="1"/>
  <c r="G73" i="27"/>
  <c r="H127" i="6" l="1"/>
  <c r="H129" i="6" s="1"/>
  <c r="H117" i="6"/>
  <c r="H116" i="6"/>
  <c r="H118" i="6" s="1"/>
  <c r="H111" i="6"/>
  <c r="H113" i="6" s="1"/>
  <c r="J468" i="37"/>
  <c r="I121" i="6" s="1"/>
  <c r="J469" i="37"/>
  <c r="I123" i="6" s="1"/>
  <c r="I112" i="6" s="1"/>
  <c r="H73" i="27"/>
  <c r="C100" i="6"/>
  <c r="I127" i="6" l="1"/>
  <c r="I129" i="6" s="1"/>
  <c r="I117" i="6"/>
  <c r="I116" i="6"/>
  <c r="I118" i="6" s="1"/>
  <c r="I111" i="6"/>
  <c r="I113" i="6" s="1"/>
  <c r="K468" i="37"/>
  <c r="J121" i="6" s="1"/>
  <c r="K469" i="37"/>
  <c r="J123" i="6" s="1"/>
  <c r="J112" i="6" s="1"/>
  <c r="J127" i="6" l="1"/>
  <c r="J129" i="6" s="1"/>
  <c r="J117" i="6"/>
  <c r="L468" i="37"/>
  <c r="K121" i="6" s="1"/>
  <c r="J111" i="6"/>
  <c r="J113" i="6" s="1"/>
  <c r="J116" i="6"/>
  <c r="J118" i="6" s="1"/>
  <c r="I73" i="27"/>
  <c r="L469" i="37"/>
  <c r="K123" i="6" s="1"/>
  <c r="K112" i="6" s="1"/>
  <c r="J73" i="27"/>
  <c r="J93" i="20"/>
  <c r="K127" i="6" l="1"/>
  <c r="K129" i="6" s="1"/>
  <c r="K117" i="6"/>
  <c r="M468" i="37"/>
  <c r="L121" i="6" s="1"/>
  <c r="K116" i="6"/>
  <c r="K118" i="6" s="1"/>
  <c r="K111" i="6"/>
  <c r="K113" i="6" s="1"/>
  <c r="M469" i="37"/>
  <c r="L123" i="6" s="1"/>
  <c r="T128" i="6" s="1"/>
  <c r="I70" i="14"/>
  <c r="L127" i="6" l="1"/>
  <c r="L129" i="6" s="1"/>
  <c r="L117" i="6"/>
  <c r="L112" i="6"/>
  <c r="T127" i="6"/>
  <c r="T129" i="6" s="1"/>
  <c r="L116" i="6"/>
  <c r="L118" i="6" s="1"/>
  <c r="L111" i="6"/>
  <c r="L113" i="6" s="1"/>
  <c r="N468" i="37"/>
  <c r="M121" i="6" s="1"/>
  <c r="N469" i="37"/>
  <c r="M123" i="6" s="1"/>
  <c r="M112" i="6" s="1"/>
  <c r="L73" i="27"/>
  <c r="K73" i="27"/>
  <c r="P106" i="6"/>
  <c r="P105" i="6"/>
  <c r="M127" i="6" l="1"/>
  <c r="M117" i="6"/>
  <c r="O468" i="37"/>
  <c r="N121" i="6" s="1"/>
  <c r="M116" i="6"/>
  <c r="M118" i="6" s="1"/>
  <c r="M129" i="6"/>
  <c r="M111" i="6"/>
  <c r="M113" i="6" s="1"/>
  <c r="O469" i="37"/>
  <c r="N123" i="6" s="1"/>
  <c r="N117" i="6" s="1"/>
  <c r="M73" i="27"/>
  <c r="K32" i="18"/>
  <c r="K30" i="18"/>
  <c r="K22" i="18"/>
  <c r="K18" i="18"/>
  <c r="K26" i="18"/>
  <c r="N127" i="6" l="1"/>
  <c r="N129" i="6" s="1"/>
  <c r="N112" i="6"/>
  <c r="N116" i="6"/>
  <c r="N118" i="6" s="1"/>
  <c r="N111" i="6"/>
  <c r="N113" i="6" s="1"/>
  <c r="O116" i="6"/>
  <c r="O111" i="6"/>
  <c r="O117" i="6"/>
  <c r="P117" i="6" s="1"/>
  <c r="O112" i="6"/>
  <c r="P112" i="6" s="1"/>
  <c r="N73" i="27"/>
  <c r="O118" i="6" l="1"/>
  <c r="P116" i="6"/>
  <c r="O113" i="6"/>
  <c r="P111" i="6"/>
  <c r="O73" i="27"/>
  <c r="P405" i="37" l="1"/>
  <c r="F52" i="18" l="1"/>
  <c r="I52" i="18" s="1"/>
  <c r="F51" i="18"/>
  <c r="I51" i="18" s="1"/>
  <c r="F50" i="18"/>
  <c r="I50" i="18" s="1"/>
  <c r="F49" i="18"/>
  <c r="I49" i="18" s="1"/>
  <c r="F77" i="18" l="1"/>
  <c r="G132" i="9" l="1"/>
  <c r="G131" i="9"/>
  <c r="AX145" i="9"/>
  <c r="BE14" i="9" l="1"/>
  <c r="BE21" i="9"/>
  <c r="BE24" i="9"/>
  <c r="BE5" i="9"/>
  <c r="BE16" i="9"/>
  <c r="BE17" i="9"/>
  <c r="BE23" i="9"/>
  <c r="BE8" i="9"/>
  <c r="BE15" i="9"/>
  <c r="BE25" i="9"/>
  <c r="BE4" i="9"/>
  <c r="BE7" i="9"/>
  <c r="BE11" i="9"/>
  <c r="BE19" i="9"/>
  <c r="BE13" i="9"/>
  <c r="BE9" i="9"/>
  <c r="BE10" i="9"/>
  <c r="BE20" i="9"/>
  <c r="BE22" i="9"/>
  <c r="BE6" i="9"/>
  <c r="BJ6" i="9" s="1"/>
  <c r="BE12" i="9"/>
  <c r="BE18" i="9"/>
  <c r="BE129" i="9"/>
  <c r="BE148" i="9"/>
  <c r="BE97" i="9"/>
  <c r="BE151" i="9"/>
  <c r="BE147" i="9"/>
  <c r="I34" i="18"/>
  <c r="AQ102" i="9" l="1"/>
  <c r="AQ103" i="9"/>
  <c r="G77" i="9"/>
  <c r="G76" i="9"/>
  <c r="G73" i="9"/>
  <c r="G72" i="9"/>
  <c r="G70" i="9"/>
  <c r="T128" i="9"/>
  <c r="AL92" i="9"/>
  <c r="G39" i="10" l="1"/>
  <c r="G38" i="10"/>
  <c r="G37" i="10"/>
  <c r="G36" i="10"/>
  <c r="G34" i="10"/>
  <c r="G32" i="10"/>
  <c r="G31" i="10"/>
  <c r="G30" i="10"/>
  <c r="G29" i="10"/>
  <c r="G28" i="10"/>
  <c r="G25" i="10"/>
  <c r="G23" i="10"/>
  <c r="G22" i="10"/>
  <c r="N17" i="7" l="1"/>
  <c r="N16" i="7"/>
  <c r="N15" i="7"/>
  <c r="N14" i="7"/>
  <c r="N13" i="7"/>
  <c r="N12" i="7"/>
  <c r="N11" i="7"/>
  <c r="P152" i="6" l="1"/>
  <c r="P151" i="6"/>
  <c r="D134" i="27" l="1"/>
  <c r="E134" i="27"/>
  <c r="F134" i="27"/>
  <c r="G134" i="27"/>
  <c r="H134" i="27"/>
  <c r="I134" i="27"/>
  <c r="J134" i="27"/>
  <c r="K134" i="27"/>
  <c r="L134" i="27"/>
  <c r="M134" i="27"/>
  <c r="N134" i="27"/>
  <c r="D135" i="27"/>
  <c r="E135" i="27"/>
  <c r="F135" i="27"/>
  <c r="G135" i="27"/>
  <c r="H135" i="27"/>
  <c r="I135" i="27"/>
  <c r="J135" i="27"/>
  <c r="K135" i="27"/>
  <c r="L135" i="27"/>
  <c r="M135" i="27"/>
  <c r="N135" i="27"/>
  <c r="D136" i="27"/>
  <c r="E136" i="27"/>
  <c r="F136" i="27"/>
  <c r="G136" i="27"/>
  <c r="H136" i="27"/>
  <c r="I136" i="27"/>
  <c r="J136" i="27"/>
  <c r="K136" i="27"/>
  <c r="L136" i="27"/>
  <c r="M136" i="27"/>
  <c r="N136" i="27"/>
  <c r="C136" i="27"/>
  <c r="C135" i="27"/>
  <c r="C134" i="27"/>
  <c r="D81" i="27"/>
  <c r="E81" i="27"/>
  <c r="F81" i="27"/>
  <c r="G81" i="27"/>
  <c r="H81" i="27"/>
  <c r="I81" i="27"/>
  <c r="J81" i="27"/>
  <c r="K81" i="27"/>
  <c r="L81" i="27"/>
  <c r="M81" i="27"/>
  <c r="N81" i="27"/>
  <c r="D82" i="27"/>
  <c r="E82" i="27"/>
  <c r="F82" i="27"/>
  <c r="G82" i="27"/>
  <c r="H82" i="27"/>
  <c r="I82" i="27"/>
  <c r="J82" i="27"/>
  <c r="K82" i="27"/>
  <c r="L82" i="27"/>
  <c r="M82" i="27"/>
  <c r="N82" i="27"/>
  <c r="C82" i="27"/>
  <c r="C81" i="27"/>
  <c r="D28" i="27"/>
  <c r="E28" i="27"/>
  <c r="F28" i="27"/>
  <c r="H28" i="27"/>
  <c r="I28" i="27"/>
  <c r="J28" i="27"/>
  <c r="K28" i="27"/>
  <c r="L28" i="27"/>
  <c r="M28" i="27"/>
  <c r="N28" i="27"/>
  <c r="D29" i="27"/>
  <c r="E29" i="27"/>
  <c r="F29" i="27"/>
  <c r="G29" i="27"/>
  <c r="H29" i="27"/>
  <c r="I29" i="27"/>
  <c r="J29" i="27"/>
  <c r="K29" i="27"/>
  <c r="L29" i="27"/>
  <c r="M29" i="27"/>
  <c r="N29" i="27"/>
  <c r="C29" i="27"/>
  <c r="C28" i="27"/>
  <c r="E333" i="37"/>
  <c r="F333" i="37"/>
  <c r="G333" i="37"/>
  <c r="H333" i="37"/>
  <c r="I333" i="37"/>
  <c r="J333" i="37"/>
  <c r="K333" i="37"/>
  <c r="L333" i="37"/>
  <c r="M333" i="37"/>
  <c r="N333" i="37"/>
  <c r="O333" i="37"/>
  <c r="E340" i="37"/>
  <c r="F340" i="37"/>
  <c r="G340" i="37"/>
  <c r="H340" i="37"/>
  <c r="I340" i="37"/>
  <c r="J340" i="37"/>
  <c r="K340" i="37"/>
  <c r="L340" i="37"/>
  <c r="M340" i="37"/>
  <c r="N340" i="37"/>
  <c r="O340" i="37"/>
  <c r="E342" i="37"/>
  <c r="F342" i="37"/>
  <c r="G342" i="37"/>
  <c r="H342" i="37"/>
  <c r="I342" i="37"/>
  <c r="J342" i="37"/>
  <c r="K342" i="37"/>
  <c r="L342" i="37"/>
  <c r="M342" i="37"/>
  <c r="N342" i="37"/>
  <c r="O342" i="37"/>
  <c r="E343" i="37"/>
  <c r="F343" i="37"/>
  <c r="G343" i="37"/>
  <c r="H343" i="37"/>
  <c r="I343" i="37"/>
  <c r="J343" i="37"/>
  <c r="K343" i="37"/>
  <c r="L343" i="37"/>
  <c r="M343" i="37"/>
  <c r="N343" i="37"/>
  <c r="O343" i="37"/>
  <c r="D343" i="37"/>
  <c r="D342" i="37"/>
  <c r="D340" i="37"/>
  <c r="D344" i="37" l="1"/>
  <c r="D346" i="37" s="1"/>
  <c r="N344" i="37"/>
  <c r="N346" i="37" s="1"/>
  <c r="J344" i="37"/>
  <c r="J346" i="37" s="1"/>
  <c r="F344" i="37"/>
  <c r="F346" i="37" s="1"/>
  <c r="M344" i="37"/>
  <c r="M346" i="37" s="1"/>
  <c r="I344" i="37"/>
  <c r="I346" i="37" s="1"/>
  <c r="E344" i="37"/>
  <c r="E346" i="37" s="1"/>
  <c r="L344" i="37"/>
  <c r="L346" i="37" s="1"/>
  <c r="H344" i="37"/>
  <c r="H346" i="37" s="1"/>
  <c r="K344" i="37"/>
  <c r="K346" i="37" s="1"/>
  <c r="G344" i="37"/>
  <c r="G346" i="37" s="1"/>
  <c r="O346" i="37" l="1"/>
  <c r="O11" i="37" l="1"/>
  <c r="O12" i="37"/>
  <c r="O13" i="37"/>
  <c r="O15" i="37"/>
  <c r="O16" i="37"/>
  <c r="O18" i="37"/>
  <c r="O20" i="37"/>
  <c r="O21" i="37"/>
  <c r="O22" i="37"/>
  <c r="O23" i="37"/>
  <c r="O24" i="37"/>
  <c r="O25" i="37"/>
  <c r="O26" i="37"/>
  <c r="O27" i="37"/>
  <c r="O28" i="37"/>
  <c r="O29" i="37"/>
  <c r="O30" i="37"/>
  <c r="O31" i="37"/>
  <c r="O32" i="37"/>
  <c r="O33" i="37"/>
  <c r="O34" i="37"/>
  <c r="O10" i="37"/>
  <c r="D35" i="37"/>
  <c r="E35" i="37"/>
  <c r="F35" i="37"/>
  <c r="G35" i="37"/>
  <c r="H35" i="37"/>
  <c r="I35" i="37"/>
  <c r="J35" i="37"/>
  <c r="K35" i="37"/>
  <c r="L35" i="37"/>
  <c r="M35" i="37"/>
  <c r="N35" i="37"/>
  <c r="C35" i="37"/>
  <c r="AL38" i="9" l="1"/>
  <c r="P11" i="37" l="1"/>
  <c r="P12" i="37"/>
  <c r="P13" i="37"/>
  <c r="P15" i="37"/>
  <c r="P16" i="37"/>
  <c r="P18" i="37"/>
  <c r="P20" i="37"/>
  <c r="P21" i="37"/>
  <c r="P22" i="37"/>
  <c r="P23" i="37"/>
  <c r="P24" i="37"/>
  <c r="P25" i="37"/>
  <c r="P26" i="37"/>
  <c r="P27" i="37"/>
  <c r="P10" i="37"/>
  <c r="P35" i="37" l="1"/>
  <c r="Q46" i="6"/>
  <c r="K63" i="14" l="1"/>
  <c r="D115" i="20" l="1"/>
  <c r="A2" i="10" l="1"/>
  <c r="D67" i="5" l="1"/>
  <c r="E67" i="5" s="1"/>
  <c r="G32" i="7" l="1"/>
  <c r="P28" i="6" l="1"/>
  <c r="P29" i="6"/>
  <c r="P31" i="6"/>
  <c r="P32" i="6"/>
  <c r="C36" i="5" s="1"/>
  <c r="D36" i="5" s="1"/>
  <c r="B93" i="5" s="1"/>
  <c r="P33" i="6"/>
  <c r="P27" i="6"/>
  <c r="F34" i="6"/>
  <c r="D7" i="27" l="1"/>
  <c r="E7" i="27"/>
  <c r="F7" i="27"/>
  <c r="G7" i="27"/>
  <c r="H7" i="27"/>
  <c r="I7" i="27"/>
  <c r="J7" i="27"/>
  <c r="K7" i="27"/>
  <c r="L7" i="27"/>
  <c r="M7" i="27"/>
  <c r="N7" i="27"/>
  <c r="D8" i="27"/>
  <c r="E8" i="27"/>
  <c r="F8" i="27"/>
  <c r="G8" i="27"/>
  <c r="H8" i="27"/>
  <c r="I8" i="27"/>
  <c r="J8" i="27"/>
  <c r="K8" i="27"/>
  <c r="L8" i="27"/>
  <c r="M8" i="27"/>
  <c r="N8" i="27"/>
  <c r="D9" i="27"/>
  <c r="E9" i="27"/>
  <c r="F9" i="27"/>
  <c r="G9" i="27"/>
  <c r="H9" i="27"/>
  <c r="I9" i="27"/>
  <c r="J9" i="27"/>
  <c r="K9" i="27"/>
  <c r="L9" i="27"/>
  <c r="M9" i="27"/>
  <c r="N9" i="27"/>
  <c r="C8" i="27"/>
  <c r="C9" i="27"/>
  <c r="C7" i="27"/>
  <c r="K134" i="1" l="1"/>
  <c r="D13" i="27"/>
  <c r="E13" i="27"/>
  <c r="F13" i="27"/>
  <c r="G13" i="27"/>
  <c r="H13" i="27"/>
  <c r="I13" i="27"/>
  <c r="J13" i="27"/>
  <c r="K13" i="27"/>
  <c r="L13" i="27"/>
  <c r="M13" i="27"/>
  <c r="D31" i="27"/>
  <c r="E31" i="27"/>
  <c r="F31" i="27"/>
  <c r="G31" i="27"/>
  <c r="H31" i="27"/>
  <c r="I31" i="27"/>
  <c r="J31" i="27"/>
  <c r="K31" i="27"/>
  <c r="L31" i="27"/>
  <c r="M31" i="27"/>
  <c r="N31" i="27"/>
  <c r="D84" i="27"/>
  <c r="E84" i="27"/>
  <c r="F84" i="27"/>
  <c r="G84" i="27"/>
  <c r="H84" i="27"/>
  <c r="I84" i="27"/>
  <c r="J84" i="27"/>
  <c r="K84" i="27"/>
  <c r="L84" i="27"/>
  <c r="M84" i="27"/>
  <c r="N84" i="27"/>
  <c r="D138" i="27"/>
  <c r="E138" i="27"/>
  <c r="F138" i="27"/>
  <c r="G138" i="27"/>
  <c r="H138" i="27"/>
  <c r="I138" i="27"/>
  <c r="J138" i="27"/>
  <c r="K138" i="27"/>
  <c r="L138" i="27"/>
  <c r="M138" i="27"/>
  <c r="N138" i="27"/>
  <c r="C138" i="27"/>
  <c r="C84" i="27"/>
  <c r="C13" i="27"/>
  <c r="D39" i="37"/>
  <c r="D11" i="27" s="1"/>
  <c r="E39" i="37"/>
  <c r="E11" i="27" s="1"/>
  <c r="F39" i="37"/>
  <c r="F11" i="27" s="1"/>
  <c r="G39" i="37"/>
  <c r="G11" i="27" s="1"/>
  <c r="H39" i="37"/>
  <c r="H11" i="27" s="1"/>
  <c r="I39" i="37"/>
  <c r="I11" i="27" s="1"/>
  <c r="J39" i="37"/>
  <c r="J11" i="27" s="1"/>
  <c r="K39" i="37"/>
  <c r="K11" i="27" s="1"/>
  <c r="L39" i="37"/>
  <c r="L11" i="27" s="1"/>
  <c r="M39" i="37"/>
  <c r="M11" i="27" s="1"/>
  <c r="N39" i="37"/>
  <c r="N11" i="27" s="1"/>
  <c r="D40" i="37"/>
  <c r="E40" i="37"/>
  <c r="F40" i="37"/>
  <c r="G40" i="37"/>
  <c r="H40" i="37"/>
  <c r="I40" i="37"/>
  <c r="J40" i="37"/>
  <c r="K40" i="37"/>
  <c r="L40" i="37"/>
  <c r="M40" i="37"/>
  <c r="N40" i="37"/>
  <c r="D42" i="37"/>
  <c r="E42" i="37"/>
  <c r="F42" i="37"/>
  <c r="G42" i="37"/>
  <c r="H42" i="37"/>
  <c r="I42" i="37"/>
  <c r="J42" i="37"/>
  <c r="K42" i="37"/>
  <c r="L42" i="37"/>
  <c r="M42" i="37"/>
  <c r="N42" i="37"/>
  <c r="D44" i="37"/>
  <c r="E44" i="37"/>
  <c r="F44" i="37"/>
  <c r="G44" i="37"/>
  <c r="H44" i="37"/>
  <c r="I44" i="37"/>
  <c r="J44" i="37"/>
  <c r="K44" i="37"/>
  <c r="L44" i="37"/>
  <c r="M44" i="37"/>
  <c r="N44" i="37"/>
  <c r="D46" i="37"/>
  <c r="E46" i="37"/>
  <c r="F46" i="37"/>
  <c r="G46" i="37"/>
  <c r="H46" i="37"/>
  <c r="I46" i="37"/>
  <c r="J46" i="37"/>
  <c r="K46" i="37"/>
  <c r="L46" i="37"/>
  <c r="M46" i="37"/>
  <c r="N46" i="37"/>
  <c r="D47" i="37"/>
  <c r="E47" i="37"/>
  <c r="F47" i="37"/>
  <c r="G47" i="37"/>
  <c r="H47" i="37"/>
  <c r="I47" i="37"/>
  <c r="J47" i="37"/>
  <c r="K47" i="37"/>
  <c r="L47" i="37"/>
  <c r="M47" i="37"/>
  <c r="N47" i="37"/>
  <c r="C47" i="37"/>
  <c r="C46" i="37"/>
  <c r="C42" i="37"/>
  <c r="C40" i="37"/>
  <c r="O42" i="37" l="1"/>
  <c r="O44" i="37"/>
  <c r="C11" i="27"/>
  <c r="C48" i="37"/>
  <c r="C50" i="37" s="1"/>
  <c r="D48" i="37"/>
  <c r="D50" i="37" s="1"/>
  <c r="N13" i="27"/>
  <c r="D134" i="1"/>
  <c r="D142" i="1" s="1"/>
  <c r="P46" i="37"/>
  <c r="F66" i="5" s="1"/>
  <c r="P47" i="37"/>
  <c r="L48" i="37"/>
  <c r="L50" i="37" s="1"/>
  <c r="H48" i="37"/>
  <c r="H50" i="37" s="1"/>
  <c r="P42" i="37"/>
  <c r="J48" i="37"/>
  <c r="J50" i="37" s="1"/>
  <c r="F48" i="37"/>
  <c r="F50" i="37" s="1"/>
  <c r="N48" i="37"/>
  <c r="N50" i="37" s="1"/>
  <c r="M48" i="37"/>
  <c r="M50" i="37" s="1"/>
  <c r="I48" i="37"/>
  <c r="I50" i="37" s="1"/>
  <c r="E48" i="37"/>
  <c r="E50" i="37" s="1"/>
  <c r="P40" i="37"/>
  <c r="K48" i="37"/>
  <c r="K50" i="37" s="1"/>
  <c r="G48" i="37"/>
  <c r="G50" i="37" s="1"/>
  <c r="P39" i="37"/>
  <c r="P44" i="37"/>
  <c r="B106" i="5" s="1"/>
  <c r="O39" i="37"/>
  <c r="O46" i="37"/>
  <c r="O40" i="37"/>
  <c r="O47" i="37"/>
  <c r="L12" i="1" l="1"/>
  <c r="L35" i="1" s="1"/>
  <c r="P48" i="37"/>
  <c r="O48" i="37"/>
  <c r="B104" i="5" l="1"/>
  <c r="B109" i="5" s="1"/>
  <c r="P50" i="37"/>
  <c r="G9" i="10"/>
  <c r="G75" i="9" l="1"/>
  <c r="G63" i="9" l="1"/>
  <c r="P128" i="6" l="1"/>
  <c r="P45" i="6" l="1"/>
  <c r="P46" i="6"/>
  <c r="P47" i="6"/>
  <c r="P48" i="6"/>
  <c r="P49" i="6"/>
  <c r="P50" i="6"/>
  <c r="P51" i="6"/>
  <c r="P52" i="6"/>
  <c r="P53" i="6"/>
  <c r="P54" i="6"/>
  <c r="P55" i="6"/>
  <c r="P56" i="6"/>
  <c r="P57" i="6"/>
  <c r="P58" i="6"/>
  <c r="P59" i="6"/>
  <c r="P60" i="6"/>
  <c r="P61" i="6"/>
  <c r="P62" i="6"/>
  <c r="P63" i="6"/>
  <c r="P66" i="6" l="1"/>
  <c r="G61" i="9" l="1"/>
  <c r="G59" i="9"/>
  <c r="G56" i="9"/>
  <c r="G53" i="9"/>
  <c r="G50" i="9"/>
  <c r="G47" i="9"/>
  <c r="G44" i="9"/>
  <c r="G41" i="9"/>
  <c r="G37" i="9"/>
  <c r="G35" i="9"/>
  <c r="G31" i="9"/>
  <c r="G28" i="9"/>
  <c r="G26" i="9"/>
  <c r="G23" i="9" l="1"/>
  <c r="G20" i="9"/>
  <c r="G17" i="9"/>
  <c r="G15" i="9"/>
  <c r="G69" i="9" l="1"/>
  <c r="G60" i="9" l="1"/>
  <c r="AL103" i="9"/>
  <c r="AL104" i="9"/>
  <c r="AL102" i="9"/>
  <c r="G32" i="9"/>
  <c r="G24" i="9"/>
  <c r="G21" i="9"/>
  <c r="AL61" i="9" l="1"/>
  <c r="AL37" i="9"/>
  <c r="AL34" i="9"/>
  <c r="AL89" i="9"/>
  <c r="AL91" i="9"/>
  <c r="AL94" i="9"/>
  <c r="C12" i="27"/>
  <c r="F115" i="20" l="1"/>
  <c r="H115" i="20" s="1"/>
  <c r="BE96" i="9" l="1"/>
  <c r="BE94" i="9" l="1"/>
  <c r="BE121" i="9"/>
  <c r="BE76" i="9"/>
  <c r="BE78" i="9"/>
  <c r="BE122" i="9"/>
  <c r="BE51" i="9"/>
  <c r="BE127" i="9"/>
  <c r="BE31" i="9"/>
  <c r="BE77" i="9"/>
  <c r="BE70" i="9"/>
  <c r="BE73" i="9"/>
  <c r="BE64" i="9"/>
  <c r="BG64" i="9" s="1"/>
  <c r="BE67" i="9"/>
  <c r="BG67" i="9" s="1"/>
  <c r="BE48" i="9"/>
  <c r="BE125" i="9"/>
  <c r="BE40" i="9"/>
  <c r="BE45" i="9"/>
  <c r="BE123" i="9"/>
  <c r="BE37" i="9"/>
  <c r="D39" i="7" l="1"/>
  <c r="G37" i="7" l="1"/>
  <c r="G38" i="7"/>
  <c r="J50" i="10" l="1"/>
  <c r="F39" i="7" l="1"/>
  <c r="G36" i="7"/>
  <c r="G35" i="7"/>
  <c r="G33" i="7"/>
  <c r="G34" i="7"/>
  <c r="C39" i="7" l="1"/>
  <c r="G39" i="7" s="1"/>
  <c r="G62" i="9" l="1"/>
  <c r="G57" i="9"/>
  <c r="G54" i="9"/>
  <c r="G51" i="9"/>
  <c r="G48" i="9"/>
  <c r="G45" i="9"/>
  <c r="G34" i="9"/>
  <c r="G29" i="9"/>
  <c r="G18" i="9"/>
  <c r="P156" i="6" l="1"/>
  <c r="F157" i="6"/>
  <c r="G157" i="6"/>
  <c r="H157" i="6"/>
  <c r="I157" i="6"/>
  <c r="J157" i="6"/>
  <c r="K157" i="6"/>
  <c r="L157" i="6"/>
  <c r="M157" i="6"/>
  <c r="N157" i="6"/>
  <c r="O157" i="6"/>
  <c r="E157" i="6"/>
  <c r="D157" i="6"/>
  <c r="F169" i="6"/>
  <c r="J178" i="6" l="1"/>
  <c r="J179" i="6"/>
  <c r="L178" i="6"/>
  <c r="L179" i="6"/>
  <c r="D179" i="6"/>
  <c r="D178" i="6"/>
  <c r="D177" i="6"/>
  <c r="O179" i="6"/>
  <c r="O178" i="6"/>
  <c r="I178" i="6"/>
  <c r="I179" i="6"/>
  <c r="E178" i="6"/>
  <c r="E179" i="6"/>
  <c r="H178" i="6"/>
  <c r="H179" i="6"/>
  <c r="G178" i="6"/>
  <c r="G179" i="6"/>
  <c r="N179" i="6"/>
  <c r="N178" i="6"/>
  <c r="F179" i="6"/>
  <c r="F178" i="6"/>
  <c r="K178" i="6"/>
  <c r="K179" i="6"/>
  <c r="M179" i="6"/>
  <c r="M178" i="6"/>
  <c r="H171" i="6"/>
  <c r="P157" i="6"/>
  <c r="J40" i="10"/>
  <c r="J39" i="10"/>
  <c r="J38" i="10"/>
  <c r="J37" i="10"/>
  <c r="J36" i="10"/>
  <c r="J34" i="10"/>
  <c r="J33" i="10"/>
  <c r="J32" i="10"/>
  <c r="J30" i="10"/>
  <c r="J29" i="10"/>
  <c r="P178" i="6" l="1"/>
  <c r="P179" i="6"/>
  <c r="G38" i="9"/>
  <c r="BE146" i="9" l="1"/>
  <c r="BE145" i="9"/>
  <c r="BE36" i="9"/>
  <c r="BE39" i="9"/>
  <c r="BE42" i="9"/>
  <c r="BE44" i="9"/>
  <c r="BE47" i="9"/>
  <c r="BE142" i="9"/>
  <c r="BE50" i="9"/>
  <c r="BE53" i="9"/>
  <c r="BE55" i="9"/>
  <c r="BE144" i="9"/>
  <c r="BE124" i="9"/>
  <c r="BE63" i="9"/>
  <c r="BG63" i="9" s="1"/>
  <c r="BE66" i="9"/>
  <c r="BG66" i="9" s="1"/>
  <c r="BE69" i="9"/>
  <c r="BE72" i="9"/>
  <c r="BE75" i="9"/>
  <c r="BE116" i="9"/>
  <c r="BE99" i="9"/>
  <c r="BE87" i="9"/>
  <c r="BE83" i="9"/>
  <c r="BE153" i="9"/>
  <c r="BE71" i="9"/>
  <c r="BE59" i="9"/>
  <c r="BE57" i="9"/>
  <c r="BE52" i="9"/>
  <c r="BE43" i="9"/>
  <c r="BE32" i="9"/>
  <c r="BE152" i="9"/>
  <c r="BE100" i="9"/>
  <c r="BE93" i="9"/>
  <c r="BE88" i="9"/>
  <c r="BE84" i="9"/>
  <c r="BE80" i="9"/>
  <c r="BE118" i="9"/>
  <c r="BE62" i="9"/>
  <c r="BG62" i="9" s="1"/>
  <c r="BE114" i="9"/>
  <c r="BE130" i="9"/>
  <c r="BE46" i="9"/>
  <c r="BE35" i="9"/>
  <c r="BE28" i="9"/>
  <c r="BE120" i="9"/>
  <c r="BE85" i="9"/>
  <c r="BE82" i="9"/>
  <c r="BE74" i="9"/>
  <c r="BE65" i="9"/>
  <c r="BG65" i="9" s="1"/>
  <c r="BE58" i="9"/>
  <c r="BE54" i="9"/>
  <c r="BE49" i="9"/>
  <c r="BE38" i="9"/>
  <c r="BE29" i="9"/>
  <c r="BE26" i="9"/>
  <c r="BE98" i="9"/>
  <c r="BE126" i="9"/>
  <c r="BE86" i="9"/>
  <c r="BE119" i="9"/>
  <c r="BE68" i="9"/>
  <c r="BE117" i="9"/>
  <c r="BE115" i="9"/>
  <c r="BE41" i="9"/>
  <c r="BE30" i="9"/>
  <c r="BE27" i="9"/>
  <c r="E158" i="6"/>
  <c r="F158" i="6"/>
  <c r="G158" i="6"/>
  <c r="H158" i="6"/>
  <c r="I158" i="6"/>
  <c r="J158" i="6"/>
  <c r="K158" i="6"/>
  <c r="L158" i="6"/>
  <c r="M158" i="6"/>
  <c r="N158" i="6"/>
  <c r="O158" i="6"/>
  <c r="D158" i="6"/>
  <c r="D159" i="6"/>
  <c r="O168" i="6" l="1"/>
  <c r="E159" i="6"/>
  <c r="F159" i="6"/>
  <c r="G159" i="6"/>
  <c r="H159" i="6"/>
  <c r="I159" i="6"/>
  <c r="J159" i="6"/>
  <c r="K159" i="6"/>
  <c r="L159" i="6"/>
  <c r="M159" i="6"/>
  <c r="N159" i="6"/>
  <c r="O159" i="6"/>
  <c r="E160" i="6"/>
  <c r="F160" i="6"/>
  <c r="G160" i="6"/>
  <c r="H160" i="6"/>
  <c r="I160" i="6"/>
  <c r="J160" i="6"/>
  <c r="K160" i="6"/>
  <c r="L160" i="6"/>
  <c r="M160" i="6"/>
  <c r="N160" i="6"/>
  <c r="O160" i="6"/>
  <c r="E161" i="6"/>
  <c r="F161" i="6"/>
  <c r="G161" i="6"/>
  <c r="H161" i="6"/>
  <c r="I161" i="6"/>
  <c r="J161" i="6"/>
  <c r="K161" i="6"/>
  <c r="L161" i="6"/>
  <c r="M161" i="6"/>
  <c r="N161" i="6"/>
  <c r="O161" i="6"/>
  <c r="E162" i="6"/>
  <c r="F162" i="6"/>
  <c r="G162" i="6"/>
  <c r="H162" i="6"/>
  <c r="I162" i="6"/>
  <c r="J162" i="6"/>
  <c r="K162" i="6"/>
  <c r="L162" i="6"/>
  <c r="M162" i="6"/>
  <c r="N162" i="6"/>
  <c r="O162" i="6"/>
  <c r="E163" i="6"/>
  <c r="F163" i="6"/>
  <c r="G163" i="6"/>
  <c r="H163" i="6"/>
  <c r="I163" i="6"/>
  <c r="J163" i="6"/>
  <c r="K163" i="6"/>
  <c r="L163" i="6"/>
  <c r="M163" i="6"/>
  <c r="N163" i="6"/>
  <c r="O163" i="6"/>
  <c r="E164" i="6"/>
  <c r="F164" i="6"/>
  <c r="G164" i="6"/>
  <c r="H164" i="6"/>
  <c r="I164" i="6"/>
  <c r="J164" i="6"/>
  <c r="K164" i="6"/>
  <c r="L164" i="6"/>
  <c r="M164" i="6"/>
  <c r="N164" i="6"/>
  <c r="O164" i="6"/>
  <c r="E165" i="6"/>
  <c r="F165" i="6"/>
  <c r="G165" i="6"/>
  <c r="H165" i="6"/>
  <c r="I165" i="6"/>
  <c r="J165" i="6"/>
  <c r="K165" i="6"/>
  <c r="L165" i="6"/>
  <c r="M165" i="6"/>
  <c r="N165" i="6"/>
  <c r="O165" i="6"/>
  <c r="E166" i="6"/>
  <c r="F166" i="6"/>
  <c r="G166" i="6"/>
  <c r="H166" i="6"/>
  <c r="I166" i="6"/>
  <c r="J166" i="6"/>
  <c r="K166" i="6"/>
  <c r="L166" i="6"/>
  <c r="M166" i="6"/>
  <c r="N166" i="6"/>
  <c r="O166" i="6"/>
  <c r="E167" i="6"/>
  <c r="F167" i="6"/>
  <c r="G167" i="6"/>
  <c r="H167" i="6"/>
  <c r="I167" i="6"/>
  <c r="J167" i="6"/>
  <c r="K167" i="6"/>
  <c r="L167" i="6"/>
  <c r="M167" i="6"/>
  <c r="N167" i="6"/>
  <c r="O167" i="6"/>
  <c r="E168" i="6"/>
  <c r="F168" i="6"/>
  <c r="G168" i="6"/>
  <c r="H168" i="6"/>
  <c r="I168" i="6"/>
  <c r="J168" i="6"/>
  <c r="K168" i="6"/>
  <c r="L168" i="6"/>
  <c r="M168" i="6"/>
  <c r="N168" i="6"/>
  <c r="E169" i="6"/>
  <c r="G169" i="6"/>
  <c r="H169" i="6"/>
  <c r="I169" i="6"/>
  <c r="J169" i="6"/>
  <c r="K169" i="6"/>
  <c r="L169" i="6"/>
  <c r="M169" i="6"/>
  <c r="N169" i="6"/>
  <c r="O169" i="6"/>
  <c r="E170" i="6"/>
  <c r="F170" i="6"/>
  <c r="G170" i="6"/>
  <c r="H170" i="6"/>
  <c r="I170" i="6"/>
  <c r="J170" i="6"/>
  <c r="K170" i="6"/>
  <c r="L170" i="6"/>
  <c r="M170" i="6"/>
  <c r="N170" i="6"/>
  <c r="O170" i="6"/>
  <c r="E171" i="6"/>
  <c r="F171" i="6"/>
  <c r="G171" i="6"/>
  <c r="I171" i="6"/>
  <c r="J171" i="6"/>
  <c r="K171" i="6"/>
  <c r="L171" i="6"/>
  <c r="M171" i="6"/>
  <c r="N171" i="6"/>
  <c r="O171" i="6"/>
  <c r="E172" i="6"/>
  <c r="F172" i="6"/>
  <c r="G172" i="6"/>
  <c r="H172" i="6"/>
  <c r="I172" i="6"/>
  <c r="J172" i="6"/>
  <c r="K172" i="6"/>
  <c r="L172" i="6"/>
  <c r="M172" i="6"/>
  <c r="N172" i="6"/>
  <c r="O172" i="6"/>
  <c r="E173" i="6"/>
  <c r="F173" i="6"/>
  <c r="G173" i="6"/>
  <c r="H173" i="6"/>
  <c r="I173" i="6"/>
  <c r="J173" i="6"/>
  <c r="K173" i="6"/>
  <c r="L173" i="6"/>
  <c r="M173" i="6"/>
  <c r="N173" i="6"/>
  <c r="O173" i="6"/>
  <c r="E174" i="6"/>
  <c r="F174" i="6"/>
  <c r="G174" i="6"/>
  <c r="H174" i="6"/>
  <c r="I174" i="6"/>
  <c r="J174" i="6"/>
  <c r="K174" i="6"/>
  <c r="L174" i="6"/>
  <c r="M174" i="6"/>
  <c r="N174" i="6"/>
  <c r="O174" i="6"/>
  <c r="E175" i="6"/>
  <c r="F175" i="6"/>
  <c r="G175" i="6"/>
  <c r="H175" i="6"/>
  <c r="I175" i="6"/>
  <c r="J175" i="6"/>
  <c r="K175" i="6"/>
  <c r="L175" i="6"/>
  <c r="M175" i="6"/>
  <c r="N175" i="6"/>
  <c r="O175" i="6"/>
  <c r="E176" i="6"/>
  <c r="F176" i="6"/>
  <c r="G176" i="6"/>
  <c r="H176" i="6"/>
  <c r="I176" i="6"/>
  <c r="J176" i="6"/>
  <c r="K176" i="6"/>
  <c r="L176" i="6"/>
  <c r="M176" i="6"/>
  <c r="N176" i="6"/>
  <c r="O176" i="6"/>
  <c r="E177" i="6"/>
  <c r="F177" i="6"/>
  <c r="G177" i="6"/>
  <c r="H177" i="6"/>
  <c r="I177" i="6"/>
  <c r="J177" i="6"/>
  <c r="K177" i="6"/>
  <c r="L177" i="6"/>
  <c r="M177" i="6"/>
  <c r="N177" i="6"/>
  <c r="O177" i="6"/>
  <c r="D160" i="6"/>
  <c r="D161" i="6"/>
  <c r="D162" i="6"/>
  <c r="D163" i="6"/>
  <c r="D164" i="6"/>
  <c r="D165" i="6"/>
  <c r="D166" i="6"/>
  <c r="D167" i="6"/>
  <c r="D168" i="6"/>
  <c r="D169" i="6"/>
  <c r="D170" i="6"/>
  <c r="D171" i="6"/>
  <c r="D172" i="6"/>
  <c r="D173" i="6"/>
  <c r="D174" i="6"/>
  <c r="D175" i="6"/>
  <c r="D176" i="6"/>
  <c r="P175" i="6" l="1"/>
  <c r="P168" i="6"/>
  <c r="P165" i="6"/>
  <c r="P161" i="6"/>
  <c r="P172" i="6"/>
  <c r="P166" i="6"/>
  <c r="P177" i="6"/>
  <c r="P173" i="6"/>
  <c r="P170" i="6"/>
  <c r="P163" i="6"/>
  <c r="P176" i="6"/>
  <c r="P169" i="6"/>
  <c r="P162" i="6"/>
  <c r="P159" i="6"/>
  <c r="P174" i="6"/>
  <c r="P171" i="6"/>
  <c r="P167" i="6"/>
  <c r="P164" i="6"/>
  <c r="P160" i="6"/>
  <c r="P14" i="20" l="1"/>
  <c r="P34" i="20" s="1"/>
  <c r="P35" i="20" s="1"/>
  <c r="P69" i="20" l="1"/>
  <c r="P70" i="20" s="1"/>
  <c r="P85" i="20"/>
  <c r="P87" i="20" s="1"/>
  <c r="P15" i="20"/>
  <c r="P16" i="20"/>
  <c r="P114" i="20"/>
  <c r="P116" i="20" s="1"/>
  <c r="P86" i="20" l="1"/>
  <c r="O14" i="20" l="1"/>
  <c r="O85" i="20" l="1"/>
  <c r="O114" i="20"/>
  <c r="O34" i="20"/>
  <c r="O69" i="20"/>
  <c r="G134" i="9" l="1"/>
  <c r="G135" i="9"/>
  <c r="G83" i="9"/>
  <c r="F53" i="18" l="1"/>
  <c r="P123" i="6" l="1"/>
  <c r="P122" i="6"/>
  <c r="P121" i="6"/>
  <c r="M34" i="6"/>
  <c r="N34" i="6"/>
  <c r="O34" i="6"/>
  <c r="E34" i="6"/>
  <c r="H34" i="6"/>
  <c r="I34" i="6"/>
  <c r="J34" i="6"/>
  <c r="L34" i="6"/>
  <c r="K34" i="6"/>
  <c r="P34" i="6" l="1"/>
  <c r="R99" i="27"/>
  <c r="R83" i="27"/>
  <c r="R46" i="27"/>
  <c r="R30" i="27"/>
  <c r="M46" i="27"/>
  <c r="M99" i="27"/>
  <c r="R10" i="27"/>
  <c r="R137" i="27"/>
  <c r="C10" i="27"/>
  <c r="C14" i="27" s="1"/>
  <c r="D12" i="27"/>
  <c r="E12" i="27"/>
  <c r="F12" i="27"/>
  <c r="G12" i="27"/>
  <c r="H12" i="27"/>
  <c r="I12" i="27"/>
  <c r="J12" i="27"/>
  <c r="K12" i="27"/>
  <c r="L12" i="27"/>
  <c r="M12" i="27"/>
  <c r="N12" i="27"/>
  <c r="N155" i="27"/>
  <c r="M155" i="27"/>
  <c r="L155" i="27"/>
  <c r="K155" i="27"/>
  <c r="J155" i="27"/>
  <c r="I155" i="27"/>
  <c r="H155" i="27"/>
  <c r="G155" i="27"/>
  <c r="F155" i="27"/>
  <c r="E155" i="27"/>
  <c r="D155" i="27"/>
  <c r="C155" i="27"/>
  <c r="O153" i="27"/>
  <c r="O138" i="27"/>
  <c r="E69" i="5" s="1"/>
  <c r="N137" i="27"/>
  <c r="N139" i="27" s="1"/>
  <c r="L137" i="27"/>
  <c r="L139" i="27" s="1"/>
  <c r="L141" i="27" s="1"/>
  <c r="L146" i="27" s="1"/>
  <c r="K137" i="27"/>
  <c r="K139" i="27" s="1"/>
  <c r="J137" i="27"/>
  <c r="J139" i="27" s="1"/>
  <c r="I137" i="27"/>
  <c r="I139" i="27" s="1"/>
  <c r="H137" i="27"/>
  <c r="H139" i="27" s="1"/>
  <c r="G137" i="27"/>
  <c r="G139" i="27" s="1"/>
  <c r="F137" i="27"/>
  <c r="F139" i="27" s="1"/>
  <c r="E137" i="27"/>
  <c r="E139" i="27" s="1"/>
  <c r="D137" i="27"/>
  <c r="D139" i="27" s="1"/>
  <c r="C137" i="27"/>
  <c r="N104" i="27"/>
  <c r="M104" i="27"/>
  <c r="L104" i="27"/>
  <c r="K104" i="27"/>
  <c r="J104" i="27"/>
  <c r="I104" i="27"/>
  <c r="H104" i="27"/>
  <c r="G104" i="27"/>
  <c r="F104" i="27"/>
  <c r="E104" i="27"/>
  <c r="D104" i="27"/>
  <c r="C104" i="27"/>
  <c r="O102" i="27"/>
  <c r="N99" i="27"/>
  <c r="L99" i="27"/>
  <c r="K99" i="27"/>
  <c r="J99" i="27"/>
  <c r="I99" i="27"/>
  <c r="H99" i="27"/>
  <c r="G99" i="27"/>
  <c r="F99" i="27"/>
  <c r="E99" i="27"/>
  <c r="D99" i="27"/>
  <c r="C99" i="27"/>
  <c r="O97" i="27"/>
  <c r="O84" i="27"/>
  <c r="D39" i="5" s="1"/>
  <c r="N83" i="27"/>
  <c r="L83" i="27"/>
  <c r="K83" i="27"/>
  <c r="J83" i="27"/>
  <c r="I83" i="27"/>
  <c r="H83" i="27"/>
  <c r="G83" i="27"/>
  <c r="D83" i="27"/>
  <c r="C83" i="27"/>
  <c r="F83" i="27"/>
  <c r="N51" i="27"/>
  <c r="M51" i="27"/>
  <c r="L51" i="27"/>
  <c r="K51" i="27"/>
  <c r="J51" i="27"/>
  <c r="I51" i="27"/>
  <c r="H51" i="27"/>
  <c r="G51" i="27"/>
  <c r="F51" i="27"/>
  <c r="E51" i="27"/>
  <c r="D51" i="27"/>
  <c r="C51" i="27"/>
  <c r="O49" i="27"/>
  <c r="N46" i="27"/>
  <c r="L46" i="27"/>
  <c r="K46" i="27"/>
  <c r="J46" i="27"/>
  <c r="I46" i="27"/>
  <c r="H46" i="27"/>
  <c r="G46" i="27"/>
  <c r="F46" i="27"/>
  <c r="E46" i="27"/>
  <c r="D46" i="27"/>
  <c r="C46" i="27"/>
  <c r="O45" i="27"/>
  <c r="N30" i="27"/>
  <c r="L30" i="27"/>
  <c r="K30" i="27"/>
  <c r="J30" i="27"/>
  <c r="I30" i="27"/>
  <c r="H30" i="27"/>
  <c r="G30" i="27"/>
  <c r="F30" i="27"/>
  <c r="E30" i="27"/>
  <c r="D30" i="27"/>
  <c r="C30" i="27"/>
  <c r="O11" i="27"/>
  <c r="N10" i="27"/>
  <c r="L10" i="27"/>
  <c r="K10" i="27"/>
  <c r="J10" i="27"/>
  <c r="I10" i="27"/>
  <c r="H10" i="27"/>
  <c r="G10" i="27"/>
  <c r="F10" i="27"/>
  <c r="E10" i="27"/>
  <c r="D10" i="27"/>
  <c r="S136" i="27" l="1"/>
  <c r="O136" i="27" s="1"/>
  <c r="S134" i="27"/>
  <c r="S28" i="27"/>
  <c r="S55" i="27"/>
  <c r="S54" i="27"/>
  <c r="S57" i="27" s="1"/>
  <c r="S82" i="27"/>
  <c r="S110" i="27"/>
  <c r="S108" i="27"/>
  <c r="G85" i="27"/>
  <c r="G88" i="27" s="1"/>
  <c r="H85" i="27"/>
  <c r="H87" i="27" s="1"/>
  <c r="H119" i="27"/>
  <c r="I85" i="27"/>
  <c r="I119" i="27"/>
  <c r="J85" i="27"/>
  <c r="J119" i="27" s="1"/>
  <c r="K85" i="27"/>
  <c r="K87" i="27" s="1"/>
  <c r="L85" i="27"/>
  <c r="L87" i="27" s="1"/>
  <c r="L91" i="27" s="1"/>
  <c r="L119" i="27"/>
  <c r="N85" i="27"/>
  <c r="D85" i="27"/>
  <c r="S8" i="27"/>
  <c r="S7" i="27"/>
  <c r="C16" i="27"/>
  <c r="E15" i="5"/>
  <c r="E35" i="5"/>
  <c r="S9" i="27"/>
  <c r="S81" i="27"/>
  <c r="S83" i="27" s="1"/>
  <c r="D142" i="27"/>
  <c r="D147" i="27" s="1"/>
  <c r="D141" i="27"/>
  <c r="D143" i="27"/>
  <c r="D148" i="27" s="1"/>
  <c r="G142" i="27"/>
  <c r="G147" i="27" s="1"/>
  <c r="G141" i="27"/>
  <c r="G143" i="27"/>
  <c r="G148" i="27" s="1"/>
  <c r="F142" i="27"/>
  <c r="F147" i="27" s="1"/>
  <c r="F143" i="27"/>
  <c r="F148" i="27" s="1"/>
  <c r="F141" i="27"/>
  <c r="J142" i="27"/>
  <c r="J147" i="27" s="1"/>
  <c r="J141" i="27"/>
  <c r="J143" i="27"/>
  <c r="J148" i="27" s="1"/>
  <c r="L143" i="27"/>
  <c r="L148" i="27" s="1"/>
  <c r="L142" i="27"/>
  <c r="L147" i="27" s="1"/>
  <c r="K141" i="27"/>
  <c r="K143" i="27"/>
  <c r="K148" i="27" s="1"/>
  <c r="K142" i="27"/>
  <c r="K147" i="27" s="1"/>
  <c r="E143" i="27"/>
  <c r="E148" i="27" s="1"/>
  <c r="E142" i="27"/>
  <c r="E147" i="27" s="1"/>
  <c r="E141" i="27"/>
  <c r="I141" i="27"/>
  <c r="I142" i="27"/>
  <c r="I147" i="27" s="1"/>
  <c r="I143" i="27"/>
  <c r="I148" i="27" s="1"/>
  <c r="N143" i="27"/>
  <c r="N148" i="27" s="1"/>
  <c r="N142" i="27"/>
  <c r="N147" i="27" s="1"/>
  <c r="N141" i="27"/>
  <c r="H141" i="27"/>
  <c r="H143" i="27"/>
  <c r="H148" i="27" s="1"/>
  <c r="H142" i="27"/>
  <c r="H147" i="27" s="1"/>
  <c r="O134" i="27"/>
  <c r="S29" i="27"/>
  <c r="S30" i="27" s="1"/>
  <c r="O82" i="27"/>
  <c r="E27" i="5" s="1"/>
  <c r="F27" i="1" s="1"/>
  <c r="D88" i="27"/>
  <c r="O44" i="27"/>
  <c r="O46" i="27" s="1"/>
  <c r="E14" i="27"/>
  <c r="E17" i="27" s="1"/>
  <c r="E22" i="27" s="1"/>
  <c r="I14" i="27"/>
  <c r="I18" i="27" s="1"/>
  <c r="I23" i="27" s="1"/>
  <c r="S135" i="27"/>
  <c r="O135" i="27" s="1"/>
  <c r="O104" i="27"/>
  <c r="G35" i="5"/>
  <c r="O51" i="27"/>
  <c r="P51" i="27" s="1"/>
  <c r="G15" i="5"/>
  <c r="O155" i="27"/>
  <c r="P155" i="27" s="1"/>
  <c r="G66" i="5"/>
  <c r="H14" i="27"/>
  <c r="L14" i="27"/>
  <c r="D14" i="27"/>
  <c r="N14" i="27"/>
  <c r="F14" i="27"/>
  <c r="J14" i="27"/>
  <c r="K14" i="27"/>
  <c r="O31" i="27"/>
  <c r="D18" i="5" s="1"/>
  <c r="G14" i="27"/>
  <c r="O28" i="27"/>
  <c r="O13" i="27"/>
  <c r="E10" i="5" s="1"/>
  <c r="O99" i="27"/>
  <c r="E32" i="27"/>
  <c r="E35" i="27" s="1"/>
  <c r="E39" i="27" s="1"/>
  <c r="I32" i="27"/>
  <c r="I35" i="27" s="1"/>
  <c r="I39" i="27" s="1"/>
  <c r="L32" i="27"/>
  <c r="L35" i="27" s="1"/>
  <c r="L39" i="27" s="1"/>
  <c r="G32" i="27"/>
  <c r="G34" i="27" s="1"/>
  <c r="K32" i="27"/>
  <c r="K35" i="27" s="1"/>
  <c r="K39" i="27" s="1"/>
  <c r="D32" i="27"/>
  <c r="D34" i="27" s="1"/>
  <c r="H32" i="27"/>
  <c r="H34" i="27" s="1"/>
  <c r="F32" i="27"/>
  <c r="F35" i="27" s="1"/>
  <c r="F39" i="27" s="1"/>
  <c r="J32" i="27"/>
  <c r="J35" i="27" s="1"/>
  <c r="J39" i="27" s="1"/>
  <c r="N32" i="27"/>
  <c r="N34" i="27" s="1"/>
  <c r="O12" i="27"/>
  <c r="F85" i="27"/>
  <c r="F119" i="27" s="1"/>
  <c r="C32" i="27"/>
  <c r="C35" i="27" s="1"/>
  <c r="C39" i="27" s="1"/>
  <c r="E83" i="27"/>
  <c r="C85" i="27"/>
  <c r="C139" i="27"/>
  <c r="C34" i="27" l="1"/>
  <c r="K88" i="27"/>
  <c r="K92" i="27" s="1"/>
  <c r="G87" i="27"/>
  <c r="G91" i="27" s="1"/>
  <c r="J88" i="27"/>
  <c r="J92" i="27" s="1"/>
  <c r="J87" i="27"/>
  <c r="J91" i="27" s="1"/>
  <c r="J93" i="27" s="1"/>
  <c r="J94" i="27" s="1"/>
  <c r="H88" i="27"/>
  <c r="H92" i="27" s="1"/>
  <c r="N87" i="27"/>
  <c r="N91" i="27" s="1"/>
  <c r="G119" i="27"/>
  <c r="D119" i="27"/>
  <c r="D87" i="27"/>
  <c r="D91" i="27" s="1"/>
  <c r="I88" i="27"/>
  <c r="I92" i="27" s="1"/>
  <c r="L116" i="27"/>
  <c r="L88" i="27"/>
  <c r="L89" i="27" s="1"/>
  <c r="N88" i="27"/>
  <c r="N92" i="27" s="1"/>
  <c r="I87" i="27"/>
  <c r="I91" i="27" s="1"/>
  <c r="N119" i="27"/>
  <c r="F118" i="27"/>
  <c r="F120" i="27" s="1"/>
  <c r="F121" i="27" s="1"/>
  <c r="C116" i="27"/>
  <c r="I116" i="27"/>
  <c r="I118" i="27"/>
  <c r="I120" i="27" s="1"/>
  <c r="I121" i="27" s="1"/>
  <c r="N116" i="27"/>
  <c r="N118" i="27"/>
  <c r="K119" i="27"/>
  <c r="J116" i="27"/>
  <c r="J118" i="27"/>
  <c r="J120" i="27" s="1"/>
  <c r="J121" i="27" s="1"/>
  <c r="H116" i="27"/>
  <c r="H118" i="27"/>
  <c r="H120" i="27" s="1"/>
  <c r="H121" i="27" s="1"/>
  <c r="D118" i="27"/>
  <c r="G116" i="27"/>
  <c r="G118" i="27"/>
  <c r="E85" i="27"/>
  <c r="E119" i="27" s="1"/>
  <c r="N66" i="27"/>
  <c r="K66" i="27"/>
  <c r="I66" i="27"/>
  <c r="P104" i="27"/>
  <c r="H66" i="27"/>
  <c r="D66" i="27"/>
  <c r="G66" i="27"/>
  <c r="J66" i="27"/>
  <c r="F66" i="27"/>
  <c r="E66" i="27"/>
  <c r="L66" i="27"/>
  <c r="S10" i="27"/>
  <c r="I17" i="27"/>
  <c r="I22" i="27" s="1"/>
  <c r="I16" i="27"/>
  <c r="C17" i="27"/>
  <c r="C18" i="27"/>
  <c r="C23" i="27" s="1"/>
  <c r="H146" i="27"/>
  <c r="H149" i="27" s="1"/>
  <c r="H150" i="27" s="1"/>
  <c r="H144" i="27"/>
  <c r="E146" i="27"/>
  <c r="E149" i="27" s="1"/>
  <c r="E150" i="27" s="1"/>
  <c r="E144" i="27"/>
  <c r="L149" i="27"/>
  <c r="L150" i="27" s="1"/>
  <c r="L144" i="27"/>
  <c r="F144" i="27"/>
  <c r="F146" i="27"/>
  <c r="F149" i="27" s="1"/>
  <c r="F150" i="27" s="1"/>
  <c r="G144" i="27"/>
  <c r="G146" i="27"/>
  <c r="G149" i="27" s="1"/>
  <c r="G150" i="27" s="1"/>
  <c r="N146" i="27"/>
  <c r="N149" i="27" s="1"/>
  <c r="N150" i="27" s="1"/>
  <c r="N144" i="27"/>
  <c r="K144" i="27"/>
  <c r="K146" i="27"/>
  <c r="K149" i="27" s="1"/>
  <c r="K150" i="27" s="1"/>
  <c r="C141" i="27"/>
  <c r="C142" i="27"/>
  <c r="C147" i="27" s="1"/>
  <c r="C143" i="27"/>
  <c r="C148" i="27" s="1"/>
  <c r="I146" i="27"/>
  <c r="I149" i="27" s="1"/>
  <c r="I150" i="27" s="1"/>
  <c r="I144" i="27"/>
  <c r="D146" i="27"/>
  <c r="D149" i="27" s="1"/>
  <c r="D150" i="27" s="1"/>
  <c r="D144" i="27"/>
  <c r="J144" i="27"/>
  <c r="J146" i="27"/>
  <c r="J149" i="27" s="1"/>
  <c r="J150" i="27" s="1"/>
  <c r="E18" i="27"/>
  <c r="E23" i="27" s="1"/>
  <c r="E16" i="27"/>
  <c r="E21" i="27" s="1"/>
  <c r="M137" i="27"/>
  <c r="O137" i="27"/>
  <c r="E49" i="5" s="1"/>
  <c r="H27" i="1" s="1"/>
  <c r="F88" i="27"/>
  <c r="F92" i="27" s="1"/>
  <c r="F87" i="27"/>
  <c r="G89" i="27"/>
  <c r="G92" i="27"/>
  <c r="G93" i="27" s="1"/>
  <c r="G94" i="27" s="1"/>
  <c r="D92" i="27"/>
  <c r="H91" i="27"/>
  <c r="K91" i="27"/>
  <c r="K93" i="27" s="1"/>
  <c r="K94" i="27" s="1"/>
  <c r="K89" i="27"/>
  <c r="J89" i="27"/>
  <c r="C87" i="27"/>
  <c r="C88" i="27"/>
  <c r="H38" i="27"/>
  <c r="G38" i="27"/>
  <c r="N38" i="27"/>
  <c r="D38" i="27"/>
  <c r="L34" i="27"/>
  <c r="J34" i="27"/>
  <c r="H35" i="27"/>
  <c r="H39" i="27" s="1"/>
  <c r="E34" i="27"/>
  <c r="G35" i="27"/>
  <c r="G39" i="27" s="1"/>
  <c r="I34" i="27"/>
  <c r="F34" i="27"/>
  <c r="N35" i="27"/>
  <c r="N39" i="27" s="1"/>
  <c r="K34" i="27"/>
  <c r="D35" i="27"/>
  <c r="D39" i="27" s="1"/>
  <c r="S137" i="27"/>
  <c r="M83" i="27"/>
  <c r="O81" i="27"/>
  <c r="O8" i="27"/>
  <c r="F18" i="27"/>
  <c r="F23" i="27" s="1"/>
  <c r="F16" i="27"/>
  <c r="F17" i="27"/>
  <c r="F22" i="27" s="1"/>
  <c r="O9" i="27"/>
  <c r="G18" i="27"/>
  <c r="G17" i="27"/>
  <c r="G22" i="27" s="1"/>
  <c r="G16" i="27"/>
  <c r="G21" i="27" s="1"/>
  <c r="J16" i="27"/>
  <c r="J18" i="27"/>
  <c r="J23" i="27" s="1"/>
  <c r="J17" i="27"/>
  <c r="J22" i="27" s="1"/>
  <c r="K18" i="27"/>
  <c r="K17" i="27"/>
  <c r="K22" i="27" s="1"/>
  <c r="K16" i="27"/>
  <c r="K21" i="27" s="1"/>
  <c r="N16" i="27"/>
  <c r="N18" i="27"/>
  <c r="N23" i="27" s="1"/>
  <c r="N17" i="27"/>
  <c r="N22" i="27" s="1"/>
  <c r="D16" i="27"/>
  <c r="D21" i="27" s="1"/>
  <c r="D17" i="27"/>
  <c r="D18" i="27"/>
  <c r="D23" i="27" s="1"/>
  <c r="H18" i="27"/>
  <c r="H23" i="27" s="1"/>
  <c r="H17" i="27"/>
  <c r="H16" i="27"/>
  <c r="H21" i="27" s="1"/>
  <c r="L18" i="27"/>
  <c r="L23" i="27" s="1"/>
  <c r="L17" i="27"/>
  <c r="L16" i="27"/>
  <c r="L21" i="27" s="1"/>
  <c r="C21" i="27"/>
  <c r="M10" i="27"/>
  <c r="O7" i="27"/>
  <c r="G120" i="27" l="1"/>
  <c r="G121" i="27" s="1"/>
  <c r="D89" i="27"/>
  <c r="I93" i="27"/>
  <c r="I94" i="27" s="1"/>
  <c r="L92" i="27"/>
  <c r="L93" i="27" s="1"/>
  <c r="L94" i="27" s="1"/>
  <c r="H89" i="27"/>
  <c r="H93" i="27"/>
  <c r="H94" i="27" s="1"/>
  <c r="N120" i="27"/>
  <c r="N121" i="27" s="1"/>
  <c r="L118" i="27"/>
  <c r="L120" i="27" s="1"/>
  <c r="L121" i="27" s="1"/>
  <c r="N89" i="27"/>
  <c r="D120" i="27"/>
  <c r="D121" i="27" s="1"/>
  <c r="F116" i="27"/>
  <c r="N93" i="27"/>
  <c r="N94" i="27" s="1"/>
  <c r="D116" i="27"/>
  <c r="I89" i="27"/>
  <c r="C120" i="27"/>
  <c r="C121" i="27" s="1"/>
  <c r="E88" i="27"/>
  <c r="E92" i="27" s="1"/>
  <c r="E87" i="27"/>
  <c r="E116" i="27"/>
  <c r="E118" i="27"/>
  <c r="E120" i="27" s="1"/>
  <c r="E121" i="27" s="1"/>
  <c r="K116" i="27"/>
  <c r="K118" i="27"/>
  <c r="K120" i="27" s="1"/>
  <c r="K121" i="27" s="1"/>
  <c r="K63" i="27"/>
  <c r="I63" i="27"/>
  <c r="I65" i="27"/>
  <c r="I67" i="27" s="1"/>
  <c r="I68" i="27" s="1"/>
  <c r="K65" i="27"/>
  <c r="K67" i="27" s="1"/>
  <c r="K68" i="27" s="1"/>
  <c r="E65" i="27"/>
  <c r="E67" i="27" s="1"/>
  <c r="E68" i="27" s="1"/>
  <c r="E63" i="27"/>
  <c r="D63" i="27"/>
  <c r="D65" i="27"/>
  <c r="D67" i="27" s="1"/>
  <c r="D68" i="27" s="1"/>
  <c r="L63" i="27"/>
  <c r="L65" i="27"/>
  <c r="L67" i="27" s="1"/>
  <c r="L68" i="27" s="1"/>
  <c r="N63" i="27"/>
  <c r="N65" i="27"/>
  <c r="N67" i="27" s="1"/>
  <c r="N68" i="27" s="1"/>
  <c r="G65" i="27"/>
  <c r="G67" i="27" s="1"/>
  <c r="G68" i="27" s="1"/>
  <c r="G63" i="27"/>
  <c r="H63" i="27"/>
  <c r="H65" i="27"/>
  <c r="H67" i="27" s="1"/>
  <c r="H68" i="27" s="1"/>
  <c r="J63" i="27"/>
  <c r="J65" i="27"/>
  <c r="J67" i="27" s="1"/>
  <c r="J68" i="27" s="1"/>
  <c r="C63" i="27"/>
  <c r="F63" i="27"/>
  <c r="F65" i="27"/>
  <c r="F67" i="27" s="1"/>
  <c r="F68" i="27" s="1"/>
  <c r="I19" i="27"/>
  <c r="I21" i="27"/>
  <c r="I24" i="27" s="1"/>
  <c r="I25" i="27" s="1"/>
  <c r="C19" i="27"/>
  <c r="E24" i="27"/>
  <c r="E25" i="27" s="1"/>
  <c r="C22" i="27"/>
  <c r="C24" i="27" s="1"/>
  <c r="C25" i="27" s="1"/>
  <c r="E19" i="27"/>
  <c r="C146" i="27"/>
  <c r="C149" i="27" s="1"/>
  <c r="C150" i="27" s="1"/>
  <c r="C144" i="27"/>
  <c r="M139" i="27"/>
  <c r="O139" i="27" s="1"/>
  <c r="P139" i="27" s="1"/>
  <c r="C89" i="27"/>
  <c r="C91" i="27"/>
  <c r="F91" i="27"/>
  <c r="F93" i="27" s="1"/>
  <c r="F94" i="27" s="1"/>
  <c r="F89" i="27"/>
  <c r="M85" i="27"/>
  <c r="C92" i="27"/>
  <c r="D93" i="27"/>
  <c r="D94" i="27" s="1"/>
  <c r="C36" i="27"/>
  <c r="C38" i="27"/>
  <c r="E36" i="27"/>
  <c r="E38" i="27"/>
  <c r="N36" i="27"/>
  <c r="H36" i="27"/>
  <c r="K36" i="27"/>
  <c r="K38" i="27"/>
  <c r="L38" i="27"/>
  <c r="L36" i="27"/>
  <c r="I38" i="27"/>
  <c r="I36" i="27"/>
  <c r="J36" i="27"/>
  <c r="J38" i="27"/>
  <c r="D36" i="27"/>
  <c r="G36" i="27"/>
  <c r="F36" i="27"/>
  <c r="F38" i="27"/>
  <c r="O83" i="27"/>
  <c r="G19" i="27"/>
  <c r="G23" i="27"/>
  <c r="G24" i="27" s="1"/>
  <c r="G25" i="27" s="1"/>
  <c r="F19" i="27"/>
  <c r="F21" i="27"/>
  <c r="F24" i="27" s="1"/>
  <c r="F25" i="27" s="1"/>
  <c r="M14" i="27"/>
  <c r="M16" i="27" s="1"/>
  <c r="L19" i="27"/>
  <c r="L22" i="27"/>
  <c r="L24" i="27" s="1"/>
  <c r="L25" i="27" s="1"/>
  <c r="D19" i="27"/>
  <c r="D22" i="27"/>
  <c r="N19" i="27"/>
  <c r="N21" i="27"/>
  <c r="N24" i="27" s="1"/>
  <c r="N25" i="27" s="1"/>
  <c r="H19" i="27"/>
  <c r="H22" i="27"/>
  <c r="H24" i="27" s="1"/>
  <c r="H25" i="27" s="1"/>
  <c r="K19" i="27"/>
  <c r="K23" i="27"/>
  <c r="K24" i="27" s="1"/>
  <c r="K25" i="27" s="1"/>
  <c r="J19" i="27"/>
  <c r="J21" i="27"/>
  <c r="J24" i="27" s="1"/>
  <c r="J25" i="27" s="1"/>
  <c r="O10" i="27"/>
  <c r="E89" i="27" l="1"/>
  <c r="E91" i="27"/>
  <c r="E93" i="27" s="1"/>
  <c r="E94" i="27" s="1"/>
  <c r="M119" i="27"/>
  <c r="O119" i="27" s="1"/>
  <c r="C49" i="5" s="1"/>
  <c r="H9" i="1" s="1"/>
  <c r="M116" i="27"/>
  <c r="M118" i="27"/>
  <c r="M120" i="27" s="1"/>
  <c r="M121" i="27" s="1"/>
  <c r="O114" i="27"/>
  <c r="O115" i="27"/>
  <c r="O118" i="27"/>
  <c r="C67" i="27"/>
  <c r="C68" i="27" s="1"/>
  <c r="O14" i="27"/>
  <c r="P14" i="27" s="1"/>
  <c r="O16" i="27"/>
  <c r="M141" i="27"/>
  <c r="M146" i="27" s="1"/>
  <c r="M143" i="27"/>
  <c r="M148" i="27" s="1"/>
  <c r="O148" i="27" s="1"/>
  <c r="M142" i="27"/>
  <c r="C93" i="27"/>
  <c r="C94" i="27" s="1"/>
  <c r="M87" i="27"/>
  <c r="O85" i="27"/>
  <c r="P85" i="27" s="1"/>
  <c r="M88" i="27"/>
  <c r="E40" i="27"/>
  <c r="E41" i="27" s="1"/>
  <c r="J40" i="27"/>
  <c r="J41" i="27" s="1"/>
  <c r="N40" i="27"/>
  <c r="N41" i="27" s="1"/>
  <c r="I40" i="27"/>
  <c r="I41" i="27" s="1"/>
  <c r="K40" i="27"/>
  <c r="K41" i="27" s="1"/>
  <c r="C40" i="27"/>
  <c r="C41" i="27" s="1"/>
  <c r="F40" i="27"/>
  <c r="F41" i="27" s="1"/>
  <c r="H40" i="27"/>
  <c r="H41" i="27" s="1"/>
  <c r="D24" i="27"/>
  <c r="M17" i="27"/>
  <c r="M18" i="27"/>
  <c r="O120" i="27" l="1"/>
  <c r="O121" i="27" s="1"/>
  <c r="D47" i="5"/>
  <c r="D51" i="5" s="1"/>
  <c r="O116" i="27"/>
  <c r="D66" i="5"/>
  <c r="D68" i="5" s="1"/>
  <c r="O143" i="27"/>
  <c r="O141" i="27"/>
  <c r="G49" i="5" s="1"/>
  <c r="H119" i="1" s="1"/>
  <c r="H172" i="1" s="1"/>
  <c r="H72" i="14" s="1"/>
  <c r="M144" i="27"/>
  <c r="M147" i="27"/>
  <c r="O147" i="27" s="1"/>
  <c r="O142" i="27"/>
  <c r="O146" i="27"/>
  <c r="M92" i="27"/>
  <c r="O92" i="27" s="1"/>
  <c r="C35" i="5" s="1"/>
  <c r="O88" i="27"/>
  <c r="M89" i="27"/>
  <c r="M91" i="27"/>
  <c r="O87" i="27"/>
  <c r="M22" i="27"/>
  <c r="O22" i="27" s="1"/>
  <c r="C9" i="5" s="1"/>
  <c r="O17" i="27"/>
  <c r="M23" i="27"/>
  <c r="O23" i="27" s="1"/>
  <c r="D9" i="5" s="1"/>
  <c r="O18" i="27"/>
  <c r="L40" i="27"/>
  <c r="L41" i="27" s="1"/>
  <c r="G40" i="27"/>
  <c r="G41" i="27" s="1"/>
  <c r="M19" i="27"/>
  <c r="M21" i="27"/>
  <c r="C66" i="5" l="1"/>
  <c r="C68" i="5" s="1"/>
  <c r="O144" i="27"/>
  <c r="M149" i="27"/>
  <c r="M150" i="27" s="1"/>
  <c r="O149" i="27"/>
  <c r="P146" i="27" s="1"/>
  <c r="B66" i="5"/>
  <c r="B68" i="5" s="1"/>
  <c r="K8" i="1" s="1"/>
  <c r="O89" i="27"/>
  <c r="O19" i="27"/>
  <c r="M93" i="27"/>
  <c r="M94" i="27" s="1"/>
  <c r="O91" i="27"/>
  <c r="M24" i="27"/>
  <c r="M25" i="27" s="1"/>
  <c r="O21" i="27"/>
  <c r="E66" i="5" l="1"/>
  <c r="E68" i="5" s="1"/>
  <c r="O150" i="27"/>
  <c r="P149" i="27"/>
  <c r="P148" i="27"/>
  <c r="P147" i="27"/>
  <c r="O93" i="27"/>
  <c r="O94" i="27" s="1"/>
  <c r="B35" i="5"/>
  <c r="D40" i="27"/>
  <c r="D41" i="27" s="1"/>
  <c r="O24" i="27"/>
  <c r="O25" i="27" s="1"/>
  <c r="B9" i="5"/>
  <c r="Q93" i="20" l="1"/>
  <c r="Q94" i="20"/>
  <c r="Q92" i="20"/>
  <c r="G38" i="5" l="1"/>
  <c r="G119" i="1" s="1"/>
  <c r="E38" i="5"/>
  <c r="E17" i="5"/>
  <c r="G17" i="5"/>
  <c r="E119" i="1" s="1"/>
  <c r="D16" i="5"/>
  <c r="G27" i="1" l="1"/>
  <c r="H50" i="1"/>
  <c r="H57" i="14" s="1"/>
  <c r="E27" i="1"/>
  <c r="F50" i="1"/>
  <c r="F57" i="14" s="1"/>
  <c r="D19" i="5"/>
  <c r="B38" i="5"/>
  <c r="C134" i="1"/>
  <c r="G8" i="1" l="1"/>
  <c r="D37" i="5"/>
  <c r="D41" i="5" s="1"/>
  <c r="G50" i="1" l="1"/>
  <c r="C38" i="5"/>
  <c r="H32" i="1" s="1"/>
  <c r="H51" i="14" s="1"/>
  <c r="Q45" i="6"/>
  <c r="G9" i="1" l="1"/>
  <c r="D38" i="5"/>
  <c r="D40" i="5" l="1"/>
  <c r="AD1" i="10" l="1"/>
  <c r="AO1" i="9"/>
  <c r="AN1" i="9"/>
  <c r="AM1" i="9"/>
  <c r="AD4" i="10" l="1"/>
  <c r="AD35" i="10"/>
  <c r="AM94" i="9"/>
  <c r="AM89" i="9"/>
  <c r="AM95" i="9"/>
  <c r="AM90" i="9"/>
  <c r="AM91" i="9"/>
  <c r="AM92" i="9"/>
  <c r="AM93" i="9"/>
  <c r="AM98" i="9"/>
  <c r="AM102" i="9"/>
  <c r="AM99" i="9"/>
  <c r="AM103" i="9"/>
  <c r="AM100" i="9"/>
  <c r="AM96" i="9"/>
  <c r="AM97" i="9"/>
  <c r="AS97" i="9" s="1"/>
  <c r="AM104" i="9"/>
  <c r="AN87" i="9"/>
  <c r="AN104" i="9"/>
  <c r="AN88" i="9"/>
  <c r="AN89" i="9"/>
  <c r="AN90" i="9"/>
  <c r="AN91" i="9"/>
  <c r="AN92" i="9"/>
  <c r="AN93" i="9"/>
  <c r="AN94" i="9"/>
  <c r="AN97" i="9"/>
  <c r="AT97" i="9" s="1"/>
  <c r="AN98" i="9"/>
  <c r="AN99" i="9"/>
  <c r="AN100" i="9"/>
  <c r="AN102" i="9"/>
  <c r="AN96" i="9"/>
  <c r="AN103" i="9"/>
  <c r="AN95" i="9"/>
  <c r="AO88" i="9"/>
  <c r="AO89" i="9"/>
  <c r="AO90" i="9"/>
  <c r="AO91" i="9"/>
  <c r="AO94" i="9"/>
  <c r="AO92" i="9"/>
  <c r="AO95" i="9"/>
  <c r="AO93" i="9"/>
  <c r="AO98" i="9"/>
  <c r="AO103" i="9"/>
  <c r="AO99" i="9"/>
  <c r="AO102" i="9"/>
  <c r="AO86" i="9"/>
  <c r="AO100" i="9"/>
  <c r="AO85" i="9"/>
  <c r="AO87" i="9"/>
  <c r="AO96" i="9"/>
  <c r="AO97" i="9"/>
  <c r="AU97" i="9" s="1"/>
  <c r="AO104" i="9"/>
  <c r="AO154" i="9"/>
  <c r="AM154" i="9"/>
  <c r="AN154" i="9"/>
  <c r="AN33" i="9"/>
  <c r="AN34" i="9"/>
  <c r="AN60" i="9"/>
  <c r="AN61" i="9"/>
  <c r="AM33" i="9"/>
  <c r="AM60" i="9"/>
  <c r="AM34" i="9"/>
  <c r="AM61" i="9"/>
  <c r="AO34" i="9"/>
  <c r="AO60" i="9"/>
  <c r="AO61" i="9"/>
  <c r="AO33" i="9"/>
  <c r="AM56" i="9"/>
  <c r="AM79" i="9"/>
  <c r="AN56" i="9"/>
  <c r="AN79" i="9"/>
  <c r="AO56" i="9"/>
  <c r="AO79" i="9"/>
  <c r="AO68" i="9"/>
  <c r="AO4" i="9"/>
  <c r="AD49" i="10"/>
  <c r="AE49" i="10" s="1"/>
  <c r="AD46" i="10"/>
  <c r="AE46" i="10" s="1"/>
  <c r="AD39" i="10"/>
  <c r="AE39" i="10" s="1"/>
  <c r="AD40" i="10"/>
  <c r="AE40" i="10" s="1"/>
  <c r="AD45" i="10"/>
  <c r="AD47" i="10"/>
  <c r="AD44" i="10"/>
  <c r="AD8" i="10"/>
  <c r="AD43" i="10"/>
  <c r="AE43" i="10" s="1"/>
  <c r="AD41" i="10"/>
  <c r="AE41" i="10" s="1"/>
  <c r="AD48" i="10"/>
  <c r="AD42" i="10"/>
  <c r="AE44" i="10" l="1"/>
  <c r="AE47" i="10"/>
  <c r="AE45" i="10"/>
  <c r="AE42" i="10"/>
  <c r="AE48" i="10"/>
  <c r="D42" i="5"/>
  <c r="D43" i="5" s="1"/>
  <c r="D20" i="5"/>
  <c r="G18" i="1" l="1"/>
  <c r="H18" i="1"/>
  <c r="I53" i="18"/>
  <c r="H41" i="1" l="1"/>
  <c r="N19" i="7"/>
  <c r="F38" i="5"/>
  <c r="F17" i="5"/>
  <c r="E25" i="1" l="1"/>
  <c r="F48" i="1"/>
  <c r="F56" i="14" s="1"/>
  <c r="G25" i="1"/>
  <c r="H48" i="1"/>
  <c r="H56" i="14" s="1"/>
  <c r="H53" i="14"/>
  <c r="Q24" i="18" l="1"/>
  <c r="G48" i="1"/>
  <c r="H71" i="14"/>
  <c r="H64" i="14"/>
  <c r="F71" i="14"/>
  <c r="F64" i="14"/>
  <c r="Z1" i="10"/>
  <c r="E74" i="14" l="1"/>
  <c r="L38" i="1"/>
  <c r="K38" i="1"/>
  <c r="I38" i="1"/>
  <c r="G38" i="1"/>
  <c r="E38" i="1"/>
  <c r="D38" i="1"/>
  <c r="E82" i="14" l="1"/>
  <c r="E85" i="14" s="1"/>
  <c r="C38" i="1"/>
  <c r="L21" i="1" l="1"/>
  <c r="Q63" i="6"/>
  <c r="Q62" i="6"/>
  <c r="Q61" i="6"/>
  <c r="Q60" i="6"/>
  <c r="Q59" i="6"/>
  <c r="Q58" i="6"/>
  <c r="Q57" i="6"/>
  <c r="Q56" i="6"/>
  <c r="Q55" i="6"/>
  <c r="Q54" i="6"/>
  <c r="Q53" i="6"/>
  <c r="Q52" i="6"/>
  <c r="Q51" i="6"/>
  <c r="Q50" i="6"/>
  <c r="Q49" i="6"/>
  <c r="Q48" i="6"/>
  <c r="Q47" i="6"/>
  <c r="P4" i="6"/>
  <c r="Q4" i="6"/>
  <c r="P5" i="6"/>
  <c r="Q5" i="6"/>
  <c r="P6" i="6"/>
  <c r="Q6" i="6"/>
  <c r="P7" i="6"/>
  <c r="Q7" i="6"/>
  <c r="P8" i="6"/>
  <c r="Q8" i="6"/>
  <c r="P9" i="6"/>
  <c r="Q9" i="6"/>
  <c r="P10" i="6"/>
  <c r="Q10" i="6"/>
  <c r="P11" i="6"/>
  <c r="Q11" i="6"/>
  <c r="P12" i="6"/>
  <c r="Q12" i="6"/>
  <c r="P13" i="6"/>
  <c r="Q13" i="6"/>
  <c r="P14" i="6"/>
  <c r="Q14" i="6"/>
  <c r="P15" i="6"/>
  <c r="Q15" i="6"/>
  <c r="P16" i="6"/>
  <c r="Q16" i="6"/>
  <c r="P17" i="6"/>
  <c r="Q17" i="6"/>
  <c r="P18" i="6"/>
  <c r="Q18" i="6"/>
  <c r="P19" i="6"/>
  <c r="Q19" i="6"/>
  <c r="P20" i="6"/>
  <c r="Q20" i="6"/>
  <c r="P21" i="6"/>
  <c r="Q21" i="6"/>
  <c r="P22" i="6"/>
  <c r="Q22" i="6"/>
  <c r="P25" i="6" l="1"/>
  <c r="Q25" i="6"/>
  <c r="B58" i="5" s="1"/>
  <c r="Q159" i="6"/>
  <c r="Q173" i="6"/>
  <c r="Q163" i="6"/>
  <c r="Q177" i="6"/>
  <c r="Q170" i="6"/>
  <c r="R16" i="6"/>
  <c r="R20" i="6"/>
  <c r="S20" i="6" s="1"/>
  <c r="R13" i="6"/>
  <c r="R10" i="6"/>
  <c r="R6" i="6"/>
  <c r="R5" i="6"/>
  <c r="R14" i="6"/>
  <c r="R12" i="6"/>
  <c r="R11" i="6"/>
  <c r="R9" i="6"/>
  <c r="R7" i="6"/>
  <c r="R22" i="6"/>
  <c r="R18" i="6"/>
  <c r="R8" i="6"/>
  <c r="R4" i="6"/>
  <c r="Q174" i="6"/>
  <c r="Q171" i="6"/>
  <c r="Q176" i="6"/>
  <c r="Q172" i="6"/>
  <c r="Q169" i="6"/>
  <c r="Q167" i="6"/>
  <c r="Q166" i="6"/>
  <c r="Q164" i="6"/>
  <c r="Q162" i="6"/>
  <c r="Q160" i="6"/>
  <c r="Q175" i="6"/>
  <c r="Q168" i="6"/>
  <c r="Q165" i="6"/>
  <c r="Q161" i="6"/>
  <c r="R21" i="6"/>
  <c r="R19" i="6"/>
  <c r="R17" i="6"/>
  <c r="R15" i="6"/>
  <c r="R25" i="6" l="1"/>
  <c r="C58" i="5" s="1"/>
  <c r="S14" i="6"/>
  <c r="S18" i="6"/>
  <c r="S22" i="6"/>
  <c r="S15" i="6"/>
  <c r="S4" i="6"/>
  <c r="S17" i="6"/>
  <c r="S19" i="6"/>
  <c r="S8" i="6"/>
  <c r="S11" i="6"/>
  <c r="S5" i="6"/>
  <c r="S10" i="6"/>
  <c r="S16" i="6"/>
  <c r="S7" i="6"/>
  <c r="S21" i="6"/>
  <c r="S9" i="6"/>
  <c r="S12" i="6"/>
  <c r="S6" i="6"/>
  <c r="S13" i="6"/>
  <c r="G39" i="9"/>
  <c r="S25" i="6" l="1"/>
  <c r="S26" i="6" s="1"/>
  <c r="N62" i="14" l="1"/>
  <c r="I57" i="10" l="1"/>
  <c r="Q10" i="1"/>
  <c r="O57" i="1" s="1"/>
  <c r="O58" i="1" s="1"/>
  <c r="E198" i="1"/>
  <c r="E50" i="1"/>
  <c r="E57" i="14" s="1"/>
  <c r="E172" i="1"/>
  <c r="E33" i="1"/>
  <c r="E52" i="14" s="1"/>
  <c r="E34" i="1"/>
  <c r="E35" i="1"/>
  <c r="D274" i="1"/>
  <c r="D275" i="1"/>
  <c r="D283" i="1" s="1"/>
  <c r="G198" i="1"/>
  <c r="G57" i="14"/>
  <c r="G172" i="1"/>
  <c r="G173" i="1"/>
  <c r="G33" i="1"/>
  <c r="G52" i="14" s="1"/>
  <c r="G34" i="1"/>
  <c r="G35" i="1"/>
  <c r="D35" i="5"/>
  <c r="I41" i="1"/>
  <c r="I128" i="1"/>
  <c r="K31" i="1"/>
  <c r="K119" i="1"/>
  <c r="K172" i="1" s="1"/>
  <c r="K72" i="14" s="1"/>
  <c r="K33" i="1"/>
  <c r="K52" i="14" s="1"/>
  <c r="K34" i="1"/>
  <c r="K35" i="1"/>
  <c r="AK81" i="9"/>
  <c r="AL81" i="9"/>
  <c r="AM81" i="9"/>
  <c r="AN81" i="9"/>
  <c r="L41" i="1"/>
  <c r="L181" i="1" s="1"/>
  <c r="L128" i="1"/>
  <c r="D8" i="1"/>
  <c r="D9" i="1"/>
  <c r="D10" i="1"/>
  <c r="D165" i="1"/>
  <c r="D34" i="1"/>
  <c r="D169" i="1" s="1"/>
  <c r="D35" i="1"/>
  <c r="E9" i="5"/>
  <c r="I34" i="1"/>
  <c r="I35" i="1"/>
  <c r="I21" i="1"/>
  <c r="I44" i="1" s="1"/>
  <c r="I54" i="14" s="1"/>
  <c r="D116" i="20"/>
  <c r="D114" i="20"/>
  <c r="D112" i="20"/>
  <c r="D90" i="20"/>
  <c r="D89" i="20"/>
  <c r="D87" i="20"/>
  <c r="D86" i="20"/>
  <c r="D85" i="20"/>
  <c r="D73" i="20"/>
  <c r="D72" i="20"/>
  <c r="D70" i="20"/>
  <c r="D69" i="20"/>
  <c r="D38" i="20"/>
  <c r="D35" i="20"/>
  <c r="D16" i="20"/>
  <c r="D15" i="20"/>
  <c r="D14" i="20"/>
  <c r="D12" i="20"/>
  <c r="B2" i="1"/>
  <c r="N12" i="20"/>
  <c r="N25" i="20" s="1"/>
  <c r="Q25" i="20" s="1"/>
  <c r="E26" i="14"/>
  <c r="N32" i="20" s="1"/>
  <c r="K26" i="14"/>
  <c r="N112" i="20" s="1"/>
  <c r="Q112" i="20" s="1"/>
  <c r="E32" i="14"/>
  <c r="E42" i="14" s="1"/>
  <c r="M38" i="20" s="1"/>
  <c r="G31" i="14"/>
  <c r="N72" i="20" s="1"/>
  <c r="Q72" i="20" s="1"/>
  <c r="G32" i="14"/>
  <c r="G42" i="14" s="1"/>
  <c r="M73" i="20" s="1"/>
  <c r="I31" i="14"/>
  <c r="I32" i="14"/>
  <c r="F7" i="7"/>
  <c r="C7" i="7"/>
  <c r="F116" i="20"/>
  <c r="H116" i="20" s="1"/>
  <c r="F114" i="20"/>
  <c r="F70" i="20"/>
  <c r="H70" i="20" s="1"/>
  <c r="F35" i="20"/>
  <c r="H35" i="20" s="1"/>
  <c r="F69" i="20"/>
  <c r="H69" i="20" s="1"/>
  <c r="F34" i="20"/>
  <c r="H34" i="20" s="1"/>
  <c r="F87" i="20"/>
  <c r="F86" i="20"/>
  <c r="F85" i="20"/>
  <c r="F16" i="20"/>
  <c r="H16" i="20" s="1"/>
  <c r="F15" i="20"/>
  <c r="F14" i="20"/>
  <c r="C9" i="44" s="1"/>
  <c r="G10" i="10"/>
  <c r="G11" i="10"/>
  <c r="G12" i="10"/>
  <c r="G13" i="10"/>
  <c r="G14" i="10"/>
  <c r="G15" i="10"/>
  <c r="G16" i="10"/>
  <c r="G17" i="10"/>
  <c r="G18" i="10"/>
  <c r="G19" i="10"/>
  <c r="G20" i="10"/>
  <c r="E148" i="9"/>
  <c r="G54" i="10"/>
  <c r="G98" i="10"/>
  <c r="G7" i="9"/>
  <c r="G8" i="9"/>
  <c r="G9" i="9"/>
  <c r="G10" i="9"/>
  <c r="G12" i="9"/>
  <c r="G13" i="9"/>
  <c r="G16" i="9"/>
  <c r="G19" i="9"/>
  <c r="G22" i="9"/>
  <c r="G25" i="9"/>
  <c r="G27" i="9"/>
  <c r="G30" i="9"/>
  <c r="G33" i="9"/>
  <c r="G36" i="9"/>
  <c r="G40" i="9"/>
  <c r="G43" i="9"/>
  <c r="G46" i="9"/>
  <c r="G49" i="9"/>
  <c r="G52" i="9"/>
  <c r="G55" i="9"/>
  <c r="G58" i="9"/>
  <c r="G65" i="9"/>
  <c r="G66" i="9"/>
  <c r="G67" i="9"/>
  <c r="G68" i="9"/>
  <c r="G71" i="9"/>
  <c r="G74" i="9"/>
  <c r="G79" i="9"/>
  <c r="G81" i="9"/>
  <c r="G82" i="9"/>
  <c r="G84" i="9"/>
  <c r="G85" i="9"/>
  <c r="G86" i="9"/>
  <c r="G87" i="9"/>
  <c r="G88" i="9"/>
  <c r="G89" i="9"/>
  <c r="AV104" i="9"/>
  <c r="G90" i="9"/>
  <c r="G91" i="9"/>
  <c r="G92" i="9"/>
  <c r="G93" i="9"/>
  <c r="G94" i="9"/>
  <c r="G95" i="9"/>
  <c r="G96" i="9"/>
  <c r="G97" i="9"/>
  <c r="G98" i="9"/>
  <c r="G99" i="9"/>
  <c r="G101" i="9"/>
  <c r="G102" i="9"/>
  <c r="G103" i="9"/>
  <c r="G105" i="9"/>
  <c r="G106" i="9"/>
  <c r="G107" i="9"/>
  <c r="G108" i="9"/>
  <c r="G133" i="9"/>
  <c r="G137" i="9"/>
  <c r="G138" i="9"/>
  <c r="G139" i="9"/>
  <c r="G140" i="9"/>
  <c r="G141" i="9"/>
  <c r="G142" i="9"/>
  <c r="D7" i="7"/>
  <c r="G7" i="7"/>
  <c r="R1" i="6"/>
  <c r="S1" i="6"/>
  <c r="E35" i="6"/>
  <c r="M35" i="6"/>
  <c r="O35" i="6"/>
  <c r="D44" i="6"/>
  <c r="E44" i="6"/>
  <c r="F44" i="6"/>
  <c r="G44" i="6"/>
  <c r="H44" i="6"/>
  <c r="I44" i="6"/>
  <c r="J44" i="6"/>
  <c r="K44" i="6"/>
  <c r="L44" i="6"/>
  <c r="M44" i="6"/>
  <c r="N44" i="6"/>
  <c r="O44" i="6"/>
  <c r="P68" i="6"/>
  <c r="D69" i="6"/>
  <c r="E69" i="6"/>
  <c r="F69" i="6"/>
  <c r="G69" i="6"/>
  <c r="H69" i="6"/>
  <c r="I69" i="6"/>
  <c r="J69" i="6"/>
  <c r="K69" i="6"/>
  <c r="L69" i="6"/>
  <c r="M69" i="6"/>
  <c r="N69" i="6"/>
  <c r="O69" i="6"/>
  <c r="D133" i="6"/>
  <c r="E133" i="6"/>
  <c r="F133" i="6"/>
  <c r="G133" i="6"/>
  <c r="H133" i="6"/>
  <c r="I133" i="6"/>
  <c r="J133" i="6"/>
  <c r="K133" i="6"/>
  <c r="L133" i="6"/>
  <c r="M133" i="6"/>
  <c r="N133" i="6"/>
  <c r="O133" i="6"/>
  <c r="D134" i="6"/>
  <c r="E134" i="6"/>
  <c r="F134" i="6"/>
  <c r="G134" i="6"/>
  <c r="H134" i="6"/>
  <c r="I134" i="6"/>
  <c r="J134" i="6"/>
  <c r="K134" i="6"/>
  <c r="L134" i="6"/>
  <c r="M134" i="6"/>
  <c r="N134" i="6"/>
  <c r="O134" i="6"/>
  <c r="D135" i="6"/>
  <c r="E135" i="6"/>
  <c r="F135" i="6"/>
  <c r="G135" i="6"/>
  <c r="H135" i="6"/>
  <c r="I135" i="6"/>
  <c r="J135" i="6"/>
  <c r="K135" i="6"/>
  <c r="L135" i="6"/>
  <c r="M135" i="6"/>
  <c r="N135" i="6"/>
  <c r="O135" i="6"/>
  <c r="D136" i="6"/>
  <c r="E136" i="6"/>
  <c r="F136" i="6"/>
  <c r="G136" i="6"/>
  <c r="H136" i="6"/>
  <c r="I136" i="6"/>
  <c r="J136" i="6"/>
  <c r="K136" i="6"/>
  <c r="L136" i="6"/>
  <c r="M136" i="6"/>
  <c r="N136" i="6"/>
  <c r="O136" i="6"/>
  <c r="D137" i="6"/>
  <c r="E137" i="6"/>
  <c r="F137" i="6"/>
  <c r="G137" i="6"/>
  <c r="H137" i="6"/>
  <c r="I137" i="6"/>
  <c r="J137" i="6"/>
  <c r="K137" i="6"/>
  <c r="L137" i="6"/>
  <c r="M137" i="6"/>
  <c r="N137" i="6"/>
  <c r="O137" i="6"/>
  <c r="D138" i="6"/>
  <c r="E138" i="6"/>
  <c r="F138" i="6"/>
  <c r="G138" i="6"/>
  <c r="H138" i="6"/>
  <c r="I138" i="6"/>
  <c r="J138" i="6"/>
  <c r="K138" i="6"/>
  <c r="L138" i="6"/>
  <c r="M138" i="6"/>
  <c r="N138" i="6"/>
  <c r="O138" i="6"/>
  <c r="G139" i="6"/>
  <c r="H139" i="6"/>
  <c r="I139" i="6"/>
  <c r="J139" i="6"/>
  <c r="K139" i="6"/>
  <c r="L139" i="6"/>
  <c r="M139" i="6"/>
  <c r="N139" i="6"/>
  <c r="O139" i="6"/>
  <c r="D140" i="6"/>
  <c r="E140" i="6"/>
  <c r="F140" i="6"/>
  <c r="G140" i="6"/>
  <c r="H140" i="6"/>
  <c r="I140" i="6"/>
  <c r="J140" i="6"/>
  <c r="K140" i="6"/>
  <c r="L140" i="6"/>
  <c r="M140" i="6"/>
  <c r="N140" i="6"/>
  <c r="O140" i="6"/>
  <c r="D141" i="6"/>
  <c r="E141" i="6"/>
  <c r="F141" i="6"/>
  <c r="G141" i="6"/>
  <c r="H141" i="6"/>
  <c r="I141" i="6"/>
  <c r="J141" i="6"/>
  <c r="K141" i="6"/>
  <c r="L141" i="6"/>
  <c r="M141" i="6"/>
  <c r="N141" i="6"/>
  <c r="O141" i="6"/>
  <c r="D142" i="6"/>
  <c r="E142" i="6"/>
  <c r="F142" i="6"/>
  <c r="G142" i="6"/>
  <c r="H142" i="6"/>
  <c r="I142" i="6"/>
  <c r="J142" i="6"/>
  <c r="K142" i="6"/>
  <c r="L142" i="6"/>
  <c r="M142" i="6"/>
  <c r="N142" i="6"/>
  <c r="O142" i="6"/>
  <c r="D143" i="6"/>
  <c r="E143" i="6"/>
  <c r="F143" i="6"/>
  <c r="G143" i="6"/>
  <c r="H143" i="6"/>
  <c r="I143" i="6"/>
  <c r="J143" i="6"/>
  <c r="K143" i="6"/>
  <c r="L143" i="6"/>
  <c r="M143" i="6"/>
  <c r="N143" i="6"/>
  <c r="O143" i="6"/>
  <c r="D144" i="6"/>
  <c r="E144" i="6"/>
  <c r="F144" i="6"/>
  <c r="G144" i="6"/>
  <c r="H144" i="6"/>
  <c r="I144" i="6"/>
  <c r="J144" i="6"/>
  <c r="K144" i="6"/>
  <c r="L144" i="6"/>
  <c r="M144" i="6"/>
  <c r="N144" i="6"/>
  <c r="O144" i="6"/>
  <c r="D145" i="6"/>
  <c r="E145" i="6"/>
  <c r="F145" i="6"/>
  <c r="G145" i="6"/>
  <c r="H145" i="6"/>
  <c r="I145" i="6"/>
  <c r="J83" i="6"/>
  <c r="J145" i="6" s="1"/>
  <c r="K83" i="6"/>
  <c r="K145" i="6" s="1"/>
  <c r="L83" i="6"/>
  <c r="L145" i="6" s="1"/>
  <c r="M83" i="6"/>
  <c r="M145" i="6" s="1"/>
  <c r="N83" i="6"/>
  <c r="N145" i="6" s="1"/>
  <c r="O83" i="6"/>
  <c r="O145" i="6" s="1"/>
  <c r="D146" i="6"/>
  <c r="E146" i="6"/>
  <c r="F146" i="6"/>
  <c r="G146" i="6"/>
  <c r="H146" i="6"/>
  <c r="I146" i="6"/>
  <c r="J84" i="6"/>
  <c r="J146" i="6" s="1"/>
  <c r="K84" i="6"/>
  <c r="K146" i="6" s="1"/>
  <c r="L84" i="6"/>
  <c r="L146" i="6" s="1"/>
  <c r="M84" i="6"/>
  <c r="M146" i="6" s="1"/>
  <c r="N84" i="6"/>
  <c r="N146" i="6" s="1"/>
  <c r="O84" i="6"/>
  <c r="O146" i="6" s="1"/>
  <c r="D147" i="6"/>
  <c r="E147" i="6"/>
  <c r="F147" i="6"/>
  <c r="G147" i="6"/>
  <c r="H147" i="6"/>
  <c r="I147" i="6"/>
  <c r="J85" i="6"/>
  <c r="J147" i="6" s="1"/>
  <c r="K85" i="6"/>
  <c r="K147" i="6" s="1"/>
  <c r="L85" i="6"/>
  <c r="L147" i="6" s="1"/>
  <c r="M85" i="6"/>
  <c r="M147" i="6" s="1"/>
  <c r="N85" i="6"/>
  <c r="N147" i="6" s="1"/>
  <c r="O85" i="6"/>
  <c r="O147" i="6" s="1"/>
  <c r="D148" i="6"/>
  <c r="E148" i="6"/>
  <c r="F148" i="6"/>
  <c r="G148" i="6"/>
  <c r="H148" i="6"/>
  <c r="I148" i="6"/>
  <c r="J86" i="6"/>
  <c r="J148" i="6" s="1"/>
  <c r="K86" i="6"/>
  <c r="K148" i="6" s="1"/>
  <c r="L86" i="6"/>
  <c r="L148" i="6" s="1"/>
  <c r="M86" i="6"/>
  <c r="M148" i="6" s="1"/>
  <c r="N86" i="6"/>
  <c r="N148" i="6" s="1"/>
  <c r="O86" i="6"/>
  <c r="O148" i="6" s="1"/>
  <c r="D149" i="6"/>
  <c r="E149" i="6"/>
  <c r="F149" i="6"/>
  <c r="G149" i="6"/>
  <c r="H149" i="6"/>
  <c r="I149" i="6"/>
  <c r="J87" i="6"/>
  <c r="J149" i="6" s="1"/>
  <c r="K87" i="6"/>
  <c r="K149" i="6" s="1"/>
  <c r="L87" i="6"/>
  <c r="L149" i="6" s="1"/>
  <c r="M87" i="6"/>
  <c r="M149" i="6" s="1"/>
  <c r="N87" i="6"/>
  <c r="N149" i="6" s="1"/>
  <c r="O87" i="6"/>
  <c r="O149" i="6" s="1"/>
  <c r="D150" i="6"/>
  <c r="E150" i="6"/>
  <c r="F150" i="6"/>
  <c r="G150" i="6"/>
  <c r="H150" i="6"/>
  <c r="I150" i="6"/>
  <c r="J88" i="6"/>
  <c r="J150" i="6" s="1"/>
  <c r="K88" i="6"/>
  <c r="K150" i="6" s="1"/>
  <c r="L88" i="6"/>
  <c r="L150" i="6" s="1"/>
  <c r="M88" i="6"/>
  <c r="M150" i="6" s="1"/>
  <c r="N88" i="6"/>
  <c r="N150" i="6" s="1"/>
  <c r="O88" i="6"/>
  <c r="O150" i="6" s="1"/>
  <c r="D124" i="6"/>
  <c r="E124" i="6"/>
  <c r="F124" i="6"/>
  <c r="G124" i="6"/>
  <c r="H124" i="6"/>
  <c r="I124" i="6"/>
  <c r="J124" i="6"/>
  <c r="K124" i="6"/>
  <c r="L124" i="6"/>
  <c r="M124" i="6"/>
  <c r="N124" i="6"/>
  <c r="O124" i="6"/>
  <c r="C119" i="14"/>
  <c r="A14" i="20"/>
  <c r="D74" i="14"/>
  <c r="D82" i="14" s="1"/>
  <c r="D85" i="14" s="1"/>
  <c r="A15" i="20"/>
  <c r="D75" i="14"/>
  <c r="D83" i="14" s="1"/>
  <c r="D86" i="14" s="1"/>
  <c r="A16" i="20"/>
  <c r="D76" i="14"/>
  <c r="D84" i="14" s="1"/>
  <c r="D87" i="14" s="1"/>
  <c r="F32" i="20"/>
  <c r="A34" i="20"/>
  <c r="E27" i="14"/>
  <c r="E37" i="14" s="1"/>
  <c r="A35" i="20"/>
  <c r="E75" i="14"/>
  <c r="E83" i="14" s="1"/>
  <c r="E86" i="14" s="1"/>
  <c r="Z38" i="14"/>
  <c r="A37" i="20"/>
  <c r="A38" i="20"/>
  <c r="F38" i="20"/>
  <c r="A69" i="20"/>
  <c r="G74" i="14"/>
  <c r="A70" i="20"/>
  <c r="G75" i="14"/>
  <c r="G83" i="14" s="1"/>
  <c r="AA38" i="14"/>
  <c r="A72" i="20"/>
  <c r="F72" i="20"/>
  <c r="A73" i="20"/>
  <c r="F73" i="20"/>
  <c r="E74" i="20"/>
  <c r="J74" i="20"/>
  <c r="S74" i="20" s="1"/>
  <c r="A85" i="20"/>
  <c r="I74" i="14"/>
  <c r="I82" i="14" s="1"/>
  <c r="I85" i="14" s="1"/>
  <c r="A86" i="20"/>
  <c r="I75" i="14"/>
  <c r="AB38" i="14"/>
  <c r="A87" i="20"/>
  <c r="I76" i="14"/>
  <c r="AB39" i="14"/>
  <c r="A89" i="20"/>
  <c r="A90" i="20"/>
  <c r="E92" i="20"/>
  <c r="J92" i="20"/>
  <c r="S92" i="20" s="1"/>
  <c r="E93" i="20"/>
  <c r="S93" i="20"/>
  <c r="E94" i="20"/>
  <c r="J94" i="20"/>
  <c r="S94" i="20" s="1"/>
  <c r="F112" i="20"/>
  <c r="K74" i="14"/>
  <c r="K82" i="14" s="1"/>
  <c r="K75" i="14"/>
  <c r="K83" i="14" s="1"/>
  <c r="AC38" i="14"/>
  <c r="D15" i="18"/>
  <c r="E12" i="14"/>
  <c r="G12" i="14"/>
  <c r="I12" i="14"/>
  <c r="K12" i="14"/>
  <c r="Q15" i="14"/>
  <c r="R15" i="14"/>
  <c r="T15" i="14"/>
  <c r="V15" i="14"/>
  <c r="Q16" i="14"/>
  <c r="R16" i="14"/>
  <c r="T16" i="14"/>
  <c r="V16" i="14"/>
  <c r="Q17" i="14"/>
  <c r="R17" i="14"/>
  <c r="T17" i="14"/>
  <c r="V17" i="14"/>
  <c r="Q20" i="14"/>
  <c r="R20" i="14"/>
  <c r="T20" i="14"/>
  <c r="V20" i="14"/>
  <c r="D24" i="14"/>
  <c r="G24" i="14"/>
  <c r="I24" i="14"/>
  <c r="K24" i="14"/>
  <c r="G26" i="14"/>
  <c r="G36" i="14" s="1"/>
  <c r="I26" i="14"/>
  <c r="I36" i="14" s="1"/>
  <c r="D31" i="14"/>
  <c r="E31" i="14"/>
  <c r="K31" i="14"/>
  <c r="D32" i="14"/>
  <c r="K32" i="14"/>
  <c r="D34" i="14"/>
  <c r="E34" i="14"/>
  <c r="G34" i="14"/>
  <c r="I34" i="14"/>
  <c r="K34" i="14"/>
  <c r="Q37" i="14"/>
  <c r="R37" i="14"/>
  <c r="T37" i="14"/>
  <c r="V37" i="14"/>
  <c r="Q38" i="14"/>
  <c r="R38" i="14"/>
  <c r="T38" i="14"/>
  <c r="V38" i="14"/>
  <c r="Y38" i="14"/>
  <c r="Q39" i="14"/>
  <c r="R39" i="14"/>
  <c r="T39" i="14"/>
  <c r="V39" i="14"/>
  <c r="Y39" i="14"/>
  <c r="Z39" i="14"/>
  <c r="AA39" i="14"/>
  <c r="AC39" i="14"/>
  <c r="Y40" i="14"/>
  <c r="Z40" i="14"/>
  <c r="AA40" i="14"/>
  <c r="AB40" i="14"/>
  <c r="AC40" i="14"/>
  <c r="Q42" i="14"/>
  <c r="R42" i="14"/>
  <c r="T42" i="14"/>
  <c r="V42" i="14"/>
  <c r="D57" i="14"/>
  <c r="K57" i="14"/>
  <c r="D61" i="14"/>
  <c r="D63" i="14" s="1"/>
  <c r="E61" i="14"/>
  <c r="E63" i="14" s="1"/>
  <c r="G61" i="14"/>
  <c r="G63" i="14" s="1"/>
  <c r="I61" i="14"/>
  <c r="I63" i="14" s="1"/>
  <c r="O62" i="14"/>
  <c r="P62" i="14"/>
  <c r="D65" i="14"/>
  <c r="D67" i="14" s="1"/>
  <c r="E65" i="14"/>
  <c r="E67" i="14" s="1"/>
  <c r="G65" i="14"/>
  <c r="I65" i="14"/>
  <c r="I67" i="14" s="1"/>
  <c r="K65" i="14"/>
  <c r="K67" i="14" s="1"/>
  <c r="N66" i="14"/>
  <c r="O66" i="14"/>
  <c r="P66" i="14"/>
  <c r="D68" i="14"/>
  <c r="D70" i="14" s="1"/>
  <c r="G70" i="14"/>
  <c r="K68" i="14"/>
  <c r="K70" i="14" s="1"/>
  <c r="N69" i="14"/>
  <c r="O69" i="14"/>
  <c r="P69" i="14"/>
  <c r="E70" i="14"/>
  <c r="D72" i="14"/>
  <c r="E76" i="14"/>
  <c r="E84" i="14" s="1"/>
  <c r="E87" i="14" s="1"/>
  <c r="E29" i="14" s="1"/>
  <c r="G76" i="14"/>
  <c r="G84" i="14" s="1"/>
  <c r="G87" i="14" s="1"/>
  <c r="G29" i="14" s="1"/>
  <c r="K76" i="14"/>
  <c r="K84" i="14" s="1"/>
  <c r="P79" i="14"/>
  <c r="P83" i="14"/>
  <c r="P86" i="14" s="1"/>
  <c r="P85" i="14"/>
  <c r="Q86" i="14"/>
  <c r="P87" i="14"/>
  <c r="I90" i="14"/>
  <c r="A95" i="14"/>
  <c r="G100" i="14"/>
  <c r="I100" i="14"/>
  <c r="K101" i="14"/>
  <c r="I103" i="14"/>
  <c r="C169" i="1"/>
  <c r="C116" i="1"/>
  <c r="C108" i="14"/>
  <c r="F108" i="14"/>
  <c r="B109" i="14"/>
  <c r="Q9" i="1"/>
  <c r="S6" i="1" s="1"/>
  <c r="L31" i="1"/>
  <c r="L32" i="1"/>
  <c r="L33" i="1"/>
  <c r="L34" i="1"/>
  <c r="L44" i="1"/>
  <c r="O55" i="1"/>
  <c r="O56" i="1"/>
  <c r="C112" i="1"/>
  <c r="C165" i="1"/>
  <c r="B209" i="1"/>
  <c r="B264" i="1"/>
  <c r="K9" i="1"/>
  <c r="AD51" i="10"/>
  <c r="AD52" i="10"/>
  <c r="AD53" i="10"/>
  <c r="G31" i="1"/>
  <c r="J59" i="1"/>
  <c r="J70" i="1"/>
  <c r="F70" i="1"/>
  <c r="H59" i="1"/>
  <c r="G62" i="1"/>
  <c r="L64" i="1"/>
  <c r="F69" i="1"/>
  <c r="I64" i="1"/>
  <c r="I69" i="1"/>
  <c r="I59" i="1"/>
  <c r="F62" i="1"/>
  <c r="E69" i="1"/>
  <c r="D63" i="1"/>
  <c r="E62" i="1"/>
  <c r="J69" i="1"/>
  <c r="F63" i="1"/>
  <c r="K70" i="1"/>
  <c r="H70" i="1"/>
  <c r="L63" i="1"/>
  <c r="D64" i="1"/>
  <c r="H69" i="1"/>
  <c r="G59" i="1"/>
  <c r="H62" i="1"/>
  <c r="G70" i="1"/>
  <c r="J63" i="1"/>
  <c r="K64" i="1"/>
  <c r="H64" i="1"/>
  <c r="E63" i="1"/>
  <c r="J62" i="1"/>
  <c r="H63" i="1"/>
  <c r="J64" i="1"/>
  <c r="K63" i="1"/>
  <c r="L62" i="1"/>
  <c r="F64" i="1"/>
  <c r="L70" i="1"/>
  <c r="D70" i="1"/>
  <c r="I70" i="1"/>
  <c r="L69" i="1"/>
  <c r="I63" i="1"/>
  <c r="E70" i="1"/>
  <c r="K62" i="1"/>
  <c r="D69" i="1"/>
  <c r="E64" i="1"/>
  <c r="G69" i="1"/>
  <c r="D59" i="1"/>
  <c r="I62" i="1"/>
  <c r="F59" i="1"/>
  <c r="G64" i="1"/>
  <c r="D62" i="1"/>
  <c r="G63" i="1"/>
  <c r="K69" i="1"/>
  <c r="L59" i="1"/>
  <c r="E59" i="1"/>
  <c r="K59" i="1"/>
  <c r="F57" i="20" l="1"/>
  <c r="E57" i="20" s="1"/>
  <c r="F51" i="20"/>
  <c r="E51" i="20" s="1"/>
  <c r="Q32" i="20"/>
  <c r="N57" i="20"/>
  <c r="Q57" i="20" s="1"/>
  <c r="N51" i="20"/>
  <c r="Q51" i="20" s="1"/>
  <c r="D19" i="20"/>
  <c r="D25" i="20"/>
  <c r="Q12" i="20"/>
  <c r="N19" i="20"/>
  <c r="Q19" i="20" s="1"/>
  <c r="C17" i="44"/>
  <c r="C11" i="44"/>
  <c r="C14" i="44"/>
  <c r="C13" i="44"/>
  <c r="C12" i="44"/>
  <c r="C15" i="44"/>
  <c r="C16" i="44"/>
  <c r="C10" i="44"/>
  <c r="H15" i="20"/>
  <c r="D9" i="44"/>
  <c r="E146" i="1"/>
  <c r="G146" i="1"/>
  <c r="K146" i="1"/>
  <c r="K147" i="1" s="1"/>
  <c r="K87" i="14"/>
  <c r="H117" i="1"/>
  <c r="G117" i="1"/>
  <c r="N103" i="9"/>
  <c r="Q100" i="9"/>
  <c r="Q99" i="9"/>
  <c r="P100" i="9"/>
  <c r="Q101" i="9"/>
  <c r="Q102" i="9"/>
  <c r="P101" i="9"/>
  <c r="N102" i="9"/>
  <c r="P102" i="9"/>
  <c r="O100" i="9"/>
  <c r="O101" i="9"/>
  <c r="N101" i="9"/>
  <c r="O102" i="9"/>
  <c r="N99" i="9"/>
  <c r="N100" i="9"/>
  <c r="AH99" i="9"/>
  <c r="AH92" i="9"/>
  <c r="AG102" i="9"/>
  <c r="AE93" i="9"/>
  <c r="AG103" i="9"/>
  <c r="AE100" i="9"/>
  <c r="AH100" i="9"/>
  <c r="AH93" i="9"/>
  <c r="AE94" i="9"/>
  <c r="AH102" i="9"/>
  <c r="AH94" i="9"/>
  <c r="AG104" i="9"/>
  <c r="AE95" i="9"/>
  <c r="AF93" i="9"/>
  <c r="AH98" i="9"/>
  <c r="AI95" i="9"/>
  <c r="AH103" i="9"/>
  <c r="AH95" i="9"/>
  <c r="AF92" i="9"/>
  <c r="AE96" i="9"/>
  <c r="AE97" i="9"/>
  <c r="AF95" i="9"/>
  <c r="AF96" i="9"/>
  <c r="AH104" i="9"/>
  <c r="AH96" i="9"/>
  <c r="AI94" i="9"/>
  <c r="AG92" i="9"/>
  <c r="AI93" i="9"/>
  <c r="AH97" i="9"/>
  <c r="AF94" i="9"/>
  <c r="AE98" i="9"/>
  <c r="AE99" i="9"/>
  <c r="AI98" i="9"/>
  <c r="AG95" i="9"/>
  <c r="AF99" i="9"/>
  <c r="AF103" i="9"/>
  <c r="AI103" i="9"/>
  <c r="AI99" i="9"/>
  <c r="AG96" i="9"/>
  <c r="AF100" i="9"/>
  <c r="AG97" i="9"/>
  <c r="AG98" i="9"/>
  <c r="AG99" i="9"/>
  <c r="AI100" i="9"/>
  <c r="AF102" i="9"/>
  <c r="AI102" i="9"/>
  <c r="AE91" i="9"/>
  <c r="AI96" i="9"/>
  <c r="AI97" i="9"/>
  <c r="AI104" i="9"/>
  <c r="AG94" i="9"/>
  <c r="AF97" i="9"/>
  <c r="AE92" i="9"/>
  <c r="AG93" i="9"/>
  <c r="AG100" i="9"/>
  <c r="AF98" i="9"/>
  <c r="D221" i="1"/>
  <c r="D31" i="1"/>
  <c r="O25" i="9"/>
  <c r="AA25" i="9" s="1"/>
  <c r="N33" i="9"/>
  <c r="Z33" i="9" s="1"/>
  <c r="V4" i="10"/>
  <c r="V35" i="10"/>
  <c r="W35" i="10"/>
  <c r="N35" i="10"/>
  <c r="M35" i="10"/>
  <c r="M143" i="9"/>
  <c r="P143" i="9"/>
  <c r="AI143" i="9"/>
  <c r="Q143" i="9"/>
  <c r="O143" i="9"/>
  <c r="AG143" i="9"/>
  <c r="AE143" i="9"/>
  <c r="AF143" i="9"/>
  <c r="N143" i="9"/>
  <c r="AH143" i="9"/>
  <c r="Q154" i="9"/>
  <c r="AI90" i="9"/>
  <c r="AU90" i="9" s="1"/>
  <c r="AH90" i="9"/>
  <c r="AT90" i="9" s="1"/>
  <c r="AG90" i="9"/>
  <c r="AS90" i="9" s="1"/>
  <c r="AF90" i="9"/>
  <c r="AR90" i="9" s="1"/>
  <c r="N154" i="9"/>
  <c r="AE90" i="9"/>
  <c r="AQ90" i="9" s="1"/>
  <c r="Q90" i="9"/>
  <c r="AC90" i="9" s="1"/>
  <c r="M154" i="9"/>
  <c r="P90" i="9"/>
  <c r="AB90" i="9" s="1"/>
  <c r="O90" i="9"/>
  <c r="AA90" i="9" s="1"/>
  <c r="N90" i="9"/>
  <c r="Z90" i="9" s="1"/>
  <c r="M90" i="9"/>
  <c r="N89" i="9"/>
  <c r="O154" i="9"/>
  <c r="Q89" i="9"/>
  <c r="P89" i="9"/>
  <c r="O89" i="9"/>
  <c r="M89" i="9"/>
  <c r="P154" i="9"/>
  <c r="I84" i="14"/>
  <c r="I87" i="14" s="1"/>
  <c r="R65" i="6"/>
  <c r="R64" i="6"/>
  <c r="AI60" i="9"/>
  <c r="AU60" i="9" s="1"/>
  <c r="O60" i="9"/>
  <c r="AA60" i="9" s="1"/>
  <c r="O34" i="9"/>
  <c r="AE33" i="9"/>
  <c r="AQ33" i="9" s="1"/>
  <c r="M60" i="9"/>
  <c r="AH60" i="9"/>
  <c r="AT60" i="9" s="1"/>
  <c r="N60" i="9"/>
  <c r="Z60" i="9" s="1"/>
  <c r="N34" i="9"/>
  <c r="Q61" i="9"/>
  <c r="AG60" i="9"/>
  <c r="AS60" i="9" s="1"/>
  <c r="P61" i="9"/>
  <c r="AF60" i="9"/>
  <c r="AR60" i="9" s="1"/>
  <c r="Q33" i="9"/>
  <c r="AC33" i="9" s="1"/>
  <c r="P33" i="9"/>
  <c r="AB33" i="9" s="1"/>
  <c r="P34" i="9"/>
  <c r="O61" i="9"/>
  <c r="AA61" i="9" s="1"/>
  <c r="AE60" i="9"/>
  <c r="AQ60" i="9" s="1"/>
  <c r="AI33" i="9"/>
  <c r="AU33" i="9" s="1"/>
  <c r="M33" i="9"/>
  <c r="N61" i="9"/>
  <c r="AH33" i="9"/>
  <c r="AT33" i="9" s="1"/>
  <c r="O33" i="9"/>
  <c r="AA33" i="9" s="1"/>
  <c r="P60" i="9"/>
  <c r="AB60" i="9" s="1"/>
  <c r="M34" i="9"/>
  <c r="M61" i="9"/>
  <c r="Q60" i="9"/>
  <c r="AC60" i="9" s="1"/>
  <c r="Q34" i="9"/>
  <c r="AG33" i="9"/>
  <c r="AS33" i="9" s="1"/>
  <c r="AF33" i="9"/>
  <c r="AR33" i="9" s="1"/>
  <c r="N32" i="9"/>
  <c r="Z32" i="9" s="1"/>
  <c r="F139" i="6"/>
  <c r="F118" i="6"/>
  <c r="F113" i="6"/>
  <c r="E139" i="6"/>
  <c r="E118" i="6"/>
  <c r="E113" i="6"/>
  <c r="D139" i="6"/>
  <c r="M132" i="6"/>
  <c r="E132" i="6"/>
  <c r="L132" i="6"/>
  <c r="D132" i="6"/>
  <c r="K132" i="6"/>
  <c r="J132" i="6"/>
  <c r="I132" i="6"/>
  <c r="H132" i="6"/>
  <c r="O132" i="6"/>
  <c r="G132" i="6"/>
  <c r="N132" i="6"/>
  <c r="F132" i="6"/>
  <c r="H111" i="1"/>
  <c r="A101" i="20"/>
  <c r="A100" i="20"/>
  <c r="J125" i="1"/>
  <c r="J117" i="1"/>
  <c r="H114" i="1"/>
  <c r="F111" i="1"/>
  <c r="H114" i="20"/>
  <c r="W50" i="10"/>
  <c r="N50" i="10"/>
  <c r="V50" i="10"/>
  <c r="AO25" i="9"/>
  <c r="AO81" i="9"/>
  <c r="N46" i="10"/>
  <c r="M46" i="10"/>
  <c r="W46" i="10"/>
  <c r="V46" i="10"/>
  <c r="V49" i="10"/>
  <c r="M49" i="10"/>
  <c r="W49" i="10"/>
  <c r="N49" i="10"/>
  <c r="AO11" i="9"/>
  <c r="AO13" i="9"/>
  <c r="AO19" i="9"/>
  <c r="AO9" i="9"/>
  <c r="AO22" i="9"/>
  <c r="AO20" i="9"/>
  <c r="AO6" i="9"/>
  <c r="AO12" i="9"/>
  <c r="AO18" i="9"/>
  <c r="AO14" i="9"/>
  <c r="AO24" i="9"/>
  <c r="AO16" i="9"/>
  <c r="AO21" i="9"/>
  <c r="AO23" i="9"/>
  <c r="AO7" i="9"/>
  <c r="AO10" i="9"/>
  <c r="AO15" i="9"/>
  <c r="AO17" i="9"/>
  <c r="AO8" i="9"/>
  <c r="AO5" i="9"/>
  <c r="AN9" i="9"/>
  <c r="AN22" i="9"/>
  <c r="AN20" i="9"/>
  <c r="AN6" i="9"/>
  <c r="AN12" i="9"/>
  <c r="AN18" i="9"/>
  <c r="AN14" i="9"/>
  <c r="AN24" i="9"/>
  <c r="AN4" i="9"/>
  <c r="AN16" i="9"/>
  <c r="AN21" i="9"/>
  <c r="AN23" i="9"/>
  <c r="AN5" i="9"/>
  <c r="AN8" i="9"/>
  <c r="AN11" i="9"/>
  <c r="AN13" i="9"/>
  <c r="AN19" i="9"/>
  <c r="AN25" i="9"/>
  <c r="AN7" i="9"/>
  <c r="AN17" i="9"/>
  <c r="AN10" i="9"/>
  <c r="AN15" i="9"/>
  <c r="AM20" i="9"/>
  <c r="AM6" i="9"/>
  <c r="AM12" i="9"/>
  <c r="AM18" i="9"/>
  <c r="AM14" i="9"/>
  <c r="AM24" i="9"/>
  <c r="AM16" i="9"/>
  <c r="AM21" i="9"/>
  <c r="AM23" i="9"/>
  <c r="AM5" i="9"/>
  <c r="AM8" i="9"/>
  <c r="AM7" i="9"/>
  <c r="AM10" i="9"/>
  <c r="AM15" i="9"/>
  <c r="AM17" i="9"/>
  <c r="AM4" i="9"/>
  <c r="AM9" i="9"/>
  <c r="AM22" i="9"/>
  <c r="AM11" i="9"/>
  <c r="AM13" i="9"/>
  <c r="AM19" i="9"/>
  <c r="AM25" i="9"/>
  <c r="AK6" i="9"/>
  <c r="AK12" i="9"/>
  <c r="AK18" i="9"/>
  <c r="AK14" i="9"/>
  <c r="AK24" i="9"/>
  <c r="AK16" i="9"/>
  <c r="AK21" i="9"/>
  <c r="AK23" i="9"/>
  <c r="AK5" i="9"/>
  <c r="AK8" i="9"/>
  <c r="AK7" i="9"/>
  <c r="AK10" i="9"/>
  <c r="AK15" i="9"/>
  <c r="AK17" i="9"/>
  <c r="AK11" i="9"/>
  <c r="AK13" i="9"/>
  <c r="AK19" i="9"/>
  <c r="AK25" i="9"/>
  <c r="AK20" i="9"/>
  <c r="AK22" i="9"/>
  <c r="AK4" i="9"/>
  <c r="AK9" i="9"/>
  <c r="AL76" i="9"/>
  <c r="AL50" i="9"/>
  <c r="AL97" i="9"/>
  <c r="AR97" i="9" s="1"/>
  <c r="O91" i="6"/>
  <c r="G91" i="6"/>
  <c r="F91" i="6"/>
  <c r="M91" i="6"/>
  <c r="E91" i="6"/>
  <c r="N91" i="6"/>
  <c r="L91" i="6"/>
  <c r="D91" i="6"/>
  <c r="H91" i="6"/>
  <c r="K91" i="6"/>
  <c r="J91" i="6"/>
  <c r="I91" i="6"/>
  <c r="E118" i="1"/>
  <c r="G107" i="6"/>
  <c r="V47" i="10"/>
  <c r="V45" i="10"/>
  <c r="W45" i="10"/>
  <c r="W47" i="10"/>
  <c r="M107" i="6"/>
  <c r="E107" i="6"/>
  <c r="E102" i="6"/>
  <c r="L107" i="6"/>
  <c r="L102" i="6"/>
  <c r="D102" i="6"/>
  <c r="J107" i="6"/>
  <c r="R45" i="6"/>
  <c r="AL143" i="9"/>
  <c r="AL78" i="9" s="1"/>
  <c r="N107" i="6"/>
  <c r="N102" i="6"/>
  <c r="I107" i="6"/>
  <c r="O107" i="6"/>
  <c r="F107" i="6"/>
  <c r="F102" i="6"/>
  <c r="K107" i="6"/>
  <c r="K102" i="6"/>
  <c r="H107" i="6"/>
  <c r="R93" i="20"/>
  <c r="AO129" i="9"/>
  <c r="AK129" i="9"/>
  <c r="AM129" i="9"/>
  <c r="AN129" i="9"/>
  <c r="M47" i="10"/>
  <c r="N44" i="10"/>
  <c r="AB44" i="10" s="1"/>
  <c r="AH44" i="10" s="1"/>
  <c r="N47" i="10"/>
  <c r="M45" i="10"/>
  <c r="N45" i="10"/>
  <c r="M44" i="10"/>
  <c r="AA44" i="10" s="1"/>
  <c r="AG44" i="10" s="1"/>
  <c r="V44" i="10"/>
  <c r="W44" i="10"/>
  <c r="E28" i="14"/>
  <c r="E38" i="14" s="1"/>
  <c r="AL121" i="9"/>
  <c r="AL85" i="9"/>
  <c r="AL71" i="9"/>
  <c r="AL46" i="9"/>
  <c r="AN148" i="9"/>
  <c r="AN147" i="9"/>
  <c r="AM148" i="9"/>
  <c r="AM147" i="9"/>
  <c r="AO148" i="9"/>
  <c r="AO147" i="9"/>
  <c r="AK148" i="9"/>
  <c r="AK147" i="9"/>
  <c r="AK91" i="9"/>
  <c r="AK96" i="9"/>
  <c r="M50" i="10"/>
  <c r="W43" i="10"/>
  <c r="M43" i="10"/>
  <c r="AA43" i="10" s="1"/>
  <c r="W48" i="10"/>
  <c r="W42" i="10"/>
  <c r="M41" i="10"/>
  <c r="N43" i="10"/>
  <c r="M42" i="10"/>
  <c r="N48" i="10"/>
  <c r="V43" i="10"/>
  <c r="W41" i="10"/>
  <c r="N41" i="10"/>
  <c r="M48" i="10"/>
  <c r="N42" i="10"/>
  <c r="V41" i="10"/>
  <c r="V48" i="10"/>
  <c r="V42" i="10"/>
  <c r="V31" i="10"/>
  <c r="M31" i="10"/>
  <c r="W31" i="10"/>
  <c r="N31" i="10"/>
  <c r="F89" i="20"/>
  <c r="E89" i="20" s="1"/>
  <c r="F90" i="20"/>
  <c r="H14" i="20"/>
  <c r="E14" i="20"/>
  <c r="E27" i="20" s="1"/>
  <c r="E115" i="20"/>
  <c r="U115" i="20" s="1"/>
  <c r="AM78" i="9"/>
  <c r="AM121" i="9"/>
  <c r="AO78" i="9"/>
  <c r="AO121" i="9"/>
  <c r="AK78" i="9"/>
  <c r="AK94" i="9"/>
  <c r="AK121" i="9"/>
  <c r="AN78" i="9"/>
  <c r="AN121" i="9"/>
  <c r="M18" i="10"/>
  <c r="S18" i="10" s="1"/>
  <c r="N53" i="10"/>
  <c r="T53" i="10" s="1"/>
  <c r="AO51" i="9"/>
  <c r="AO76" i="9"/>
  <c r="AK51" i="9"/>
  <c r="AK76" i="9"/>
  <c r="AM51" i="9"/>
  <c r="AM76" i="9"/>
  <c r="AN51" i="9"/>
  <c r="AN76" i="9"/>
  <c r="AO127" i="9"/>
  <c r="AO122" i="9"/>
  <c r="AK127" i="9"/>
  <c r="AK122" i="9"/>
  <c r="AM127" i="9"/>
  <c r="AM122" i="9"/>
  <c r="AN127" i="9"/>
  <c r="AN122" i="9"/>
  <c r="D50" i="14"/>
  <c r="AM77" i="9"/>
  <c r="AO77" i="9"/>
  <c r="AK77" i="9"/>
  <c r="AN77" i="9"/>
  <c r="AN70" i="9"/>
  <c r="AN73" i="9"/>
  <c r="AM70" i="9"/>
  <c r="AM73" i="9"/>
  <c r="AO70" i="9"/>
  <c r="AO73" i="9"/>
  <c r="AK70" i="9"/>
  <c r="AK73" i="9"/>
  <c r="AM64" i="9"/>
  <c r="AM67" i="9"/>
  <c r="AO64" i="9"/>
  <c r="AO67" i="9"/>
  <c r="AK64" i="9"/>
  <c r="AK67" i="9"/>
  <c r="AN64" i="9"/>
  <c r="AN67" i="9"/>
  <c r="AO48" i="9"/>
  <c r="AO125" i="9"/>
  <c r="AK48" i="9"/>
  <c r="AK125" i="9"/>
  <c r="AM125" i="9"/>
  <c r="AN48" i="9"/>
  <c r="AN125" i="9"/>
  <c r="AM45" i="9"/>
  <c r="AM48" i="9"/>
  <c r="AO40" i="9"/>
  <c r="AO45" i="9"/>
  <c r="AK40" i="9"/>
  <c r="AK45" i="9"/>
  <c r="AN40" i="9"/>
  <c r="AN45" i="9"/>
  <c r="AM37" i="9"/>
  <c r="AM40" i="9"/>
  <c r="AO123" i="9"/>
  <c r="AO37" i="9"/>
  <c r="AK123" i="9"/>
  <c r="AK37" i="9"/>
  <c r="AN123" i="9"/>
  <c r="AN37" i="9"/>
  <c r="AM123" i="9"/>
  <c r="I42" i="14"/>
  <c r="I41" i="14"/>
  <c r="N4" i="10"/>
  <c r="T4" i="10" s="1"/>
  <c r="R74" i="20"/>
  <c r="M19" i="10"/>
  <c r="S19" i="10" s="1"/>
  <c r="M26" i="10"/>
  <c r="S26" i="10" s="1"/>
  <c r="V40" i="10"/>
  <c r="V38" i="10"/>
  <c r="V33" i="10"/>
  <c r="W39" i="10"/>
  <c r="W37" i="10"/>
  <c r="W32" i="10"/>
  <c r="V37" i="10"/>
  <c r="V32" i="10"/>
  <c r="W40" i="10"/>
  <c r="W38" i="10"/>
  <c r="W36" i="10"/>
  <c r="W33" i="10"/>
  <c r="W30" i="10"/>
  <c r="V36" i="10"/>
  <c r="V30" i="10"/>
  <c r="W34" i="10"/>
  <c r="W29" i="10"/>
  <c r="V39" i="10"/>
  <c r="V34" i="10"/>
  <c r="V29" i="10"/>
  <c r="AN151" i="9"/>
  <c r="AN128" i="9"/>
  <c r="AO128" i="9"/>
  <c r="AO151" i="9"/>
  <c r="AK128" i="9"/>
  <c r="AK92" i="9"/>
  <c r="AK97" i="9"/>
  <c r="AQ97" i="9" s="1"/>
  <c r="AK95" i="9"/>
  <c r="AK151" i="9"/>
  <c r="AM128" i="9"/>
  <c r="AM151" i="9"/>
  <c r="I29" i="14"/>
  <c r="I39" i="14" s="1"/>
  <c r="C198" i="1"/>
  <c r="D29" i="14"/>
  <c r="D39" i="14" s="1"/>
  <c r="M15" i="10"/>
  <c r="S15" i="10" s="1"/>
  <c r="M52" i="10"/>
  <c r="AA52" i="10" s="1"/>
  <c r="AG52" i="10" s="1"/>
  <c r="M11" i="10"/>
  <c r="S11" i="10" s="1"/>
  <c r="M30" i="10"/>
  <c r="M33" i="10"/>
  <c r="M36" i="10"/>
  <c r="M38" i="10"/>
  <c r="M40" i="10"/>
  <c r="N29" i="10"/>
  <c r="M34" i="10"/>
  <c r="M37" i="10"/>
  <c r="N33" i="10"/>
  <c r="N38" i="10"/>
  <c r="M29" i="10"/>
  <c r="N32" i="10"/>
  <c r="N34" i="10"/>
  <c r="N37" i="10"/>
  <c r="N39" i="10"/>
  <c r="M32" i="10"/>
  <c r="M39" i="10"/>
  <c r="N30" i="10"/>
  <c r="N36" i="10"/>
  <c r="N40" i="10"/>
  <c r="M10" i="10"/>
  <c r="S10" i="10" s="1"/>
  <c r="N28" i="10"/>
  <c r="AB28" i="10" s="1"/>
  <c r="M4" i="10"/>
  <c r="M25" i="10"/>
  <c r="AA25" i="10" s="1"/>
  <c r="M7" i="10"/>
  <c r="S7" i="10" s="1"/>
  <c r="M22" i="10"/>
  <c r="S22" i="10" s="1"/>
  <c r="M8" i="10"/>
  <c r="S8" i="10" s="1"/>
  <c r="M23" i="10"/>
  <c r="AA23" i="10" s="1"/>
  <c r="N10" i="10"/>
  <c r="AB10" i="10" s="1"/>
  <c r="N18" i="10"/>
  <c r="AB18" i="10" s="1"/>
  <c r="N25" i="10"/>
  <c r="AB25" i="10" s="1"/>
  <c r="N52" i="10"/>
  <c r="T52" i="10" s="1"/>
  <c r="M6" i="10"/>
  <c r="S6" i="10" s="1"/>
  <c r="M14" i="10"/>
  <c r="S14" i="10" s="1"/>
  <c r="AA100" i="10"/>
  <c r="M28" i="10"/>
  <c r="AA28" i="10" s="1"/>
  <c r="S99" i="10"/>
  <c r="M9" i="10"/>
  <c r="S9" i="10" s="1"/>
  <c r="M13" i="10"/>
  <c r="S13" i="10" s="1"/>
  <c r="M17" i="10"/>
  <c r="S17" i="10" s="1"/>
  <c r="M21" i="10"/>
  <c r="S21" i="10" s="1"/>
  <c r="M24" i="10"/>
  <c r="S24" i="10" s="1"/>
  <c r="S102" i="10"/>
  <c r="N51" i="10"/>
  <c r="T51" i="10" s="1"/>
  <c r="M16" i="10"/>
  <c r="S16" i="10" s="1"/>
  <c r="M51" i="10"/>
  <c r="AA51" i="10" s="1"/>
  <c r="AG51" i="10" s="1"/>
  <c r="N6" i="10"/>
  <c r="T6" i="10" s="1"/>
  <c r="N14" i="10"/>
  <c r="AB14" i="10" s="1"/>
  <c r="AB100" i="10"/>
  <c r="AA103" i="10"/>
  <c r="M5" i="10"/>
  <c r="AA5" i="10" s="1"/>
  <c r="M12" i="10"/>
  <c r="S12" i="10" s="1"/>
  <c r="M20" i="10"/>
  <c r="S20" i="10" s="1"/>
  <c r="AA101" i="10"/>
  <c r="M53" i="10"/>
  <c r="AA53" i="10" s="1"/>
  <c r="AG53" i="10" s="1"/>
  <c r="N5" i="10"/>
  <c r="AB5" i="10" s="1"/>
  <c r="N8" i="10"/>
  <c r="AB8" i="10" s="1"/>
  <c r="N12" i="10"/>
  <c r="AB12" i="10" s="1"/>
  <c r="N16" i="10"/>
  <c r="AB16" i="10" s="1"/>
  <c r="N20" i="10"/>
  <c r="AB20" i="10" s="1"/>
  <c r="N23" i="10"/>
  <c r="AB23" i="10" s="1"/>
  <c r="AB101" i="10"/>
  <c r="E36" i="14"/>
  <c r="AN145" i="9"/>
  <c r="AN146" i="9"/>
  <c r="AO145" i="9"/>
  <c r="AO146" i="9"/>
  <c r="AK145" i="9"/>
  <c r="AK146" i="9"/>
  <c r="AM146" i="9"/>
  <c r="AM145" i="9"/>
  <c r="AO36" i="9"/>
  <c r="AO39" i="9"/>
  <c r="AO42" i="9"/>
  <c r="AO44" i="9"/>
  <c r="AO47" i="9"/>
  <c r="AO142" i="9"/>
  <c r="AO50" i="9"/>
  <c r="AO53" i="9"/>
  <c r="AO55" i="9"/>
  <c r="AO144" i="9"/>
  <c r="AO124" i="9"/>
  <c r="AO63" i="9"/>
  <c r="AO66" i="9"/>
  <c r="AO69" i="9"/>
  <c r="AO72" i="9"/>
  <c r="AO75" i="9"/>
  <c r="AU75" i="9" s="1"/>
  <c r="AK36" i="9"/>
  <c r="AK39" i="9"/>
  <c r="AK42" i="9"/>
  <c r="AK44" i="9"/>
  <c r="AK47" i="9"/>
  <c r="AK142" i="9"/>
  <c r="AK50" i="9"/>
  <c r="AK53" i="9"/>
  <c r="AK55" i="9"/>
  <c r="AK144" i="9"/>
  <c r="AK124" i="9"/>
  <c r="AK63" i="9"/>
  <c r="AK66" i="9"/>
  <c r="AK69" i="9"/>
  <c r="AK72" i="9"/>
  <c r="AK75" i="9"/>
  <c r="AQ75" i="9" s="1"/>
  <c r="AN36" i="9"/>
  <c r="AN39" i="9"/>
  <c r="AN44" i="9"/>
  <c r="AN142" i="9"/>
  <c r="AN53" i="9"/>
  <c r="AN144" i="9"/>
  <c r="AN63" i="9"/>
  <c r="AN69" i="9"/>
  <c r="AN75" i="9"/>
  <c r="AT75" i="9" s="1"/>
  <c r="AN42" i="9"/>
  <c r="AN47" i="9"/>
  <c r="AN50" i="9"/>
  <c r="AN55" i="9"/>
  <c r="AN124" i="9"/>
  <c r="AN66" i="9"/>
  <c r="AN72" i="9"/>
  <c r="AM39" i="9"/>
  <c r="AM44" i="9"/>
  <c r="AM142" i="9"/>
  <c r="AM53" i="9"/>
  <c r="AM144" i="9"/>
  <c r="AM63" i="9"/>
  <c r="AM69" i="9"/>
  <c r="AM75" i="9"/>
  <c r="AS75" i="9" s="1"/>
  <c r="AM36" i="9"/>
  <c r="AM42" i="9"/>
  <c r="AM47" i="9"/>
  <c r="AM50" i="9"/>
  <c r="AM55" i="9"/>
  <c r="AM124" i="9"/>
  <c r="AM66" i="9"/>
  <c r="AM72" i="9"/>
  <c r="E73" i="20"/>
  <c r="E85" i="20"/>
  <c r="U85" i="20" s="1"/>
  <c r="F12" i="20"/>
  <c r="K36" i="14"/>
  <c r="M112" i="20" s="1"/>
  <c r="C119" i="1"/>
  <c r="E87" i="20"/>
  <c r="U87" i="20" s="1"/>
  <c r="D28" i="14"/>
  <c r="D38" i="14" s="1"/>
  <c r="D36" i="14"/>
  <c r="M12" i="20" s="1"/>
  <c r="M25" i="20" s="1"/>
  <c r="K50" i="14"/>
  <c r="G50" i="14"/>
  <c r="D230" i="1"/>
  <c r="D222" i="1"/>
  <c r="D223" i="1"/>
  <c r="AN30" i="9"/>
  <c r="AN41" i="9"/>
  <c r="AN115" i="9"/>
  <c r="AN117" i="9"/>
  <c r="AN68" i="9"/>
  <c r="AN119" i="9"/>
  <c r="AN86" i="9"/>
  <c r="AN126" i="9"/>
  <c r="AN46" i="9"/>
  <c r="AN62" i="9"/>
  <c r="AN84" i="9"/>
  <c r="AN29" i="9"/>
  <c r="AN38" i="9"/>
  <c r="AN49" i="9"/>
  <c r="AN54" i="9"/>
  <c r="AN58" i="9"/>
  <c r="AN65" i="9"/>
  <c r="AN74" i="9"/>
  <c r="AN82" i="9"/>
  <c r="AN85" i="9"/>
  <c r="AN120" i="9"/>
  <c r="AN35" i="9"/>
  <c r="AN130" i="9"/>
  <c r="AN118" i="9"/>
  <c r="AN32" i="9"/>
  <c r="AN43" i="9"/>
  <c r="AN52" i="9"/>
  <c r="AN57" i="9"/>
  <c r="AN59" i="9"/>
  <c r="AN71" i="9"/>
  <c r="AN153" i="9"/>
  <c r="AN83" i="9"/>
  <c r="AN114" i="9"/>
  <c r="AN80" i="9"/>
  <c r="AO30" i="9"/>
  <c r="AO41" i="9"/>
  <c r="AO115" i="9"/>
  <c r="AO117" i="9"/>
  <c r="AO119" i="9"/>
  <c r="AO126" i="9"/>
  <c r="AO46" i="9"/>
  <c r="AO80" i="9"/>
  <c r="AO29" i="9"/>
  <c r="AO38" i="9"/>
  <c r="AO49" i="9"/>
  <c r="AO54" i="9"/>
  <c r="AO58" i="9"/>
  <c r="AO65" i="9"/>
  <c r="AO74" i="9"/>
  <c r="AO82" i="9"/>
  <c r="AO120" i="9"/>
  <c r="AO35" i="9"/>
  <c r="AO114" i="9"/>
  <c r="AO62" i="9"/>
  <c r="AO84" i="9"/>
  <c r="AO32" i="9"/>
  <c r="AO43" i="9"/>
  <c r="AO52" i="9"/>
  <c r="AO57" i="9"/>
  <c r="AO59" i="9"/>
  <c r="AO71" i="9"/>
  <c r="AO153" i="9"/>
  <c r="AO83" i="9"/>
  <c r="AO28" i="9"/>
  <c r="AO130" i="9"/>
  <c r="AO118" i="9"/>
  <c r="AK29" i="9"/>
  <c r="AK38" i="9"/>
  <c r="AK49" i="9"/>
  <c r="AK54" i="9"/>
  <c r="AK58" i="9"/>
  <c r="AK65" i="9"/>
  <c r="AK74" i="9"/>
  <c r="AK82" i="9"/>
  <c r="AK85" i="9"/>
  <c r="AK120" i="9"/>
  <c r="AK32" i="9"/>
  <c r="AK57" i="9"/>
  <c r="AK153" i="9"/>
  <c r="AK28" i="9"/>
  <c r="AK35" i="9"/>
  <c r="AK46" i="9"/>
  <c r="AK130" i="9"/>
  <c r="AK114" i="9"/>
  <c r="AK62" i="9"/>
  <c r="AK118" i="9"/>
  <c r="AK80" i="9"/>
  <c r="AK84" i="9"/>
  <c r="AK88" i="9"/>
  <c r="AK93" i="9"/>
  <c r="AK52" i="9"/>
  <c r="AK59" i="9"/>
  <c r="AK83" i="9"/>
  <c r="AK30" i="9"/>
  <c r="AK41" i="9"/>
  <c r="AK115" i="9"/>
  <c r="AK117" i="9"/>
  <c r="AK68" i="9"/>
  <c r="AK119" i="9"/>
  <c r="AK86" i="9"/>
  <c r="AK126" i="9"/>
  <c r="AK98" i="9"/>
  <c r="AK43" i="9"/>
  <c r="AK71" i="9"/>
  <c r="AK87" i="9"/>
  <c r="AK99" i="9"/>
  <c r="AL82" i="9"/>
  <c r="AL54" i="9"/>
  <c r="AL58" i="9"/>
  <c r="AL52" i="9"/>
  <c r="AL80" i="9"/>
  <c r="AL130" i="9"/>
  <c r="AL114" i="9"/>
  <c r="AL153" i="9"/>
  <c r="AL119" i="9"/>
  <c r="AL115" i="9"/>
  <c r="AL117" i="9"/>
  <c r="AL57" i="9"/>
  <c r="AM32" i="9"/>
  <c r="AM43" i="9"/>
  <c r="AM52" i="9"/>
  <c r="AM57" i="9"/>
  <c r="AM59" i="9"/>
  <c r="AM71" i="9"/>
  <c r="AM153" i="9"/>
  <c r="AM83" i="9"/>
  <c r="AM87" i="9"/>
  <c r="AM29" i="9"/>
  <c r="AM54" i="9"/>
  <c r="AM74" i="9"/>
  <c r="AM120" i="9"/>
  <c r="AM30" i="9"/>
  <c r="AM41" i="9"/>
  <c r="AM115" i="9"/>
  <c r="AM117" i="9"/>
  <c r="AM68" i="9"/>
  <c r="AM119" i="9"/>
  <c r="AM86" i="9"/>
  <c r="AM126" i="9"/>
  <c r="AM38" i="9"/>
  <c r="AM65" i="9"/>
  <c r="AM85" i="9"/>
  <c r="AM35" i="9"/>
  <c r="AM46" i="9"/>
  <c r="AM130" i="9"/>
  <c r="AM114" i="9"/>
  <c r="AM62" i="9"/>
  <c r="AM118" i="9"/>
  <c r="AM80" i="9"/>
  <c r="AM84" i="9"/>
  <c r="AM88" i="9"/>
  <c r="AM49" i="9"/>
  <c r="AM58" i="9"/>
  <c r="AM82" i="9"/>
  <c r="N73" i="20"/>
  <c r="J73" i="20" s="1"/>
  <c r="S73" i="20" s="1"/>
  <c r="Q73" i="20"/>
  <c r="I181" i="1"/>
  <c r="I53" i="14"/>
  <c r="N90" i="20"/>
  <c r="Q90" i="20"/>
  <c r="V53" i="10"/>
  <c r="V51" i="10"/>
  <c r="V28" i="10"/>
  <c r="V103" i="10"/>
  <c r="V101" i="10"/>
  <c r="V25" i="10"/>
  <c r="V23" i="10"/>
  <c r="V100" i="10"/>
  <c r="V20" i="10"/>
  <c r="V18" i="10"/>
  <c r="V16" i="10"/>
  <c r="V14" i="10"/>
  <c r="V12" i="10"/>
  <c r="V10" i="10"/>
  <c r="V8" i="10"/>
  <c r="V6" i="10"/>
  <c r="V5" i="10"/>
  <c r="W53" i="10"/>
  <c r="W51" i="10"/>
  <c r="W28" i="10"/>
  <c r="W103" i="10"/>
  <c r="W101" i="10"/>
  <c r="W25" i="10"/>
  <c r="W23" i="10"/>
  <c r="W100" i="10"/>
  <c r="W20" i="10"/>
  <c r="W18" i="10"/>
  <c r="W16" i="10"/>
  <c r="W14" i="10"/>
  <c r="W12" i="10"/>
  <c r="W10" i="10"/>
  <c r="W8" i="10"/>
  <c r="W6" i="10"/>
  <c r="W5" i="10"/>
  <c r="V52" i="10"/>
  <c r="V104" i="10"/>
  <c r="V27" i="10"/>
  <c r="V102" i="10"/>
  <c r="V26" i="10"/>
  <c r="V24" i="10"/>
  <c r="V22" i="10"/>
  <c r="V21" i="10"/>
  <c r="V19" i="10"/>
  <c r="V17" i="10"/>
  <c r="V15" i="10"/>
  <c r="V13" i="10"/>
  <c r="V11" i="10"/>
  <c r="V9" i="10"/>
  <c r="V7" i="10"/>
  <c r="V99" i="10"/>
  <c r="V98" i="10"/>
  <c r="W52" i="10"/>
  <c r="W104" i="10"/>
  <c r="W27" i="10"/>
  <c r="W102" i="10"/>
  <c r="W26" i="10"/>
  <c r="W24" i="10"/>
  <c r="W22" i="10"/>
  <c r="W21" i="10"/>
  <c r="W19" i="10"/>
  <c r="W17" i="10"/>
  <c r="W15" i="10"/>
  <c r="W13" i="10"/>
  <c r="W11" i="10"/>
  <c r="W9" i="10"/>
  <c r="W7" i="10"/>
  <c r="W99" i="10"/>
  <c r="W4" i="10"/>
  <c r="W98" i="10"/>
  <c r="AD5" i="10"/>
  <c r="AD12" i="10"/>
  <c r="AD37" i="10" s="1"/>
  <c r="AD16" i="10"/>
  <c r="AD23" i="10"/>
  <c r="AD101" i="10"/>
  <c r="AD28" i="10"/>
  <c r="AD11" i="10" s="1"/>
  <c r="AD50" i="10" s="1"/>
  <c r="AD14" i="10"/>
  <c r="AD32" i="10" s="1"/>
  <c r="AD100" i="10"/>
  <c r="AD103" i="10"/>
  <c r="AD99" i="10"/>
  <c r="AD17" i="10"/>
  <c r="AD24" i="10"/>
  <c r="AD104" i="10"/>
  <c r="AD7" i="10"/>
  <c r="AD9" i="10" s="1"/>
  <c r="AD15" i="10"/>
  <c r="AD38" i="10" s="1"/>
  <c r="AD22" i="10"/>
  <c r="AD26" i="10"/>
  <c r="AD98" i="10"/>
  <c r="AD6" i="10"/>
  <c r="AD18" i="10"/>
  <c r="AD25" i="10"/>
  <c r="AD13" i="10"/>
  <c r="AD36" i="10" s="1"/>
  <c r="AD102" i="10"/>
  <c r="AN105" i="9"/>
  <c r="AN109" i="9"/>
  <c r="AN113" i="9"/>
  <c r="AN131" i="9"/>
  <c r="AN135" i="9"/>
  <c r="AN139" i="9"/>
  <c r="AN26" i="9"/>
  <c r="AN108" i="9"/>
  <c r="AN112" i="9"/>
  <c r="AN134" i="9"/>
  <c r="AN138" i="9"/>
  <c r="AN31" i="9"/>
  <c r="AN28" i="9"/>
  <c r="AN107" i="9"/>
  <c r="AN116" i="9"/>
  <c r="AN133" i="9"/>
  <c r="AN137" i="9"/>
  <c r="AN141" i="9"/>
  <c r="AN152" i="9"/>
  <c r="AN106" i="9"/>
  <c r="AN110" i="9"/>
  <c r="AN132" i="9"/>
  <c r="AN136" i="9"/>
  <c r="AN140" i="9"/>
  <c r="AN27" i="9"/>
  <c r="AO108" i="9"/>
  <c r="AO112" i="9"/>
  <c r="AO134" i="9"/>
  <c r="AO138" i="9"/>
  <c r="AO31" i="9"/>
  <c r="AO107" i="9"/>
  <c r="AO116" i="9"/>
  <c r="AO133" i="9"/>
  <c r="AO137" i="9"/>
  <c r="AO141" i="9"/>
  <c r="AO152" i="9"/>
  <c r="AO106" i="9"/>
  <c r="AO110" i="9"/>
  <c r="AO132" i="9"/>
  <c r="AO136" i="9"/>
  <c r="AO140" i="9"/>
  <c r="AO27" i="9"/>
  <c r="AO105" i="9"/>
  <c r="AO109" i="9"/>
  <c r="AO113" i="9"/>
  <c r="AO131" i="9"/>
  <c r="AO135" i="9"/>
  <c r="AO139" i="9"/>
  <c r="AO26" i="9"/>
  <c r="AK108" i="9"/>
  <c r="AK112" i="9"/>
  <c r="AK134" i="9"/>
  <c r="AK138" i="9"/>
  <c r="AK31" i="9"/>
  <c r="AK104" i="9"/>
  <c r="AK116" i="9"/>
  <c r="AK133" i="9"/>
  <c r="AK137" i="9"/>
  <c r="AK141" i="9"/>
  <c r="AK152" i="9"/>
  <c r="AK106" i="9"/>
  <c r="AK110" i="9"/>
  <c r="AK132" i="9"/>
  <c r="AK136" i="9"/>
  <c r="AK140" i="9"/>
  <c r="AK27" i="9"/>
  <c r="AK100" i="9"/>
  <c r="AK105" i="9"/>
  <c r="AK109" i="9"/>
  <c r="AK113" i="9"/>
  <c r="AK131" i="9"/>
  <c r="AK135" i="9"/>
  <c r="AK139" i="9"/>
  <c r="AK26" i="9"/>
  <c r="AL107" i="9"/>
  <c r="AL116" i="9"/>
  <c r="AL133" i="9"/>
  <c r="AL137" i="9"/>
  <c r="AL141" i="9"/>
  <c r="AL152" i="9"/>
  <c r="AL43" i="9"/>
  <c r="AL65" i="9"/>
  <c r="AL106" i="9"/>
  <c r="AL110" i="9"/>
  <c r="AL132" i="9"/>
  <c r="AL136" i="9"/>
  <c r="AL140" i="9"/>
  <c r="AL27" i="9"/>
  <c r="AL30" i="9"/>
  <c r="AL41" i="9"/>
  <c r="AL62" i="9"/>
  <c r="AL118" i="9"/>
  <c r="AL84" i="9"/>
  <c r="AL88" i="9"/>
  <c r="AL100" i="9"/>
  <c r="AL105" i="9"/>
  <c r="AL109" i="9"/>
  <c r="AL131" i="9"/>
  <c r="AL135" i="9"/>
  <c r="AL139" i="9"/>
  <c r="AL29" i="9"/>
  <c r="AL39" i="9"/>
  <c r="AL49" i="9"/>
  <c r="AL83" i="9"/>
  <c r="AL87" i="9"/>
  <c r="AL99" i="9"/>
  <c r="AL74" i="9"/>
  <c r="AL120" i="9"/>
  <c r="AL108" i="9"/>
  <c r="AL134" i="9"/>
  <c r="AL138" i="9"/>
  <c r="AL28" i="9"/>
  <c r="AL68" i="9"/>
  <c r="AL86" i="9"/>
  <c r="AL98" i="9"/>
  <c r="AM106" i="9"/>
  <c r="AM110" i="9"/>
  <c r="AM132" i="9"/>
  <c r="AM136" i="9"/>
  <c r="AM140" i="9"/>
  <c r="AM27" i="9"/>
  <c r="AM105" i="9"/>
  <c r="AM109" i="9"/>
  <c r="AM113" i="9"/>
  <c r="AM131" i="9"/>
  <c r="AM135" i="9"/>
  <c r="AM139" i="9"/>
  <c r="AM26" i="9"/>
  <c r="AM108" i="9"/>
  <c r="AM112" i="9"/>
  <c r="AM134" i="9"/>
  <c r="AM138" i="9"/>
  <c r="AM31" i="9"/>
  <c r="AM28" i="9"/>
  <c r="AM107" i="9"/>
  <c r="AM116" i="9"/>
  <c r="AM133" i="9"/>
  <c r="AM137" i="9"/>
  <c r="AM141" i="9"/>
  <c r="AM152" i="9"/>
  <c r="N38" i="20"/>
  <c r="Q38" i="20"/>
  <c r="I83" i="14"/>
  <c r="I86" i="14" s="1"/>
  <c r="J102" i="6"/>
  <c r="P72" i="6"/>
  <c r="F35" i="6"/>
  <c r="H35" i="6"/>
  <c r="I25" i="1"/>
  <c r="E69" i="20"/>
  <c r="U69" i="20" s="1"/>
  <c r="E90" i="20"/>
  <c r="E32" i="20"/>
  <c r="N89" i="20"/>
  <c r="Q89" i="20"/>
  <c r="E86" i="20"/>
  <c r="U86" i="20" s="1"/>
  <c r="E16" i="20"/>
  <c r="G118" i="1"/>
  <c r="P79" i="6"/>
  <c r="R50" i="6"/>
  <c r="R53" i="6"/>
  <c r="R57" i="6"/>
  <c r="R55" i="6"/>
  <c r="R58" i="6"/>
  <c r="R62" i="6"/>
  <c r="R61" i="6"/>
  <c r="R54" i="6"/>
  <c r="R48" i="6"/>
  <c r="R60" i="6"/>
  <c r="R59" i="6"/>
  <c r="R49" i="6"/>
  <c r="R51" i="6"/>
  <c r="R56" i="6"/>
  <c r="R46" i="6"/>
  <c r="R52" i="6"/>
  <c r="R47" i="6"/>
  <c r="R63" i="6"/>
  <c r="E34" i="20"/>
  <c r="M27" i="10"/>
  <c r="N27" i="10"/>
  <c r="G82" i="14"/>
  <c r="E15" i="20"/>
  <c r="I125" i="1"/>
  <c r="E72" i="20"/>
  <c r="E35" i="20"/>
  <c r="E114" i="20"/>
  <c r="U114" i="20" s="1"/>
  <c r="M102" i="6"/>
  <c r="P88" i="6"/>
  <c r="P76" i="6"/>
  <c r="E70" i="20"/>
  <c r="U70" i="20" s="1"/>
  <c r="E112" i="20"/>
  <c r="E38" i="20"/>
  <c r="E116" i="20"/>
  <c r="U116" i="20" s="1"/>
  <c r="B110" i="1"/>
  <c r="G28" i="14"/>
  <c r="G38" i="14" s="1"/>
  <c r="R94" i="20"/>
  <c r="O59" i="1"/>
  <c r="K28" i="14"/>
  <c r="K38" i="14" s="1"/>
  <c r="G41" i="14"/>
  <c r="M72" i="20" s="1"/>
  <c r="P150" i="6"/>
  <c r="P146" i="6"/>
  <c r="P141" i="6"/>
  <c r="P138" i="6"/>
  <c r="P134" i="6"/>
  <c r="P81" i="6"/>
  <c r="P143" i="6"/>
  <c r="P142" i="6"/>
  <c r="P74" i="6"/>
  <c r="P136" i="6"/>
  <c r="P135" i="6"/>
  <c r="P149" i="6"/>
  <c r="P148" i="6"/>
  <c r="P147" i="6"/>
  <c r="P145" i="6"/>
  <c r="P144" i="6"/>
  <c r="P140" i="6"/>
  <c r="P137" i="6"/>
  <c r="P133" i="6"/>
  <c r="P100" i="6"/>
  <c r="O102" i="6"/>
  <c r="I102" i="6"/>
  <c r="G102" i="6"/>
  <c r="P101" i="6"/>
  <c r="P84" i="6"/>
  <c r="K35" i="6"/>
  <c r="I102" i="14"/>
  <c r="H102" i="6"/>
  <c r="R92" i="20"/>
  <c r="P124" i="6"/>
  <c r="N35" i="6"/>
  <c r="L35" i="6"/>
  <c r="J35" i="6"/>
  <c r="I35" i="6"/>
  <c r="D25" i="1"/>
  <c r="L14" i="1"/>
  <c r="L17" i="1" s="1"/>
  <c r="L20" i="1" s="1"/>
  <c r="L23" i="1" s="1"/>
  <c r="E11" i="5"/>
  <c r="D18" i="1" s="1"/>
  <c r="B183" i="1"/>
  <c r="D14" i="1"/>
  <c r="D17" i="1" s="1"/>
  <c r="P80" i="6"/>
  <c r="P78" i="6"/>
  <c r="P77" i="6"/>
  <c r="P86" i="6"/>
  <c r="P85" i="6"/>
  <c r="G41" i="1"/>
  <c r="G53" i="14" s="1"/>
  <c r="P75" i="6"/>
  <c r="P73" i="6"/>
  <c r="P71" i="6"/>
  <c r="N22" i="10"/>
  <c r="N7" i="10"/>
  <c r="D33" i="1"/>
  <c r="K32" i="1"/>
  <c r="K14" i="1"/>
  <c r="K17" i="1" s="1"/>
  <c r="N34" i="20"/>
  <c r="K27" i="14"/>
  <c r="K37" i="14" s="1"/>
  <c r="P87" i="6"/>
  <c r="P83" i="6"/>
  <c r="B203" i="1"/>
  <c r="B163" i="1"/>
  <c r="B130" i="1"/>
  <c r="B150" i="1" s="1"/>
  <c r="P82" i="6"/>
  <c r="P125" i="6"/>
  <c r="N11" i="10"/>
  <c r="N13" i="10"/>
  <c r="N19" i="10"/>
  <c r="N21" i="10"/>
  <c r="N26" i="10"/>
  <c r="N24" i="10"/>
  <c r="N17" i="10"/>
  <c r="N15" i="10"/>
  <c r="N9" i="10"/>
  <c r="P70" i="6"/>
  <c r="D32" i="1"/>
  <c r="G72" i="14"/>
  <c r="C172" i="1"/>
  <c r="E72" i="14"/>
  <c r="D282" i="1"/>
  <c r="D277" i="1"/>
  <c r="G14" i="1"/>
  <c r="G32" i="1"/>
  <c r="C275" i="1"/>
  <c r="G114" i="1"/>
  <c r="C222" i="1"/>
  <c r="E222" i="1" s="1"/>
  <c r="D114" i="1"/>
  <c r="C241" i="1"/>
  <c r="C223" i="1"/>
  <c r="D115" i="1"/>
  <c r="C242" i="1"/>
  <c r="K113" i="1"/>
  <c r="G113" i="1"/>
  <c r="C274" i="1"/>
  <c r="K114" i="1"/>
  <c r="C221" i="1"/>
  <c r="E221" i="1" s="1"/>
  <c r="D113" i="1"/>
  <c r="J79" i="1"/>
  <c r="H80" i="1"/>
  <c r="K76" i="1"/>
  <c r="F87" i="1"/>
  <c r="U34" i="20" l="1"/>
  <c r="E53" i="20"/>
  <c r="E61" i="20"/>
  <c r="E59" i="20"/>
  <c r="E60" i="20"/>
  <c r="U35" i="20"/>
  <c r="E54" i="20"/>
  <c r="U15" i="20"/>
  <c r="E28" i="20"/>
  <c r="U16" i="20"/>
  <c r="E29" i="20"/>
  <c r="F27" i="20"/>
  <c r="U27" i="20" s="1"/>
  <c r="F19" i="20"/>
  <c r="E19" i="20" s="1"/>
  <c r="F25" i="20"/>
  <c r="E25" i="20" s="1"/>
  <c r="G9" i="44"/>
  <c r="G15" i="44" s="1"/>
  <c r="M19" i="20"/>
  <c r="U14" i="20"/>
  <c r="E22" i="20"/>
  <c r="E21" i="20"/>
  <c r="E12" i="20"/>
  <c r="B9" i="44"/>
  <c r="D23" i="44"/>
  <c r="D24" i="44"/>
  <c r="D21" i="44"/>
  <c r="D20" i="44"/>
  <c r="D22" i="44"/>
  <c r="D19" i="44"/>
  <c r="D18" i="44"/>
  <c r="C24" i="44"/>
  <c r="C21" i="44"/>
  <c r="C18" i="44"/>
  <c r="C23" i="44"/>
  <c r="C22" i="44"/>
  <c r="C20" i="44"/>
  <c r="C19" i="44"/>
  <c r="AD21" i="10"/>
  <c r="AE21" i="10" s="1"/>
  <c r="AD20" i="10"/>
  <c r="AE20" i="10" s="1"/>
  <c r="AD27" i="10"/>
  <c r="AE27" i="10" s="1"/>
  <c r="AD19" i="10"/>
  <c r="AE19" i="10" s="1"/>
  <c r="AD10" i="10"/>
  <c r="AD33" i="10" s="1"/>
  <c r="J112" i="20"/>
  <c r="S112" i="20" s="1"/>
  <c r="J72" i="20"/>
  <c r="R72" i="20" s="1"/>
  <c r="BP35" i="9"/>
  <c r="AL151" i="9"/>
  <c r="BO44" i="9"/>
  <c r="AL69" i="9"/>
  <c r="AL66" i="9"/>
  <c r="BM38" i="9"/>
  <c r="BQ84" i="9"/>
  <c r="BO53" i="9"/>
  <c r="BP66" i="9"/>
  <c r="BN28" i="9"/>
  <c r="BQ31" i="9"/>
  <c r="BQ58" i="9"/>
  <c r="AL96" i="9"/>
  <c r="BQ18" i="9"/>
  <c r="AL53" i="9"/>
  <c r="BP47" i="9"/>
  <c r="AL51" i="9"/>
  <c r="BM69" i="9"/>
  <c r="BS69" i="9" s="1"/>
  <c r="AL63" i="9"/>
  <c r="AL77" i="9"/>
  <c r="BO10" i="9"/>
  <c r="BO70" i="9"/>
  <c r="AL31" i="9"/>
  <c r="BO59" i="9"/>
  <c r="BP19" i="9"/>
  <c r="AL44" i="9"/>
  <c r="AL55" i="9"/>
  <c r="BO86" i="9"/>
  <c r="BO76" i="9"/>
  <c r="AL129" i="9"/>
  <c r="BQ55" i="9"/>
  <c r="BO63" i="9"/>
  <c r="AL42" i="9"/>
  <c r="BN41" i="9"/>
  <c r="BM77" i="9"/>
  <c r="BS77" i="9" s="1"/>
  <c r="V55" i="10"/>
  <c r="J38" i="20"/>
  <c r="S38" i="20" s="1"/>
  <c r="S35" i="10"/>
  <c r="AA35" i="10"/>
  <c r="T35" i="10"/>
  <c r="AB35" i="10"/>
  <c r="R143" i="9"/>
  <c r="R90" i="9"/>
  <c r="AG154" i="9"/>
  <c r="AS154" i="9" s="1"/>
  <c r="AA154" i="9"/>
  <c r="Z89" i="9"/>
  <c r="AF89" i="9"/>
  <c r="AR89" i="9" s="1"/>
  <c r="AI89" i="9"/>
  <c r="AU89" i="9" s="1"/>
  <c r="AC89" i="9"/>
  <c r="Y154" i="9"/>
  <c r="AE154" i="9"/>
  <c r="AQ154" i="9" s="1"/>
  <c r="R154" i="9"/>
  <c r="AF154" i="9"/>
  <c r="AR154" i="9" s="1"/>
  <c r="Z154" i="9"/>
  <c r="AH154" i="9"/>
  <c r="AT154" i="9" s="1"/>
  <c r="AB154" i="9"/>
  <c r="Y89" i="9"/>
  <c r="AE89" i="9"/>
  <c r="AQ89" i="9" s="1"/>
  <c r="R89" i="9"/>
  <c r="AG89" i="9"/>
  <c r="AS89" i="9" s="1"/>
  <c r="AA89" i="9"/>
  <c r="AH89" i="9"/>
  <c r="AT89" i="9" s="1"/>
  <c r="AB89" i="9"/>
  <c r="AC154" i="9"/>
  <c r="AI154" i="9"/>
  <c r="AU154" i="9" s="1"/>
  <c r="P139" i="6"/>
  <c r="AG61" i="9"/>
  <c r="AS61" i="9" s="1"/>
  <c r="AF34" i="9"/>
  <c r="AR34" i="9" s="1"/>
  <c r="Z34" i="9"/>
  <c r="AB34" i="9"/>
  <c r="AH34" i="9"/>
  <c r="AT34" i="9" s="1"/>
  <c r="AF61" i="9"/>
  <c r="AR61" i="9" s="1"/>
  <c r="Z61" i="9"/>
  <c r="R60" i="9"/>
  <c r="Y60" i="9"/>
  <c r="AC34" i="9"/>
  <c r="AI34" i="9"/>
  <c r="AU34" i="9" s="1"/>
  <c r="R33" i="9"/>
  <c r="Y33" i="9"/>
  <c r="AB61" i="9"/>
  <c r="AH61" i="9"/>
  <c r="AT61" i="9" s="1"/>
  <c r="AG34" i="9"/>
  <c r="AS34" i="9" s="1"/>
  <c r="AA34" i="9"/>
  <c r="R61" i="9"/>
  <c r="Y61" i="9"/>
  <c r="AE61" i="9"/>
  <c r="AQ61" i="9" s="1"/>
  <c r="R34" i="9"/>
  <c r="Y34" i="9"/>
  <c r="AE34" i="9"/>
  <c r="AQ34" i="9" s="1"/>
  <c r="AC61" i="9"/>
  <c r="AI61" i="9"/>
  <c r="AU61" i="9" s="1"/>
  <c r="J166" i="1"/>
  <c r="D118" i="6"/>
  <c r="P115" i="6"/>
  <c r="P118" i="6" s="1"/>
  <c r="J173" i="1" s="1"/>
  <c r="J72" i="14" s="1"/>
  <c r="D113" i="6"/>
  <c r="P110" i="6"/>
  <c r="P113" i="6" s="1"/>
  <c r="J120" i="1" s="1"/>
  <c r="P132" i="6"/>
  <c r="M32" i="20"/>
  <c r="I32" i="1"/>
  <c r="I51" i="14" s="1"/>
  <c r="J51" i="14"/>
  <c r="D232" i="1"/>
  <c r="D231" i="1"/>
  <c r="H167" i="1"/>
  <c r="F101" i="14"/>
  <c r="I48" i="1"/>
  <c r="Q28" i="18"/>
  <c r="I117" i="1"/>
  <c r="T50" i="10"/>
  <c r="AB50" i="10"/>
  <c r="AL40" i="9"/>
  <c r="S46" i="10"/>
  <c r="AA46" i="10"/>
  <c r="AG46" i="10" s="1"/>
  <c r="T46" i="10"/>
  <c r="AB46" i="10"/>
  <c r="AH46" i="10" s="1"/>
  <c r="T49" i="10"/>
  <c r="AB49" i="10"/>
  <c r="AH49" i="10" s="1"/>
  <c r="AA49" i="10"/>
  <c r="AG49" i="10" s="1"/>
  <c r="S49" i="10"/>
  <c r="M55" i="10"/>
  <c r="AA22" i="10"/>
  <c r="AG22" i="10" s="1"/>
  <c r="BJ10" i="9"/>
  <c r="BJ22" i="9"/>
  <c r="BJ9" i="9"/>
  <c r="BJ16" i="9"/>
  <c r="BJ21" i="9"/>
  <c r="BJ13" i="9"/>
  <c r="BJ7" i="9"/>
  <c r="BJ15" i="9"/>
  <c r="BJ23" i="9"/>
  <c r="BJ5" i="9"/>
  <c r="BJ14" i="9"/>
  <c r="BJ19" i="9"/>
  <c r="BJ8" i="9"/>
  <c r="BJ18" i="9"/>
  <c r="BJ24" i="9"/>
  <c r="BJ11" i="9"/>
  <c r="BJ17" i="9"/>
  <c r="BJ4" i="9"/>
  <c r="BJ20" i="9"/>
  <c r="BJ25" i="9"/>
  <c r="BJ12" i="9"/>
  <c r="P91" i="6"/>
  <c r="F58" i="5" s="1"/>
  <c r="AB47" i="10"/>
  <c r="AH47" i="10" s="1"/>
  <c r="T47" i="10"/>
  <c r="AA47" i="10"/>
  <c r="AG47" i="10" s="1"/>
  <c r="S47" i="10"/>
  <c r="P104" i="6"/>
  <c r="P107" i="6" s="1"/>
  <c r="I173" i="1" s="1"/>
  <c r="D107" i="6"/>
  <c r="AB45" i="10"/>
  <c r="AH45" i="10" s="1"/>
  <c r="T45" i="10"/>
  <c r="S45" i="10"/>
  <c r="AA45" i="10"/>
  <c r="AG45" i="10" s="1"/>
  <c r="BG129" i="9"/>
  <c r="T44" i="10"/>
  <c r="S44" i="10"/>
  <c r="AA15" i="10"/>
  <c r="AG15" i="10" s="1"/>
  <c r="AA50" i="10"/>
  <c r="AG50" i="10" s="1"/>
  <c r="S50" i="10"/>
  <c r="AL72" i="9"/>
  <c r="BG96" i="9"/>
  <c r="BG97" i="9"/>
  <c r="BJ148" i="9"/>
  <c r="BG151" i="9"/>
  <c r="BJ147" i="9"/>
  <c r="BG77" i="9"/>
  <c r="AD29" i="10"/>
  <c r="AE29" i="10" s="1"/>
  <c r="AB43" i="10"/>
  <c r="T43" i="10"/>
  <c r="AG43" i="10"/>
  <c r="S43" i="10"/>
  <c r="AA48" i="10"/>
  <c r="AG48" i="10" s="1"/>
  <c r="S48" i="10"/>
  <c r="AB48" i="10"/>
  <c r="T48" i="10"/>
  <c r="AD34" i="10"/>
  <c r="AB41" i="10"/>
  <c r="T41" i="10"/>
  <c r="AA42" i="10"/>
  <c r="AG42" i="10" s="1"/>
  <c r="S42" i="10"/>
  <c r="AD30" i="10"/>
  <c r="AB42" i="10"/>
  <c r="T42" i="10"/>
  <c r="AA41" i="10"/>
  <c r="AG41" i="10" s="1"/>
  <c r="S41" i="10"/>
  <c r="AB31" i="10"/>
  <c r="T31" i="10"/>
  <c r="AA31" i="10"/>
  <c r="S31" i="10"/>
  <c r="AD31" i="10"/>
  <c r="Q32" i="18"/>
  <c r="AB36" i="10"/>
  <c r="T36" i="10"/>
  <c r="S30" i="10"/>
  <c r="AA30" i="10"/>
  <c r="AB40" i="10"/>
  <c r="T40" i="10"/>
  <c r="S32" i="10"/>
  <c r="AA32" i="10"/>
  <c r="AG32" i="10" s="1"/>
  <c r="AB34" i="10"/>
  <c r="T34" i="10"/>
  <c r="AB33" i="10"/>
  <c r="T33" i="10"/>
  <c r="AB29" i="10"/>
  <c r="T29" i="10"/>
  <c r="S33" i="10"/>
  <c r="AA33" i="10"/>
  <c r="AB32" i="10"/>
  <c r="T32" i="10"/>
  <c r="AB30" i="10"/>
  <c r="T30" i="10"/>
  <c r="AB39" i="10"/>
  <c r="T39" i="10"/>
  <c r="S29" i="10"/>
  <c r="AA29" i="10"/>
  <c r="S37" i="10"/>
  <c r="AA37" i="10"/>
  <c r="AG37" i="10" s="1"/>
  <c r="S38" i="10"/>
  <c r="AA38" i="10"/>
  <c r="AG38" i="10" s="1"/>
  <c r="S104" i="10"/>
  <c r="AA104" i="10"/>
  <c r="AG104" i="10" s="1"/>
  <c r="S40" i="10"/>
  <c r="AA40" i="10"/>
  <c r="AG40" i="10" s="1"/>
  <c r="AB104" i="10"/>
  <c r="T104" i="10"/>
  <c r="S39" i="10"/>
  <c r="AA39" i="10"/>
  <c r="AG39" i="10" s="1"/>
  <c r="AB37" i="10"/>
  <c r="T37" i="10"/>
  <c r="AB38" i="10"/>
  <c r="T38" i="10"/>
  <c r="S34" i="10"/>
  <c r="AA34" i="10"/>
  <c r="S36" i="10"/>
  <c r="AA36" i="10"/>
  <c r="AG36" i="10" s="1"/>
  <c r="AB6" i="10"/>
  <c r="AA18" i="10"/>
  <c r="AG18" i="10" s="1"/>
  <c r="BH43" i="9"/>
  <c r="BG94" i="9"/>
  <c r="BG121" i="9"/>
  <c r="J34" i="20"/>
  <c r="AL95" i="9"/>
  <c r="N115" i="20"/>
  <c r="AB53" i="10"/>
  <c r="AH53" i="10" s="1"/>
  <c r="BG76" i="9"/>
  <c r="BG78" i="9"/>
  <c r="AL75" i="9"/>
  <c r="AR75" i="9" s="1"/>
  <c r="BG122" i="9"/>
  <c r="BG51" i="9"/>
  <c r="AL122" i="9"/>
  <c r="AL47" i="9"/>
  <c r="BG127" i="9"/>
  <c r="O133" i="1"/>
  <c r="Q133" i="1" s="1"/>
  <c r="S133" i="1" s="1"/>
  <c r="BG73" i="9"/>
  <c r="BG70" i="9"/>
  <c r="BG48" i="9"/>
  <c r="BG125" i="9"/>
  <c r="BG45" i="9"/>
  <c r="BG40" i="9"/>
  <c r="BG37" i="9"/>
  <c r="BG123" i="9"/>
  <c r="AA26" i="10"/>
  <c r="AG26" i="10" s="1"/>
  <c r="T23" i="10"/>
  <c r="T28" i="10"/>
  <c r="AA4" i="10"/>
  <c r="AG4" i="10" s="1"/>
  <c r="S4" i="10"/>
  <c r="M90" i="20"/>
  <c r="J90" i="20" s="1"/>
  <c r="M89" i="20"/>
  <c r="J89" i="20" s="1"/>
  <c r="AA8" i="10"/>
  <c r="AG8" i="10" s="1"/>
  <c r="AB4" i="10"/>
  <c r="AA14" i="10"/>
  <c r="AG14" i="10" s="1"/>
  <c r="AA19" i="10"/>
  <c r="T98" i="10"/>
  <c r="AL128" i="9"/>
  <c r="BH115" i="9"/>
  <c r="T5" i="10"/>
  <c r="T18" i="10"/>
  <c r="AA9" i="10"/>
  <c r="AG9" i="10" s="1"/>
  <c r="AA21" i="10"/>
  <c r="AG21" i="10" s="1"/>
  <c r="AA16" i="10"/>
  <c r="AG16" i="10" s="1"/>
  <c r="T10" i="10"/>
  <c r="AA20" i="10"/>
  <c r="AA6" i="10"/>
  <c r="AG6" i="10" s="1"/>
  <c r="T100" i="10"/>
  <c r="AA99" i="10"/>
  <c r="AG99" i="10" s="1"/>
  <c r="T8" i="10"/>
  <c r="AA12" i="10"/>
  <c r="AG12" i="10" s="1"/>
  <c r="AB98" i="10"/>
  <c r="AA7" i="10"/>
  <c r="AG7" i="10" s="1"/>
  <c r="AB51" i="10"/>
  <c r="AH51" i="10" s="1"/>
  <c r="AB52" i="10"/>
  <c r="AH52" i="10" s="1"/>
  <c r="T20" i="10"/>
  <c r="S52" i="10"/>
  <c r="T14" i="10"/>
  <c r="T16" i="10"/>
  <c r="AA10" i="10"/>
  <c r="S100" i="10"/>
  <c r="S53" i="10"/>
  <c r="AA11" i="10"/>
  <c r="AG11" i="10" s="1"/>
  <c r="AA17" i="10"/>
  <c r="AG17" i="10" s="1"/>
  <c r="AE98" i="10"/>
  <c r="S5" i="10"/>
  <c r="S23" i="10"/>
  <c r="S28" i="10"/>
  <c r="S25" i="10"/>
  <c r="T25" i="10"/>
  <c r="AA102" i="10"/>
  <c r="AG102" i="10" s="1"/>
  <c r="S51" i="10"/>
  <c r="AA13" i="10"/>
  <c r="AG13" i="10" s="1"/>
  <c r="T101" i="10"/>
  <c r="S103" i="10"/>
  <c r="S101" i="10"/>
  <c r="AA24" i="10"/>
  <c r="AG24" i="10" s="1"/>
  <c r="T12" i="10"/>
  <c r="BG146" i="9"/>
  <c r="BG145" i="9"/>
  <c r="AL124" i="9"/>
  <c r="BG44" i="9"/>
  <c r="BG53" i="9"/>
  <c r="BG75" i="9"/>
  <c r="BG42" i="9"/>
  <c r="BG50" i="9"/>
  <c r="BG124" i="9"/>
  <c r="BG72" i="9"/>
  <c r="BG39" i="9"/>
  <c r="BG142" i="9"/>
  <c r="BG144" i="9"/>
  <c r="BG69" i="9"/>
  <c r="BG36" i="9"/>
  <c r="BG47" i="9"/>
  <c r="BG55" i="9"/>
  <c r="BG31" i="9"/>
  <c r="BM1" i="9"/>
  <c r="BQ76" i="9" s="1"/>
  <c r="P99" i="6"/>
  <c r="P102" i="6" s="1"/>
  <c r="I120" i="1" s="1"/>
  <c r="J12" i="20"/>
  <c r="S12" i="20" s="1"/>
  <c r="AE4" i="10"/>
  <c r="D27" i="14"/>
  <c r="D37" i="14" s="1"/>
  <c r="D225" i="1"/>
  <c r="D51" i="14"/>
  <c r="D52" i="14"/>
  <c r="O135" i="1"/>
  <c r="Q135" i="1" s="1"/>
  <c r="S135" i="1" s="1"/>
  <c r="O134" i="1"/>
  <c r="Q134" i="1" s="1"/>
  <c r="S134" i="1" s="1"/>
  <c r="I9" i="1"/>
  <c r="I114" i="1" s="1"/>
  <c r="BH84" i="9"/>
  <c r="BH87" i="9"/>
  <c r="BG126" i="9"/>
  <c r="BG93" i="9"/>
  <c r="BG98" i="9"/>
  <c r="BG116" i="9"/>
  <c r="BI29" i="9"/>
  <c r="BG35" i="9"/>
  <c r="BG41" i="9"/>
  <c r="BG46" i="9"/>
  <c r="BG52" i="9"/>
  <c r="BJ57" i="9"/>
  <c r="BH59" i="9"/>
  <c r="BH65" i="9"/>
  <c r="BG71" i="9"/>
  <c r="BH119" i="9"/>
  <c r="BH82" i="9"/>
  <c r="BH83" i="9"/>
  <c r="BI86" i="9"/>
  <c r="BI120" i="9"/>
  <c r="BI28" i="9"/>
  <c r="BH32" i="9"/>
  <c r="BH38" i="9"/>
  <c r="BJ43" i="9"/>
  <c r="BJ68" i="9"/>
  <c r="BG119" i="9"/>
  <c r="BF152" i="9"/>
  <c r="BG82" i="9"/>
  <c r="BG83" i="9"/>
  <c r="BG85" i="9"/>
  <c r="BJ88" i="9"/>
  <c r="BJ93" i="9"/>
  <c r="BJ100" i="9"/>
  <c r="BJ27" i="9"/>
  <c r="BG32" i="9"/>
  <c r="BG38" i="9"/>
  <c r="BG115" i="9"/>
  <c r="BG54" i="9"/>
  <c r="BG117" i="9"/>
  <c r="BH62" i="9"/>
  <c r="BH68" i="9"/>
  <c r="BG74" i="9"/>
  <c r="BF153" i="9"/>
  <c r="BI80" i="9"/>
  <c r="BJ84" i="9"/>
  <c r="BH88" i="9"/>
  <c r="BH126" i="9"/>
  <c r="BH93" i="9"/>
  <c r="BH99" i="9"/>
  <c r="BG26" i="9"/>
  <c r="BG30" i="9"/>
  <c r="BH35" i="9"/>
  <c r="BG43" i="9"/>
  <c r="BG49" i="9"/>
  <c r="BG130" i="9"/>
  <c r="BI58" i="9"/>
  <c r="BG68" i="9"/>
  <c r="BG118" i="9"/>
  <c r="BF114" i="9"/>
  <c r="D48" i="1"/>
  <c r="D56" i="14" s="1"/>
  <c r="D64" i="14" s="1"/>
  <c r="D111" i="1"/>
  <c r="D124" i="1" s="1"/>
  <c r="W55" i="10"/>
  <c r="I28" i="14"/>
  <c r="I38" i="14" s="1"/>
  <c r="M86" i="14"/>
  <c r="M87" i="14"/>
  <c r="G27" i="14"/>
  <c r="G37" i="14" s="1"/>
  <c r="R112" i="20"/>
  <c r="P35" i="6"/>
  <c r="AA27" i="10"/>
  <c r="S27" i="10"/>
  <c r="AB27" i="10"/>
  <c r="T27" i="10"/>
  <c r="AE22" i="10"/>
  <c r="AE18" i="10"/>
  <c r="AE14" i="10"/>
  <c r="AE32" i="10" s="1"/>
  <c r="AE103" i="10"/>
  <c r="I27" i="14"/>
  <c r="I37" i="14" s="1"/>
  <c r="N70" i="20"/>
  <c r="J70" i="20" s="1"/>
  <c r="N15" i="20"/>
  <c r="J15" i="20" s="1"/>
  <c r="AE16" i="10"/>
  <c r="AE104" i="10"/>
  <c r="R73" i="20"/>
  <c r="AE24" i="10"/>
  <c r="N116" i="20"/>
  <c r="J116" i="20" s="1"/>
  <c r="N35" i="20"/>
  <c r="J35" i="20" s="1"/>
  <c r="N16" i="20"/>
  <c r="J16" i="20" s="1"/>
  <c r="AG103" i="10"/>
  <c r="AE26" i="10"/>
  <c r="AE9" i="10"/>
  <c r="AG25" i="10"/>
  <c r="AE7" i="10"/>
  <c r="AE11" i="10"/>
  <c r="AE50" i="10" s="1"/>
  <c r="AE99" i="10"/>
  <c r="AE5" i="10"/>
  <c r="AG5" i="10"/>
  <c r="D20" i="1"/>
  <c r="D58" i="5"/>
  <c r="K25" i="1"/>
  <c r="B111" i="5" s="1"/>
  <c r="E70" i="5"/>
  <c r="K18" i="1" s="1"/>
  <c r="K41" i="1" s="1"/>
  <c r="K53" i="14" s="1"/>
  <c r="D41" i="1"/>
  <c r="D53" i="14" s="1"/>
  <c r="D37" i="1"/>
  <c r="D40" i="1" s="1"/>
  <c r="AE8" i="10"/>
  <c r="AE12" i="10"/>
  <c r="AE37" i="10" s="1"/>
  <c r="AE15" i="10"/>
  <c r="AE38" i="10" s="1"/>
  <c r="AE23" i="10"/>
  <c r="AE101" i="10"/>
  <c r="AE28" i="10"/>
  <c r="AB102" i="10"/>
  <c r="T102" i="10"/>
  <c r="AG101" i="10"/>
  <c r="AE6" i="10"/>
  <c r="AE13" i="10"/>
  <c r="AE36" i="10" s="1"/>
  <c r="AE17" i="10"/>
  <c r="AE100" i="10"/>
  <c r="AE25" i="10"/>
  <c r="AE102" i="10"/>
  <c r="T7" i="10"/>
  <c r="AB7" i="10"/>
  <c r="AB22" i="10"/>
  <c r="T22" i="10"/>
  <c r="AG28" i="10"/>
  <c r="AG23" i="10"/>
  <c r="AG100" i="10"/>
  <c r="AB103" i="10"/>
  <c r="T103" i="10"/>
  <c r="T15" i="10"/>
  <c r="AB15" i="10"/>
  <c r="AB24" i="10"/>
  <c r="T24" i="10"/>
  <c r="AB21" i="10"/>
  <c r="T21" i="10"/>
  <c r="AB13" i="10"/>
  <c r="T13" i="10"/>
  <c r="AB99" i="10"/>
  <c r="T99" i="10"/>
  <c r="K37" i="1"/>
  <c r="K40" i="1" s="1"/>
  <c r="K51" i="14"/>
  <c r="K88" i="14" s="1"/>
  <c r="P127" i="6"/>
  <c r="AB9" i="10"/>
  <c r="T9" i="10"/>
  <c r="AB17" i="10"/>
  <c r="T17" i="10"/>
  <c r="T26" i="10"/>
  <c r="AB26" i="10"/>
  <c r="T19" i="10"/>
  <c r="AB19" i="10"/>
  <c r="T11" i="10"/>
  <c r="AB11" i="10"/>
  <c r="S98" i="10"/>
  <c r="AA98" i="10"/>
  <c r="AG98" i="10" s="1"/>
  <c r="N87" i="20"/>
  <c r="N114" i="20"/>
  <c r="G51" i="14"/>
  <c r="G37" i="1"/>
  <c r="G40" i="1" s="1"/>
  <c r="G43" i="1" s="1"/>
  <c r="G17" i="1"/>
  <c r="D285" i="1"/>
  <c r="E274" i="1"/>
  <c r="E223" i="1"/>
  <c r="E275" i="1"/>
  <c r="H86" i="1"/>
  <c r="H79" i="1"/>
  <c r="G79" i="1"/>
  <c r="K80" i="1"/>
  <c r="G80" i="1"/>
  <c r="E80" i="1"/>
  <c r="G87" i="1"/>
  <c r="I79" i="1"/>
  <c r="F79" i="1"/>
  <c r="I86" i="1"/>
  <c r="F80" i="1"/>
  <c r="J86" i="1"/>
  <c r="J87" i="1"/>
  <c r="F76" i="1"/>
  <c r="K79" i="1"/>
  <c r="H76" i="1"/>
  <c r="D76" i="1"/>
  <c r="I81" i="1"/>
  <c r="D80" i="1"/>
  <c r="E76" i="1"/>
  <c r="J81" i="1"/>
  <c r="I80" i="1"/>
  <c r="H87" i="1"/>
  <c r="J80" i="1"/>
  <c r="E87" i="1"/>
  <c r="E79" i="1"/>
  <c r="G86" i="1"/>
  <c r="D81" i="1"/>
  <c r="I87" i="1"/>
  <c r="F59" i="20" l="1"/>
  <c r="U59" i="20" s="1"/>
  <c r="F54" i="20"/>
  <c r="U54" i="20"/>
  <c r="F53" i="20"/>
  <c r="U53" i="20" s="1"/>
  <c r="F61" i="20"/>
  <c r="U61" i="20"/>
  <c r="J32" i="20"/>
  <c r="R32" i="20" s="1"/>
  <c r="M57" i="20"/>
  <c r="J57" i="20" s="1"/>
  <c r="M51" i="20"/>
  <c r="J51" i="20" s="1"/>
  <c r="J19" i="20"/>
  <c r="R19" i="20" s="1"/>
  <c r="F60" i="20"/>
  <c r="U60" i="20" s="1"/>
  <c r="F29" i="20"/>
  <c r="U29" i="20" s="1"/>
  <c r="F28" i="20"/>
  <c r="H28" i="20" s="1"/>
  <c r="J25" i="20"/>
  <c r="S25" i="20" s="1"/>
  <c r="H27" i="20"/>
  <c r="G36" i="44"/>
  <c r="G13" i="44"/>
  <c r="G18" i="44"/>
  <c r="G10" i="44"/>
  <c r="G14" i="44"/>
  <c r="G11" i="44"/>
  <c r="G17" i="44"/>
  <c r="G24" i="44"/>
  <c r="G19" i="44"/>
  <c r="G23" i="44"/>
  <c r="G21" i="44"/>
  <c r="G12" i="44"/>
  <c r="G20" i="44"/>
  <c r="G16" i="44"/>
  <c r="G22" i="44"/>
  <c r="F22" i="20"/>
  <c r="U22" i="20" s="1"/>
  <c r="S72" i="20"/>
  <c r="F21" i="20"/>
  <c r="U21" i="20" s="1"/>
  <c r="B12" i="44"/>
  <c r="E12" i="44" s="1"/>
  <c r="B11" i="44"/>
  <c r="E11" i="44" s="1"/>
  <c r="B15" i="44"/>
  <c r="E15" i="44" s="1"/>
  <c r="B10" i="44"/>
  <c r="E10" i="44" s="1"/>
  <c r="B13" i="44"/>
  <c r="E13" i="44" s="1"/>
  <c r="B16" i="44"/>
  <c r="E16" i="44" s="1"/>
  <c r="B24" i="44"/>
  <c r="E24" i="44" s="1"/>
  <c r="B19" i="44"/>
  <c r="E19" i="44" s="1"/>
  <c r="B14" i="44"/>
  <c r="E14" i="44" s="1"/>
  <c r="B22" i="44"/>
  <c r="E22" i="44" s="1"/>
  <c r="B17" i="44"/>
  <c r="E17" i="44" s="1"/>
  <c r="B20" i="44"/>
  <c r="E20" i="44" s="1"/>
  <c r="B21" i="44"/>
  <c r="E21" i="44" s="1"/>
  <c r="B18" i="44"/>
  <c r="E18" i="44" s="1"/>
  <c r="B23" i="44"/>
  <c r="E23" i="44" s="1"/>
  <c r="AG20" i="10"/>
  <c r="AG19" i="10"/>
  <c r="G199" i="1"/>
  <c r="E199" i="1"/>
  <c r="K199" i="1"/>
  <c r="K200" i="1" s="1"/>
  <c r="AE10" i="10"/>
  <c r="AE35" i="10" s="1"/>
  <c r="AH35" i="10" s="1"/>
  <c r="AG10" i="10"/>
  <c r="AG33" i="10"/>
  <c r="H170" i="1"/>
  <c r="H101" i="14" s="1"/>
  <c r="R38" i="20"/>
  <c r="G171" i="1"/>
  <c r="D67" i="1"/>
  <c r="D135" i="1" s="1"/>
  <c r="BN75" i="9"/>
  <c r="BT75" i="9" s="1"/>
  <c r="BP64" i="9"/>
  <c r="BV64" i="9" s="1"/>
  <c r="BN42" i="9"/>
  <c r="BT42" i="9" s="1"/>
  <c r="BP46" i="9"/>
  <c r="BQ38" i="9"/>
  <c r="BP70" i="9"/>
  <c r="BV70" i="9" s="1"/>
  <c r="BO82" i="9"/>
  <c r="BO8" i="9"/>
  <c r="BU8" i="9" s="1"/>
  <c r="BP27" i="9"/>
  <c r="BM48" i="9"/>
  <c r="BS48" i="9" s="1"/>
  <c r="BM21" i="9"/>
  <c r="BS21" i="9" s="1"/>
  <c r="BM51" i="9"/>
  <c r="BS51" i="9" s="1"/>
  <c r="BO47" i="9"/>
  <c r="BU47" i="9" s="1"/>
  <c r="BP12" i="9"/>
  <c r="BV12" i="9" s="1"/>
  <c r="BQ83" i="9"/>
  <c r="BM7" i="9"/>
  <c r="BS7" i="9" s="1"/>
  <c r="BM19" i="9"/>
  <c r="BS19" i="9" s="1"/>
  <c r="BO66" i="9"/>
  <c r="BU66" i="9" s="1"/>
  <c r="BM58" i="9"/>
  <c r="BQ23" i="9"/>
  <c r="BW23" i="9" s="1"/>
  <c r="BM86" i="9"/>
  <c r="BS86" i="9" s="1"/>
  <c r="BP68" i="9"/>
  <c r="BM54" i="9"/>
  <c r="BP45" i="9"/>
  <c r="BV45" i="9" s="1"/>
  <c r="BN99" i="9"/>
  <c r="BT99" i="9" s="1"/>
  <c r="BP32" i="9"/>
  <c r="BO71" i="9"/>
  <c r="BQ48" i="9"/>
  <c r="BW48" i="9" s="1"/>
  <c r="BN27" i="9"/>
  <c r="BM24" i="9"/>
  <c r="BS24" i="9" s="1"/>
  <c r="BN30" i="9"/>
  <c r="BO36" i="9"/>
  <c r="BU36" i="9" s="1"/>
  <c r="BN76" i="9"/>
  <c r="BT76" i="9" s="1"/>
  <c r="BP86" i="9"/>
  <c r="BP49" i="9"/>
  <c r="BP10" i="9"/>
  <c r="BV10" i="9" s="1"/>
  <c r="BM41" i="9"/>
  <c r="BM35" i="9"/>
  <c r="BQ44" i="9"/>
  <c r="BW44" i="9" s="1"/>
  <c r="BP41" i="9"/>
  <c r="BQ21" i="9"/>
  <c r="BW21" i="9" s="1"/>
  <c r="BP16" i="9"/>
  <c r="BV16" i="9" s="1"/>
  <c r="BO30" i="9"/>
  <c r="BM49" i="9"/>
  <c r="BM98" i="9"/>
  <c r="BS98" i="9" s="1"/>
  <c r="BQ47" i="9"/>
  <c r="BW47" i="9" s="1"/>
  <c r="BN58" i="9"/>
  <c r="BQ46" i="9"/>
  <c r="BQ27" i="9"/>
  <c r="BO40" i="9"/>
  <c r="BU40" i="9" s="1"/>
  <c r="BN83" i="9"/>
  <c r="BP51" i="9"/>
  <c r="BV51" i="9" s="1"/>
  <c r="BN31" i="9"/>
  <c r="BP57" i="9"/>
  <c r="BN77" i="9"/>
  <c r="BT77" i="9" s="1"/>
  <c r="BO88" i="9"/>
  <c r="BP71" i="9"/>
  <c r="BO17" i="9"/>
  <c r="BU17" i="9" s="1"/>
  <c r="BN80" i="9"/>
  <c r="BQ11" i="9"/>
  <c r="BW11" i="9" s="1"/>
  <c r="BO32" i="9"/>
  <c r="BP74" i="9"/>
  <c r="BO12" i="9"/>
  <c r="BU12" i="9" s="1"/>
  <c r="BO18" i="9"/>
  <c r="BU18" i="9" s="1"/>
  <c r="BM27" i="9"/>
  <c r="BM62" i="9"/>
  <c r="BS62" i="9" s="1"/>
  <c r="BO84" i="9"/>
  <c r="BM47" i="9"/>
  <c r="BS47" i="9" s="1"/>
  <c r="BQ24" i="9"/>
  <c r="BW24" i="9" s="1"/>
  <c r="BQ43" i="9"/>
  <c r="BN74" i="9"/>
  <c r="BQ50" i="9"/>
  <c r="BW50" i="9" s="1"/>
  <c r="BP25" i="9"/>
  <c r="BV25" i="9" s="1"/>
  <c r="BP73" i="9"/>
  <c r="BV73" i="9" s="1"/>
  <c r="BN87" i="9"/>
  <c r="BM59" i="9"/>
  <c r="BO73" i="9"/>
  <c r="BU73" i="9" s="1"/>
  <c r="BQ81" i="9"/>
  <c r="BW81" i="9" s="1"/>
  <c r="BQ54" i="9"/>
  <c r="BM5" i="9"/>
  <c r="BS5" i="9" s="1"/>
  <c r="BO87" i="9"/>
  <c r="BQ14" i="9"/>
  <c r="BW14" i="9" s="1"/>
  <c r="BP78" i="9"/>
  <c r="BV78" i="9" s="1"/>
  <c r="BP80" i="9"/>
  <c r="BO11" i="9"/>
  <c r="BU11" i="9" s="1"/>
  <c r="BO13" i="9"/>
  <c r="BU13" i="9" s="1"/>
  <c r="BN65" i="9"/>
  <c r="BO41" i="9"/>
  <c r="BQ10" i="9"/>
  <c r="BW10" i="9" s="1"/>
  <c r="BP53" i="9"/>
  <c r="BV53" i="9" s="1"/>
  <c r="BN100" i="9"/>
  <c r="BT100" i="9" s="1"/>
  <c r="BM74" i="9"/>
  <c r="BS74" i="9" s="1"/>
  <c r="BM50" i="9"/>
  <c r="BS50" i="9" s="1"/>
  <c r="BP75" i="9"/>
  <c r="BV75" i="9" s="1"/>
  <c r="BQ53" i="9"/>
  <c r="BW53" i="9" s="1"/>
  <c r="BP22" i="9"/>
  <c r="BV22" i="9" s="1"/>
  <c r="BO65" i="9"/>
  <c r="BP42" i="9"/>
  <c r="BV42" i="9" s="1"/>
  <c r="BQ12" i="9"/>
  <c r="BW12" i="9" s="1"/>
  <c r="BM57" i="9"/>
  <c r="BN97" i="9"/>
  <c r="BT97" i="9" s="1"/>
  <c r="BO35" i="9"/>
  <c r="BP18" i="9"/>
  <c r="BV18" i="9" s="1"/>
  <c r="BO45" i="9"/>
  <c r="BU45" i="9" s="1"/>
  <c r="BQ82" i="9"/>
  <c r="BM15" i="9"/>
  <c r="BS15" i="9" s="1"/>
  <c r="BM17" i="9"/>
  <c r="BS17" i="9" s="1"/>
  <c r="AL67" i="9"/>
  <c r="BN67" i="9" s="1"/>
  <c r="BT67" i="9" s="1"/>
  <c r="BN66" i="9"/>
  <c r="BT66" i="9" s="1"/>
  <c r="BO80" i="9"/>
  <c r="BP23" i="9"/>
  <c r="BV23" i="9" s="1"/>
  <c r="BN95" i="9"/>
  <c r="BT95" i="9" s="1"/>
  <c r="BQ32" i="9"/>
  <c r="BQ19" i="9"/>
  <c r="BW19" i="9" s="1"/>
  <c r="BM88" i="9"/>
  <c r="BS88" i="9" s="1"/>
  <c r="BM92" i="9"/>
  <c r="BS92" i="9" s="1"/>
  <c r="BP63" i="9"/>
  <c r="BV63" i="9" s="1"/>
  <c r="BQ59" i="9"/>
  <c r="BM53" i="9"/>
  <c r="BS53" i="9" s="1"/>
  <c r="BM55" i="9"/>
  <c r="BS55" i="9" s="1"/>
  <c r="BP14" i="9"/>
  <c r="BV14" i="9" s="1"/>
  <c r="BO42" i="9"/>
  <c r="BU42" i="9" s="1"/>
  <c r="BP6" i="9"/>
  <c r="BV6" i="9" s="1"/>
  <c r="BM30" i="9"/>
  <c r="BN96" i="9"/>
  <c r="BT96" i="9" s="1"/>
  <c r="BP28" i="9"/>
  <c r="BM8" i="9"/>
  <c r="BS8" i="9" s="1"/>
  <c r="BQ16" i="9"/>
  <c r="BW16" i="9" s="1"/>
  <c r="BM46" i="9"/>
  <c r="BN85" i="9"/>
  <c r="BN71" i="9"/>
  <c r="BN68" i="9"/>
  <c r="BM100" i="9"/>
  <c r="BS100" i="9" s="1"/>
  <c r="BO24" i="9"/>
  <c r="BU24" i="9" s="1"/>
  <c r="BM65" i="9"/>
  <c r="BS65" i="9" s="1"/>
  <c r="BQ8" i="9"/>
  <c r="BW8" i="9" s="1"/>
  <c r="BM87" i="9"/>
  <c r="BS87" i="9" s="1"/>
  <c r="BQ74" i="9"/>
  <c r="BO69" i="9"/>
  <c r="BU69" i="9" s="1"/>
  <c r="BN54" i="9"/>
  <c r="BP69" i="9"/>
  <c r="BV69" i="9" s="1"/>
  <c r="BP29" i="9"/>
  <c r="BQ69" i="9"/>
  <c r="BW69" i="9" s="1"/>
  <c r="BP38" i="9"/>
  <c r="BP17" i="9"/>
  <c r="BV17" i="9" s="1"/>
  <c r="BN52" i="9"/>
  <c r="BM96" i="9"/>
  <c r="BS96" i="9" s="1"/>
  <c r="BN84" i="9"/>
  <c r="BP37" i="9"/>
  <c r="BP24" i="9"/>
  <c r="BV24" i="9" s="1"/>
  <c r="BM68" i="9"/>
  <c r="BS68" i="9" s="1"/>
  <c r="BO67" i="9"/>
  <c r="BU67" i="9" s="1"/>
  <c r="BQ64" i="9"/>
  <c r="BW64" i="9" s="1"/>
  <c r="AL70" i="9"/>
  <c r="BN70" i="9" s="1"/>
  <c r="BT70" i="9" s="1"/>
  <c r="BN69" i="9"/>
  <c r="BT69" i="9" s="1"/>
  <c r="BN86" i="9"/>
  <c r="BO25" i="9"/>
  <c r="BU25" i="9" s="1"/>
  <c r="BM84" i="9"/>
  <c r="BS84" i="9" s="1"/>
  <c r="BP11" i="9"/>
  <c r="BV11" i="9" s="1"/>
  <c r="BO52" i="9"/>
  <c r="BQ9" i="9"/>
  <c r="BW9" i="9" s="1"/>
  <c r="BP62" i="9"/>
  <c r="BN55" i="9"/>
  <c r="BT55" i="9" s="1"/>
  <c r="BO75" i="9"/>
  <c r="BU75" i="9" s="1"/>
  <c r="BO38" i="9"/>
  <c r="BQ26" i="9"/>
  <c r="BP59" i="9"/>
  <c r="BO15" i="9"/>
  <c r="BU15" i="9" s="1"/>
  <c r="BN53" i="9"/>
  <c r="BT53" i="9" s="1"/>
  <c r="BM94" i="9"/>
  <c r="BS94" i="9" s="1"/>
  <c r="BP15" i="9"/>
  <c r="BV15" i="9" s="1"/>
  <c r="BM66" i="9"/>
  <c r="BS66" i="9" s="1"/>
  <c r="BO6" i="9"/>
  <c r="BU6" i="9" s="1"/>
  <c r="BO74" i="9"/>
  <c r="BM95" i="9"/>
  <c r="BS95" i="9" s="1"/>
  <c r="BQ45" i="9"/>
  <c r="BW45" i="9" s="1"/>
  <c r="BQ7" i="9"/>
  <c r="BW7" i="9" s="1"/>
  <c r="BQ62" i="9"/>
  <c r="BM13" i="9"/>
  <c r="BS13" i="9" s="1"/>
  <c r="AL73" i="9"/>
  <c r="BN73" i="9" s="1"/>
  <c r="BT73" i="9" s="1"/>
  <c r="BN72" i="9"/>
  <c r="BT72" i="9" s="1"/>
  <c r="BQ13" i="9"/>
  <c r="BW13" i="9" s="1"/>
  <c r="BM71" i="9"/>
  <c r="BS71" i="9" s="1"/>
  <c r="BO23" i="9"/>
  <c r="BU23" i="9" s="1"/>
  <c r="BO58" i="9"/>
  <c r="BQ5" i="9"/>
  <c r="BW5" i="9" s="1"/>
  <c r="BP43" i="9"/>
  <c r="BO27" i="9"/>
  <c r="BP84" i="9"/>
  <c r="BM26" i="9"/>
  <c r="BQ15" i="9"/>
  <c r="BW15" i="9" s="1"/>
  <c r="BQ49" i="9"/>
  <c r="BM23" i="9"/>
  <c r="BS23" i="9" s="1"/>
  <c r="BO83" i="9"/>
  <c r="BQ73" i="9"/>
  <c r="BW73" i="9" s="1"/>
  <c r="BM70" i="9"/>
  <c r="BS70" i="9" s="1"/>
  <c r="BO55" i="9"/>
  <c r="BU55" i="9" s="1"/>
  <c r="BO22" i="9"/>
  <c r="BU22" i="9" s="1"/>
  <c r="BQ40" i="9"/>
  <c r="BW40" i="9" s="1"/>
  <c r="BQ75" i="9"/>
  <c r="BW75" i="9" s="1"/>
  <c r="BQ36" i="9"/>
  <c r="BW36" i="9" s="1"/>
  <c r="BO14" i="9"/>
  <c r="BU14" i="9" s="1"/>
  <c r="BN57" i="9"/>
  <c r="BN19" i="9"/>
  <c r="BN20" i="9"/>
  <c r="BN10" i="9"/>
  <c r="BN5" i="9"/>
  <c r="BN21" i="9"/>
  <c r="BT21" i="9" s="1"/>
  <c r="BN6" i="9"/>
  <c r="BN22" i="9"/>
  <c r="BN7" i="9"/>
  <c r="BN23" i="9"/>
  <c r="BN25" i="9"/>
  <c r="BN8" i="9"/>
  <c r="BN24" i="9"/>
  <c r="BM102" i="9"/>
  <c r="BS102" i="9" s="1"/>
  <c r="BN9" i="9"/>
  <c r="BM103" i="9"/>
  <c r="BS103" i="9" s="1"/>
  <c r="BN13" i="9"/>
  <c r="BN17" i="9"/>
  <c r="BN14" i="9"/>
  <c r="BN15" i="9"/>
  <c r="BN16" i="9"/>
  <c r="BN18" i="9"/>
  <c r="BT18" i="9" s="1"/>
  <c r="BN11" i="9"/>
  <c r="BN12" i="9"/>
  <c r="BN59" i="9"/>
  <c r="BN35" i="9"/>
  <c r="BN93" i="9"/>
  <c r="BT93" i="9" s="1"/>
  <c r="BN79" i="9"/>
  <c r="BT79" i="9" s="1"/>
  <c r="BM61" i="9"/>
  <c r="BS61" i="9" s="1"/>
  <c r="BN56" i="9"/>
  <c r="BT56" i="9" s="1"/>
  <c r="BN32" i="9"/>
  <c r="BM89" i="9"/>
  <c r="BS89" i="9" s="1"/>
  <c r="BM79" i="9"/>
  <c r="BS79" i="9" s="1"/>
  <c r="BM60" i="9"/>
  <c r="BS60" i="9" s="1"/>
  <c r="BM34" i="9"/>
  <c r="BS34" i="9" s="1"/>
  <c r="BM90" i="9"/>
  <c r="BS90" i="9" s="1"/>
  <c r="BM56" i="9"/>
  <c r="BS56" i="9" s="1"/>
  <c r="BN26" i="9"/>
  <c r="BM33" i="9"/>
  <c r="BS33" i="9" s="1"/>
  <c r="BN60" i="9"/>
  <c r="BT60" i="9" s="1"/>
  <c r="BN36" i="9"/>
  <c r="BT36" i="9" s="1"/>
  <c r="BN33" i="9"/>
  <c r="BT33" i="9" s="1"/>
  <c r="BN90" i="9"/>
  <c r="BT90" i="9" s="1"/>
  <c r="BN92" i="9"/>
  <c r="BT92" i="9" s="1"/>
  <c r="BN38" i="9"/>
  <c r="BN102" i="9"/>
  <c r="BT102" i="9" s="1"/>
  <c r="BN104" i="9"/>
  <c r="BT104" i="9" s="1"/>
  <c r="BN103" i="9"/>
  <c r="BT103" i="9" s="1"/>
  <c r="BN94" i="9"/>
  <c r="BT94" i="9" s="1"/>
  <c r="BN89" i="9"/>
  <c r="BN34" i="9"/>
  <c r="BT34" i="9" s="1"/>
  <c r="BN91" i="9"/>
  <c r="BT91" i="9" s="1"/>
  <c r="BN37" i="9"/>
  <c r="BT37" i="9" s="1"/>
  <c r="BN61" i="9"/>
  <c r="BT61" i="9" s="1"/>
  <c r="BP95" i="9"/>
  <c r="BV95" i="9" s="1"/>
  <c r="BQ99" i="9"/>
  <c r="BW99" i="9" s="1"/>
  <c r="BQ95" i="9"/>
  <c r="BW95" i="9" s="1"/>
  <c r="BP90" i="9"/>
  <c r="BV90" i="9" s="1"/>
  <c r="BQ33" i="9"/>
  <c r="BW33" i="9" s="1"/>
  <c r="BP93" i="9"/>
  <c r="BV93" i="9" s="1"/>
  <c r="BQ61" i="9"/>
  <c r="BW61" i="9" s="1"/>
  <c r="BP60" i="9"/>
  <c r="BV60" i="9" s="1"/>
  <c r="BQ96" i="9"/>
  <c r="BW96" i="9" s="1"/>
  <c r="BO56" i="9"/>
  <c r="BU56" i="9" s="1"/>
  <c r="BQ104" i="9"/>
  <c r="BW104" i="9" s="1"/>
  <c r="BO94" i="9"/>
  <c r="BU94" i="9" s="1"/>
  <c r="BO99" i="9"/>
  <c r="BU99" i="9" s="1"/>
  <c r="BQ94" i="9"/>
  <c r="BW94" i="9" s="1"/>
  <c r="BQ102" i="9"/>
  <c r="BW102" i="9" s="1"/>
  <c r="BP87" i="9"/>
  <c r="BP99" i="9"/>
  <c r="BV99" i="9" s="1"/>
  <c r="BO90" i="9"/>
  <c r="BU90" i="9" s="1"/>
  <c r="BP104" i="9"/>
  <c r="BV104" i="9" s="1"/>
  <c r="BP98" i="9"/>
  <c r="BV98" i="9" s="1"/>
  <c r="BP79" i="9"/>
  <c r="BV79" i="9" s="1"/>
  <c r="BP100" i="9"/>
  <c r="BV100" i="9" s="1"/>
  <c r="BQ85" i="9"/>
  <c r="BO103" i="9"/>
  <c r="BU103" i="9" s="1"/>
  <c r="BO93" i="9"/>
  <c r="BU93" i="9" s="1"/>
  <c r="BQ90" i="9"/>
  <c r="BW90" i="9" s="1"/>
  <c r="BO95" i="9"/>
  <c r="BU95" i="9" s="1"/>
  <c r="BP91" i="9"/>
  <c r="BV91" i="9" s="1"/>
  <c r="BQ91" i="9"/>
  <c r="BW91" i="9" s="1"/>
  <c r="BP103" i="9"/>
  <c r="BV103" i="9" s="1"/>
  <c r="BQ34" i="9"/>
  <c r="BW34" i="9" s="1"/>
  <c r="BO34" i="9"/>
  <c r="BU34" i="9" s="1"/>
  <c r="BQ88" i="9"/>
  <c r="BP92" i="9"/>
  <c r="BV92" i="9" s="1"/>
  <c r="BQ97" i="9"/>
  <c r="BW97" i="9" s="1"/>
  <c r="BP94" i="9"/>
  <c r="BV94" i="9" s="1"/>
  <c r="BO104" i="9"/>
  <c r="BU104" i="9" s="1"/>
  <c r="BP61" i="9"/>
  <c r="BV61" i="9" s="1"/>
  <c r="BP34" i="9"/>
  <c r="BV34" i="9" s="1"/>
  <c r="BP89" i="9"/>
  <c r="BV89" i="9" s="1"/>
  <c r="BQ98" i="9"/>
  <c r="BW98" i="9" s="1"/>
  <c r="BO91" i="9"/>
  <c r="BU91" i="9" s="1"/>
  <c r="BO79" i="9"/>
  <c r="BU79" i="9" s="1"/>
  <c r="BQ100" i="9"/>
  <c r="BW100" i="9" s="1"/>
  <c r="BQ103" i="9"/>
  <c r="BW103" i="9" s="1"/>
  <c r="BQ92" i="9"/>
  <c r="BW92" i="9" s="1"/>
  <c r="BP33" i="9"/>
  <c r="BV33" i="9" s="1"/>
  <c r="BQ93" i="9"/>
  <c r="BW93" i="9" s="1"/>
  <c r="BO33" i="9"/>
  <c r="BU33" i="9" s="1"/>
  <c r="BP96" i="9"/>
  <c r="BV96" i="9" s="1"/>
  <c r="BQ68" i="9"/>
  <c r="BP88" i="9"/>
  <c r="BQ79" i="9"/>
  <c r="BW79" i="9" s="1"/>
  <c r="BO97" i="9"/>
  <c r="BU97" i="9" s="1"/>
  <c r="BO92" i="9"/>
  <c r="BU92" i="9" s="1"/>
  <c r="BQ89" i="9"/>
  <c r="BW89" i="9" s="1"/>
  <c r="BO98" i="9"/>
  <c r="BU98" i="9" s="1"/>
  <c r="BQ86" i="9"/>
  <c r="BO89" i="9"/>
  <c r="BU89" i="9" s="1"/>
  <c r="BP56" i="9"/>
  <c r="BV56" i="9" s="1"/>
  <c r="BP102" i="9"/>
  <c r="BV102" i="9" s="1"/>
  <c r="BP97" i="9"/>
  <c r="BV97" i="9" s="1"/>
  <c r="BQ56" i="9"/>
  <c r="BW56" i="9" s="1"/>
  <c r="BO96" i="9"/>
  <c r="BU96" i="9" s="1"/>
  <c r="BO102" i="9"/>
  <c r="BU102" i="9" s="1"/>
  <c r="BO100" i="9"/>
  <c r="BU100" i="9" s="1"/>
  <c r="BO60" i="9"/>
  <c r="BU60" i="9" s="1"/>
  <c r="BQ60" i="9"/>
  <c r="BW60" i="9" s="1"/>
  <c r="BQ87" i="9"/>
  <c r="BO61" i="9"/>
  <c r="BU61" i="9" s="1"/>
  <c r="BP81" i="9"/>
  <c r="BV81" i="9" s="1"/>
  <c r="BO81" i="9"/>
  <c r="BU81" i="9" s="1"/>
  <c r="BN81" i="9"/>
  <c r="BT81" i="9" s="1"/>
  <c r="BM81" i="9"/>
  <c r="BS81" i="9" s="1"/>
  <c r="BN40" i="9"/>
  <c r="BT40" i="9" s="1"/>
  <c r="BQ17" i="9"/>
  <c r="BW17" i="9" s="1"/>
  <c r="BO43" i="9"/>
  <c r="BM18" i="9"/>
  <c r="BS18" i="9" s="1"/>
  <c r="BP26" i="9"/>
  <c r="BP13" i="9"/>
  <c r="BV13" i="9" s="1"/>
  <c r="BQ80" i="9"/>
  <c r="BP30" i="9"/>
  <c r="BP52" i="9"/>
  <c r="BO9" i="9"/>
  <c r="BU9" i="9" s="1"/>
  <c r="BM80" i="9"/>
  <c r="BS80" i="9" s="1"/>
  <c r="BQ71" i="9"/>
  <c r="BN50" i="9"/>
  <c r="BT50" i="9" s="1"/>
  <c r="BO85" i="9"/>
  <c r="BP48" i="9"/>
  <c r="BV48" i="9" s="1"/>
  <c r="BQ66" i="9"/>
  <c r="BW66" i="9" s="1"/>
  <c r="BP83" i="9"/>
  <c r="BM10" i="9"/>
  <c r="BS10" i="9" s="1"/>
  <c r="BM75" i="9"/>
  <c r="BS75" i="9" s="1"/>
  <c r="BP72" i="9"/>
  <c r="BV72" i="9" s="1"/>
  <c r="BM36" i="9"/>
  <c r="BS36" i="9" s="1"/>
  <c r="BO19" i="9"/>
  <c r="BU19" i="9" s="1"/>
  <c r="BN98" i="9"/>
  <c r="BT98" i="9" s="1"/>
  <c r="BO77" i="9"/>
  <c r="BU77" i="9" s="1"/>
  <c r="BP8" i="9"/>
  <c r="BV8" i="9" s="1"/>
  <c r="BO68" i="9"/>
  <c r="BM20" i="9"/>
  <c r="BS20" i="9" s="1"/>
  <c r="BM104" i="9"/>
  <c r="BS104" i="9" s="1"/>
  <c r="BO5" i="9"/>
  <c r="BU5" i="9" s="1"/>
  <c r="BQ52" i="9"/>
  <c r="BO54" i="9"/>
  <c r="BQ29" i="9"/>
  <c r="BQ20" i="9"/>
  <c r="BW20" i="9" s="1"/>
  <c r="BN29" i="9"/>
  <c r="BM32" i="9"/>
  <c r="BN51" i="9"/>
  <c r="BT51" i="9" s="1"/>
  <c r="BP31" i="9"/>
  <c r="BQ63" i="9"/>
  <c r="BW63" i="9" s="1"/>
  <c r="BP55" i="9"/>
  <c r="BV55" i="9" s="1"/>
  <c r="BQ28" i="9"/>
  <c r="BO64" i="9"/>
  <c r="BU64" i="9" s="1"/>
  <c r="BO72" i="9"/>
  <c r="BU72" i="9" s="1"/>
  <c r="BP82" i="9"/>
  <c r="BP36" i="9"/>
  <c r="BV36" i="9" s="1"/>
  <c r="BN46" i="9"/>
  <c r="BM64" i="9"/>
  <c r="BS64" i="9" s="1"/>
  <c r="BN47" i="9"/>
  <c r="BT47" i="9" s="1"/>
  <c r="BO21" i="9"/>
  <c r="BU21" i="9" s="1"/>
  <c r="BO49" i="9"/>
  <c r="BO51" i="9"/>
  <c r="BU51" i="9" s="1"/>
  <c r="BN49" i="9"/>
  <c r="BM14" i="9"/>
  <c r="BS14" i="9" s="1"/>
  <c r="BM82" i="9"/>
  <c r="BS82" i="9" s="1"/>
  <c r="BN43" i="9"/>
  <c r="BQ57" i="9"/>
  <c r="BM16" i="9"/>
  <c r="BS16" i="9" s="1"/>
  <c r="BQ25" i="9"/>
  <c r="BW25" i="9" s="1"/>
  <c r="BM83" i="9"/>
  <c r="BS83" i="9" s="1"/>
  <c r="BM91" i="9"/>
  <c r="BS91" i="9" s="1"/>
  <c r="BO26" i="9"/>
  <c r="BM63" i="9"/>
  <c r="BS63" i="9" s="1"/>
  <c r="BP58" i="9"/>
  <c r="BO29" i="9"/>
  <c r="BO48" i="9"/>
  <c r="BU48" i="9" s="1"/>
  <c r="BQ30" i="9"/>
  <c r="BM29" i="9"/>
  <c r="BO39" i="9"/>
  <c r="BU39" i="9" s="1"/>
  <c r="BQ51" i="9"/>
  <c r="BW51" i="9" s="1"/>
  <c r="BP21" i="9"/>
  <c r="BV21" i="9" s="1"/>
  <c r="BM45" i="9"/>
  <c r="BS45" i="9" s="1"/>
  <c r="BM12" i="9"/>
  <c r="BS12" i="9" s="1"/>
  <c r="BM31" i="9"/>
  <c r="BP77" i="9"/>
  <c r="BV77" i="9" s="1"/>
  <c r="BO28" i="9"/>
  <c r="BM22" i="9"/>
  <c r="BS22" i="9" s="1"/>
  <c r="BM93" i="9"/>
  <c r="BS93" i="9" s="1"/>
  <c r="AL45" i="9"/>
  <c r="BN45" i="9" s="1"/>
  <c r="BT45" i="9" s="1"/>
  <c r="BN44" i="9"/>
  <c r="BT44" i="9" s="1"/>
  <c r="BM85" i="9"/>
  <c r="BS85" i="9" s="1"/>
  <c r="BM9" i="9"/>
  <c r="BS9" i="9" s="1"/>
  <c r="BQ6" i="9"/>
  <c r="BW6" i="9" s="1"/>
  <c r="BN62" i="9"/>
  <c r="BM78" i="9"/>
  <c r="BS78" i="9" s="1"/>
  <c r="BP5" i="9"/>
  <c r="BV5" i="9" s="1"/>
  <c r="BP50" i="9"/>
  <c r="BV50" i="9" s="1"/>
  <c r="BQ65" i="9"/>
  <c r="BN88" i="9"/>
  <c r="BM97" i="9"/>
  <c r="BS97" i="9" s="1"/>
  <c r="BO62" i="9"/>
  <c r="BM6" i="9"/>
  <c r="BS6" i="9" s="1"/>
  <c r="BP85" i="9"/>
  <c r="BM40" i="9"/>
  <c r="BS40" i="9" s="1"/>
  <c r="BM11" i="9"/>
  <c r="BS11" i="9" s="1"/>
  <c r="BQ42" i="9"/>
  <c r="BW42" i="9" s="1"/>
  <c r="BM25" i="9"/>
  <c r="BS25" i="9" s="1"/>
  <c r="BN39" i="9"/>
  <c r="BT39" i="9" s="1"/>
  <c r="BP67" i="9"/>
  <c r="BV67" i="9" s="1"/>
  <c r="BO7" i="9"/>
  <c r="BU7" i="9" s="1"/>
  <c r="BN78" i="9"/>
  <c r="BT78" i="9" s="1"/>
  <c r="BM99" i="9"/>
  <c r="BS99" i="9" s="1"/>
  <c r="BQ22" i="9"/>
  <c r="BW22" i="9" s="1"/>
  <c r="BM52" i="9"/>
  <c r="BQ78" i="9"/>
  <c r="BW78" i="9" s="1"/>
  <c r="BP20" i="9"/>
  <c r="BV20" i="9" s="1"/>
  <c r="AL64" i="9"/>
  <c r="BN64" i="9" s="1"/>
  <c r="BT64" i="9" s="1"/>
  <c r="BN63" i="9"/>
  <c r="BT63" i="9" s="1"/>
  <c r="BQ70" i="9"/>
  <c r="BW70" i="9" s="1"/>
  <c r="BM67" i="9"/>
  <c r="BS67" i="9" s="1"/>
  <c r="BO50" i="9"/>
  <c r="BU50" i="9" s="1"/>
  <c r="BM28" i="9"/>
  <c r="BM73" i="9"/>
  <c r="BS73" i="9" s="1"/>
  <c r="BQ72" i="9"/>
  <c r="BW72" i="9" s="1"/>
  <c r="BO16" i="9"/>
  <c r="BU16" i="9" s="1"/>
  <c r="BP40" i="9"/>
  <c r="BV40" i="9" s="1"/>
  <c r="BQ41" i="9"/>
  <c r="BQ39" i="9"/>
  <c r="BW39" i="9" s="1"/>
  <c r="BQ67" i="9"/>
  <c r="BW67" i="9" s="1"/>
  <c r="BM42" i="9"/>
  <c r="BS42" i="9" s="1"/>
  <c r="BM76" i="9"/>
  <c r="BS76" i="9" s="1"/>
  <c r="BO31" i="9"/>
  <c r="BO37" i="9"/>
  <c r="BU37" i="9" s="1"/>
  <c r="BQ37" i="9"/>
  <c r="BW37" i="9" s="1"/>
  <c r="BO78" i="9"/>
  <c r="BU78" i="9" s="1"/>
  <c r="BO57" i="9"/>
  <c r="BP9" i="9"/>
  <c r="BV9" i="9" s="1"/>
  <c r="BN82" i="9"/>
  <c r="BP76" i="9"/>
  <c r="BV76" i="9" s="1"/>
  <c r="BP7" i="9"/>
  <c r="BV7" i="9" s="1"/>
  <c r="BO20" i="9"/>
  <c r="BU20" i="9" s="1"/>
  <c r="BM37" i="9"/>
  <c r="BS37" i="9" s="1"/>
  <c r="BM43" i="9"/>
  <c r="BP54" i="9"/>
  <c r="BO46" i="9"/>
  <c r="BP65" i="9"/>
  <c r="BM72" i="9"/>
  <c r="BS72" i="9" s="1"/>
  <c r="BQ77" i="9"/>
  <c r="BW77" i="9" s="1"/>
  <c r="BM44" i="9"/>
  <c r="BS44" i="9" s="1"/>
  <c r="BQ35" i="9"/>
  <c r="BM39" i="9"/>
  <c r="BS39" i="9" s="1"/>
  <c r="BP39" i="9"/>
  <c r="BV39" i="9" s="1"/>
  <c r="BP44" i="9"/>
  <c r="BV44" i="9" s="1"/>
  <c r="AG35" i="10"/>
  <c r="AV89" i="9"/>
  <c r="BN154" i="9"/>
  <c r="BT154" i="9" s="1"/>
  <c r="BM154" i="9"/>
  <c r="BS154" i="9" s="1"/>
  <c r="BT89" i="9"/>
  <c r="BQ154" i="9"/>
  <c r="BW154" i="9" s="1"/>
  <c r="BO154" i="9"/>
  <c r="BU154" i="9" s="1"/>
  <c r="BP154" i="9"/>
  <c r="BV154" i="9" s="1"/>
  <c r="AV154" i="9"/>
  <c r="I121" i="1"/>
  <c r="AE33" i="10"/>
  <c r="AH33" i="10" s="1"/>
  <c r="AV34" i="9"/>
  <c r="AV61" i="9"/>
  <c r="AH50" i="10"/>
  <c r="BM114" i="9"/>
  <c r="J87" i="20"/>
  <c r="F164" i="1"/>
  <c r="F100" i="14" s="1"/>
  <c r="J178" i="1"/>
  <c r="J89" i="14" s="1"/>
  <c r="J167" i="1"/>
  <c r="J170" i="1"/>
  <c r="D168" i="1"/>
  <c r="C232" i="1"/>
  <c r="E232" i="1" s="1"/>
  <c r="C231" i="1"/>
  <c r="E231" i="1" s="1"/>
  <c r="D167" i="1"/>
  <c r="E171" i="1"/>
  <c r="E101" i="14" s="1"/>
  <c r="G167" i="1"/>
  <c r="C283" i="1"/>
  <c r="E283" i="1" s="1"/>
  <c r="H164" i="1"/>
  <c r="H100" i="14" s="1"/>
  <c r="K167" i="1"/>
  <c r="C250" i="1"/>
  <c r="D88" i="14"/>
  <c r="I170" i="1"/>
  <c r="S32" i="20"/>
  <c r="I27" i="1"/>
  <c r="I118" i="1" s="1"/>
  <c r="I8" i="1"/>
  <c r="I31" i="1" s="1"/>
  <c r="J14" i="1"/>
  <c r="J17" i="1" s="1"/>
  <c r="J20" i="1" s="1"/>
  <c r="J23" i="1" s="1"/>
  <c r="I56" i="14"/>
  <c r="I64" i="14" s="1"/>
  <c r="J114" i="1"/>
  <c r="I33" i="1"/>
  <c r="I52" i="14" s="1"/>
  <c r="J115" i="1"/>
  <c r="D234" i="1"/>
  <c r="H125" i="1"/>
  <c r="P153" i="6"/>
  <c r="K166" i="1"/>
  <c r="C249" i="1"/>
  <c r="D119" i="14"/>
  <c r="BO4" i="9"/>
  <c r="BU4" i="9" s="1"/>
  <c r="BM4" i="9"/>
  <c r="BS4" i="9" s="1"/>
  <c r="BQ4" i="9"/>
  <c r="BW4" i="9" s="1"/>
  <c r="BP4" i="9"/>
  <c r="BV4" i="9" s="1"/>
  <c r="BV19" i="9"/>
  <c r="BU10" i="9"/>
  <c r="BT12" i="9"/>
  <c r="BT6" i="9"/>
  <c r="BT14" i="9"/>
  <c r="BT24" i="9"/>
  <c r="BN4" i="9"/>
  <c r="BT4" i="9" s="1"/>
  <c r="BT5" i="9"/>
  <c r="BT16" i="9"/>
  <c r="BT8" i="9"/>
  <c r="BT17" i="9"/>
  <c r="BT23" i="9"/>
  <c r="BT15" i="9"/>
  <c r="BT25" i="9"/>
  <c r="BT7" i="9"/>
  <c r="BT11" i="9"/>
  <c r="BT13" i="9"/>
  <c r="BT19" i="9"/>
  <c r="BT9" i="9"/>
  <c r="BT10" i="9"/>
  <c r="BT22" i="9"/>
  <c r="BT20" i="9"/>
  <c r="BW18" i="9"/>
  <c r="AG30" i="10"/>
  <c r="BO129" i="9"/>
  <c r="BU129" i="9" s="1"/>
  <c r="BP129" i="9"/>
  <c r="BV129" i="9" s="1"/>
  <c r="BQ129" i="9"/>
  <c r="BW129" i="9" s="1"/>
  <c r="BM129" i="9"/>
  <c r="BS129" i="9" s="1"/>
  <c r="BN129" i="9"/>
  <c r="BT129" i="9" s="1"/>
  <c r="AG29" i="10"/>
  <c r="BM147" i="9"/>
  <c r="BS147" i="9" s="1"/>
  <c r="BQ147" i="9"/>
  <c r="BW147" i="9" s="1"/>
  <c r="BP148" i="9"/>
  <c r="BV148" i="9" s="1"/>
  <c r="BM148" i="9"/>
  <c r="BS148" i="9" s="1"/>
  <c r="BN148" i="9"/>
  <c r="BT148" i="9" s="1"/>
  <c r="BN147" i="9"/>
  <c r="BT147" i="9" s="1"/>
  <c r="BP147" i="9"/>
  <c r="BV147" i="9" s="1"/>
  <c r="BO147" i="9"/>
  <c r="BU147" i="9" s="1"/>
  <c r="BO148" i="9"/>
  <c r="BU148" i="9" s="1"/>
  <c r="BQ148" i="9"/>
  <c r="BW148" i="9" s="1"/>
  <c r="AH43" i="10"/>
  <c r="AE34" i="10"/>
  <c r="AH34" i="10" s="1"/>
  <c r="AE30" i="10"/>
  <c r="AH30" i="10" s="1"/>
  <c r="AH42" i="10"/>
  <c r="AG34" i="10"/>
  <c r="AH41" i="10"/>
  <c r="AH48" i="10"/>
  <c r="AG31" i="10"/>
  <c r="AE31" i="10"/>
  <c r="AH31" i="10" s="1"/>
  <c r="K48" i="1"/>
  <c r="K164" i="1" s="1"/>
  <c r="AH104" i="10"/>
  <c r="AH38" i="10"/>
  <c r="AH39" i="10"/>
  <c r="AH37" i="10"/>
  <c r="AH32" i="10"/>
  <c r="AH29" i="10"/>
  <c r="AH40" i="10"/>
  <c r="AH36" i="10"/>
  <c r="S55" i="10"/>
  <c r="S58" i="10" s="1"/>
  <c r="T55" i="10"/>
  <c r="T58" i="10" s="1"/>
  <c r="BP121" i="9"/>
  <c r="BV121" i="9" s="1"/>
  <c r="BQ121" i="9"/>
  <c r="BW121" i="9" s="1"/>
  <c r="BM121" i="9"/>
  <c r="BS121" i="9" s="1"/>
  <c r="BN121" i="9"/>
  <c r="BT121" i="9" s="1"/>
  <c r="BO121" i="9"/>
  <c r="BU121" i="9" s="1"/>
  <c r="V34" i="20"/>
  <c r="R34" i="20"/>
  <c r="J114" i="20"/>
  <c r="J115" i="20"/>
  <c r="AL48" i="9"/>
  <c r="BN48" i="9" s="1"/>
  <c r="BW76" i="9"/>
  <c r="BU76" i="9"/>
  <c r="BQ122" i="9"/>
  <c r="BW122" i="9" s="1"/>
  <c r="BO122" i="9"/>
  <c r="BU122" i="9" s="1"/>
  <c r="BN127" i="9"/>
  <c r="BT127" i="9" s="1"/>
  <c r="BN122" i="9"/>
  <c r="BT122" i="9" s="1"/>
  <c r="BP122" i="9"/>
  <c r="BV122" i="9" s="1"/>
  <c r="BM122" i="9"/>
  <c r="BS122" i="9" s="1"/>
  <c r="BM127" i="9"/>
  <c r="BS127" i="9" s="1"/>
  <c r="BO127" i="9"/>
  <c r="BU127" i="9" s="1"/>
  <c r="BP127" i="9"/>
  <c r="BV127" i="9" s="1"/>
  <c r="BQ127" i="9"/>
  <c r="BW127" i="9" s="1"/>
  <c r="BU70" i="9"/>
  <c r="BP125" i="9"/>
  <c r="BV125" i="9" s="1"/>
  <c r="BM125" i="9"/>
  <c r="BS125" i="9" s="1"/>
  <c r="BO125" i="9"/>
  <c r="BU125" i="9" s="1"/>
  <c r="BQ125" i="9"/>
  <c r="BW125" i="9" s="1"/>
  <c r="BV37" i="9"/>
  <c r="BU63" i="9"/>
  <c r="BQ123" i="9"/>
  <c r="BW123" i="9" s="1"/>
  <c r="BP123" i="9"/>
  <c r="BV123" i="9" s="1"/>
  <c r="BM123" i="9"/>
  <c r="BS123" i="9" s="1"/>
  <c r="BO123" i="9"/>
  <c r="BU123" i="9" s="1"/>
  <c r="S90" i="20"/>
  <c r="R90" i="20"/>
  <c r="S89" i="20"/>
  <c r="R89" i="20"/>
  <c r="AH4" i="10"/>
  <c r="AH98" i="10"/>
  <c r="AA55" i="10"/>
  <c r="N86" i="20"/>
  <c r="J86" i="20" s="1"/>
  <c r="BP145" i="9"/>
  <c r="BV145" i="9" s="1"/>
  <c r="BO146" i="9"/>
  <c r="BU146" i="9" s="1"/>
  <c r="BQ145" i="9"/>
  <c r="BW145" i="9" s="1"/>
  <c r="BM145" i="9"/>
  <c r="BS145" i="9" s="1"/>
  <c r="BQ146" i="9"/>
  <c r="BW146" i="9" s="1"/>
  <c r="BN145" i="9"/>
  <c r="BT145" i="9" s="1"/>
  <c r="BN146" i="9"/>
  <c r="BT146" i="9" s="1"/>
  <c r="BO145" i="9"/>
  <c r="BU145" i="9" s="1"/>
  <c r="BM146" i="9"/>
  <c r="BS146" i="9" s="1"/>
  <c r="BP146" i="9"/>
  <c r="BV146" i="9" s="1"/>
  <c r="BN142" i="9"/>
  <c r="BT142" i="9" s="1"/>
  <c r="BP142" i="9"/>
  <c r="BV142" i="9" s="1"/>
  <c r="BM124" i="9"/>
  <c r="BS124" i="9" s="1"/>
  <c r="BU44" i="9"/>
  <c r="BN124" i="9"/>
  <c r="BT124" i="9" s="1"/>
  <c r="BU53" i="9"/>
  <c r="BQ124" i="9"/>
  <c r="BW124" i="9" s="1"/>
  <c r="BP144" i="9"/>
  <c r="BV144" i="9" s="1"/>
  <c r="BO142" i="9"/>
  <c r="BU142" i="9" s="1"/>
  <c r="BV66" i="9"/>
  <c r="BQ144" i="9"/>
  <c r="BW144" i="9" s="1"/>
  <c r="BO124" i="9"/>
  <c r="BU124" i="9" s="1"/>
  <c r="BM144" i="9"/>
  <c r="BS144" i="9" s="1"/>
  <c r="BV47" i="9"/>
  <c r="BQ142" i="9"/>
  <c r="BW142" i="9" s="1"/>
  <c r="BW55" i="9"/>
  <c r="BM142" i="9"/>
  <c r="BS142" i="9" s="1"/>
  <c r="BO144" i="9"/>
  <c r="BU144" i="9" s="1"/>
  <c r="BP124" i="9"/>
  <c r="BV124" i="9" s="1"/>
  <c r="BN144" i="9"/>
  <c r="BT144" i="9" s="1"/>
  <c r="R12" i="20"/>
  <c r="D71" i="14"/>
  <c r="D164" i="1"/>
  <c r="D100" i="14" s="1"/>
  <c r="V15" i="20"/>
  <c r="V16" i="20"/>
  <c r="V35" i="20"/>
  <c r="V116" i="20"/>
  <c r="V70" i="20"/>
  <c r="L37" i="1"/>
  <c r="L40" i="1" s="1"/>
  <c r="L43" i="1" s="1"/>
  <c r="L46" i="1" s="1"/>
  <c r="O136" i="1"/>
  <c r="AG27" i="10"/>
  <c r="W56" i="10"/>
  <c r="I167" i="1"/>
  <c r="I178" i="1"/>
  <c r="G166" i="1"/>
  <c r="C282" i="1"/>
  <c r="N69" i="20"/>
  <c r="J69" i="20" s="1"/>
  <c r="AH22" i="10"/>
  <c r="AH21" i="10"/>
  <c r="K43" i="1"/>
  <c r="AH16" i="10"/>
  <c r="N85" i="20"/>
  <c r="M95" i="20" s="1"/>
  <c r="AH11" i="10"/>
  <c r="AH24" i="10"/>
  <c r="AH103" i="10"/>
  <c r="F221" i="1"/>
  <c r="F222" i="1" s="1"/>
  <c r="E48" i="1"/>
  <c r="AH18" i="10"/>
  <c r="F234" i="1"/>
  <c r="F230" i="1" s="1"/>
  <c r="AH9" i="10"/>
  <c r="AH14" i="10"/>
  <c r="E58" i="5"/>
  <c r="I10" i="1"/>
  <c r="I115" i="1" s="1"/>
  <c r="AH15" i="10"/>
  <c r="AH26" i="10"/>
  <c r="AH7" i="10"/>
  <c r="AH13" i="10"/>
  <c r="AH20" i="10"/>
  <c r="AH27" i="10"/>
  <c r="AH5" i="10"/>
  <c r="AH102" i="10"/>
  <c r="D43" i="1"/>
  <c r="B112" i="5"/>
  <c r="C117" i="1"/>
  <c r="E111" i="1"/>
  <c r="F285" i="1"/>
  <c r="F282" i="1" s="1"/>
  <c r="F274" i="1"/>
  <c r="H274" i="1" s="1"/>
  <c r="I274" i="1" s="1"/>
  <c r="G56" i="14"/>
  <c r="G71" i="14" s="1"/>
  <c r="K111" i="1"/>
  <c r="K20" i="1"/>
  <c r="AH17" i="10"/>
  <c r="AH28" i="10"/>
  <c r="AH23" i="10"/>
  <c r="AH12" i="10"/>
  <c r="AH25" i="10"/>
  <c r="AH100" i="10"/>
  <c r="AH10" i="10"/>
  <c r="AH6" i="10"/>
  <c r="AH101" i="10"/>
  <c r="AH8" i="10"/>
  <c r="AH19" i="10"/>
  <c r="AH99" i="10"/>
  <c r="AB55" i="10"/>
  <c r="G88" i="14"/>
  <c r="G20" i="1"/>
  <c r="E277" i="1"/>
  <c r="E278" i="1" s="1"/>
  <c r="E225" i="1"/>
  <c r="E226" i="1" s="1"/>
  <c r="D79" i="1"/>
  <c r="S19" i="20" l="1"/>
  <c r="R51" i="20"/>
  <c r="S51" i="20"/>
  <c r="H61" i="20"/>
  <c r="H54" i="20"/>
  <c r="N59" i="20"/>
  <c r="J59" i="20" s="1"/>
  <c r="M59" i="20" s="1"/>
  <c r="N53" i="20"/>
  <c r="J53" i="20" s="1"/>
  <c r="N60" i="20"/>
  <c r="J60" i="20" s="1"/>
  <c r="N61" i="20"/>
  <c r="J61" i="20" s="1"/>
  <c r="U28" i="20"/>
  <c r="S57" i="20"/>
  <c r="R57" i="20"/>
  <c r="M60" i="20"/>
  <c r="Q60" i="20" s="1"/>
  <c r="H60" i="20"/>
  <c r="W60" i="20"/>
  <c r="H53" i="20"/>
  <c r="H59" i="20"/>
  <c r="R25" i="20"/>
  <c r="H29" i="20"/>
  <c r="H21" i="20"/>
  <c r="H22" i="20"/>
  <c r="V87" i="20"/>
  <c r="G221" i="1"/>
  <c r="D128" i="1"/>
  <c r="B91" i="5"/>
  <c r="B96" i="5" s="1"/>
  <c r="B87" i="5"/>
  <c r="B100" i="5" s="1"/>
  <c r="I168" i="1"/>
  <c r="M79" i="9"/>
  <c r="Q79" i="9"/>
  <c r="P79" i="9"/>
  <c r="O79" i="9"/>
  <c r="N79" i="9"/>
  <c r="AG56" i="9"/>
  <c r="AS56" i="9" s="1"/>
  <c r="O56" i="9"/>
  <c r="AA56" i="9" s="1"/>
  <c r="N56" i="9"/>
  <c r="Z56" i="9" s="1"/>
  <c r="AI56" i="9"/>
  <c r="AU56" i="9" s="1"/>
  <c r="AF56" i="9"/>
  <c r="AR56" i="9" s="1"/>
  <c r="M56" i="9"/>
  <c r="Y56" i="9" s="1"/>
  <c r="AE56" i="9"/>
  <c r="AQ56" i="9" s="1"/>
  <c r="P56" i="9"/>
  <c r="Q56" i="9"/>
  <c r="AC56" i="9" s="1"/>
  <c r="AH56" i="9"/>
  <c r="AT56" i="9" s="1"/>
  <c r="P81" i="9"/>
  <c r="AH6" i="9"/>
  <c r="AT6" i="9" s="1"/>
  <c r="AG19" i="9"/>
  <c r="AS19" i="9" s="1"/>
  <c r="M10" i="9"/>
  <c r="Q22" i="9"/>
  <c r="AC22" i="9" s="1"/>
  <c r="AH11" i="9"/>
  <c r="AT11" i="9" s="1"/>
  <c r="AG24" i="9"/>
  <c r="AS24" i="9" s="1"/>
  <c r="P16" i="9"/>
  <c r="AB16" i="9" s="1"/>
  <c r="AE7" i="9"/>
  <c r="AQ7" i="9" s="1"/>
  <c r="AI19" i="9"/>
  <c r="AU19" i="9" s="1"/>
  <c r="M12" i="9"/>
  <c r="Q24" i="9"/>
  <c r="AC24" i="9" s="1"/>
  <c r="AI8" i="9"/>
  <c r="AU8" i="9" s="1"/>
  <c r="AH21" i="9"/>
  <c r="AT21" i="9" s="1"/>
  <c r="Q13" i="9"/>
  <c r="AC13" i="9" s="1"/>
  <c r="AE4" i="9"/>
  <c r="AF12" i="9"/>
  <c r="AR12" i="9" s="1"/>
  <c r="AE25" i="9"/>
  <c r="AQ25" i="9" s="1"/>
  <c r="N17" i="9"/>
  <c r="Z17" i="9" s="1"/>
  <c r="AE6" i="9"/>
  <c r="AQ6" i="9" s="1"/>
  <c r="AI18" i="9"/>
  <c r="AU18" i="9" s="1"/>
  <c r="M11" i="9"/>
  <c r="Q23" i="9"/>
  <c r="AC23" i="9" s="1"/>
  <c r="AG6" i="9"/>
  <c r="AS6" i="9" s="1"/>
  <c r="AF19" i="9"/>
  <c r="AR19" i="9" s="1"/>
  <c r="Q9" i="9"/>
  <c r="AC9" i="9" s="1"/>
  <c r="P22" i="9"/>
  <c r="AB22" i="9" s="1"/>
  <c r="Q20" i="9"/>
  <c r="AC20" i="9" s="1"/>
  <c r="O14" i="9"/>
  <c r="AA14" i="9" s="1"/>
  <c r="Q129" i="9"/>
  <c r="P148" i="9"/>
  <c r="AB148" i="9" s="1"/>
  <c r="AE148" i="9"/>
  <c r="AQ148" i="9" s="1"/>
  <c r="AH147" i="9"/>
  <c r="AT147" i="9" s="1"/>
  <c r="M91" i="9"/>
  <c r="AI91" i="9"/>
  <c r="AU91" i="9" s="1"/>
  <c r="M94" i="9"/>
  <c r="P78" i="9"/>
  <c r="O76" i="9"/>
  <c r="AA76" i="9" s="1"/>
  <c r="P76" i="9"/>
  <c r="AB76" i="9" s="1"/>
  <c r="AF51" i="9"/>
  <c r="AR51" i="9" s="1"/>
  <c r="AF122" i="9"/>
  <c r="AR122" i="9" s="1"/>
  <c r="M127" i="9"/>
  <c r="P77" i="9"/>
  <c r="Q73" i="9"/>
  <c r="M67" i="9"/>
  <c r="M64" i="9"/>
  <c r="M37" i="9"/>
  <c r="N92" i="9"/>
  <c r="Z92" i="9" s="1"/>
  <c r="P151" i="9"/>
  <c r="O128" i="9"/>
  <c r="AA128" i="9" s="1"/>
  <c r="AH128" i="9"/>
  <c r="AT128" i="9" s="1"/>
  <c r="M151" i="9"/>
  <c r="N151" i="9"/>
  <c r="P146" i="9"/>
  <c r="M145" i="9"/>
  <c r="N142" i="9"/>
  <c r="AG42" i="9"/>
  <c r="AS42" i="9" s="1"/>
  <c r="AG50" i="9"/>
  <c r="AS50" i="9" s="1"/>
  <c r="AG124" i="9"/>
  <c r="AS124" i="9" s="1"/>
  <c r="AG72" i="9"/>
  <c r="AS72" i="9" s="1"/>
  <c r="N44" i="9"/>
  <c r="Z44" i="9" s="1"/>
  <c r="AE144" i="9"/>
  <c r="AI72" i="9"/>
  <c r="AU72" i="9" s="1"/>
  <c r="M47" i="9"/>
  <c r="Q144" i="9"/>
  <c r="AH72" i="9"/>
  <c r="AT72" i="9" s="1"/>
  <c r="O44" i="9"/>
  <c r="AA44" i="9" s="1"/>
  <c r="O53" i="9"/>
  <c r="AA53" i="9" s="1"/>
  <c r="O63" i="9"/>
  <c r="AA63" i="9" s="1"/>
  <c r="O75" i="9"/>
  <c r="AA75" i="9" s="1"/>
  <c r="AE47" i="9"/>
  <c r="AQ47" i="9" s="1"/>
  <c r="AI144" i="9"/>
  <c r="N75" i="9"/>
  <c r="Z75" i="9" s="1"/>
  <c r="Q47" i="9"/>
  <c r="AC47" i="9" s="1"/>
  <c r="AH144" i="9"/>
  <c r="M75" i="9"/>
  <c r="AG137" i="9"/>
  <c r="AI136" i="9"/>
  <c r="Q80" i="9"/>
  <c r="Q81" i="9"/>
  <c r="AF8" i="9"/>
  <c r="AR8" i="9" s="1"/>
  <c r="AE21" i="9"/>
  <c r="AQ21" i="9" s="1"/>
  <c r="P11" i="9"/>
  <c r="AB11" i="9" s="1"/>
  <c r="O24" i="9"/>
  <c r="AA24" i="9" s="1"/>
  <c r="AF13" i="9"/>
  <c r="AR13" i="9" s="1"/>
  <c r="O5" i="9"/>
  <c r="AA5" i="9" s="1"/>
  <c r="N18" i="9"/>
  <c r="Z18" i="9" s="1"/>
  <c r="AH8" i="9"/>
  <c r="AT8" i="9" s="1"/>
  <c r="AG21" i="9"/>
  <c r="AS21" i="9" s="1"/>
  <c r="P13" i="9"/>
  <c r="AB13" i="9" s="1"/>
  <c r="AF4" i="9"/>
  <c r="AG10" i="9"/>
  <c r="AS10" i="9" s="1"/>
  <c r="AF23" i="9"/>
  <c r="AR23" i="9" s="1"/>
  <c r="O15" i="9"/>
  <c r="AA15" i="9" s="1"/>
  <c r="AG9" i="9"/>
  <c r="AS9" i="9" s="1"/>
  <c r="AI13" i="9"/>
  <c r="AU13" i="9" s="1"/>
  <c r="M6" i="9"/>
  <c r="Q18" i="9"/>
  <c r="AC18" i="9" s="1"/>
  <c r="AH7" i="9"/>
  <c r="AT7" i="9" s="1"/>
  <c r="AG20" i="9"/>
  <c r="AS20" i="9" s="1"/>
  <c r="P12" i="9"/>
  <c r="AB12" i="9" s="1"/>
  <c r="AE8" i="9"/>
  <c r="AQ8" i="9" s="1"/>
  <c r="AI20" i="9"/>
  <c r="AU20" i="9" s="1"/>
  <c r="O11" i="9"/>
  <c r="AA11" i="9" s="1"/>
  <c r="N24" i="9"/>
  <c r="Z24" i="9" s="1"/>
  <c r="P9" i="9"/>
  <c r="AB9" i="9" s="1"/>
  <c r="M16" i="9"/>
  <c r="N129" i="9"/>
  <c r="AG147" i="9"/>
  <c r="AS147" i="9" s="1"/>
  <c r="N148" i="9"/>
  <c r="Z148" i="9" s="1"/>
  <c r="Q147" i="9"/>
  <c r="AC147" i="9" s="1"/>
  <c r="O96" i="9"/>
  <c r="AA96" i="9" s="1"/>
  <c r="Q91" i="9"/>
  <c r="AC91" i="9" s="1"/>
  <c r="P91" i="9"/>
  <c r="AB91" i="9" s="1"/>
  <c r="P94" i="9"/>
  <c r="Q94" i="9"/>
  <c r="AC94" i="9" s="1"/>
  <c r="AI76" i="9"/>
  <c r="AU76" i="9" s="1"/>
  <c r="M51" i="9"/>
  <c r="O122" i="9"/>
  <c r="AA122" i="9" s="1"/>
  <c r="Q127" i="9"/>
  <c r="M77" i="9"/>
  <c r="N73" i="9"/>
  <c r="Q67" i="9"/>
  <c r="Q64" i="9"/>
  <c r="N125" i="9"/>
  <c r="Q37" i="9"/>
  <c r="P123" i="9"/>
  <c r="AQ92" i="9"/>
  <c r="AG151" i="9"/>
  <c r="M92" i="9"/>
  <c r="O92" i="9"/>
  <c r="AA92" i="9" s="1"/>
  <c r="Q151" i="9"/>
  <c r="AI151" i="9"/>
  <c r="N145" i="9"/>
  <c r="P145" i="9"/>
  <c r="AH145" i="9"/>
  <c r="M133" i="9"/>
  <c r="P44" i="9"/>
  <c r="AB44" i="9" s="1"/>
  <c r="P53" i="9"/>
  <c r="AB53" i="9" s="1"/>
  <c r="P63" i="9"/>
  <c r="AB63" i="9" s="1"/>
  <c r="P75" i="9"/>
  <c r="AB75" i="9" s="1"/>
  <c r="N47" i="9"/>
  <c r="Z47" i="9" s="1"/>
  <c r="N124" i="9"/>
  <c r="Z124" i="9" s="1"/>
  <c r="AE75" i="9"/>
  <c r="AH47" i="9"/>
  <c r="AT47" i="9" s="1"/>
  <c r="AI9" i="9"/>
  <c r="AU9" i="9" s="1"/>
  <c r="AH22" i="9"/>
  <c r="AT22" i="9" s="1"/>
  <c r="N13" i="9"/>
  <c r="Z13" i="9" s="1"/>
  <c r="AH4" i="9"/>
  <c r="AI14" i="9"/>
  <c r="AU14" i="9" s="1"/>
  <c r="M7" i="9"/>
  <c r="Q19" i="9"/>
  <c r="AC19" i="9" s="1"/>
  <c r="AF10" i="9"/>
  <c r="AR10" i="9" s="1"/>
  <c r="AE23" i="9"/>
  <c r="AQ23" i="9" s="1"/>
  <c r="N15" i="9"/>
  <c r="Z15" i="9" s="1"/>
  <c r="Q4" i="9"/>
  <c r="AE12" i="9"/>
  <c r="AQ12" i="9" s="1"/>
  <c r="AI24" i="9"/>
  <c r="AU24" i="9" s="1"/>
  <c r="M17" i="9"/>
  <c r="AG17" i="9"/>
  <c r="AS17" i="9" s="1"/>
  <c r="AG15" i="9"/>
  <c r="AS15" i="9" s="1"/>
  <c r="P7" i="9"/>
  <c r="AB7" i="9" s="1"/>
  <c r="O20" i="9"/>
  <c r="AA20" i="9" s="1"/>
  <c r="AF9" i="9"/>
  <c r="AR9" i="9" s="1"/>
  <c r="AE22" i="9"/>
  <c r="AQ22" i="9" s="1"/>
  <c r="N14" i="9"/>
  <c r="Z14" i="9" s="1"/>
  <c r="P4" i="9"/>
  <c r="AH9" i="9"/>
  <c r="AT9" i="9" s="1"/>
  <c r="AG22" i="9"/>
  <c r="AS22" i="9" s="1"/>
  <c r="M13" i="9"/>
  <c r="Q25" i="9"/>
  <c r="AC25" i="9" s="1"/>
  <c r="O22" i="9"/>
  <c r="AA22" i="9" s="1"/>
  <c r="O4" i="9"/>
  <c r="O129" i="9"/>
  <c r="P147" i="9"/>
  <c r="AB147" i="9" s="1"/>
  <c r="AI147" i="9"/>
  <c r="AU147" i="9" s="1"/>
  <c r="M147" i="9"/>
  <c r="N96" i="9"/>
  <c r="Z96" i="9" s="1"/>
  <c r="AH91" i="9"/>
  <c r="AT91" i="9" s="1"/>
  <c r="M121" i="9"/>
  <c r="N121" i="9"/>
  <c r="AE76" i="9"/>
  <c r="AQ76" i="9" s="1"/>
  <c r="Q51" i="9"/>
  <c r="AC51" i="9" s="1"/>
  <c r="AE122" i="9"/>
  <c r="AQ122" i="9" s="1"/>
  <c r="N127" i="9"/>
  <c r="N77" i="9"/>
  <c r="O73" i="9"/>
  <c r="O67" i="9"/>
  <c r="Q125" i="9"/>
  <c r="P48" i="9"/>
  <c r="Q40" i="9"/>
  <c r="AI92" i="9"/>
  <c r="AU92" i="9" s="1"/>
  <c r="N128" i="9"/>
  <c r="Z128" i="9" s="1"/>
  <c r="AT92" i="9"/>
  <c r="AR92" i="9"/>
  <c r="AH151" i="9"/>
  <c r="AF128" i="9"/>
  <c r="AR128" i="9" s="1"/>
  <c r="AE145" i="9"/>
  <c r="AF146" i="9"/>
  <c r="AG146" i="9"/>
  <c r="Q28" i="9"/>
  <c r="AG44" i="9"/>
  <c r="AS44" i="9" s="1"/>
  <c r="AG53" i="9"/>
  <c r="AS53" i="9" s="1"/>
  <c r="AG63" i="9"/>
  <c r="AS63" i="9" s="1"/>
  <c r="AG75" i="9"/>
  <c r="AI47" i="9"/>
  <c r="AU47" i="9" s="1"/>
  <c r="AI124" i="9"/>
  <c r="AU124" i="9" s="1"/>
  <c r="M36" i="9"/>
  <c r="Q142" i="9"/>
  <c r="AH124" i="9"/>
  <c r="AT124" i="9" s="1"/>
  <c r="O36" i="9"/>
  <c r="AA36" i="9" s="1"/>
  <c r="O47" i="9"/>
  <c r="AA47" i="9" s="1"/>
  <c r="O55" i="9"/>
  <c r="AA55" i="9" s="1"/>
  <c r="O66" i="9"/>
  <c r="AA66" i="9" s="1"/>
  <c r="AI36" i="9"/>
  <c r="AU36" i="9" s="1"/>
  <c r="AI142" i="9"/>
  <c r="N63" i="9"/>
  <c r="Z63" i="9" s="1"/>
  <c r="Q36" i="9"/>
  <c r="AC36" i="9" s="1"/>
  <c r="AH142" i="9"/>
  <c r="M63" i="9"/>
  <c r="O114" i="9"/>
  <c r="AG114" i="9" s="1"/>
  <c r="AS114" i="9" s="1"/>
  <c r="N35" i="9"/>
  <c r="O68" i="9"/>
  <c r="AG11" i="9"/>
  <c r="AS11" i="9" s="1"/>
  <c r="AF24" i="9"/>
  <c r="AR24" i="9" s="1"/>
  <c r="Q14" i="9"/>
  <c r="AC14" i="9" s="1"/>
  <c r="M4" i="9"/>
  <c r="AG16" i="9"/>
  <c r="AS16" i="9" s="1"/>
  <c r="P8" i="9"/>
  <c r="AB8" i="9" s="1"/>
  <c r="O21" i="9"/>
  <c r="AA21" i="9" s="1"/>
  <c r="AI11" i="9"/>
  <c r="AU11" i="9" s="1"/>
  <c r="AH24" i="9"/>
  <c r="AT24" i="9" s="1"/>
  <c r="Q16" i="9"/>
  <c r="AC16" i="9" s="1"/>
  <c r="AF14" i="9"/>
  <c r="AR14" i="9" s="1"/>
  <c r="AH13" i="9"/>
  <c r="AT13" i="9" s="1"/>
  <c r="Q5" i="9"/>
  <c r="AC5" i="9" s="1"/>
  <c r="P18" i="9"/>
  <c r="AB18" i="9" s="1"/>
  <c r="AI23" i="9"/>
  <c r="AU23" i="9" s="1"/>
  <c r="AE17" i="9"/>
  <c r="AQ17" i="9" s="1"/>
  <c r="N9" i="9"/>
  <c r="Z9" i="9" s="1"/>
  <c r="M22" i="9"/>
  <c r="AI10" i="9"/>
  <c r="AU10" i="9" s="1"/>
  <c r="AH23" i="9"/>
  <c r="AT23" i="9" s="1"/>
  <c r="Q15" i="9"/>
  <c r="AC15" i="9" s="1"/>
  <c r="AF6" i="9"/>
  <c r="AR6" i="9" s="1"/>
  <c r="AF11" i="9"/>
  <c r="AR11" i="9" s="1"/>
  <c r="AE24" i="9"/>
  <c r="AQ24" i="9" s="1"/>
  <c r="P14" i="9"/>
  <c r="AB14" i="9" s="1"/>
  <c r="AI4" i="9"/>
  <c r="P25" i="9"/>
  <c r="AB25" i="9" s="1"/>
  <c r="P129" i="9"/>
  <c r="AF148" i="9"/>
  <c r="AR148" i="9" s="1"/>
  <c r="AE147" i="9"/>
  <c r="AQ147" i="9" s="1"/>
  <c r="Q96" i="9"/>
  <c r="AC96" i="9" s="1"/>
  <c r="O91" i="9"/>
  <c r="AA91" i="9" s="1"/>
  <c r="Q121" i="9"/>
  <c r="N76" i="9"/>
  <c r="Z76" i="9" s="1"/>
  <c r="N51" i="9"/>
  <c r="Z51" i="9" s="1"/>
  <c r="AG51" i="9"/>
  <c r="AS51" i="9" s="1"/>
  <c r="AG122" i="9"/>
  <c r="AS122" i="9" s="1"/>
  <c r="AH122" i="9"/>
  <c r="AT122" i="9" s="1"/>
  <c r="O127" i="9"/>
  <c r="O77" i="9"/>
  <c r="P70" i="9"/>
  <c r="M125" i="9"/>
  <c r="O48" i="9"/>
  <c r="N45" i="9"/>
  <c r="O40" i="9"/>
  <c r="P95" i="9"/>
  <c r="AB95" i="9" s="1"/>
  <c r="P92" i="9"/>
  <c r="AB92" i="9" s="1"/>
  <c r="AR95" i="9"/>
  <c r="M95" i="9"/>
  <c r="AE128" i="9"/>
  <c r="AQ128" i="9" s="1"/>
  <c r="Q92" i="9"/>
  <c r="AC92" i="9" s="1"/>
  <c r="AI145" i="9"/>
  <c r="O145" i="9"/>
  <c r="AG145" i="9"/>
  <c r="P36" i="9"/>
  <c r="AB36" i="9" s="1"/>
  <c r="P47" i="9"/>
  <c r="AB47" i="9" s="1"/>
  <c r="P55" i="9"/>
  <c r="AB55" i="9" s="1"/>
  <c r="P66" i="9"/>
  <c r="AB66" i="9" s="1"/>
  <c r="AF75" i="9"/>
  <c r="N50" i="9"/>
  <c r="Z50" i="9" s="1"/>
  <c r="AE63" i="9"/>
  <c r="AQ63" i="9" s="1"/>
  <c r="AH36" i="9"/>
  <c r="AT36" i="9" s="1"/>
  <c r="M50" i="9"/>
  <c r="Q63" i="9"/>
  <c r="AC63" i="9" s="1"/>
  <c r="AF36" i="9"/>
  <c r="AR36" i="9" s="1"/>
  <c r="AF47" i="9"/>
  <c r="AR47" i="9" s="1"/>
  <c r="AF55" i="9"/>
  <c r="AR55" i="9" s="1"/>
  <c r="AF66" i="9"/>
  <c r="AR66" i="9" s="1"/>
  <c r="N39" i="9"/>
  <c r="Z39" i="9" s="1"/>
  <c r="AE50" i="9"/>
  <c r="AQ50" i="9" s="1"/>
  <c r="AI63" i="9"/>
  <c r="AU63" i="9" s="1"/>
  <c r="M39" i="9"/>
  <c r="AE13" i="9"/>
  <c r="AQ13" i="9" s="1"/>
  <c r="AI25" i="9"/>
  <c r="AU25" i="9" s="1"/>
  <c r="O16" i="9"/>
  <c r="AA16" i="9" s="1"/>
  <c r="AF5" i="9"/>
  <c r="AR5" i="9" s="1"/>
  <c r="AE18" i="9"/>
  <c r="AQ18" i="9" s="1"/>
  <c r="N10" i="9"/>
  <c r="Z10" i="9" s="1"/>
  <c r="M23" i="9"/>
  <c r="AG13" i="9"/>
  <c r="AS13" i="9" s="1"/>
  <c r="P5" i="9"/>
  <c r="AB5" i="9" s="1"/>
  <c r="O18" i="9"/>
  <c r="AA18" i="9" s="1"/>
  <c r="AE19" i="9"/>
  <c r="AQ19" i="9" s="1"/>
  <c r="AF15" i="9"/>
  <c r="AR15" i="9" s="1"/>
  <c r="O7" i="9"/>
  <c r="AA7" i="9" s="1"/>
  <c r="N20" i="9"/>
  <c r="Z20" i="9" s="1"/>
  <c r="AI5" i="9"/>
  <c r="AU5" i="9" s="1"/>
  <c r="AH18" i="9"/>
  <c r="AT18" i="9" s="1"/>
  <c r="Q10" i="9"/>
  <c r="AC10" i="9" s="1"/>
  <c r="P23" i="9"/>
  <c r="AB23" i="9" s="1"/>
  <c r="AG12" i="9"/>
  <c r="AS12" i="9" s="1"/>
  <c r="AF25" i="9"/>
  <c r="AR25" i="9" s="1"/>
  <c r="O17" i="9"/>
  <c r="AA17" i="9" s="1"/>
  <c r="AI7" i="9"/>
  <c r="AU7" i="9" s="1"/>
  <c r="AI12" i="9"/>
  <c r="AU12" i="9" s="1"/>
  <c r="AH25" i="9"/>
  <c r="AT25" i="9" s="1"/>
  <c r="N16" i="9"/>
  <c r="Z16" i="9" s="1"/>
  <c r="N4" i="9"/>
  <c r="N11" i="9"/>
  <c r="Z11" i="9" s="1"/>
  <c r="O148" i="9"/>
  <c r="AA148" i="9" s="1"/>
  <c r="N147" i="9"/>
  <c r="Z147" i="9" s="1"/>
  <c r="M96" i="9"/>
  <c r="AF91" i="9"/>
  <c r="AR91" i="9" s="1"/>
  <c r="N94" i="9"/>
  <c r="O78" i="9"/>
  <c r="AH76" i="9"/>
  <c r="AT76" i="9" s="1"/>
  <c r="AH51" i="9"/>
  <c r="AT51" i="9" s="1"/>
  <c r="O51" i="9"/>
  <c r="AA51" i="9" s="1"/>
  <c r="P122" i="9"/>
  <c r="AB122" i="9" s="1"/>
  <c r="M122" i="9"/>
  <c r="Q77" i="9"/>
  <c r="O70" i="9"/>
  <c r="O125" i="9"/>
  <c r="N48" i="9"/>
  <c r="Q45" i="9"/>
  <c r="P40" i="9"/>
  <c r="AS95" i="9"/>
  <c r="N95" i="9"/>
  <c r="Z95" i="9" s="1"/>
  <c r="Q97" i="9"/>
  <c r="AC97" i="9" s="1"/>
  <c r="Q95" i="9"/>
  <c r="AC95" i="9" s="1"/>
  <c r="AI128" i="9"/>
  <c r="AU128" i="9" s="1"/>
  <c r="O95" i="9"/>
  <c r="AA95" i="9" s="1"/>
  <c r="Q131" i="9"/>
  <c r="M146" i="9"/>
  <c r="AF145" i="9"/>
  <c r="O146" i="9"/>
  <c r="AG36" i="9"/>
  <c r="AS36" i="9" s="1"/>
  <c r="AG47" i="9"/>
  <c r="AS47" i="9" s="1"/>
  <c r="AG55" i="9"/>
  <c r="AS55" i="9" s="1"/>
  <c r="AG66" i="9"/>
  <c r="AS66" i="9" s="1"/>
  <c r="AE36" i="9"/>
  <c r="AQ36" i="9" s="1"/>
  <c r="AI50" i="9"/>
  <c r="AU50" i="9" s="1"/>
  <c r="N66" i="9"/>
  <c r="Z66" i="9" s="1"/>
  <c r="Q39" i="9"/>
  <c r="AC39" i="9" s="1"/>
  <c r="AH50" i="9"/>
  <c r="AT50" i="9" s="1"/>
  <c r="M66" i="9"/>
  <c r="O39" i="9"/>
  <c r="AA39" i="9" s="1"/>
  <c r="M81" i="9"/>
  <c r="AH14" i="9"/>
  <c r="AT14" i="9" s="1"/>
  <c r="N5" i="9"/>
  <c r="Z5" i="9" s="1"/>
  <c r="M18" i="9"/>
  <c r="AI6" i="9"/>
  <c r="AU6" i="9" s="1"/>
  <c r="AH19" i="9"/>
  <c r="AT19" i="9" s="1"/>
  <c r="Q11" i="9"/>
  <c r="AC11" i="9" s="1"/>
  <c r="P24" i="9"/>
  <c r="AB24" i="9" s="1"/>
  <c r="AE15" i="9"/>
  <c r="AQ15" i="9" s="1"/>
  <c r="N7" i="9"/>
  <c r="Z7" i="9" s="1"/>
  <c r="M20" i="9"/>
  <c r="AG25" i="9"/>
  <c r="AS25" i="9" s="1"/>
  <c r="AI16" i="9"/>
  <c r="AU16" i="9" s="1"/>
  <c r="M9" i="9"/>
  <c r="Q21" i="9"/>
  <c r="AC21" i="9" s="1"/>
  <c r="AG7" i="9"/>
  <c r="AS7" i="9" s="1"/>
  <c r="AF20" i="9"/>
  <c r="AR20" i="9" s="1"/>
  <c r="O12" i="9"/>
  <c r="AA12" i="9" s="1"/>
  <c r="N25" i="9"/>
  <c r="Z25" i="9" s="1"/>
  <c r="AE14" i="9"/>
  <c r="AQ14" i="9" s="1"/>
  <c r="N6" i="9"/>
  <c r="Z6" i="9" s="1"/>
  <c r="M19" i="9"/>
  <c r="AE11" i="9"/>
  <c r="AQ11" i="9" s="1"/>
  <c r="AG14" i="9"/>
  <c r="AS14" i="9" s="1"/>
  <c r="M5" i="9"/>
  <c r="Q17" i="9"/>
  <c r="AC17" i="9" s="1"/>
  <c r="O6" i="9"/>
  <c r="AA6" i="9" s="1"/>
  <c r="M24" i="9"/>
  <c r="AF147" i="9"/>
  <c r="AR147" i="9" s="1"/>
  <c r="AH148" i="9"/>
  <c r="AT148" i="9" s="1"/>
  <c r="P96" i="9"/>
  <c r="AG91" i="9"/>
  <c r="AS91" i="9" s="1"/>
  <c r="O121" i="9"/>
  <c r="N78" i="9"/>
  <c r="Q76" i="9"/>
  <c r="AC76" i="9" s="1"/>
  <c r="AE51" i="9"/>
  <c r="AQ51" i="9" s="1"/>
  <c r="AI122" i="9"/>
  <c r="AU122" i="9" s="1"/>
  <c r="N70" i="9"/>
  <c r="O64" i="9"/>
  <c r="P125" i="9"/>
  <c r="M48" i="9"/>
  <c r="P45" i="9"/>
  <c r="N40" i="9"/>
  <c r="O37" i="9"/>
  <c r="M123" i="9"/>
  <c r="N97" i="9"/>
  <c r="Z97" i="9" s="1"/>
  <c r="AU95" i="9"/>
  <c r="O151" i="9"/>
  <c r="AT95" i="9"/>
  <c r="AS92" i="9"/>
  <c r="M97" i="9"/>
  <c r="Q146" i="9"/>
  <c r="N146" i="9"/>
  <c r="P39" i="9"/>
  <c r="AB39" i="9" s="1"/>
  <c r="P142" i="9"/>
  <c r="P144" i="9"/>
  <c r="P69" i="9"/>
  <c r="AB69" i="9" s="1"/>
  <c r="AE39" i="9"/>
  <c r="AQ39" i="9" s="1"/>
  <c r="AE53" i="9"/>
  <c r="AQ53" i="9" s="1"/>
  <c r="AI66" i="9"/>
  <c r="AU66" i="9" s="1"/>
  <c r="M42" i="9"/>
  <c r="Q53" i="9"/>
  <c r="AC53" i="9" s="1"/>
  <c r="AH66" i="9"/>
  <c r="AT66" i="9" s="1"/>
  <c r="AF39" i="9"/>
  <c r="AR39" i="9" s="1"/>
  <c r="AF142" i="9"/>
  <c r="AF144" i="9"/>
  <c r="AF69" i="9"/>
  <c r="AR69" i="9" s="1"/>
  <c r="AE42" i="9"/>
  <c r="AQ42" i="9" s="1"/>
  <c r="AI53" i="9"/>
  <c r="AU53" i="9" s="1"/>
  <c r="N69" i="9"/>
  <c r="Z69" i="9" s="1"/>
  <c r="Q42" i="9"/>
  <c r="AC42" i="9" s="1"/>
  <c r="AH53" i="9"/>
  <c r="AT53" i="9" s="1"/>
  <c r="M69" i="9"/>
  <c r="AE132" i="9"/>
  <c r="P140" i="9"/>
  <c r="AH139" i="9"/>
  <c r="N81" i="9"/>
  <c r="AF16" i="9"/>
  <c r="AR16" i="9" s="1"/>
  <c r="Q6" i="9"/>
  <c r="AC6" i="9" s="1"/>
  <c r="P19" i="9"/>
  <c r="AB19" i="9" s="1"/>
  <c r="AG8" i="9"/>
  <c r="AS8" i="9" s="1"/>
  <c r="AF21" i="9"/>
  <c r="AR21" i="9" s="1"/>
  <c r="O13" i="9"/>
  <c r="AA13" i="9" s="1"/>
  <c r="AG4" i="9"/>
  <c r="AH16" i="9"/>
  <c r="AT16" i="9" s="1"/>
  <c r="Q8" i="9"/>
  <c r="AC8" i="9" s="1"/>
  <c r="P21" i="9"/>
  <c r="AB21" i="9" s="1"/>
  <c r="AH5" i="9"/>
  <c r="AT5" i="9" s="1"/>
  <c r="AG18" i="9"/>
  <c r="AS18" i="9" s="1"/>
  <c r="P10" i="9"/>
  <c r="AB10" i="9" s="1"/>
  <c r="O23" i="9"/>
  <c r="AA23" i="9" s="1"/>
  <c r="AE9" i="9"/>
  <c r="AQ9" i="9" s="1"/>
  <c r="AI21" i="9"/>
  <c r="AU21" i="9" s="1"/>
  <c r="M14" i="9"/>
  <c r="AH12" i="9"/>
  <c r="AT12" i="9" s="1"/>
  <c r="AH15" i="9"/>
  <c r="AT15" i="9" s="1"/>
  <c r="Q7" i="9"/>
  <c r="AC7" i="9" s="1"/>
  <c r="P20" i="9"/>
  <c r="AB20" i="9" s="1"/>
  <c r="AI15" i="9"/>
  <c r="AU15" i="9" s="1"/>
  <c r="AE16" i="9"/>
  <c r="AQ16" i="9" s="1"/>
  <c r="P6" i="9"/>
  <c r="AB6" i="9" s="1"/>
  <c r="O19" i="9"/>
  <c r="AA19" i="9" s="1"/>
  <c r="N19" i="9"/>
  <c r="Z19" i="9" s="1"/>
  <c r="P17" i="9"/>
  <c r="AB17" i="9" s="1"/>
  <c r="O147" i="9"/>
  <c r="AA147" i="9" s="1"/>
  <c r="Q148" i="9"/>
  <c r="AC148" i="9" s="1"/>
  <c r="N91" i="9"/>
  <c r="Z91" i="9" s="1"/>
  <c r="O94" i="9"/>
  <c r="AA94" i="9" s="1"/>
  <c r="Q78" i="9"/>
  <c r="M76" i="9"/>
  <c r="AI51" i="9"/>
  <c r="AU51" i="9" s="1"/>
  <c r="Z122" i="9"/>
  <c r="P73" i="9"/>
  <c r="M70" i="9"/>
  <c r="P67" i="9"/>
  <c r="N64" i="9"/>
  <c r="Q48" i="9"/>
  <c r="O45" i="9"/>
  <c r="M40" i="9"/>
  <c r="N37" i="9"/>
  <c r="Q123" i="9"/>
  <c r="P128" i="9"/>
  <c r="AB128" i="9" s="1"/>
  <c r="M128" i="9"/>
  <c r="O97" i="9"/>
  <c r="AA97" i="9" s="1"/>
  <c r="AQ95" i="9"/>
  <c r="AH146" i="9"/>
  <c r="AE146" i="9"/>
  <c r="AG39" i="9"/>
  <c r="AS39" i="9" s="1"/>
  <c r="AG142" i="9"/>
  <c r="AG144" i="9"/>
  <c r="AG69" i="9"/>
  <c r="AS69" i="9" s="1"/>
  <c r="N42" i="9"/>
  <c r="Z42" i="9" s="1"/>
  <c r="N55" i="9"/>
  <c r="Z55" i="9" s="1"/>
  <c r="AE69" i="9"/>
  <c r="AQ69" i="9" s="1"/>
  <c r="AH42" i="9"/>
  <c r="AT42" i="9" s="1"/>
  <c r="M55" i="9"/>
  <c r="Q69" i="9"/>
  <c r="AC69" i="9" s="1"/>
  <c r="O42" i="9"/>
  <c r="AA42" i="9" s="1"/>
  <c r="O50" i="9"/>
  <c r="AA50" i="9" s="1"/>
  <c r="O124" i="9"/>
  <c r="AA124" i="9" s="1"/>
  <c r="O72" i="9"/>
  <c r="AA72" i="9" s="1"/>
  <c r="AE44" i="9"/>
  <c r="AQ44" i="9" s="1"/>
  <c r="AE55" i="9"/>
  <c r="AQ55" i="9" s="1"/>
  <c r="AI69" i="9"/>
  <c r="AU69" i="9" s="1"/>
  <c r="M44" i="9"/>
  <c r="Q55" i="9"/>
  <c r="AC55" i="9" s="1"/>
  <c r="AH69" i="9"/>
  <c r="AT69" i="9" s="1"/>
  <c r="P38" i="9"/>
  <c r="M62" i="9"/>
  <c r="Q139" i="9"/>
  <c r="Q46" i="9"/>
  <c r="O81" i="9"/>
  <c r="AE5" i="9"/>
  <c r="AQ5" i="9" s="1"/>
  <c r="AI17" i="9"/>
  <c r="AU17" i="9" s="1"/>
  <c r="O8" i="9"/>
  <c r="AA8" i="9" s="1"/>
  <c r="N21" i="9"/>
  <c r="Z21" i="9" s="1"/>
  <c r="AE10" i="9"/>
  <c r="AQ10" i="9" s="1"/>
  <c r="AI22" i="9"/>
  <c r="AU22" i="9" s="1"/>
  <c r="M15" i="9"/>
  <c r="AG5" i="9"/>
  <c r="AS5" i="9" s="1"/>
  <c r="AF18" i="9"/>
  <c r="AR18" i="9" s="1"/>
  <c r="O10" i="9"/>
  <c r="AA10" i="9" s="1"/>
  <c r="N23" i="9"/>
  <c r="Z23" i="9" s="1"/>
  <c r="AF7" i="9"/>
  <c r="AR7" i="9" s="1"/>
  <c r="AE20" i="9"/>
  <c r="AQ20" i="9" s="1"/>
  <c r="N12" i="9"/>
  <c r="Z12" i="9" s="1"/>
  <c r="M25" i="9"/>
  <c r="AH10" i="9"/>
  <c r="AT10" i="9" s="1"/>
  <c r="AG23" i="9"/>
  <c r="AS23" i="9" s="1"/>
  <c r="P15" i="9"/>
  <c r="AB15" i="9" s="1"/>
  <c r="AF22" i="9"/>
  <c r="AR22" i="9" s="1"/>
  <c r="AF17" i="9"/>
  <c r="AR17" i="9" s="1"/>
  <c r="O9" i="9"/>
  <c r="AA9" i="9" s="1"/>
  <c r="N22" i="9"/>
  <c r="Z22" i="9" s="1"/>
  <c r="AH20" i="9"/>
  <c r="AT20" i="9" s="1"/>
  <c r="AH17" i="9"/>
  <c r="AT17" i="9" s="1"/>
  <c r="N8" i="9"/>
  <c r="Z8" i="9" s="1"/>
  <c r="M21" i="9"/>
  <c r="M8" i="9"/>
  <c r="Q12" i="9"/>
  <c r="AC12" i="9" s="1"/>
  <c r="M129" i="9"/>
  <c r="AG148" i="9"/>
  <c r="AS148" i="9" s="1"/>
  <c r="AI148" i="9"/>
  <c r="AU148" i="9" s="1"/>
  <c r="M148" i="9"/>
  <c r="AQ91" i="9"/>
  <c r="P121" i="9"/>
  <c r="M78" i="9"/>
  <c r="AF76" i="9"/>
  <c r="AR76" i="9" s="1"/>
  <c r="AG76" i="9"/>
  <c r="AS76" i="9" s="1"/>
  <c r="P51" i="9"/>
  <c r="AB51" i="9" s="1"/>
  <c r="Q122" i="9"/>
  <c r="AC122" i="9" s="1"/>
  <c r="P127" i="9"/>
  <c r="M73" i="9"/>
  <c r="Q70" i="9"/>
  <c r="N67" i="9"/>
  <c r="P64" i="9"/>
  <c r="M45" i="9"/>
  <c r="P37" i="9"/>
  <c r="O123" i="9"/>
  <c r="AG128" i="9"/>
  <c r="AS128" i="9" s="1"/>
  <c r="AE151" i="9"/>
  <c r="Q128" i="9"/>
  <c r="AC128" i="9" s="1"/>
  <c r="P97" i="9"/>
  <c r="AF151" i="9"/>
  <c r="Q145" i="9"/>
  <c r="AI146" i="9"/>
  <c r="AF133" i="9"/>
  <c r="P42" i="9"/>
  <c r="AB42" i="9" s="1"/>
  <c r="P50" i="9"/>
  <c r="AB50" i="9" s="1"/>
  <c r="P124" i="9"/>
  <c r="AB124" i="9" s="1"/>
  <c r="P72" i="9"/>
  <c r="AB72" i="9" s="1"/>
  <c r="AI42" i="9"/>
  <c r="AU42" i="9" s="1"/>
  <c r="AI55" i="9"/>
  <c r="AU55" i="9" s="1"/>
  <c r="N72" i="9"/>
  <c r="Z72" i="9" s="1"/>
  <c r="Q44" i="9"/>
  <c r="AC44" i="9" s="1"/>
  <c r="AH55" i="9"/>
  <c r="AT55" i="9" s="1"/>
  <c r="M72" i="9"/>
  <c r="AF42" i="9"/>
  <c r="AR42" i="9" s="1"/>
  <c r="AF50" i="9"/>
  <c r="AR50" i="9" s="1"/>
  <c r="AF124" i="9"/>
  <c r="AR124" i="9" s="1"/>
  <c r="AF72" i="9"/>
  <c r="AR72" i="9" s="1"/>
  <c r="AI44" i="9"/>
  <c r="AU44" i="9" s="1"/>
  <c r="N144" i="9"/>
  <c r="AE72" i="9"/>
  <c r="AQ72" i="9" s="1"/>
  <c r="AH44" i="9"/>
  <c r="AT44" i="9" s="1"/>
  <c r="M144" i="9"/>
  <c r="Q72" i="9"/>
  <c r="AC72" i="9" s="1"/>
  <c r="AF113" i="9"/>
  <c r="Q112" i="9"/>
  <c r="AC100" i="9"/>
  <c r="AF63" i="9"/>
  <c r="AR63" i="9" s="1"/>
  <c r="AI75" i="9"/>
  <c r="AH75" i="9"/>
  <c r="M136" i="9"/>
  <c r="O133" i="9"/>
  <c r="Q84" i="9"/>
  <c r="M46" i="9"/>
  <c r="AH113" i="9"/>
  <c r="AI137" i="9"/>
  <c r="Q87" i="9"/>
  <c r="P28" i="9"/>
  <c r="AI58" i="9"/>
  <c r="AU58" i="9" s="1"/>
  <c r="N85" i="9"/>
  <c r="P113" i="9"/>
  <c r="AE137" i="9"/>
  <c r="Q85" i="9"/>
  <c r="P27" i="9"/>
  <c r="N114" i="9"/>
  <c r="AF114" i="9" s="1"/>
  <c r="AR114" i="9" s="1"/>
  <c r="M30" i="9"/>
  <c r="O26" i="9"/>
  <c r="AH110" i="9"/>
  <c r="P134" i="9"/>
  <c r="AG141" i="9"/>
  <c r="O82" i="9"/>
  <c r="M74" i="9"/>
  <c r="P59" i="9"/>
  <c r="AH137" i="9"/>
  <c r="P57" i="9"/>
  <c r="AB57" i="9" s="1"/>
  <c r="AG110" i="9"/>
  <c r="AE133" i="9"/>
  <c r="O140" i="9"/>
  <c r="P130" i="9"/>
  <c r="M100" i="9"/>
  <c r="M49" i="9"/>
  <c r="Q49" i="9"/>
  <c r="P68" i="9"/>
  <c r="O35" i="9"/>
  <c r="N88" i="9"/>
  <c r="N59" i="9"/>
  <c r="P112" i="9"/>
  <c r="AG131" i="9"/>
  <c r="M135" i="9"/>
  <c r="AF138" i="9"/>
  <c r="M31" i="9"/>
  <c r="N135" i="9"/>
  <c r="N134" i="9"/>
  <c r="AF136" i="9"/>
  <c r="N131" i="9"/>
  <c r="O69" i="9"/>
  <c r="AA69" i="9" s="1"/>
  <c r="AH39" i="9"/>
  <c r="AT39" i="9" s="1"/>
  <c r="P49" i="9"/>
  <c r="AI31" i="9"/>
  <c r="AU31" i="9" s="1"/>
  <c r="P114" i="9"/>
  <c r="AH114" i="9" s="1"/>
  <c r="AT114" i="9" s="1"/>
  <c r="AI113" i="9"/>
  <c r="P93" i="9"/>
  <c r="AG138" i="9"/>
  <c r="Q83" i="9"/>
  <c r="Q58" i="9"/>
  <c r="AC58" i="9" s="1"/>
  <c r="N52" i="9"/>
  <c r="Q41" i="9"/>
  <c r="N74" i="9"/>
  <c r="Q138" i="9"/>
  <c r="Q82" i="9"/>
  <c r="N49" i="9"/>
  <c r="Q115" i="9"/>
  <c r="N120" i="9"/>
  <c r="AF110" i="9"/>
  <c r="AF135" i="9"/>
  <c r="P58" i="9"/>
  <c r="AB58" i="9" s="1"/>
  <c r="P52" i="9"/>
  <c r="O74" i="9"/>
  <c r="M54" i="9"/>
  <c r="O49" i="9"/>
  <c r="O32" i="9"/>
  <c r="AG57" i="9"/>
  <c r="AS57" i="9" s="1"/>
  <c r="Q118" i="9"/>
  <c r="Q116" i="9"/>
  <c r="AC116" i="9" s="1"/>
  <c r="O134" i="9"/>
  <c r="O31" i="9"/>
  <c r="AA31" i="9" s="1"/>
  <c r="M98" i="9"/>
  <c r="M80" i="9"/>
  <c r="M43" i="9"/>
  <c r="Q43" i="9"/>
  <c r="P120" i="9"/>
  <c r="P62" i="9"/>
  <c r="O30" i="9"/>
  <c r="N86" i="9"/>
  <c r="AG112" i="9"/>
  <c r="N132" i="9"/>
  <c r="Q135" i="9"/>
  <c r="N139" i="9"/>
  <c r="Q31" i="9"/>
  <c r="AC31" i="9" s="1"/>
  <c r="O138" i="9"/>
  <c r="N80" i="9"/>
  <c r="Q140" i="9"/>
  <c r="AF141" i="9"/>
  <c r="M124" i="9"/>
  <c r="N36" i="9"/>
  <c r="Z36" i="9" s="1"/>
  <c r="M142" i="9"/>
  <c r="Q141" i="9"/>
  <c r="O99" i="9"/>
  <c r="AA99" i="9" s="1"/>
  <c r="P116" i="9"/>
  <c r="P26" i="9"/>
  <c r="Q88" i="9"/>
  <c r="O38" i="9"/>
  <c r="AH131" i="9"/>
  <c r="AE139" i="9"/>
  <c r="Q153" i="9"/>
  <c r="O98" i="9"/>
  <c r="AA98" i="9" s="1"/>
  <c r="N43" i="9"/>
  <c r="Q27" i="9"/>
  <c r="AG116" i="9"/>
  <c r="P131" i="9"/>
  <c r="O139" i="9"/>
  <c r="Q74" i="9"/>
  <c r="O93" i="9"/>
  <c r="N38" i="9"/>
  <c r="Q30" i="9"/>
  <c r="N82" i="9"/>
  <c r="M112" i="9"/>
  <c r="Q136" i="9"/>
  <c r="Q98" i="9"/>
  <c r="AC98" i="9" s="1"/>
  <c r="P43" i="9"/>
  <c r="O62" i="9"/>
  <c r="M35" i="9"/>
  <c r="O152" i="9"/>
  <c r="N57" i="9"/>
  <c r="Z57" i="9" s="1"/>
  <c r="O118" i="9"/>
  <c r="N112" i="9"/>
  <c r="AI134" i="9"/>
  <c r="AI140" i="9"/>
  <c r="M93" i="9"/>
  <c r="M119" i="9"/>
  <c r="M38" i="9"/>
  <c r="Q38" i="9"/>
  <c r="P87" i="9"/>
  <c r="P117" i="9"/>
  <c r="O28" i="9"/>
  <c r="N84" i="9"/>
  <c r="Z84" i="9" s="1"/>
  <c r="M152" i="9"/>
  <c r="M113" i="9"/>
  <c r="AF132" i="9"/>
  <c r="AG135" i="9"/>
  <c r="AF139" i="9"/>
  <c r="N133" i="9"/>
  <c r="Q137" i="9"/>
  <c r="AG133" i="9"/>
  <c r="Q75" i="9"/>
  <c r="AC75" i="9" s="1"/>
  <c r="AI39" i="9"/>
  <c r="AU39" i="9" s="1"/>
  <c r="Q50" i="9"/>
  <c r="AC50" i="9" s="1"/>
  <c r="Q71" i="9"/>
  <c r="O153" i="9"/>
  <c r="O110" i="9"/>
  <c r="O83" i="9"/>
  <c r="Q59" i="9"/>
  <c r="AG132" i="9"/>
  <c r="AF140" i="9"/>
  <c r="Q68" i="9"/>
  <c r="O126" i="9"/>
  <c r="M99" i="9"/>
  <c r="P126" i="9"/>
  <c r="Q132" i="9"/>
  <c r="AI139" i="9"/>
  <c r="Q62" i="9"/>
  <c r="O88" i="9"/>
  <c r="N152" i="9"/>
  <c r="P98" i="9"/>
  <c r="AE58" i="9"/>
  <c r="AQ58" i="9" s="1"/>
  <c r="AH112" i="9"/>
  <c r="O137" i="9"/>
  <c r="Q126" i="9"/>
  <c r="P32" i="9"/>
  <c r="AF58" i="9"/>
  <c r="AR58" i="9" s="1"/>
  <c r="Q54" i="9"/>
  <c r="M57" i="9"/>
  <c r="AE57" i="9"/>
  <c r="AQ57" i="9" s="1"/>
  <c r="P118" i="9"/>
  <c r="AI112" i="9"/>
  <c r="AE135" i="9"/>
  <c r="AH141" i="9"/>
  <c r="M126" i="9"/>
  <c r="M71" i="9"/>
  <c r="M32" i="9"/>
  <c r="Q32" i="9"/>
  <c r="P85" i="9"/>
  <c r="AG58" i="9"/>
  <c r="AS58" i="9" s="1"/>
  <c r="O27" i="9"/>
  <c r="M26" i="9"/>
  <c r="Q113" i="9"/>
  <c r="Q133" i="9"/>
  <c r="N136" i="9"/>
  <c r="M140" i="9"/>
  <c r="O132" i="9"/>
  <c r="N31" i="9"/>
  <c r="Z31" i="9" s="1"/>
  <c r="AG136" i="9"/>
  <c r="AG113" i="9"/>
  <c r="AH31" i="9"/>
  <c r="AT31" i="9" s="1"/>
  <c r="N138" i="9"/>
  <c r="AF44" i="9"/>
  <c r="AR44" i="9" s="1"/>
  <c r="AE142" i="9"/>
  <c r="M53" i="9"/>
  <c r="N153" i="9"/>
  <c r="N46" i="9"/>
  <c r="N54" i="9"/>
  <c r="P29" i="9"/>
  <c r="M116" i="9"/>
  <c r="AH133" i="9"/>
  <c r="AE141" i="9"/>
  <c r="Q117" i="9"/>
  <c r="O86" i="9"/>
  <c r="M87" i="9"/>
  <c r="AI133" i="9"/>
  <c r="P133" i="9"/>
  <c r="O141" i="9"/>
  <c r="AH58" i="9"/>
  <c r="AT58" i="9" s="1"/>
  <c r="O84" i="9"/>
  <c r="P86" i="9"/>
  <c r="O113" i="9"/>
  <c r="M138" i="9"/>
  <c r="Q86" i="9"/>
  <c r="P152" i="9"/>
  <c r="N115" i="9"/>
  <c r="Q35" i="9"/>
  <c r="N83" i="9"/>
  <c r="Q57" i="9"/>
  <c r="AC57" i="9" s="1"/>
  <c r="AI57" i="9"/>
  <c r="AU57" i="9" s="1"/>
  <c r="P141" i="9"/>
  <c r="M118" i="9"/>
  <c r="P136" i="9"/>
  <c r="M130" i="9"/>
  <c r="AE31" i="9"/>
  <c r="AQ31" i="9" s="1"/>
  <c r="M88" i="9"/>
  <c r="M65" i="9"/>
  <c r="M29" i="9"/>
  <c r="Q29" i="9"/>
  <c r="P83" i="9"/>
  <c r="O54" i="9"/>
  <c r="AI110" i="9"/>
  <c r="N140" i="9"/>
  <c r="O142" i="9"/>
  <c r="N53" i="9"/>
  <c r="Z53" i="9" s="1"/>
  <c r="Q124" i="9"/>
  <c r="AC124" i="9" s="1"/>
  <c r="AI135" i="9"/>
  <c r="M82" i="9"/>
  <c r="AH134" i="9"/>
  <c r="M120" i="9"/>
  <c r="O87" i="9"/>
  <c r="Q110" i="9"/>
  <c r="P135" i="9"/>
  <c r="AF31" i="9"/>
  <c r="AR31" i="9" s="1"/>
  <c r="P54" i="9"/>
  <c r="M153" i="9"/>
  <c r="P65" i="9"/>
  <c r="AH136" i="9"/>
  <c r="AF134" i="9"/>
  <c r="AI141" i="9"/>
  <c r="P115" i="9"/>
  <c r="O80" i="9"/>
  <c r="M83" i="9"/>
  <c r="P119" i="9"/>
  <c r="P132" i="9"/>
  <c r="M139" i="9"/>
  <c r="O58" i="9"/>
  <c r="AA58" i="9" s="1"/>
  <c r="N41" i="9"/>
  <c r="N62" i="9"/>
  <c r="AH57" i="9"/>
  <c r="AT57" i="9" s="1"/>
  <c r="O57" i="9"/>
  <c r="AA57" i="9" s="1"/>
  <c r="N68" i="9"/>
  <c r="N118" i="9"/>
  <c r="O131" i="9"/>
  <c r="P137" i="9"/>
  <c r="O130" i="9"/>
  <c r="N30" i="9"/>
  <c r="AG31" i="9"/>
  <c r="AS31" i="9" s="1"/>
  <c r="M59" i="9"/>
  <c r="N58" i="9"/>
  <c r="Z58" i="9" s="1"/>
  <c r="Q152" i="9"/>
  <c r="P82" i="9"/>
  <c r="O115" i="9"/>
  <c r="N98" i="9"/>
  <c r="N119" i="9"/>
  <c r="O116" i="9"/>
  <c r="M134" i="9"/>
  <c r="N137" i="9"/>
  <c r="AG140" i="9"/>
  <c r="N110" i="9"/>
  <c r="AI138" i="9"/>
  <c r="N113" i="9"/>
  <c r="AH140" i="9"/>
  <c r="P110" i="9"/>
  <c r="AF53" i="9"/>
  <c r="AR53" i="9" s="1"/>
  <c r="AE124" i="9"/>
  <c r="AQ124" i="9" s="1"/>
  <c r="AH63" i="9"/>
  <c r="AT63" i="9" s="1"/>
  <c r="Q93" i="9"/>
  <c r="P71" i="9"/>
  <c r="AE138" i="9"/>
  <c r="M28" i="9"/>
  <c r="O117" i="9"/>
  <c r="AF116" i="9"/>
  <c r="AR116" i="9" s="1"/>
  <c r="O136" i="9"/>
  <c r="AC99" i="9"/>
  <c r="P46" i="9"/>
  <c r="O119" i="9"/>
  <c r="M117" i="9"/>
  <c r="O52" i="9"/>
  <c r="AE140" i="9"/>
  <c r="AH135" i="9"/>
  <c r="M58" i="9"/>
  <c r="P41" i="9"/>
  <c r="O71" i="9"/>
  <c r="M68" i="9"/>
  <c r="O135" i="9"/>
  <c r="M132" i="9"/>
  <c r="AG139" i="9"/>
  <c r="Q119" i="9"/>
  <c r="O120" i="9"/>
  <c r="N29" i="9"/>
  <c r="P88" i="9"/>
  <c r="AE131" i="9"/>
  <c r="AF57" i="9"/>
  <c r="AR57" i="9" s="1"/>
  <c r="N117" i="9"/>
  <c r="AI131" i="9"/>
  <c r="P138" i="9"/>
  <c r="Q130" i="9"/>
  <c r="N28" i="9"/>
  <c r="M86" i="9"/>
  <c r="M114" i="9"/>
  <c r="AE114" i="9" s="1"/>
  <c r="AQ114" i="9" s="1"/>
  <c r="Q114" i="9"/>
  <c r="AI114" i="9" s="1"/>
  <c r="AU114" i="9" s="1"/>
  <c r="Q26" i="9"/>
  <c r="P153" i="9"/>
  <c r="O46" i="9"/>
  <c r="N93" i="9"/>
  <c r="N71" i="9"/>
  <c r="AE116" i="9"/>
  <c r="Q134" i="9"/>
  <c r="AF137" i="9"/>
  <c r="N141" i="9"/>
  <c r="AH116" i="9"/>
  <c r="M110" i="9"/>
  <c r="M131" i="9"/>
  <c r="N116" i="9"/>
  <c r="Z116" i="9" s="1"/>
  <c r="O144" i="9"/>
  <c r="AE66" i="9"/>
  <c r="AQ66" i="9" s="1"/>
  <c r="Q66" i="9"/>
  <c r="AC66" i="9" s="1"/>
  <c r="AF131" i="9"/>
  <c r="N87" i="9"/>
  <c r="P31" i="9"/>
  <c r="AB31" i="9" s="1"/>
  <c r="P84" i="9"/>
  <c r="N26" i="9"/>
  <c r="AF112" i="9"/>
  <c r="M137" i="9"/>
  <c r="P35" i="9"/>
  <c r="O65" i="9"/>
  <c r="M41" i="9"/>
  <c r="O29" i="9"/>
  <c r="O112" i="9"/>
  <c r="AE136" i="9"/>
  <c r="Q120" i="9"/>
  <c r="P30" i="9"/>
  <c r="O59" i="9"/>
  <c r="M115" i="9"/>
  <c r="O43" i="9"/>
  <c r="AH138" i="9"/>
  <c r="AI132" i="9"/>
  <c r="M141" i="9"/>
  <c r="Q65" i="9"/>
  <c r="O85" i="9"/>
  <c r="M85" i="9"/>
  <c r="P80" i="9"/>
  <c r="AE134" i="9"/>
  <c r="M27" i="9"/>
  <c r="AH132" i="9"/>
  <c r="P139" i="9"/>
  <c r="N130" i="9"/>
  <c r="N27" i="9"/>
  <c r="M84" i="9"/>
  <c r="M52" i="9"/>
  <c r="Q52" i="9"/>
  <c r="P99" i="9"/>
  <c r="P74" i="9"/>
  <c r="O41" i="9"/>
  <c r="N126" i="9"/>
  <c r="N65" i="9"/>
  <c r="AI116" i="9"/>
  <c r="AG134" i="9"/>
  <c r="S87" i="20"/>
  <c r="G104" i="14"/>
  <c r="K104" i="14"/>
  <c r="I50" i="1"/>
  <c r="I171" i="1" s="1"/>
  <c r="I113" i="1"/>
  <c r="I124" i="1" s="1"/>
  <c r="I127" i="1" s="1"/>
  <c r="I14" i="1"/>
  <c r="F119" i="14"/>
  <c r="E119" i="14"/>
  <c r="J85" i="20"/>
  <c r="E282" i="1"/>
  <c r="E285" i="1" s="1"/>
  <c r="J113" i="1"/>
  <c r="J52" i="14"/>
  <c r="C52" i="14" s="1"/>
  <c r="J168" i="1"/>
  <c r="J118" i="1"/>
  <c r="H178" i="1"/>
  <c r="H181" i="1"/>
  <c r="H188" i="1"/>
  <c r="H189" i="1" s="1"/>
  <c r="H196" i="1" s="1"/>
  <c r="H202" i="1" s="1"/>
  <c r="E56" i="14"/>
  <c r="E64" i="14" s="1"/>
  <c r="H135" i="1"/>
  <c r="H136" i="1" s="1"/>
  <c r="H143" i="1" s="1"/>
  <c r="H149" i="1" s="1"/>
  <c r="H128" i="1"/>
  <c r="K56" i="14"/>
  <c r="K64" i="14" s="1"/>
  <c r="C173" i="1"/>
  <c r="I72" i="14"/>
  <c r="C72" i="14" s="1"/>
  <c r="C121" i="1"/>
  <c r="D302" i="1"/>
  <c r="AB56" i="10"/>
  <c r="AB57" i="10" s="1"/>
  <c r="AG55" i="10"/>
  <c r="F16" i="7" s="1"/>
  <c r="G16" i="7" s="1"/>
  <c r="T56" i="10"/>
  <c r="V114" i="20"/>
  <c r="V86" i="20"/>
  <c r="AH55" i="10"/>
  <c r="R115" i="20"/>
  <c r="V115" i="20"/>
  <c r="BN125" i="9"/>
  <c r="BT125" i="9" s="1"/>
  <c r="BT48" i="9"/>
  <c r="BN123" i="9"/>
  <c r="BT123" i="9" s="1"/>
  <c r="T64" i="10"/>
  <c r="C17" i="7"/>
  <c r="C16" i="7"/>
  <c r="S64" i="10"/>
  <c r="V69" i="20"/>
  <c r="E164" i="1"/>
  <c r="C164" i="1" s="1"/>
  <c r="Q136" i="1"/>
  <c r="S136" i="1"/>
  <c r="I37" i="1"/>
  <c r="I40" i="1" s="1"/>
  <c r="I43" i="1" s="1"/>
  <c r="I46" i="1" s="1"/>
  <c r="G64" i="14"/>
  <c r="G282" i="1"/>
  <c r="O86" i="20"/>
  <c r="O87" i="20"/>
  <c r="N14" i="20"/>
  <c r="J14" i="20" s="1"/>
  <c r="G274" i="1"/>
  <c r="C115" i="1"/>
  <c r="D125" i="1"/>
  <c r="D166" i="1"/>
  <c r="D104" i="14" s="1"/>
  <c r="C230" i="1"/>
  <c r="E230" i="1" s="1"/>
  <c r="H221" i="1"/>
  <c r="I221" i="1" s="1"/>
  <c r="H282" i="1"/>
  <c r="I282" i="1" s="1"/>
  <c r="F275" i="1"/>
  <c r="H275" i="1" s="1"/>
  <c r="I275" i="1" s="1"/>
  <c r="I277" i="1" s="1"/>
  <c r="G124" i="1"/>
  <c r="I50" i="14"/>
  <c r="I166" i="1"/>
  <c r="K100" i="14"/>
  <c r="F252" i="1"/>
  <c r="K124" i="1"/>
  <c r="K67" i="1" s="1"/>
  <c r="C111" i="1"/>
  <c r="G170" i="1"/>
  <c r="K177" i="1"/>
  <c r="F231" i="1"/>
  <c r="G231" i="1" s="1"/>
  <c r="F283" i="1"/>
  <c r="G283" i="1" s="1"/>
  <c r="Q59" i="20" l="1"/>
  <c r="W59" i="20"/>
  <c r="V53" i="20"/>
  <c r="S53" i="20"/>
  <c r="R53" i="20"/>
  <c r="M53" i="20"/>
  <c r="Q53" i="20" s="1"/>
  <c r="R61" i="20"/>
  <c r="V61" i="20"/>
  <c r="S61" i="20"/>
  <c r="M61" i="20"/>
  <c r="W61" i="20" s="1"/>
  <c r="R60" i="20"/>
  <c r="V60" i="20"/>
  <c r="S60" i="20"/>
  <c r="W53" i="20"/>
  <c r="S59" i="20"/>
  <c r="V59" i="20"/>
  <c r="R59" i="20"/>
  <c r="V14" i="20"/>
  <c r="M14" i="20"/>
  <c r="W14" i="20" s="1"/>
  <c r="B97" i="5"/>
  <c r="R7" i="9"/>
  <c r="Q105" i="9"/>
  <c r="AV76" i="9"/>
  <c r="AW76" i="9" s="1"/>
  <c r="AV47" i="9"/>
  <c r="AW47" i="9" s="1"/>
  <c r="AV53" i="9"/>
  <c r="AW53" i="9" s="1"/>
  <c r="AV75" i="9"/>
  <c r="AW75" i="9" s="1"/>
  <c r="C168" i="1"/>
  <c r="I57" i="14"/>
  <c r="I71" i="14" s="1"/>
  <c r="R96" i="9"/>
  <c r="AV57" i="9"/>
  <c r="AW57" i="9" s="1"/>
  <c r="AV44" i="9"/>
  <c r="AW44" i="9" s="1"/>
  <c r="AV39" i="9"/>
  <c r="AW39" i="9" s="1"/>
  <c r="Z79" i="9"/>
  <c r="AF79" i="9"/>
  <c r="AR79" i="9" s="1"/>
  <c r="AG79" i="9"/>
  <c r="AS79" i="9" s="1"/>
  <c r="AA79" i="9"/>
  <c r="AH79" i="9"/>
  <c r="AT79" i="9" s="1"/>
  <c r="AB79" i="9"/>
  <c r="AI79" i="9"/>
  <c r="AU79" i="9" s="1"/>
  <c r="AC79" i="9"/>
  <c r="Y79" i="9"/>
  <c r="R79" i="9"/>
  <c r="AE79" i="9"/>
  <c r="AQ79" i="9" s="1"/>
  <c r="AV63" i="9"/>
  <c r="AW63" i="9" s="1"/>
  <c r="R131" i="9"/>
  <c r="AV31" i="9"/>
  <c r="AW31" i="9" s="1"/>
  <c r="R141" i="9"/>
  <c r="AV114" i="9"/>
  <c r="AV92" i="9"/>
  <c r="AW92" i="9" s="1"/>
  <c r="R56" i="9"/>
  <c r="AB56" i="9"/>
  <c r="R132" i="9"/>
  <c r="AV50" i="9"/>
  <c r="AW50" i="9" s="1"/>
  <c r="AV42" i="9"/>
  <c r="AW42" i="9" s="1"/>
  <c r="R137" i="9"/>
  <c r="Y52" i="9"/>
  <c r="R52" i="9"/>
  <c r="AE52" i="9"/>
  <c r="AQ52" i="9" s="1"/>
  <c r="R84" i="9"/>
  <c r="Y84" i="9"/>
  <c r="AE84" i="9"/>
  <c r="AQ84" i="9" s="1"/>
  <c r="AG43" i="9"/>
  <c r="AS43" i="9" s="1"/>
  <c r="AA43" i="9"/>
  <c r="AE41" i="9"/>
  <c r="AQ41" i="9" s="1"/>
  <c r="Y41" i="9"/>
  <c r="R41" i="9"/>
  <c r="R110" i="9"/>
  <c r="Z93" i="9"/>
  <c r="AR93" i="9"/>
  <c r="AC130" i="9"/>
  <c r="AI130" i="9"/>
  <c r="AU130" i="9" s="1"/>
  <c r="AB88" i="9"/>
  <c r="AH88" i="9"/>
  <c r="AT88" i="9" s="1"/>
  <c r="R68" i="9"/>
  <c r="Y68" i="9"/>
  <c r="AE68" i="9"/>
  <c r="AQ68" i="9" s="1"/>
  <c r="AG119" i="9"/>
  <c r="AS119" i="9" s="1"/>
  <c r="AA119" i="9"/>
  <c r="AB71" i="9"/>
  <c r="AH71" i="9"/>
  <c r="AT71" i="9" s="1"/>
  <c r="Z98" i="9"/>
  <c r="AR98" i="9"/>
  <c r="AA130" i="9"/>
  <c r="AG130" i="9"/>
  <c r="AS130" i="9" s="1"/>
  <c r="Z62" i="9"/>
  <c r="AF62" i="9"/>
  <c r="AR62" i="9" s="1"/>
  <c r="AB119" i="9"/>
  <c r="AH119" i="9"/>
  <c r="AT119" i="9" s="1"/>
  <c r="R153" i="9"/>
  <c r="AE153" i="9"/>
  <c r="AQ153" i="9" s="1"/>
  <c r="Y153" i="9"/>
  <c r="AA54" i="9"/>
  <c r="AG54" i="9"/>
  <c r="AS54" i="9" s="1"/>
  <c r="AI35" i="9"/>
  <c r="AU35" i="9" s="1"/>
  <c r="AC35" i="9"/>
  <c r="AG86" i="9"/>
  <c r="AS86" i="9" s="1"/>
  <c r="AA86" i="9"/>
  <c r="Z46" i="9"/>
  <c r="AF46" i="9"/>
  <c r="AR46" i="9" s="1"/>
  <c r="AC54" i="9"/>
  <c r="AI54" i="9"/>
  <c r="AU54" i="9" s="1"/>
  <c r="Z152" i="9"/>
  <c r="AF152" i="9"/>
  <c r="AR152" i="9" s="1"/>
  <c r="AA126" i="9"/>
  <c r="AG126" i="9"/>
  <c r="AS126" i="9" s="1"/>
  <c r="AA153" i="9"/>
  <c r="AG153" i="9"/>
  <c r="AS153" i="9" s="1"/>
  <c r="AB117" i="9"/>
  <c r="AH117" i="9"/>
  <c r="AT117" i="9" s="1"/>
  <c r="AU98" i="9"/>
  <c r="AC43" i="9"/>
  <c r="AI43" i="9"/>
  <c r="AU43" i="9" s="1"/>
  <c r="AB93" i="9"/>
  <c r="AT93" i="9"/>
  <c r="R49" i="9"/>
  <c r="Y49" i="9"/>
  <c r="AE49" i="9"/>
  <c r="AQ49" i="9" s="1"/>
  <c r="AF85" i="9"/>
  <c r="AR85" i="9" s="1"/>
  <c r="Z85" i="9"/>
  <c r="AR99" i="9"/>
  <c r="Z99" i="9"/>
  <c r="AV72" i="9"/>
  <c r="AW72" i="9" s="1"/>
  <c r="AG123" i="9"/>
  <c r="AS123" i="9" s="1"/>
  <c r="AA123" i="9"/>
  <c r="R21" i="9"/>
  <c r="Y21" i="9"/>
  <c r="R128" i="9"/>
  <c r="AC48" i="9"/>
  <c r="AI48" i="9"/>
  <c r="AU48" i="9" s="1"/>
  <c r="AI78" i="9"/>
  <c r="AU78" i="9" s="1"/>
  <c r="AC78" i="9"/>
  <c r="Y69" i="9"/>
  <c r="R69" i="9"/>
  <c r="AB45" i="9"/>
  <c r="AH45" i="9"/>
  <c r="AT45" i="9" s="1"/>
  <c r="Z78" i="9"/>
  <c r="AF78" i="9"/>
  <c r="AR78" i="9" s="1"/>
  <c r="Y19" i="9"/>
  <c r="R19" i="9"/>
  <c r="Y9" i="9"/>
  <c r="R9" i="9"/>
  <c r="AI77" i="9"/>
  <c r="AU77" i="9" s="1"/>
  <c r="AC77" i="9"/>
  <c r="AV91" i="9"/>
  <c r="AW91" i="9" s="1"/>
  <c r="AV66" i="9"/>
  <c r="AW66" i="9" s="1"/>
  <c r="Z45" i="9"/>
  <c r="AF45" i="9"/>
  <c r="AR45" i="9" s="1"/>
  <c r="R36" i="9"/>
  <c r="Y36" i="9"/>
  <c r="AA4" i="9"/>
  <c r="O105" i="9"/>
  <c r="AT4" i="9"/>
  <c r="Z125" i="9"/>
  <c r="AF125" i="9"/>
  <c r="AR125" i="9" s="1"/>
  <c r="AR4" i="9"/>
  <c r="AI73" i="9"/>
  <c r="AU73" i="9" s="1"/>
  <c r="AC73" i="9"/>
  <c r="R94" i="9"/>
  <c r="AQ94" i="9"/>
  <c r="Y94" i="9"/>
  <c r="AC129" i="9"/>
  <c r="AI129" i="9"/>
  <c r="AU129" i="9" s="1"/>
  <c r="AQ4" i="9"/>
  <c r="Z27" i="9"/>
  <c r="AF27" i="9"/>
  <c r="AR27" i="9" s="1"/>
  <c r="AF87" i="9"/>
  <c r="AR87" i="9" s="1"/>
  <c r="Z87" i="9"/>
  <c r="Z29" i="9"/>
  <c r="AF29" i="9"/>
  <c r="AR29" i="9" s="1"/>
  <c r="AA71" i="9"/>
  <c r="AG71" i="9"/>
  <c r="AS71" i="9" s="1"/>
  <c r="AB46" i="9"/>
  <c r="AH46" i="9"/>
  <c r="AT46" i="9" s="1"/>
  <c r="AC93" i="9"/>
  <c r="AU93" i="9"/>
  <c r="AA115" i="9"/>
  <c r="AG115" i="9"/>
  <c r="AS115" i="9" s="1"/>
  <c r="AB100" i="9"/>
  <c r="AT100" i="9"/>
  <c r="R83" i="9"/>
  <c r="AE83" i="9"/>
  <c r="AQ83" i="9" s="1"/>
  <c r="Y83" i="9"/>
  <c r="R82" i="9"/>
  <c r="Y82" i="9"/>
  <c r="AE82" i="9"/>
  <c r="AQ82" i="9" s="1"/>
  <c r="AB83" i="9"/>
  <c r="AH83" i="9"/>
  <c r="AT83" i="9" s="1"/>
  <c r="Z115" i="9"/>
  <c r="AF115" i="9"/>
  <c r="AR115" i="9" s="1"/>
  <c r="AA84" i="9"/>
  <c r="AG84" i="9"/>
  <c r="AS84" i="9" s="1"/>
  <c r="AC117" i="9"/>
  <c r="AI117" i="9"/>
  <c r="AU117" i="9" s="1"/>
  <c r="Z153" i="9"/>
  <c r="AF153" i="9"/>
  <c r="AR153" i="9" s="1"/>
  <c r="AA27" i="9"/>
  <c r="AG27" i="9"/>
  <c r="AS27" i="9" s="1"/>
  <c r="AV58" i="9"/>
  <c r="AW58" i="9" s="1"/>
  <c r="AA88" i="9"/>
  <c r="AG88" i="9"/>
  <c r="AS88" i="9" s="1"/>
  <c r="AC68" i="9"/>
  <c r="AI68" i="9"/>
  <c r="AU68" i="9" s="1"/>
  <c r="AC71" i="9"/>
  <c r="AI71" i="9"/>
  <c r="AU71" i="9" s="1"/>
  <c r="AB87" i="9"/>
  <c r="AH87" i="9"/>
  <c r="AT87" i="9" s="1"/>
  <c r="AA118" i="9"/>
  <c r="AG118" i="9"/>
  <c r="AS118" i="9" s="1"/>
  <c r="AG38" i="9"/>
  <c r="AS38" i="9" s="1"/>
  <c r="AA38" i="9"/>
  <c r="Y124" i="9"/>
  <c r="R124" i="9"/>
  <c r="R43" i="9"/>
  <c r="Y43" i="9"/>
  <c r="AE43" i="9"/>
  <c r="AQ43" i="9" s="1"/>
  <c r="AF74" i="9"/>
  <c r="AR74" i="9" s="1"/>
  <c r="Z74" i="9"/>
  <c r="AG26" i="9"/>
  <c r="AS26" i="9" s="1"/>
  <c r="AA26" i="9"/>
  <c r="AI84" i="9"/>
  <c r="AU84" i="9" s="1"/>
  <c r="AC84" i="9"/>
  <c r="AB37" i="9"/>
  <c r="AH37" i="9"/>
  <c r="AT37" i="9" s="1"/>
  <c r="Y44" i="9"/>
  <c r="R44" i="9"/>
  <c r="AF64" i="9"/>
  <c r="AR64" i="9" s="1"/>
  <c r="Z64" i="9"/>
  <c r="AS94" i="9"/>
  <c r="R48" i="9"/>
  <c r="Y48" i="9"/>
  <c r="AE48" i="9"/>
  <c r="AQ48" i="9" s="1"/>
  <c r="AA121" i="9"/>
  <c r="AG121" i="9"/>
  <c r="AS121" i="9" s="1"/>
  <c r="R122" i="9"/>
  <c r="Y122" i="9"/>
  <c r="AQ96" i="9"/>
  <c r="Y96" i="9"/>
  <c r="AV55" i="9"/>
  <c r="AW55" i="9" s="1"/>
  <c r="AG48" i="9"/>
  <c r="AS48" i="9" s="1"/>
  <c r="AA48" i="9"/>
  <c r="AA68" i="9"/>
  <c r="AG68" i="9"/>
  <c r="AS68" i="9" s="1"/>
  <c r="AC40" i="9"/>
  <c r="AI40" i="9"/>
  <c r="AU40" i="9" s="1"/>
  <c r="AC4" i="9"/>
  <c r="AC64" i="9"/>
  <c r="AI64" i="9"/>
  <c r="AU64" i="9" s="1"/>
  <c r="AU94" i="9"/>
  <c r="AH77" i="9"/>
  <c r="AT77" i="9" s="1"/>
  <c r="AB77" i="9"/>
  <c r="AB99" i="9"/>
  <c r="AT99" i="9"/>
  <c r="AB80" i="9"/>
  <c r="AH80" i="9"/>
  <c r="AT80" i="9" s="1"/>
  <c r="Z126" i="9"/>
  <c r="AF126" i="9"/>
  <c r="AR126" i="9" s="1"/>
  <c r="Z130" i="9"/>
  <c r="AF130" i="9"/>
  <c r="AR130" i="9" s="1"/>
  <c r="R85" i="9"/>
  <c r="AE85" i="9"/>
  <c r="AQ85" i="9" s="1"/>
  <c r="Y85" i="9"/>
  <c r="AA59" i="9"/>
  <c r="AG59" i="9"/>
  <c r="AS59" i="9" s="1"/>
  <c r="AB35" i="9"/>
  <c r="AH35" i="9"/>
  <c r="AT35" i="9" s="1"/>
  <c r="AB153" i="9"/>
  <c r="AH153" i="9"/>
  <c r="AT153" i="9" s="1"/>
  <c r="AA120" i="9"/>
  <c r="AG120" i="9"/>
  <c r="AS120" i="9" s="1"/>
  <c r="AB41" i="9"/>
  <c r="AH41" i="9"/>
  <c r="AT41" i="9" s="1"/>
  <c r="AU99" i="9"/>
  <c r="AB82" i="9"/>
  <c r="AH82" i="9"/>
  <c r="AT82" i="9" s="1"/>
  <c r="Z41" i="9"/>
  <c r="AF41" i="9"/>
  <c r="AR41" i="9" s="1"/>
  <c r="AA80" i="9"/>
  <c r="AG80" i="9"/>
  <c r="AS80" i="9" s="1"/>
  <c r="AB54" i="9"/>
  <c r="AH54" i="9"/>
  <c r="AT54" i="9" s="1"/>
  <c r="AC29" i="9"/>
  <c r="AI29" i="9"/>
  <c r="AU29" i="9" s="1"/>
  <c r="AE118" i="9"/>
  <c r="AQ118" i="9" s="1"/>
  <c r="Y118" i="9"/>
  <c r="R118" i="9"/>
  <c r="AH152" i="9"/>
  <c r="AT152" i="9" s="1"/>
  <c r="AB152" i="9"/>
  <c r="R53" i="9"/>
  <c r="Y53" i="9"/>
  <c r="AH32" i="9"/>
  <c r="AT32" i="9" s="1"/>
  <c r="AB32" i="9"/>
  <c r="AC62" i="9"/>
  <c r="AI62" i="9"/>
  <c r="AU62" i="9" s="1"/>
  <c r="AC38" i="9"/>
  <c r="AI38" i="9"/>
  <c r="AU38" i="9" s="1"/>
  <c r="R112" i="9"/>
  <c r="AI88" i="9"/>
  <c r="AU88" i="9" s="1"/>
  <c r="AC88" i="9"/>
  <c r="Y80" i="9"/>
  <c r="R80" i="9"/>
  <c r="AE80" i="9"/>
  <c r="AQ80" i="9" s="1"/>
  <c r="AG32" i="9"/>
  <c r="AS32" i="9" s="1"/>
  <c r="AA32" i="9"/>
  <c r="Z120" i="9"/>
  <c r="AF120" i="9"/>
  <c r="AR120" i="9" s="1"/>
  <c r="AI41" i="9"/>
  <c r="AU41" i="9" s="1"/>
  <c r="AC41" i="9"/>
  <c r="Z100" i="9"/>
  <c r="AR100" i="9"/>
  <c r="Z59" i="9"/>
  <c r="AF59" i="9"/>
  <c r="AR59" i="9" s="1"/>
  <c r="Y100" i="9"/>
  <c r="R100" i="9"/>
  <c r="AQ100" i="9"/>
  <c r="AB59" i="9"/>
  <c r="AH59" i="9"/>
  <c r="AT59" i="9" s="1"/>
  <c r="R30" i="9"/>
  <c r="AE30" i="9"/>
  <c r="AQ30" i="9" s="1"/>
  <c r="Y30" i="9"/>
  <c r="R45" i="9"/>
  <c r="AE45" i="9"/>
  <c r="AQ45" i="9" s="1"/>
  <c r="Y45" i="9"/>
  <c r="AA81" i="9"/>
  <c r="AG81" i="9"/>
  <c r="AS81" i="9" s="1"/>
  <c r="R55" i="9"/>
  <c r="Y55" i="9"/>
  <c r="AH67" i="9"/>
  <c r="AT67" i="9" s="1"/>
  <c r="AB67" i="9"/>
  <c r="AH125" i="9"/>
  <c r="AT125" i="9" s="1"/>
  <c r="AB125" i="9"/>
  <c r="Y24" i="9"/>
  <c r="R24" i="9"/>
  <c r="R18" i="9"/>
  <c r="Y18" i="9"/>
  <c r="Z4" i="9"/>
  <c r="N105" i="9"/>
  <c r="AE125" i="9"/>
  <c r="AQ125" i="9" s="1"/>
  <c r="R125" i="9"/>
  <c r="Y125" i="9"/>
  <c r="Z35" i="9"/>
  <c r="AF35" i="9"/>
  <c r="AR35" i="9" s="1"/>
  <c r="AB48" i="9"/>
  <c r="AH48" i="9"/>
  <c r="AT48" i="9" s="1"/>
  <c r="AC67" i="9"/>
  <c r="AI67" i="9"/>
  <c r="AU67" i="9" s="1"/>
  <c r="AB94" i="9"/>
  <c r="AT94" i="9"/>
  <c r="R6" i="9"/>
  <c r="Y6" i="9"/>
  <c r="R127" i="9"/>
  <c r="Y127" i="9"/>
  <c r="AE127" i="9"/>
  <c r="AQ127" i="9" s="1"/>
  <c r="R91" i="9"/>
  <c r="Y11" i="9"/>
  <c r="R11" i="9"/>
  <c r="R115" i="9"/>
  <c r="Y115" i="9"/>
  <c r="AE115" i="9"/>
  <c r="AQ115" i="9" s="1"/>
  <c r="AA46" i="9"/>
  <c r="AG46" i="9"/>
  <c r="AS46" i="9" s="1"/>
  <c r="AA85" i="9"/>
  <c r="AG85" i="9"/>
  <c r="AS85" i="9" s="1"/>
  <c r="AB30" i="9"/>
  <c r="AH30" i="9"/>
  <c r="AT30" i="9" s="1"/>
  <c r="AI26" i="9"/>
  <c r="AU26" i="9" s="1"/>
  <c r="AC26" i="9"/>
  <c r="Z117" i="9"/>
  <c r="AF117" i="9"/>
  <c r="AR117" i="9" s="1"/>
  <c r="AI119" i="9"/>
  <c r="AU119" i="9" s="1"/>
  <c r="AC119" i="9"/>
  <c r="Y58" i="9"/>
  <c r="R58" i="9"/>
  <c r="AC152" i="9"/>
  <c r="AI152" i="9"/>
  <c r="AU152" i="9" s="1"/>
  <c r="Z118" i="9"/>
  <c r="AF118" i="9"/>
  <c r="AR118" i="9" s="1"/>
  <c r="AB115" i="9"/>
  <c r="AH115" i="9"/>
  <c r="AT115" i="9" s="1"/>
  <c r="R29" i="9"/>
  <c r="Y29" i="9"/>
  <c r="AE29" i="9"/>
  <c r="AQ29" i="9" s="1"/>
  <c r="AI86" i="9"/>
  <c r="AU86" i="9" s="1"/>
  <c r="AC86" i="9"/>
  <c r="R140" i="9"/>
  <c r="AB85" i="9"/>
  <c r="AH85" i="9"/>
  <c r="AT85" i="9" s="1"/>
  <c r="AB118" i="9"/>
  <c r="AH118" i="9"/>
  <c r="AT118" i="9" s="1"/>
  <c r="AC126" i="9"/>
  <c r="AI126" i="9"/>
  <c r="AU126" i="9" s="1"/>
  <c r="Y38" i="9"/>
  <c r="R38" i="9"/>
  <c r="AE38" i="9"/>
  <c r="AQ38" i="9" s="1"/>
  <c r="Z82" i="9"/>
  <c r="AF82" i="9"/>
  <c r="AR82" i="9" s="1"/>
  <c r="AI27" i="9"/>
  <c r="AU27" i="9" s="1"/>
  <c r="AC27" i="9"/>
  <c r="AH26" i="9"/>
  <c r="AT26" i="9" s="1"/>
  <c r="AB26" i="9"/>
  <c r="Y98" i="9"/>
  <c r="R98" i="9"/>
  <c r="AQ98" i="9"/>
  <c r="AG49" i="9"/>
  <c r="AS49" i="9" s="1"/>
  <c r="AA49" i="9"/>
  <c r="AI115" i="9"/>
  <c r="AU115" i="9" s="1"/>
  <c r="AC115" i="9"/>
  <c r="Z52" i="9"/>
  <c r="AF52" i="9"/>
  <c r="AR52" i="9" s="1"/>
  <c r="Z88" i="9"/>
  <c r="AF88" i="9"/>
  <c r="AR88" i="9" s="1"/>
  <c r="AB130" i="9"/>
  <c r="AH130" i="9"/>
  <c r="AT130" i="9" s="1"/>
  <c r="R74" i="9"/>
  <c r="Y74" i="9"/>
  <c r="AE74" i="9"/>
  <c r="AQ74" i="9" s="1"/>
  <c r="AB28" i="9"/>
  <c r="AH28" i="9"/>
  <c r="AT28" i="9" s="1"/>
  <c r="R136" i="9"/>
  <c r="R144" i="9"/>
  <c r="AH64" i="9"/>
  <c r="AT64" i="9" s="1"/>
  <c r="AB64" i="9"/>
  <c r="Y25" i="9"/>
  <c r="R25" i="9"/>
  <c r="R15" i="9"/>
  <c r="Y15" i="9"/>
  <c r="AI46" i="9"/>
  <c r="AU46" i="9" s="1"/>
  <c r="AC46" i="9"/>
  <c r="R70" i="9"/>
  <c r="Y70" i="9"/>
  <c r="AE70" i="9"/>
  <c r="AQ70" i="9" s="1"/>
  <c r="Y14" i="9"/>
  <c r="R14" i="9"/>
  <c r="AG64" i="9"/>
  <c r="AS64" i="9" s="1"/>
  <c r="AA64" i="9"/>
  <c r="AB96" i="9"/>
  <c r="AT96" i="9"/>
  <c r="R20" i="9"/>
  <c r="Y20" i="9"/>
  <c r="R146" i="9"/>
  <c r="AB40" i="9"/>
  <c r="AH40" i="9"/>
  <c r="AT40" i="9" s="1"/>
  <c r="AV36" i="9"/>
  <c r="AW36" i="9" s="1"/>
  <c r="R95" i="9"/>
  <c r="AH70" i="9"/>
  <c r="AT70" i="9" s="1"/>
  <c r="AB70" i="9"/>
  <c r="AC121" i="9"/>
  <c r="AI121" i="9"/>
  <c r="AU121" i="9" s="1"/>
  <c r="AB129" i="9"/>
  <c r="AH129" i="9"/>
  <c r="AT129" i="9" s="1"/>
  <c r="AI125" i="9"/>
  <c r="AU125" i="9" s="1"/>
  <c r="AC125" i="9"/>
  <c r="Z121" i="9"/>
  <c r="AF121" i="9"/>
  <c r="AR121" i="9" s="1"/>
  <c r="Y13" i="9"/>
  <c r="R13" i="9"/>
  <c r="R92" i="9"/>
  <c r="AF73" i="9"/>
  <c r="AR73" i="9" s="1"/>
  <c r="Z73" i="9"/>
  <c r="AC81" i="9"/>
  <c r="AI81" i="9"/>
  <c r="AU81" i="9" s="1"/>
  <c r="R47" i="9"/>
  <c r="Y47" i="9"/>
  <c r="Z65" i="9"/>
  <c r="AF65" i="9"/>
  <c r="AR65" i="9" s="1"/>
  <c r="AA65" i="9"/>
  <c r="AG65" i="9"/>
  <c r="AS65" i="9" s="1"/>
  <c r="AA41" i="9"/>
  <c r="AG41" i="9"/>
  <c r="AS41" i="9" s="1"/>
  <c r="AB74" i="9"/>
  <c r="AH74" i="9"/>
  <c r="AT74" i="9" s="1"/>
  <c r="AI65" i="9"/>
  <c r="AU65" i="9" s="1"/>
  <c r="AC65" i="9"/>
  <c r="AC120" i="9"/>
  <c r="AI120" i="9"/>
  <c r="AU120" i="9" s="1"/>
  <c r="R134" i="9"/>
  <c r="AF68" i="9"/>
  <c r="AR68" i="9" s="1"/>
  <c r="Z68" i="9"/>
  <c r="Y65" i="9"/>
  <c r="R65" i="9"/>
  <c r="AE65" i="9"/>
  <c r="AQ65" i="9" s="1"/>
  <c r="R138" i="9"/>
  <c r="R116" i="9"/>
  <c r="AC32" i="9"/>
  <c r="AI32" i="9"/>
  <c r="AU32" i="9" s="1"/>
  <c r="R113" i="9"/>
  <c r="Y119" i="9"/>
  <c r="R119" i="9"/>
  <c r="AE119" i="9"/>
  <c r="AQ119" i="9" s="1"/>
  <c r="AG152" i="9"/>
  <c r="AS152" i="9" s="1"/>
  <c r="AA152" i="9"/>
  <c r="AI30" i="9"/>
  <c r="AU30" i="9" s="1"/>
  <c r="AC30" i="9"/>
  <c r="Z43" i="9"/>
  <c r="AF43" i="9"/>
  <c r="AR43" i="9" s="1"/>
  <c r="Z80" i="9"/>
  <c r="AF80" i="9"/>
  <c r="AR80" i="9" s="1"/>
  <c r="Z86" i="9"/>
  <c r="AF86" i="9"/>
  <c r="AR86" i="9" s="1"/>
  <c r="Y54" i="9"/>
  <c r="R54" i="9"/>
  <c r="AE54" i="9"/>
  <c r="AQ54" i="9" s="1"/>
  <c r="Z49" i="9"/>
  <c r="AF49" i="9"/>
  <c r="AR49" i="9" s="1"/>
  <c r="AB49" i="9"/>
  <c r="AH49" i="9"/>
  <c r="AT49" i="9" s="1"/>
  <c r="AA35" i="9"/>
  <c r="AG35" i="9"/>
  <c r="AS35" i="9" s="1"/>
  <c r="AA82" i="9"/>
  <c r="AG82" i="9"/>
  <c r="AS82" i="9" s="1"/>
  <c r="AB27" i="9"/>
  <c r="AH27" i="9"/>
  <c r="AT27" i="9" s="1"/>
  <c r="AC87" i="9"/>
  <c r="AI87" i="9"/>
  <c r="AU87" i="9" s="1"/>
  <c r="R72" i="9"/>
  <c r="Y72" i="9"/>
  <c r="Z67" i="9"/>
  <c r="AF67" i="9"/>
  <c r="AR67" i="9" s="1"/>
  <c r="R78" i="9"/>
  <c r="AE78" i="9"/>
  <c r="AQ78" i="9" s="1"/>
  <c r="Y78" i="9"/>
  <c r="R129" i="9"/>
  <c r="Y129" i="9"/>
  <c r="AE129" i="9"/>
  <c r="AQ129" i="9" s="1"/>
  <c r="AC123" i="9"/>
  <c r="AI123" i="9"/>
  <c r="AU123" i="9" s="1"/>
  <c r="AB73" i="9"/>
  <c r="AH73" i="9"/>
  <c r="AT73" i="9" s="1"/>
  <c r="Z81" i="9"/>
  <c r="AF81" i="9"/>
  <c r="AR81" i="9" s="1"/>
  <c r="Y42" i="9"/>
  <c r="R42" i="9"/>
  <c r="AF70" i="9"/>
  <c r="AR70" i="9" s="1"/>
  <c r="Z70" i="9"/>
  <c r="AI45" i="9"/>
  <c r="AU45" i="9" s="1"/>
  <c r="AC45" i="9"/>
  <c r="Y39" i="9"/>
  <c r="R39" i="9"/>
  <c r="AV95" i="9"/>
  <c r="AW95" i="9" s="1"/>
  <c r="AG77" i="9"/>
  <c r="AS77" i="9" s="1"/>
  <c r="AA77" i="9"/>
  <c r="R63" i="9"/>
  <c r="Y63" i="9"/>
  <c r="AA67" i="9"/>
  <c r="AG67" i="9"/>
  <c r="AS67" i="9" s="1"/>
  <c r="R121" i="9"/>
  <c r="AE121" i="9"/>
  <c r="AQ121" i="9" s="1"/>
  <c r="Y121" i="9"/>
  <c r="R133" i="9"/>
  <c r="R77" i="9"/>
  <c r="AE77" i="9"/>
  <c r="AQ77" i="9" s="1"/>
  <c r="Y77" i="9"/>
  <c r="AF129" i="9"/>
  <c r="AR129" i="9" s="1"/>
  <c r="Z129" i="9"/>
  <c r="AC80" i="9"/>
  <c r="AI80" i="9"/>
  <c r="AU80" i="9" s="1"/>
  <c r="R145" i="9"/>
  <c r="Z123" i="9"/>
  <c r="AF123" i="9"/>
  <c r="AR123" i="9" s="1"/>
  <c r="AV51" i="9"/>
  <c r="AW51" i="9" s="1"/>
  <c r="R10" i="9"/>
  <c r="Y10" i="9"/>
  <c r="R27" i="9"/>
  <c r="Y27" i="9"/>
  <c r="AE27" i="9"/>
  <c r="AQ27" i="9" s="1"/>
  <c r="AA117" i="9"/>
  <c r="AG117" i="9"/>
  <c r="AS117" i="9" s="1"/>
  <c r="R59" i="9"/>
  <c r="AE59" i="9"/>
  <c r="AQ59" i="9" s="1"/>
  <c r="Y59" i="9"/>
  <c r="R139" i="9"/>
  <c r="R88" i="9"/>
  <c r="AE88" i="9"/>
  <c r="AQ88" i="9" s="1"/>
  <c r="Y88" i="9"/>
  <c r="AH29" i="9"/>
  <c r="AT29" i="9" s="1"/>
  <c r="AB29" i="9"/>
  <c r="Y32" i="9"/>
  <c r="AE32" i="9"/>
  <c r="AQ32" i="9" s="1"/>
  <c r="R32" i="9"/>
  <c r="AC59" i="9"/>
  <c r="AI59" i="9"/>
  <c r="AU59" i="9" s="1"/>
  <c r="AE152" i="9"/>
  <c r="AQ152" i="9" s="1"/>
  <c r="Y152" i="9"/>
  <c r="R152" i="9"/>
  <c r="AQ93" i="9"/>
  <c r="Y93" i="9"/>
  <c r="R93" i="9"/>
  <c r="Y35" i="9"/>
  <c r="R35" i="9"/>
  <c r="AE35" i="9"/>
  <c r="AQ35" i="9" s="1"/>
  <c r="AF38" i="9"/>
  <c r="AR38" i="9" s="1"/>
  <c r="Z38" i="9"/>
  <c r="AS98" i="9"/>
  <c r="AS99" i="9"/>
  <c r="AA30" i="9"/>
  <c r="AG30" i="9"/>
  <c r="AS30" i="9" s="1"/>
  <c r="AA74" i="9"/>
  <c r="AG74" i="9"/>
  <c r="AS74" i="9" s="1"/>
  <c r="AA100" i="9"/>
  <c r="AS100" i="9"/>
  <c r="AC83" i="9"/>
  <c r="AI83" i="9"/>
  <c r="AU83" i="9" s="1"/>
  <c r="Y31" i="9"/>
  <c r="R31" i="9"/>
  <c r="AB68" i="9"/>
  <c r="AH68" i="9"/>
  <c r="AT68" i="9" s="1"/>
  <c r="AC85" i="9"/>
  <c r="AI85" i="9"/>
  <c r="AU85" i="9" s="1"/>
  <c r="AI70" i="9"/>
  <c r="AU70" i="9" s="1"/>
  <c r="AC70" i="9"/>
  <c r="AB121" i="9"/>
  <c r="AH121" i="9"/>
  <c r="AT121" i="9" s="1"/>
  <c r="Y62" i="9"/>
  <c r="AE62" i="9"/>
  <c r="AQ62" i="9" s="1"/>
  <c r="R62" i="9"/>
  <c r="Z37" i="9"/>
  <c r="AF37" i="9"/>
  <c r="AR37" i="9" s="1"/>
  <c r="AS4" i="9"/>
  <c r="R123" i="9"/>
  <c r="Y123" i="9"/>
  <c r="AE123" i="9"/>
  <c r="AQ123" i="9" s="1"/>
  <c r="R5" i="9"/>
  <c r="Y5" i="9"/>
  <c r="R81" i="9"/>
  <c r="AE81" i="9"/>
  <c r="AQ81" i="9" s="1"/>
  <c r="Y81" i="9"/>
  <c r="AF48" i="9"/>
  <c r="AR48" i="9" s="1"/>
  <c r="Z48" i="9"/>
  <c r="R23" i="9"/>
  <c r="Y23" i="9"/>
  <c r="Y50" i="9"/>
  <c r="R50" i="9"/>
  <c r="AA127" i="9"/>
  <c r="AG127" i="9"/>
  <c r="AS127" i="9" s="1"/>
  <c r="AU96" i="9"/>
  <c r="R4" i="9"/>
  <c r="Y4" i="9"/>
  <c r="M105" i="9"/>
  <c r="AG73" i="9"/>
  <c r="AS73" i="9" s="1"/>
  <c r="AA73" i="9"/>
  <c r="AA129" i="9"/>
  <c r="AG129" i="9"/>
  <c r="AS129" i="9" s="1"/>
  <c r="AC127" i="9"/>
  <c r="AI127" i="9"/>
  <c r="AU127" i="9" s="1"/>
  <c r="AS96" i="9"/>
  <c r="Y37" i="9"/>
  <c r="R37" i="9"/>
  <c r="AE37" i="9"/>
  <c r="AQ37" i="9" s="1"/>
  <c r="R12" i="9"/>
  <c r="Y12" i="9"/>
  <c r="AC52" i="9"/>
  <c r="AI52" i="9"/>
  <c r="AU52" i="9" s="1"/>
  <c r="AF26" i="9"/>
  <c r="AR26" i="9" s="1"/>
  <c r="Z26" i="9"/>
  <c r="R86" i="9"/>
  <c r="Y86" i="9"/>
  <c r="AE86" i="9"/>
  <c r="AQ86" i="9" s="1"/>
  <c r="AG52" i="9"/>
  <c r="AS52" i="9" s="1"/>
  <c r="AA52" i="9"/>
  <c r="AE28" i="9"/>
  <c r="AQ28" i="9" s="1"/>
  <c r="Y28" i="9"/>
  <c r="R28" i="9"/>
  <c r="AA87" i="9"/>
  <c r="AG87" i="9"/>
  <c r="AS87" i="9" s="1"/>
  <c r="Z54" i="9"/>
  <c r="AF54" i="9"/>
  <c r="AR54" i="9" s="1"/>
  <c r="Y71" i="9"/>
  <c r="R71" i="9"/>
  <c r="AE71" i="9"/>
  <c r="AQ71" i="9" s="1"/>
  <c r="Y57" i="9"/>
  <c r="R57" i="9"/>
  <c r="AB126" i="9"/>
  <c r="AH126" i="9"/>
  <c r="AT126" i="9" s="1"/>
  <c r="AA83" i="9"/>
  <c r="AG83" i="9"/>
  <c r="AS83" i="9" s="1"/>
  <c r="AF84" i="9"/>
  <c r="AR84" i="9" s="1"/>
  <c r="AA62" i="9"/>
  <c r="AG62" i="9"/>
  <c r="AS62" i="9" s="1"/>
  <c r="AA93" i="9"/>
  <c r="AS93" i="9"/>
  <c r="AC153" i="9"/>
  <c r="AI153" i="9"/>
  <c r="AU153" i="9" s="1"/>
  <c r="AB62" i="9"/>
  <c r="AH62" i="9"/>
  <c r="AT62" i="9" s="1"/>
  <c r="AB52" i="9"/>
  <c r="AH52" i="9"/>
  <c r="AT52" i="9" s="1"/>
  <c r="AC82" i="9"/>
  <c r="AI82" i="9"/>
  <c r="AU82" i="9" s="1"/>
  <c r="AE73" i="9"/>
  <c r="AQ73" i="9" s="1"/>
  <c r="Y73" i="9"/>
  <c r="R73" i="9"/>
  <c r="AB38" i="9"/>
  <c r="AH38" i="9"/>
  <c r="AT38" i="9" s="1"/>
  <c r="R40" i="9"/>
  <c r="AE40" i="9"/>
  <c r="AQ40" i="9" s="1"/>
  <c r="Y40" i="9"/>
  <c r="AV69" i="9"/>
  <c r="AW69" i="9" s="1"/>
  <c r="AF32" i="9"/>
  <c r="AR32" i="9" s="1"/>
  <c r="AG37" i="9"/>
  <c r="AS37" i="9" s="1"/>
  <c r="AA37" i="9"/>
  <c r="AG125" i="9"/>
  <c r="AS125" i="9" s="1"/>
  <c r="AA125" i="9"/>
  <c r="AG78" i="9"/>
  <c r="AS78" i="9" s="1"/>
  <c r="AA78" i="9"/>
  <c r="AF77" i="9"/>
  <c r="AR77" i="9" s="1"/>
  <c r="Z77" i="9"/>
  <c r="AR96" i="9"/>
  <c r="AB4" i="9"/>
  <c r="P105" i="9"/>
  <c r="Y17" i="9"/>
  <c r="R17" i="9"/>
  <c r="Y7" i="9"/>
  <c r="AB123" i="9"/>
  <c r="AH123" i="9"/>
  <c r="AT123" i="9" s="1"/>
  <c r="R64" i="9"/>
  <c r="Y64" i="9"/>
  <c r="AE64" i="9"/>
  <c r="AQ64" i="9" s="1"/>
  <c r="AG29" i="9"/>
  <c r="AS29" i="9" s="1"/>
  <c r="AA29" i="9"/>
  <c r="AB84" i="9"/>
  <c r="AH84" i="9"/>
  <c r="AT84" i="9" s="1"/>
  <c r="Z71" i="9"/>
  <c r="AF71" i="9"/>
  <c r="AR71" i="9" s="1"/>
  <c r="AF28" i="9"/>
  <c r="AR28" i="9" s="1"/>
  <c r="Z28" i="9"/>
  <c r="R117" i="9"/>
  <c r="AE117" i="9"/>
  <c r="AQ117" i="9" s="1"/>
  <c r="Y117" i="9"/>
  <c r="Z119" i="9"/>
  <c r="AF119" i="9"/>
  <c r="AR119" i="9" s="1"/>
  <c r="Z30" i="9"/>
  <c r="AF30" i="9"/>
  <c r="AR30" i="9" s="1"/>
  <c r="AB65" i="9"/>
  <c r="AH65" i="9"/>
  <c r="AT65" i="9" s="1"/>
  <c r="R120" i="9"/>
  <c r="AE120" i="9"/>
  <c r="AQ120" i="9" s="1"/>
  <c r="Y120" i="9"/>
  <c r="Y130" i="9"/>
  <c r="R130" i="9"/>
  <c r="AE130" i="9"/>
  <c r="AQ130" i="9" s="1"/>
  <c r="AF83" i="9"/>
  <c r="AR83" i="9" s="1"/>
  <c r="Z83" i="9"/>
  <c r="AB86" i="9"/>
  <c r="AH86" i="9"/>
  <c r="AT86" i="9" s="1"/>
  <c r="R87" i="9"/>
  <c r="Y87" i="9"/>
  <c r="AE87" i="9"/>
  <c r="AQ87" i="9" s="1"/>
  <c r="R26" i="9"/>
  <c r="Y26" i="9"/>
  <c r="AE26" i="9"/>
  <c r="AQ26" i="9" s="1"/>
  <c r="AE126" i="9"/>
  <c r="AQ126" i="9" s="1"/>
  <c r="Y126" i="9"/>
  <c r="R126" i="9"/>
  <c r="AB98" i="9"/>
  <c r="AT98" i="9"/>
  <c r="Y99" i="9"/>
  <c r="R99" i="9"/>
  <c r="AQ99" i="9"/>
  <c r="AG28" i="9"/>
  <c r="AS28" i="9" s="1"/>
  <c r="AA28" i="9"/>
  <c r="AB43" i="9"/>
  <c r="AH43" i="9"/>
  <c r="AT43" i="9" s="1"/>
  <c r="AC74" i="9"/>
  <c r="AI74" i="9"/>
  <c r="AU74" i="9" s="1"/>
  <c r="R142" i="9"/>
  <c r="AB120" i="9"/>
  <c r="AH120" i="9"/>
  <c r="AT120" i="9" s="1"/>
  <c r="AC118" i="9"/>
  <c r="AI118" i="9"/>
  <c r="AU118" i="9" s="1"/>
  <c r="R135" i="9"/>
  <c r="AC49" i="9"/>
  <c r="AI49" i="9"/>
  <c r="AU49" i="9" s="1"/>
  <c r="AE46" i="9"/>
  <c r="AQ46" i="9" s="1"/>
  <c r="Y46" i="9"/>
  <c r="R46" i="9"/>
  <c r="AU100" i="9"/>
  <c r="AB127" i="9"/>
  <c r="AH127" i="9"/>
  <c r="AT127" i="9" s="1"/>
  <c r="Y148" i="9"/>
  <c r="R148" i="9"/>
  <c r="Y8" i="9"/>
  <c r="R8" i="9"/>
  <c r="AG45" i="9"/>
  <c r="AS45" i="9" s="1"/>
  <c r="AA45" i="9"/>
  <c r="Y76" i="9"/>
  <c r="R76" i="9"/>
  <c r="R97" i="9"/>
  <c r="AF40" i="9"/>
  <c r="AR40" i="9" s="1"/>
  <c r="Z40" i="9"/>
  <c r="Y66" i="9"/>
  <c r="R66" i="9"/>
  <c r="AG70" i="9"/>
  <c r="AS70" i="9" s="1"/>
  <c r="AA70" i="9"/>
  <c r="AR94" i="9"/>
  <c r="Z94" i="9"/>
  <c r="AG40" i="9"/>
  <c r="AS40" i="9" s="1"/>
  <c r="AA40" i="9"/>
  <c r="AU4" i="9"/>
  <c r="Y22" i="9"/>
  <c r="R22" i="9"/>
  <c r="AI28" i="9"/>
  <c r="AU28" i="9" s="1"/>
  <c r="AC28" i="9"/>
  <c r="Z127" i="9"/>
  <c r="AF127" i="9"/>
  <c r="AR127" i="9" s="1"/>
  <c r="Y147" i="9"/>
  <c r="R147" i="9"/>
  <c r="AC37" i="9"/>
  <c r="AI37" i="9"/>
  <c r="AU37" i="9" s="1"/>
  <c r="Y51" i="9"/>
  <c r="R51" i="9"/>
  <c r="Y16" i="9"/>
  <c r="R16" i="9"/>
  <c r="Y75" i="9"/>
  <c r="R75" i="9"/>
  <c r="R151" i="9"/>
  <c r="AE67" i="9"/>
  <c r="AQ67" i="9" s="1"/>
  <c r="R67" i="9"/>
  <c r="Y67" i="9"/>
  <c r="AB78" i="9"/>
  <c r="AH78" i="9"/>
  <c r="AT78" i="9" s="1"/>
  <c r="AB81" i="9"/>
  <c r="AH81" i="9"/>
  <c r="AT81" i="9" s="1"/>
  <c r="C118" i="1"/>
  <c r="J57" i="14"/>
  <c r="J71" i="14" s="1"/>
  <c r="J171" i="1"/>
  <c r="J101" i="14" s="1"/>
  <c r="J37" i="1"/>
  <c r="J40" i="1" s="1"/>
  <c r="J43" i="1" s="1"/>
  <c r="J46" i="1" s="1"/>
  <c r="J50" i="14"/>
  <c r="E71" i="14"/>
  <c r="H90" i="14"/>
  <c r="H103" i="14"/>
  <c r="H102" i="14"/>
  <c r="H89" i="14"/>
  <c r="E234" i="1"/>
  <c r="E235" i="1" s="1"/>
  <c r="K71" i="14"/>
  <c r="R14" i="20"/>
  <c r="T65" i="10"/>
  <c r="D16" i="7"/>
  <c r="I16" i="7" s="1"/>
  <c r="P32" i="18"/>
  <c r="F17" i="7"/>
  <c r="G17" i="7" s="1"/>
  <c r="E100" i="14"/>
  <c r="V85" i="20"/>
  <c r="G285" i="1"/>
  <c r="G286" i="1" s="1"/>
  <c r="I17" i="1"/>
  <c r="I20" i="1" s="1"/>
  <c r="R95" i="20"/>
  <c r="Q95" i="20"/>
  <c r="AH56" i="10"/>
  <c r="AH57" i="10" s="1"/>
  <c r="G275" i="1"/>
  <c r="G277" i="1" s="1"/>
  <c r="G278" i="1" s="1"/>
  <c r="G230" i="1"/>
  <c r="D177" i="1"/>
  <c r="K84" i="1"/>
  <c r="K178" i="1" s="1"/>
  <c r="K180" i="1" s="1"/>
  <c r="D127" i="1"/>
  <c r="D130" i="1" s="1"/>
  <c r="K125" i="1"/>
  <c r="K127" i="1" s="1"/>
  <c r="G67" i="1"/>
  <c r="G125" i="1" s="1"/>
  <c r="I55" i="14"/>
  <c r="I107" i="14" s="1"/>
  <c r="H230" i="1"/>
  <c r="H222" i="1"/>
  <c r="F223" i="1"/>
  <c r="G222" i="1"/>
  <c r="I88" i="14"/>
  <c r="I104" i="14"/>
  <c r="C100" i="14"/>
  <c r="G177" i="1"/>
  <c r="G101" i="14"/>
  <c r="C170" i="1"/>
  <c r="C64" i="14"/>
  <c r="F232" i="1"/>
  <c r="G232" i="1" s="1"/>
  <c r="D17" i="7"/>
  <c r="I101" i="14"/>
  <c r="I130" i="1"/>
  <c r="H283" i="1"/>
  <c r="I283" i="1" s="1"/>
  <c r="I285" i="1" s="1"/>
  <c r="H277" i="1"/>
  <c r="I278" i="1" s="1"/>
  <c r="N21" i="20" l="1"/>
  <c r="J21" i="20" s="1"/>
  <c r="V21" i="20" s="1"/>
  <c r="N27" i="20"/>
  <c r="J27" i="20" s="1"/>
  <c r="R21" i="20"/>
  <c r="M21" i="20"/>
  <c r="Q21" i="20" s="1"/>
  <c r="Q106" i="9"/>
  <c r="Q107" i="9" s="1"/>
  <c r="D150" i="1"/>
  <c r="I17" i="7"/>
  <c r="AV79" i="9"/>
  <c r="AV126" i="9"/>
  <c r="AV117" i="9"/>
  <c r="AV48" i="9"/>
  <c r="AW48" i="9" s="1"/>
  <c r="AV40" i="9"/>
  <c r="AW40" i="9" s="1"/>
  <c r="AV96" i="9"/>
  <c r="AW96" i="9" s="1"/>
  <c r="AV93" i="9"/>
  <c r="AW93" i="9" s="1"/>
  <c r="AV30" i="9"/>
  <c r="AW30" i="9" s="1"/>
  <c r="AV84" i="9"/>
  <c r="AW84" i="9" s="1"/>
  <c r="AV43" i="9"/>
  <c r="AW43" i="9" s="1"/>
  <c r="AV35" i="9"/>
  <c r="AW35" i="9" s="1"/>
  <c r="AV59" i="9"/>
  <c r="AW59" i="9" s="1"/>
  <c r="AV29" i="9"/>
  <c r="AW29" i="9" s="1"/>
  <c r="AV26" i="9"/>
  <c r="AW26" i="9" s="1"/>
  <c r="AV54" i="9"/>
  <c r="AW54" i="9" s="1"/>
  <c r="AV65" i="9"/>
  <c r="AW65" i="9" s="1"/>
  <c r="AV88" i="9"/>
  <c r="AW88" i="9" s="1"/>
  <c r="AV152" i="9"/>
  <c r="AW152" i="9" s="1"/>
  <c r="AV37" i="9"/>
  <c r="AW37" i="9" s="1"/>
  <c r="AV38" i="9"/>
  <c r="AW38" i="9" s="1"/>
  <c r="AV81" i="9"/>
  <c r="AW81" i="9" s="1"/>
  <c r="AV52" i="9"/>
  <c r="AW52" i="9" s="1"/>
  <c r="AV85" i="9"/>
  <c r="AW85" i="9" s="1"/>
  <c r="AV130" i="9"/>
  <c r="AV32" i="9"/>
  <c r="AW32" i="9" s="1"/>
  <c r="AV68" i="9"/>
  <c r="AW68" i="9" s="1"/>
  <c r="AV98" i="9"/>
  <c r="AW98" i="9" s="1"/>
  <c r="AV67" i="9"/>
  <c r="AW67" i="9" s="1"/>
  <c r="AV100" i="9"/>
  <c r="AW100" i="9" s="1"/>
  <c r="AV46" i="9"/>
  <c r="AW46" i="9" s="1"/>
  <c r="AV62" i="9"/>
  <c r="AW62" i="9" s="1"/>
  <c r="AV77" i="9"/>
  <c r="AW77" i="9" s="1"/>
  <c r="AV123" i="9"/>
  <c r="AV80" i="9"/>
  <c r="AW80" i="9" s="1"/>
  <c r="AV119" i="9"/>
  <c r="AV121" i="9"/>
  <c r="AE105" i="9"/>
  <c r="AA105" i="9"/>
  <c r="AV99" i="9"/>
  <c r="AW99" i="9" s="1"/>
  <c r="AI105" i="9"/>
  <c r="AV28" i="9"/>
  <c r="AW28" i="9" s="1"/>
  <c r="Y105" i="9"/>
  <c r="AV49" i="9"/>
  <c r="AW49" i="9" s="1"/>
  <c r="AV74" i="9"/>
  <c r="AW74" i="9" s="1"/>
  <c r="AQ105" i="9"/>
  <c r="AF105" i="9"/>
  <c r="AU105" i="9"/>
  <c r="F15" i="7" s="1"/>
  <c r="G15" i="7" s="1"/>
  <c r="AV71" i="9"/>
  <c r="AW71" i="9" s="1"/>
  <c r="AB105" i="9"/>
  <c r="AV127" i="9"/>
  <c r="AV120" i="9"/>
  <c r="AV125" i="9"/>
  <c r="AV45" i="9"/>
  <c r="AW45" i="9" s="1"/>
  <c r="AV70" i="9"/>
  <c r="AW70" i="9" s="1"/>
  <c r="AV73" i="9"/>
  <c r="AW73" i="9" s="1"/>
  <c r="AV64" i="9"/>
  <c r="AW64" i="9" s="1"/>
  <c r="AR105" i="9"/>
  <c r="F12" i="7" s="1"/>
  <c r="G12" i="7" s="1"/>
  <c r="AG105" i="9"/>
  <c r="AV115" i="9"/>
  <c r="AV41" i="9"/>
  <c r="AW41" i="9" s="1"/>
  <c r="AV87" i="9"/>
  <c r="AW87" i="9" s="1"/>
  <c r="AH105" i="9"/>
  <c r="AV78" i="9"/>
  <c r="AW78" i="9" s="1"/>
  <c r="AV94" i="9"/>
  <c r="AW94" i="9" s="1"/>
  <c r="AV83" i="9"/>
  <c r="AW83" i="9" s="1"/>
  <c r="AS105" i="9"/>
  <c r="F13" i="7" s="1"/>
  <c r="G13" i="7" s="1"/>
  <c r="AV129" i="9"/>
  <c r="AV86" i="9"/>
  <c r="AW86" i="9" s="1"/>
  <c r="AV82" i="9"/>
  <c r="AW82" i="9" s="1"/>
  <c r="AV153" i="9"/>
  <c r="AW153" i="9" s="1"/>
  <c r="AV27" i="9"/>
  <c r="AW27" i="9" s="1"/>
  <c r="AT105" i="9"/>
  <c r="F14" i="7" s="1"/>
  <c r="G14" i="7" s="1"/>
  <c r="C171" i="1"/>
  <c r="C101" i="14" s="1"/>
  <c r="C71" i="14"/>
  <c r="J177" i="1"/>
  <c r="J180" i="1" s="1"/>
  <c r="J183" i="1" s="1"/>
  <c r="J203" i="1" s="1"/>
  <c r="J204" i="1" s="1"/>
  <c r="J212" i="1" s="1"/>
  <c r="J104" i="14"/>
  <c r="J55" i="14"/>
  <c r="J107" i="14" s="1"/>
  <c r="J88" i="14"/>
  <c r="G192" i="1"/>
  <c r="G139" i="1"/>
  <c r="C174" i="1"/>
  <c r="I89" i="14"/>
  <c r="I177" i="1"/>
  <c r="I180" i="1" s="1"/>
  <c r="I183" i="1" s="1"/>
  <c r="I203" i="1" s="1"/>
  <c r="P26" i="18"/>
  <c r="D84" i="1"/>
  <c r="D178" i="1" s="1"/>
  <c r="G234" i="1"/>
  <c r="G235" i="1" s="1"/>
  <c r="K188" i="1"/>
  <c r="K181" i="1"/>
  <c r="K89" i="14" s="1"/>
  <c r="G84" i="1"/>
  <c r="G178" i="1" s="1"/>
  <c r="G180" i="1" s="1"/>
  <c r="G135" i="1"/>
  <c r="K135" i="1"/>
  <c r="G127" i="1"/>
  <c r="K128" i="1"/>
  <c r="G128" i="1"/>
  <c r="H231" i="1"/>
  <c r="I231" i="1" s="1"/>
  <c r="I222" i="1"/>
  <c r="I230" i="1"/>
  <c r="H223" i="1"/>
  <c r="G223" i="1"/>
  <c r="G225" i="1" s="1"/>
  <c r="G226" i="1" s="1"/>
  <c r="I150" i="1"/>
  <c r="I152" i="1" s="1"/>
  <c r="I23" i="1"/>
  <c r="H285" i="1"/>
  <c r="I286" i="1" s="1"/>
  <c r="I200" i="1" s="1"/>
  <c r="S21" i="20" l="1"/>
  <c r="V27" i="20"/>
  <c r="R27" i="20"/>
  <c r="S27" i="20"/>
  <c r="M27" i="20"/>
  <c r="Q27" i="20" s="1"/>
  <c r="W21" i="20"/>
  <c r="D25" i="41"/>
  <c r="D25" i="42"/>
  <c r="L25" i="42" s="1"/>
  <c r="Q153" i="6"/>
  <c r="Y109" i="9"/>
  <c r="F11" i="7"/>
  <c r="G11" i="7" s="1"/>
  <c r="AU106" i="9"/>
  <c r="AI106" i="9"/>
  <c r="AI107" i="9" s="1"/>
  <c r="Z109" i="9"/>
  <c r="C12" i="7"/>
  <c r="C11" i="7"/>
  <c r="D11" i="7" s="1"/>
  <c r="C14" i="7"/>
  <c r="D14" i="7" s="1"/>
  <c r="I14" i="7" s="1"/>
  <c r="AB109" i="9"/>
  <c r="G21" i="7"/>
  <c r="P15" i="7"/>
  <c r="AA109" i="9"/>
  <c r="C13" i="7"/>
  <c r="D13" i="7" s="1"/>
  <c r="I13" i="7" s="1"/>
  <c r="J97" i="14"/>
  <c r="I204" i="1"/>
  <c r="I205" i="1"/>
  <c r="I211" i="1" s="1"/>
  <c r="Q26" i="18"/>
  <c r="G300" i="1"/>
  <c r="G301" i="1" s="1"/>
  <c r="D26" i="18"/>
  <c r="G188" i="1"/>
  <c r="G181" i="1"/>
  <c r="G183" i="1" s="1"/>
  <c r="G203" i="1" s="1"/>
  <c r="K183" i="1"/>
  <c r="K203" i="1" s="1"/>
  <c r="K130" i="1"/>
  <c r="K150" i="1" s="1"/>
  <c r="K102" i="14"/>
  <c r="G130" i="1"/>
  <c r="G150" i="1" s="1"/>
  <c r="H232" i="1"/>
  <c r="I223" i="1"/>
  <c r="I225" i="1" s="1"/>
  <c r="H225" i="1"/>
  <c r="G147" i="1"/>
  <c r="I97" i="14" l="1"/>
  <c r="I212" i="1"/>
  <c r="I213" i="1" s="1"/>
  <c r="W27" i="20"/>
  <c r="G19" i="7"/>
  <c r="L23" i="7" s="1"/>
  <c r="I11" i="7"/>
  <c r="D12" i="7"/>
  <c r="I12" i="7" s="1"/>
  <c r="I226" i="1"/>
  <c r="D146" i="1" s="1"/>
  <c r="F19" i="7"/>
  <c r="G30" i="7" s="1"/>
  <c r="G31" i="7" s="1"/>
  <c r="I207" i="1"/>
  <c r="E26" i="18" s="1"/>
  <c r="L26" i="18" s="1"/>
  <c r="L221" i="1"/>
  <c r="N221" i="1" s="1"/>
  <c r="L222" i="1"/>
  <c r="N222" i="1" s="1"/>
  <c r="O222" i="1" s="1"/>
  <c r="L223" i="1"/>
  <c r="N223" i="1" s="1"/>
  <c r="O223" i="1" s="1"/>
  <c r="G102" i="14"/>
  <c r="G89" i="14"/>
  <c r="I232" i="1"/>
  <c r="I234" i="1" s="1"/>
  <c r="H234" i="1"/>
  <c r="G200" i="1"/>
  <c r="L175" i="1" l="1"/>
  <c r="C175" i="1" s="1"/>
  <c r="H30" i="7"/>
  <c r="H31" i="7" s="1"/>
  <c r="N26" i="18"/>
  <c r="O26" i="18"/>
  <c r="F20" i="7"/>
  <c r="G299" i="1"/>
  <c r="G305" i="1" s="1"/>
  <c r="I208" i="1"/>
  <c r="I105" i="14" s="1"/>
  <c r="M87" i="20"/>
  <c r="Q87" i="20" s="1"/>
  <c r="H85" i="20"/>
  <c r="N224" i="1"/>
  <c r="O221" i="1"/>
  <c r="O224" i="1" s="1"/>
  <c r="D139" i="1"/>
  <c r="D147" i="1"/>
  <c r="I235" i="1"/>
  <c r="G191" i="1"/>
  <c r="G193" i="1" s="1"/>
  <c r="G140" i="1"/>
  <c r="E191" i="1"/>
  <c r="L177" i="1" l="1"/>
  <c r="L180" i="1" s="1"/>
  <c r="L183" i="1" s="1"/>
  <c r="L203" i="1" s="1"/>
  <c r="H86" i="20"/>
  <c r="D199" i="1"/>
  <c r="D200" i="1" s="1"/>
  <c r="D192" i="1"/>
  <c r="E187" i="1"/>
  <c r="E21" i="1"/>
  <c r="K136" i="1"/>
  <c r="K143" i="1" s="1"/>
  <c r="K149" i="1" s="1"/>
  <c r="K152" i="1" s="1"/>
  <c r="K187" i="1"/>
  <c r="K21" i="1"/>
  <c r="G142" i="1"/>
  <c r="G21" i="1" s="1"/>
  <c r="Q20" i="18" s="1"/>
  <c r="G187" i="1"/>
  <c r="G136" i="1"/>
  <c r="G143" i="1" s="1"/>
  <c r="G149" i="1" s="1"/>
  <c r="G152" i="1" s="1"/>
  <c r="D29" i="41" l="1"/>
  <c r="D29" i="42"/>
  <c r="D21" i="41"/>
  <c r="D21" i="42"/>
  <c r="L21" i="42" s="1"/>
  <c r="H87" i="20"/>
  <c r="W87" i="20"/>
  <c r="D30" i="18"/>
  <c r="D22" i="18"/>
  <c r="G205" i="1"/>
  <c r="G211" i="1" s="1"/>
  <c r="D21" i="1"/>
  <c r="D136" i="1"/>
  <c r="D187" i="1"/>
  <c r="G44" i="1"/>
  <c r="G23" i="1"/>
  <c r="K195" i="1"/>
  <c r="K189" i="1"/>
  <c r="K196" i="1" s="1"/>
  <c r="K202" i="1" s="1"/>
  <c r="E44" i="1"/>
  <c r="E195" i="1"/>
  <c r="G189" i="1"/>
  <c r="G196" i="1" s="1"/>
  <c r="G202" i="1" s="1"/>
  <c r="G195" i="1"/>
  <c r="K23" i="1"/>
  <c r="K44" i="1"/>
  <c r="K205" i="1"/>
  <c r="K211" i="1" s="1"/>
  <c r="D191" i="1"/>
  <c r="D140" i="1"/>
  <c r="C138" i="1"/>
  <c r="L204" i="1"/>
  <c r="Q30" i="18" l="1"/>
  <c r="H300" i="1"/>
  <c r="H301" i="1" s="1"/>
  <c r="Q22" i="18"/>
  <c r="F300" i="1"/>
  <c r="K46" i="1"/>
  <c r="K54" i="14"/>
  <c r="K55" i="14" s="1"/>
  <c r="K107" i="14" s="1"/>
  <c r="G46" i="1"/>
  <c r="G54" i="14"/>
  <c r="G55" i="14" s="1"/>
  <c r="G107" i="14" s="1"/>
  <c r="D44" i="1"/>
  <c r="C21" i="1"/>
  <c r="D23" i="1"/>
  <c r="C142" i="1"/>
  <c r="C191" i="1"/>
  <c r="D193" i="1"/>
  <c r="G204" i="1"/>
  <c r="G212" i="1" s="1"/>
  <c r="G213" i="1" s="1"/>
  <c r="G103" i="14"/>
  <c r="G90" i="14"/>
  <c r="E54" i="14"/>
  <c r="K204" i="1"/>
  <c r="K212" i="1" s="1"/>
  <c r="K213" i="1" s="1"/>
  <c r="K90" i="14"/>
  <c r="K103" i="14"/>
  <c r="D195" i="1"/>
  <c r="C187" i="1"/>
  <c r="D143" i="1"/>
  <c r="D149" i="1" s="1"/>
  <c r="D152" i="1" s="1"/>
  <c r="D15" i="41" l="1"/>
  <c r="D15" i="42"/>
  <c r="F301" i="1"/>
  <c r="Q16" i="18"/>
  <c r="D300" i="1"/>
  <c r="D301" i="1" s="1"/>
  <c r="R85" i="18"/>
  <c r="O70" i="20"/>
  <c r="O116" i="20"/>
  <c r="D16" i="18"/>
  <c r="C195" i="1"/>
  <c r="K97" i="14"/>
  <c r="K207" i="1"/>
  <c r="E30" i="18" s="1"/>
  <c r="G207" i="1"/>
  <c r="E22" i="18" s="1"/>
  <c r="G97" i="14"/>
  <c r="C44" i="1"/>
  <c r="D54" i="14"/>
  <c r="D55" i="14" s="1"/>
  <c r="D107" i="14" s="1"/>
  <c r="D46" i="1"/>
  <c r="D205" i="1"/>
  <c r="L30" i="18" l="1"/>
  <c r="L22" i="18"/>
  <c r="P22" i="18"/>
  <c r="P30" i="18"/>
  <c r="F299" i="1"/>
  <c r="F305" i="1" s="1"/>
  <c r="H299" i="1"/>
  <c r="H305" i="1" s="1"/>
  <c r="C54" i="14"/>
  <c r="G208" i="1"/>
  <c r="G105" i="14" s="1"/>
  <c r="K208" i="1"/>
  <c r="K105" i="14" s="1"/>
  <c r="O30" i="18" l="1"/>
  <c r="N30" i="18"/>
  <c r="N22" i="18"/>
  <c r="O22" i="18"/>
  <c r="O16" i="20" l="1"/>
  <c r="O15" i="20"/>
  <c r="D181" i="1"/>
  <c r="D89" i="14" s="1"/>
  <c r="D188" i="1"/>
  <c r="D189" i="1" s="1"/>
  <c r="D102" i="14" l="1"/>
  <c r="D196" i="1"/>
  <c r="D202" i="1" s="1"/>
  <c r="D180" i="1"/>
  <c r="D103" i="14" l="1"/>
  <c r="D90" i="14"/>
  <c r="D183" i="1"/>
  <c r="D203" i="1" l="1"/>
  <c r="D204" i="1" s="1"/>
  <c r="D207" i="1" l="1"/>
  <c r="E16" i="18" s="1"/>
  <c r="D97" i="14"/>
  <c r="D299" i="1" l="1"/>
  <c r="D305" i="1" s="1"/>
  <c r="D208" i="1"/>
  <c r="D105" i="14" s="1"/>
  <c r="G16" i="18" l="1"/>
  <c r="H14" i="47" s="1"/>
  <c r="L16" i="18"/>
  <c r="O16" i="18" s="1"/>
  <c r="G30" i="18"/>
  <c r="H20" i="47" s="1"/>
  <c r="F30" i="18"/>
  <c r="F26" i="18"/>
  <c r="G26" i="18"/>
  <c r="H19" i="47" s="1"/>
  <c r="F16" i="18"/>
  <c r="G22" i="18"/>
  <c r="H17" i="47" s="1"/>
  <c r="F22" i="18"/>
  <c r="N16" i="18" l="1"/>
  <c r="BO137" i="9"/>
  <c r="BU137" i="9" s="1"/>
  <c r="BT28" i="9" l="1"/>
  <c r="BU27" i="9"/>
  <c r="BP131" i="9"/>
  <c r="BV131" i="9" s="1"/>
  <c r="BV28" i="9"/>
  <c r="BU57" i="9"/>
  <c r="BT57" i="9"/>
  <c r="BS57" i="9"/>
  <c r="BV57" i="9"/>
  <c r="BW57" i="9"/>
  <c r="BQ133" i="9"/>
  <c r="BW133" i="9" s="1"/>
  <c r="BM138" i="9"/>
  <c r="BS138" i="9" s="1"/>
  <c r="BN109" i="9"/>
  <c r="BV86" i="9"/>
  <c r="BP106" i="9"/>
  <c r="BQ139" i="9"/>
  <c r="BW139" i="9" s="1"/>
  <c r="BQ116" i="9"/>
  <c r="BW116" i="9" s="1"/>
  <c r="BN141" i="9"/>
  <c r="BT141" i="9" s="1"/>
  <c r="BQ134" i="9"/>
  <c r="BW134" i="9" s="1"/>
  <c r="BO112" i="9"/>
  <c r="BU112" i="9" s="1"/>
  <c r="BM106" i="9"/>
  <c r="BW26" i="9"/>
  <c r="BM131" i="9"/>
  <c r="BS131" i="9" s="1"/>
  <c r="BW84" i="9"/>
  <c r="BT38" i="9"/>
  <c r="BO119" i="9"/>
  <c r="BU119" i="9" s="1"/>
  <c r="BV52" i="9"/>
  <c r="BM153" i="9"/>
  <c r="BS153" i="9" s="1"/>
  <c r="BU26" i="9"/>
  <c r="BM137" i="9"/>
  <c r="BS137" i="9" s="1"/>
  <c r="BW31" i="9"/>
  <c r="BP139" i="9"/>
  <c r="BV139" i="9" s="1"/>
  <c r="BO136" i="9"/>
  <c r="BU136" i="9" s="1"/>
  <c r="BN133" i="9"/>
  <c r="BT133" i="9" s="1"/>
  <c r="BQ110" i="9"/>
  <c r="BW110" i="9" s="1"/>
  <c r="BP107" i="9"/>
  <c r="BQ120" i="9"/>
  <c r="BW120" i="9" s="1"/>
  <c r="BU83" i="9"/>
  <c r="BM141" i="9"/>
  <c r="BS141" i="9" s="1"/>
  <c r="BN134" i="9"/>
  <c r="BT134" i="9" s="1"/>
  <c r="BN110" i="9"/>
  <c r="BT110" i="9" s="1"/>
  <c r="BW87" i="9"/>
  <c r="BV82" i="9"/>
  <c r="BT71" i="9"/>
  <c r="BQ114" i="9"/>
  <c r="BW114" i="9" s="1"/>
  <c r="BU46" i="9"/>
  <c r="BS30" i="9"/>
  <c r="BV62" i="9"/>
  <c r="BN130" i="9"/>
  <c r="BT130" i="9" s="1"/>
  <c r="BV27" i="9"/>
  <c r="BO141" i="9"/>
  <c r="BU141" i="9" s="1"/>
  <c r="BP138" i="9"/>
  <c r="BV138" i="9" s="1"/>
  <c r="BO135" i="9"/>
  <c r="BU135" i="9" s="1"/>
  <c r="BN132" i="9"/>
  <c r="BT132" i="9" s="1"/>
  <c r="BM113" i="9"/>
  <c r="BS113" i="9" s="1"/>
  <c r="BQ109" i="9"/>
  <c r="BN152" i="9"/>
  <c r="BT152" i="9" s="1"/>
  <c r="BV26" i="9"/>
  <c r="BS31" i="9"/>
  <c r="BO140" i="9"/>
  <c r="BU140" i="9" s="1"/>
  <c r="BQ138" i="9"/>
  <c r="BW138" i="9" s="1"/>
  <c r="BN137" i="9"/>
  <c r="BT137" i="9" s="1"/>
  <c r="BP135" i="9"/>
  <c r="BV135" i="9" s="1"/>
  <c r="BM134" i="9"/>
  <c r="BS134" i="9" s="1"/>
  <c r="BO132" i="9"/>
  <c r="BU132" i="9" s="1"/>
  <c r="BN113" i="9"/>
  <c r="BT113" i="9" s="1"/>
  <c r="BP116" i="9"/>
  <c r="BV116" i="9" s="1"/>
  <c r="BM110" i="9"/>
  <c r="BS110" i="9" s="1"/>
  <c r="BO108" i="9"/>
  <c r="BQ106" i="9"/>
  <c r="BN105" i="9"/>
  <c r="BT88" i="9"/>
  <c r="BQ152" i="9"/>
  <c r="BW152" i="9" s="1"/>
  <c r="BV31" i="9"/>
  <c r="BM139" i="9"/>
  <c r="BS139" i="9" s="1"/>
  <c r="BQ135" i="9"/>
  <c r="BW135" i="9" s="1"/>
  <c r="BP132" i="9"/>
  <c r="BV132" i="9" s="1"/>
  <c r="BO113" i="9"/>
  <c r="BU113" i="9" s="1"/>
  <c r="BN108" i="9"/>
  <c r="BM105" i="9"/>
  <c r="BV84" i="9"/>
  <c r="BP120" i="9"/>
  <c r="BV120" i="9" s="1"/>
  <c r="BU86" i="9"/>
  <c r="BT83" i="9"/>
  <c r="BQ118" i="9"/>
  <c r="BW118" i="9" s="1"/>
  <c r="BV65" i="9"/>
  <c r="BO117" i="9"/>
  <c r="BU117" i="9" s="1"/>
  <c r="BT54" i="9"/>
  <c r="BM115" i="9"/>
  <c r="BS115" i="9" s="1"/>
  <c r="BW41" i="9"/>
  <c r="BV32" i="9"/>
  <c r="BW71" i="9"/>
  <c r="BU58" i="9"/>
  <c r="BS49" i="9"/>
  <c r="BW38" i="9"/>
  <c r="BO116" i="9"/>
  <c r="BU116" i="9" s="1"/>
  <c r="BM109" i="9"/>
  <c r="BO107" i="9"/>
  <c r="BQ105" i="9"/>
  <c r="BO120" i="9"/>
  <c r="BU120" i="9" s="1"/>
  <c r="BT86" i="9"/>
  <c r="BO126" i="9"/>
  <c r="BU126" i="9" s="1"/>
  <c r="BW88" i="9"/>
  <c r="BT87" i="9"/>
  <c r="BV85" i="9"/>
  <c r="BW80" i="9"/>
  <c r="BN153" i="9"/>
  <c r="BT153" i="9" s="1"/>
  <c r="BV74" i="9"/>
  <c r="BM118" i="9"/>
  <c r="BS118" i="9" s="1"/>
  <c r="BU68" i="9"/>
  <c r="BW62" i="9"/>
  <c r="BT59" i="9"/>
  <c r="BV58" i="9"/>
  <c r="BS114" i="9"/>
  <c r="BO130" i="9"/>
  <c r="BU130" i="9" s="1"/>
  <c r="BQ115" i="9"/>
  <c r="BW115" i="9" s="1"/>
  <c r="BT49" i="9"/>
  <c r="BV43" i="9"/>
  <c r="BS41" i="9"/>
  <c r="BU35" i="9"/>
  <c r="BW30" i="9"/>
  <c r="BU28" i="9"/>
  <c r="BV80" i="9"/>
  <c r="BU74" i="9"/>
  <c r="BT68" i="9"/>
  <c r="BS59" i="9"/>
  <c r="BW54" i="9"/>
  <c r="BP115" i="9"/>
  <c r="BV115" i="9" s="1"/>
  <c r="BU43" i="9"/>
  <c r="BT35" i="9"/>
  <c r="BV30" i="9"/>
  <c r="BT29" i="9"/>
  <c r="BU82" i="9"/>
  <c r="BQ153" i="9"/>
  <c r="BW153" i="9" s="1"/>
  <c r="BN119" i="9"/>
  <c r="BT119" i="9" s="1"/>
  <c r="BP118" i="9"/>
  <c r="BV118" i="9" s="1"/>
  <c r="BU65" i="9"/>
  <c r="BW59" i="9"/>
  <c r="BN117" i="9"/>
  <c r="BT117" i="9" s="1"/>
  <c r="BP114" i="9"/>
  <c r="BV114" i="9" s="1"/>
  <c r="BS54" i="9"/>
  <c r="BU52" i="9"/>
  <c r="BW49" i="9"/>
  <c r="BT46" i="9"/>
  <c r="BV41" i="9"/>
  <c r="BS38" i="9"/>
  <c r="BU32" i="9"/>
  <c r="BW29" i="9"/>
  <c r="BS29" i="9"/>
  <c r="BO152" i="9"/>
  <c r="BU152" i="9" s="1"/>
  <c r="BT27" i="9"/>
  <c r="BT31" i="9"/>
  <c r="BP140" i="9"/>
  <c r="BV140" i="9" s="1"/>
  <c r="BO139" i="9"/>
  <c r="BU139" i="9" s="1"/>
  <c r="BQ137" i="9"/>
  <c r="BW137" i="9" s="1"/>
  <c r="BN136" i="9"/>
  <c r="BT136" i="9" s="1"/>
  <c r="BP134" i="9"/>
  <c r="BV134" i="9" s="1"/>
  <c r="BM133" i="9"/>
  <c r="BS133" i="9" s="1"/>
  <c r="BO131" i="9"/>
  <c r="BU131" i="9" s="1"/>
  <c r="BQ113" i="9"/>
  <c r="BW113" i="9" s="1"/>
  <c r="BN112" i="9"/>
  <c r="BT112" i="9" s="1"/>
  <c r="BM116" i="9"/>
  <c r="BS116" i="9" s="1"/>
  <c r="BP152" i="9"/>
  <c r="BV152" i="9" s="1"/>
  <c r="BW27" i="9"/>
  <c r="BS27" i="9"/>
  <c r="BT26" i="9"/>
  <c r="BU31" i="9"/>
  <c r="BP141" i="9"/>
  <c r="BV141" i="9" s="1"/>
  <c r="BQ140" i="9"/>
  <c r="BW140" i="9" s="1"/>
  <c r="BM140" i="9"/>
  <c r="BS140" i="9" s="1"/>
  <c r="BN139" i="9"/>
  <c r="BT139" i="9" s="1"/>
  <c r="BO138" i="9"/>
  <c r="BU138" i="9" s="1"/>
  <c r="BP137" i="9"/>
  <c r="BV137" i="9" s="1"/>
  <c r="BQ136" i="9"/>
  <c r="BW136" i="9" s="1"/>
  <c r="BM136" i="9"/>
  <c r="BS136" i="9" s="1"/>
  <c r="BN135" i="9"/>
  <c r="BT135" i="9" s="1"/>
  <c r="BO134" i="9"/>
  <c r="BU134" i="9" s="1"/>
  <c r="BP133" i="9"/>
  <c r="BV133" i="9" s="1"/>
  <c r="BQ132" i="9"/>
  <c r="BW132" i="9" s="1"/>
  <c r="BM132" i="9"/>
  <c r="BS132" i="9" s="1"/>
  <c r="BN131" i="9"/>
  <c r="BT131" i="9" s="1"/>
  <c r="BP113" i="9"/>
  <c r="BV113" i="9" s="1"/>
  <c r="BQ112" i="9"/>
  <c r="BW112" i="9" s="1"/>
  <c r="BM112" i="9"/>
  <c r="BS112" i="9" s="1"/>
  <c r="BN116" i="9"/>
  <c r="BT116" i="9" s="1"/>
  <c r="BO110" i="9"/>
  <c r="BU110" i="9" s="1"/>
  <c r="BP109" i="9"/>
  <c r="BQ108" i="9"/>
  <c r="BM108" i="9"/>
  <c r="BN107" i="9"/>
  <c r="BO106" i="9"/>
  <c r="BP105" i="9"/>
  <c r="BP126" i="9"/>
  <c r="BV126" i="9" s="1"/>
  <c r="BM120" i="9"/>
  <c r="BS120" i="9" s="1"/>
  <c r="BU87" i="9"/>
  <c r="BW85" i="9"/>
  <c r="BT84" i="9"/>
  <c r="BM152" i="9"/>
  <c r="BS152" i="9" s="1"/>
  <c r="BS26" i="9"/>
  <c r="BQ141" i="9"/>
  <c r="BW141" i="9" s="1"/>
  <c r="BN140" i="9"/>
  <c r="BT140" i="9" s="1"/>
  <c r="BN138" i="9"/>
  <c r="BT138" i="9" s="1"/>
  <c r="BP136" i="9"/>
  <c r="BV136" i="9" s="1"/>
  <c r="BM135" i="9"/>
  <c r="BS135" i="9" s="1"/>
  <c r="BO133" i="9"/>
  <c r="BU133" i="9" s="1"/>
  <c r="BQ131" i="9"/>
  <c r="BW131" i="9" s="1"/>
  <c r="BP112" i="9"/>
  <c r="BV112" i="9" s="1"/>
  <c r="BP110" i="9"/>
  <c r="BV110" i="9" s="1"/>
  <c r="BO109" i="9"/>
  <c r="BP108" i="9"/>
  <c r="BQ107" i="9"/>
  <c r="BM107" i="9"/>
  <c r="BN106" i="9"/>
  <c r="BO105" i="9"/>
  <c r="BN126" i="9"/>
  <c r="BT126" i="9" s="1"/>
  <c r="BV88" i="9"/>
  <c r="BU85" i="9"/>
  <c r="BW83" i="9"/>
  <c r="BQ126" i="9"/>
  <c r="BW126" i="9" s="1"/>
  <c r="BM126" i="9"/>
  <c r="BS126" i="9" s="1"/>
  <c r="BN120" i="9"/>
  <c r="BT120" i="9" s="1"/>
  <c r="BU88" i="9"/>
  <c r="BV87" i="9"/>
  <c r="BW86" i="9"/>
  <c r="BT85" i="9"/>
  <c r="BU84" i="9"/>
  <c r="BV83" i="9"/>
  <c r="BT82" i="9"/>
  <c r="BU80" i="9"/>
  <c r="BP153" i="9"/>
  <c r="BV153" i="9" s="1"/>
  <c r="BQ119" i="9"/>
  <c r="BW119" i="9" s="1"/>
  <c r="BM119" i="9"/>
  <c r="BS119" i="9" s="1"/>
  <c r="BT74" i="9"/>
  <c r="BO118" i="9"/>
  <c r="BU118" i="9" s="1"/>
  <c r="BV71" i="9"/>
  <c r="BW68" i="9"/>
  <c r="BT65" i="9"/>
  <c r="BU62" i="9"/>
  <c r="BV59" i="9"/>
  <c r="BQ117" i="9"/>
  <c r="BW117" i="9" s="1"/>
  <c r="BM117" i="9"/>
  <c r="BS117" i="9" s="1"/>
  <c r="BT58" i="9"/>
  <c r="BO114" i="9"/>
  <c r="BU114" i="9" s="1"/>
  <c r="BV54" i="9"/>
  <c r="BQ130" i="9"/>
  <c r="BW130" i="9" s="1"/>
  <c r="BM130" i="9"/>
  <c r="BS130" i="9" s="1"/>
  <c r="BT52" i="9"/>
  <c r="BO115" i="9"/>
  <c r="BU115" i="9" s="1"/>
  <c r="BV49" i="9"/>
  <c r="BW46" i="9"/>
  <c r="BS46" i="9"/>
  <c r="BT43" i="9"/>
  <c r="BU41" i="9"/>
  <c r="BV38" i="9"/>
  <c r="BW35" i="9"/>
  <c r="BS35" i="9"/>
  <c r="BT32" i="9"/>
  <c r="BU30" i="9"/>
  <c r="BV29" i="9"/>
  <c r="BW28" i="9"/>
  <c r="BS28" i="9"/>
  <c r="BW82" i="9"/>
  <c r="BT80" i="9"/>
  <c r="BO153" i="9"/>
  <c r="BU153" i="9" s="1"/>
  <c r="BP119" i="9"/>
  <c r="BV119" i="9" s="1"/>
  <c r="BW74" i="9"/>
  <c r="BN118" i="9"/>
  <c r="BT118" i="9" s="1"/>
  <c r="BU71" i="9"/>
  <c r="BV68" i="9"/>
  <c r="BW65" i="9"/>
  <c r="BT62" i="9"/>
  <c r="BU59" i="9"/>
  <c r="BP117" i="9"/>
  <c r="BV117" i="9" s="1"/>
  <c r="BW58" i="9"/>
  <c r="BS58" i="9"/>
  <c r="BN114" i="9"/>
  <c r="BT114" i="9" s="1"/>
  <c r="BU54" i="9"/>
  <c r="BP130" i="9"/>
  <c r="BV130" i="9" s="1"/>
  <c r="BW52" i="9"/>
  <c r="BS52" i="9"/>
  <c r="BN115" i="9"/>
  <c r="BT115" i="9" s="1"/>
  <c r="BU49" i="9"/>
  <c r="BV46" i="9"/>
  <c r="BW43" i="9"/>
  <c r="BS43" i="9"/>
  <c r="BT41" i="9"/>
  <c r="BU38" i="9"/>
  <c r="BV35" i="9"/>
  <c r="BW32" i="9"/>
  <c r="BS32" i="9"/>
  <c r="BT30" i="9"/>
  <c r="BU29" i="9"/>
  <c r="R85" i="20"/>
  <c r="R114" i="20"/>
  <c r="R35" i="20"/>
  <c r="N54" i="20" s="1"/>
  <c r="J54" i="20" s="1"/>
  <c r="R69" i="20"/>
  <c r="R116" i="20"/>
  <c r="R70" i="20"/>
  <c r="R54" i="20" l="1"/>
  <c r="V54" i="20"/>
  <c r="S54" i="20"/>
  <c r="M54" i="20"/>
  <c r="Q54" i="20" s="1"/>
  <c r="W54" i="20"/>
  <c r="R87" i="20"/>
  <c r="R86" i="20"/>
  <c r="R16" i="20" l="1"/>
  <c r="N29" i="20" s="1"/>
  <c r="J29" i="20" s="1"/>
  <c r="R15" i="20"/>
  <c r="N22" i="20" l="1"/>
  <c r="J22" i="20" s="1"/>
  <c r="N28" i="20"/>
  <c r="J28" i="20" s="1"/>
  <c r="V29" i="20"/>
  <c r="R29" i="20"/>
  <c r="S29" i="20"/>
  <c r="M29" i="20"/>
  <c r="W29" i="20" s="1"/>
  <c r="V22" i="20"/>
  <c r="R22" i="20"/>
  <c r="S22" i="20"/>
  <c r="M22" i="20"/>
  <c r="Q22" i="20" s="1"/>
  <c r="O29" i="27"/>
  <c r="M30" i="27"/>
  <c r="V28" i="20" l="1"/>
  <c r="R28" i="20"/>
  <c r="M28" i="20"/>
  <c r="Q28" i="20" s="1"/>
  <c r="S28" i="20"/>
  <c r="W22" i="20"/>
  <c r="M32" i="27"/>
  <c r="O32" i="27" s="1"/>
  <c r="P32" i="27" s="1"/>
  <c r="O30" i="27"/>
  <c r="W28" i="20" l="1"/>
  <c r="M66" i="27"/>
  <c r="O66" i="27" s="1"/>
  <c r="C27" i="5" s="1"/>
  <c r="F9" i="1" s="1"/>
  <c r="O62" i="27"/>
  <c r="M34" i="27"/>
  <c r="M35" i="27"/>
  <c r="M65" i="27" l="1"/>
  <c r="M63" i="27"/>
  <c r="O61" i="27"/>
  <c r="O63" i="27" s="1"/>
  <c r="M36" i="27"/>
  <c r="M38" i="27"/>
  <c r="O34" i="27"/>
  <c r="M39" i="27"/>
  <c r="O39" i="27" s="1"/>
  <c r="C15" i="5" s="1"/>
  <c r="C17" i="5" s="1"/>
  <c r="O35" i="27"/>
  <c r="M67" i="27" l="1"/>
  <c r="M68" i="27" s="1"/>
  <c r="O65" i="27"/>
  <c r="E9" i="1"/>
  <c r="D242" i="1" s="1"/>
  <c r="E242" i="1" s="1"/>
  <c r="O36" i="27"/>
  <c r="M40" i="27"/>
  <c r="M41" i="27" s="1"/>
  <c r="O38" i="27"/>
  <c r="O67" i="27" l="1"/>
  <c r="O68" i="27" s="1"/>
  <c r="E114" i="1"/>
  <c r="E32" i="1"/>
  <c r="D250" i="1" s="1"/>
  <c r="F32" i="1"/>
  <c r="F114" i="1"/>
  <c r="O40" i="27"/>
  <c r="O41" i="27" s="1"/>
  <c r="B15" i="5"/>
  <c r="E51" i="14" l="1"/>
  <c r="E167" i="1"/>
  <c r="B27" i="5"/>
  <c r="F8" i="1" s="1"/>
  <c r="D27" i="5"/>
  <c r="D31" i="5" s="1"/>
  <c r="C114" i="1"/>
  <c r="F51" i="14"/>
  <c r="C51" i="14" s="1"/>
  <c r="F167" i="1"/>
  <c r="E250" i="1"/>
  <c r="B17" i="5"/>
  <c r="D15" i="5"/>
  <c r="D17" i="5" s="1"/>
  <c r="D21" i="5" s="1"/>
  <c r="C167" i="1" l="1"/>
  <c r="D48" i="5"/>
  <c r="D52" i="5" s="1"/>
  <c r="D53" i="5" s="1"/>
  <c r="B49" i="5"/>
  <c r="E8" i="1"/>
  <c r="E14" i="1" s="1"/>
  <c r="E18" i="1"/>
  <c r="F18" i="1"/>
  <c r="E31" i="1"/>
  <c r="E113" i="1"/>
  <c r="D49" i="5" l="1"/>
  <c r="D54" i="5" s="1"/>
  <c r="H8" i="1"/>
  <c r="D241" i="1"/>
  <c r="D244" i="1" s="1"/>
  <c r="C18" i="1"/>
  <c r="F31" i="1"/>
  <c r="F14" i="1"/>
  <c r="F17" i="1" s="1"/>
  <c r="F20" i="1" s="1"/>
  <c r="F23" i="1" s="1"/>
  <c r="F113" i="1"/>
  <c r="F124" i="1" s="1"/>
  <c r="F41" i="1"/>
  <c r="E41" i="1"/>
  <c r="E50" i="14"/>
  <c r="D249" i="1"/>
  <c r="E166" i="1"/>
  <c r="E37" i="1"/>
  <c r="E124" i="1"/>
  <c r="E17" i="1"/>
  <c r="H31" i="1" l="1"/>
  <c r="H14" i="1"/>
  <c r="H17" i="1" s="1"/>
  <c r="H20" i="1" s="1"/>
  <c r="H23" i="1" s="1"/>
  <c r="H113" i="1"/>
  <c r="H124" i="1" s="1"/>
  <c r="H127" i="1" s="1"/>
  <c r="H130" i="1" s="1"/>
  <c r="H150" i="1" s="1"/>
  <c r="H152" i="1" s="1"/>
  <c r="F128" i="1"/>
  <c r="E241" i="1"/>
  <c r="E244" i="1" s="1"/>
  <c r="E245" i="1" s="1"/>
  <c r="F241" i="1"/>
  <c r="H241" i="1" s="1"/>
  <c r="I241" i="1" s="1"/>
  <c r="C14" i="1"/>
  <c r="C41" i="1"/>
  <c r="F53" i="14"/>
  <c r="E53" i="14"/>
  <c r="E55" i="14" s="1"/>
  <c r="F37" i="1"/>
  <c r="F40" i="1" s="1"/>
  <c r="F43" i="1" s="1"/>
  <c r="F46" i="1" s="1"/>
  <c r="F50" i="14"/>
  <c r="F166" i="1"/>
  <c r="E67" i="1"/>
  <c r="E88" i="14"/>
  <c r="E20" i="1"/>
  <c r="E249" i="1"/>
  <c r="F249" i="1"/>
  <c r="H249" i="1" s="1"/>
  <c r="D252" i="1"/>
  <c r="E177" i="1"/>
  <c r="E104" i="14"/>
  <c r="E40" i="1"/>
  <c r="D23" i="41" l="1"/>
  <c r="D23" i="42"/>
  <c r="L23" i="42" s="1"/>
  <c r="G241" i="1"/>
  <c r="F242" i="1"/>
  <c r="G242" i="1" s="1"/>
  <c r="H205" i="1"/>
  <c r="H211" i="1" s="1"/>
  <c r="D24" i="18"/>
  <c r="C17" i="1"/>
  <c r="C113" i="1"/>
  <c r="H37" i="1"/>
  <c r="H40" i="1" s="1"/>
  <c r="H43" i="1" s="1"/>
  <c r="H46" i="1" s="1"/>
  <c r="H50" i="14"/>
  <c r="H166" i="1"/>
  <c r="F125" i="1"/>
  <c r="F127" i="1" s="1"/>
  <c r="F130" i="1" s="1"/>
  <c r="F150" i="1" s="1"/>
  <c r="F135" i="1"/>
  <c r="F136" i="1" s="1"/>
  <c r="F143" i="1" s="1"/>
  <c r="F149" i="1" s="1"/>
  <c r="C53" i="14"/>
  <c r="F88" i="14"/>
  <c r="F55" i="14"/>
  <c r="F107" i="14" s="1"/>
  <c r="F177" i="1"/>
  <c r="F104" i="14"/>
  <c r="E252" i="1"/>
  <c r="E253" i="1" s="1"/>
  <c r="I249" i="1"/>
  <c r="E107" i="14"/>
  <c r="E135" i="1"/>
  <c r="E136" i="1" s="1"/>
  <c r="E125" i="1"/>
  <c r="E128" i="1"/>
  <c r="C128" i="1" s="1"/>
  <c r="E43" i="1"/>
  <c r="G249" i="1"/>
  <c r="F250" i="1"/>
  <c r="E84" i="1"/>
  <c r="E23" i="1"/>
  <c r="C20" i="1"/>
  <c r="B99" i="5" s="1"/>
  <c r="B101" i="5" s="1"/>
  <c r="H242" i="1" l="1"/>
  <c r="C40" i="1"/>
  <c r="C37" i="1"/>
  <c r="G244" i="1"/>
  <c r="G245" i="1" s="1"/>
  <c r="H88" i="14"/>
  <c r="C88" i="14" s="1"/>
  <c r="H55" i="14"/>
  <c r="H107" i="14" s="1"/>
  <c r="H104" i="14"/>
  <c r="H177" i="1"/>
  <c r="H180" i="1" s="1"/>
  <c r="H183" i="1" s="1"/>
  <c r="H203" i="1" s="1"/>
  <c r="H204" i="1" s="1"/>
  <c r="C50" i="14"/>
  <c r="C166" i="1"/>
  <c r="C104" i="14" s="1"/>
  <c r="F152" i="1"/>
  <c r="F188" i="1"/>
  <c r="F189" i="1" s="1"/>
  <c r="F196" i="1" s="1"/>
  <c r="F202" i="1" s="1"/>
  <c r="F178" i="1"/>
  <c r="F180" i="1" s="1"/>
  <c r="F181" i="1"/>
  <c r="Q18" i="18"/>
  <c r="E300" i="1"/>
  <c r="C43" i="1"/>
  <c r="E46" i="1"/>
  <c r="C23" i="1"/>
  <c r="G250" i="1"/>
  <c r="G252" i="1" s="1"/>
  <c r="G253" i="1" s="1"/>
  <c r="H250" i="1"/>
  <c r="C136" i="1"/>
  <c r="E178" i="1"/>
  <c r="E188" i="1"/>
  <c r="E189" i="1" s="1"/>
  <c r="E181" i="1"/>
  <c r="C125" i="1"/>
  <c r="E127" i="1"/>
  <c r="H244" i="1"/>
  <c r="I242" i="1"/>
  <c r="I244" i="1" s="1"/>
  <c r="H97" i="14" l="1"/>
  <c r="H212" i="1"/>
  <c r="H213" i="1" s="1"/>
  <c r="D19" i="41"/>
  <c r="D19" i="42"/>
  <c r="L19" i="42" s="1"/>
  <c r="C55" i="14"/>
  <c r="C177" i="1"/>
  <c r="H207" i="1"/>
  <c r="E24" i="18" s="1"/>
  <c r="F24" i="18" s="1"/>
  <c r="F205" i="1"/>
  <c r="F211" i="1" s="1"/>
  <c r="D20" i="18"/>
  <c r="F102" i="14"/>
  <c r="F89" i="14"/>
  <c r="F183" i="1"/>
  <c r="F203" i="1" s="1"/>
  <c r="F204" i="1" s="1"/>
  <c r="F212" i="1" s="1"/>
  <c r="F90" i="14"/>
  <c r="F103" i="14"/>
  <c r="E301" i="1"/>
  <c r="C46" i="1"/>
  <c r="I245" i="1"/>
  <c r="E139" i="1" s="1"/>
  <c r="E140" i="1" s="1"/>
  <c r="E143" i="1" s="1"/>
  <c r="C189" i="1"/>
  <c r="I250" i="1"/>
  <c r="I252" i="1" s="1"/>
  <c r="H252" i="1"/>
  <c r="E89" i="14"/>
  <c r="C181" i="1"/>
  <c r="C102" i="14" s="1"/>
  <c r="E102" i="14"/>
  <c r="E130" i="1"/>
  <c r="C178" i="1"/>
  <c r="E180" i="1"/>
  <c r="F213" i="1" l="1"/>
  <c r="H208" i="1"/>
  <c r="H105" i="14" s="1"/>
  <c r="C89" i="14"/>
  <c r="F207" i="1"/>
  <c r="F97" i="14"/>
  <c r="P18" i="18"/>
  <c r="I253" i="1"/>
  <c r="E200" i="1" s="1"/>
  <c r="C200" i="1" s="1"/>
  <c r="E147" i="1"/>
  <c r="C147" i="1" s="1"/>
  <c r="E150" i="1"/>
  <c r="C140" i="1"/>
  <c r="C180" i="1"/>
  <c r="E183" i="1"/>
  <c r="L24" i="18" l="1"/>
  <c r="O24" i="18" s="1"/>
  <c r="G24" i="18"/>
  <c r="H18" i="47" s="1"/>
  <c r="E20" i="18"/>
  <c r="F20" i="18" s="1"/>
  <c r="F208" i="1"/>
  <c r="F105" i="14" s="1"/>
  <c r="J34" i="18"/>
  <c r="K34" i="18" s="1"/>
  <c r="E192" i="1"/>
  <c r="E193" i="1" s="1"/>
  <c r="E196" i="1" s="1"/>
  <c r="E202" i="1" s="1"/>
  <c r="E149" i="1"/>
  <c r="E152" i="1" s="1"/>
  <c r="D18" i="18" s="1"/>
  <c r="C143" i="1"/>
  <c r="E203" i="1"/>
  <c r="C203" i="1" s="1"/>
  <c r="C183" i="1"/>
  <c r="O35" i="20"/>
  <c r="N24" i="18" l="1"/>
  <c r="L20" i="18"/>
  <c r="O20" i="18" s="1"/>
  <c r="G20" i="18"/>
  <c r="H16" i="47" s="1"/>
  <c r="D17" i="41"/>
  <c r="D17" i="42"/>
  <c r="L17" i="42" s="1"/>
  <c r="C193" i="1"/>
  <c r="C196" i="1" s="1"/>
  <c r="C202" i="1" s="1"/>
  <c r="E205" i="1"/>
  <c r="E211" i="1" s="1"/>
  <c r="C149" i="1"/>
  <c r="E204" i="1"/>
  <c r="E212" i="1" s="1"/>
  <c r="E90" i="14"/>
  <c r="E103" i="14"/>
  <c r="E213" i="1" l="1"/>
  <c r="N20" i="18"/>
  <c r="C103" i="14"/>
  <c r="E207" i="1"/>
  <c r="E18" i="18" s="1"/>
  <c r="E97" i="14"/>
  <c r="C204" i="1"/>
  <c r="C90" i="14"/>
  <c r="G18" i="18" l="1"/>
  <c r="H15" i="47" s="1"/>
  <c r="L18" i="18"/>
  <c r="F18" i="18"/>
  <c r="E299" i="1"/>
  <c r="E305" i="1" s="1"/>
  <c r="E208" i="1"/>
  <c r="E105" i="14" s="1"/>
  <c r="C97" i="14"/>
  <c r="N18" i="18" l="1"/>
  <c r="O18" i="18"/>
  <c r="Q34" i="18"/>
  <c r="P16" i="18" l="1"/>
  <c r="P34" i="18" l="1"/>
  <c r="AC105" i="9" l="1"/>
  <c r="AC107" i="9" s="1"/>
  <c r="AU107" i="9" l="1"/>
  <c r="AC109" i="9"/>
  <c r="C15" i="7"/>
  <c r="C19" i="7" s="1"/>
  <c r="C20" i="7" l="1"/>
  <c r="C30" i="7"/>
  <c r="C31" i="7" s="1"/>
  <c r="D15" i="7"/>
  <c r="D21" i="7" l="1"/>
  <c r="O15" i="7"/>
  <c r="I15" i="7"/>
  <c r="D19" i="7"/>
  <c r="I19" i="7" l="1"/>
  <c r="L20" i="7" s="1"/>
  <c r="D30" i="7"/>
  <c r="D31" i="7" s="1"/>
  <c r="L122" i="1"/>
  <c r="C122" i="1" s="1"/>
  <c r="E30" i="7"/>
  <c r="E31" i="7" s="1"/>
  <c r="L124" i="1" l="1"/>
  <c r="L127" i="1" s="1"/>
  <c r="L130" i="1" s="1"/>
  <c r="L150" i="1" s="1"/>
  <c r="L152" i="1" s="1"/>
  <c r="D32" i="18" l="1"/>
  <c r="D31" i="42"/>
  <c r="D31" i="41"/>
  <c r="L205" i="1"/>
  <c r="L207" i="1" l="1"/>
  <c r="E32" i="18" s="1"/>
  <c r="L32" i="18" s="1"/>
  <c r="O32" i="18" l="1"/>
  <c r="N32" i="18"/>
  <c r="G32" i="18"/>
  <c r="F32" i="18"/>
  <c r="L208" i="1"/>
  <c r="M34" i="18" l="1"/>
  <c r="C120" i="1" l="1"/>
  <c r="J124" i="1"/>
  <c r="J127" i="1" s="1"/>
  <c r="J130" i="1" l="1"/>
  <c r="C127" i="1"/>
  <c r="C124" i="1"/>
  <c r="J150" i="1" l="1"/>
  <c r="J152" i="1" s="1"/>
  <c r="D28" i="18" s="1"/>
  <c r="C130" i="1"/>
  <c r="C150" i="1" s="1"/>
  <c r="C152" i="1" l="1"/>
  <c r="D27" i="41"/>
  <c r="D33" i="41" s="1"/>
  <c r="D27" i="42"/>
  <c r="L27" i="42" s="1"/>
  <c r="L33" i="42" s="1"/>
  <c r="J205" i="1"/>
  <c r="J207" i="1" l="1"/>
  <c r="E28" i="18" s="1"/>
  <c r="J211" i="1"/>
  <c r="J213" i="1" s="1"/>
  <c r="D33" i="42"/>
  <c r="F33" i="41"/>
  <c r="C60" i="14" s="1"/>
  <c r="E36" i="41"/>
  <c r="F15" i="41" s="1"/>
  <c r="C205" i="1"/>
  <c r="D34" i="18"/>
  <c r="E34" i="18" l="1"/>
  <c r="J208" i="1"/>
  <c r="J105" i="14" s="1"/>
  <c r="L28" i="18"/>
  <c r="N28" i="18" s="1"/>
  <c r="G28" i="18"/>
  <c r="C207" i="1"/>
  <c r="C208" i="1" s="1"/>
  <c r="C105" i="14" s="1"/>
  <c r="F28" i="18"/>
  <c r="F34" i="18" s="1"/>
  <c r="N86" i="18"/>
  <c r="P85" i="18" s="1"/>
  <c r="F33" i="42"/>
  <c r="F21" i="41"/>
  <c r="F29" i="41"/>
  <c r="G29" i="41" s="1"/>
  <c r="F31" i="41"/>
  <c r="I24" i="7" s="1"/>
  <c r="F19" i="41"/>
  <c r="F25" i="41"/>
  <c r="F17" i="41"/>
  <c r="F23" i="41"/>
  <c r="D35" i="18"/>
  <c r="M46" i="43" l="1"/>
  <c r="J58" i="43"/>
  <c r="J47" i="43"/>
  <c r="J54" i="43"/>
  <c r="J50" i="43"/>
  <c r="C50" i="43" s="1"/>
  <c r="O28" i="18"/>
  <c r="G29" i="42"/>
  <c r="H29" i="42" s="1"/>
  <c r="N29" i="41"/>
  <c r="P89" i="18"/>
  <c r="P87" i="18"/>
  <c r="P86" i="18"/>
  <c r="P88" i="18"/>
  <c r="P90" i="18"/>
  <c r="G31" i="41"/>
  <c r="K60" i="14"/>
  <c r="G25" i="41"/>
  <c r="P25" i="41" s="1"/>
  <c r="I60" i="14"/>
  <c r="G23" i="41"/>
  <c r="H60" i="14"/>
  <c r="G21" i="41"/>
  <c r="P21" i="41" s="1"/>
  <c r="G60" i="14"/>
  <c r="G19" i="41"/>
  <c r="F60" i="14"/>
  <c r="G17" i="41"/>
  <c r="E60" i="14"/>
  <c r="G15" i="41"/>
  <c r="D60" i="14"/>
  <c r="M29" i="41"/>
  <c r="O29" i="41"/>
  <c r="H29" i="41"/>
  <c r="K59" i="14" s="1"/>
  <c r="P29" i="41"/>
  <c r="H28" i="18"/>
  <c r="H16" i="18"/>
  <c r="J56" i="43" l="1"/>
  <c r="C54" i="43"/>
  <c r="C56" i="43" s="1"/>
  <c r="J82" i="43"/>
  <c r="J83" i="43" s="1"/>
  <c r="J84" i="43" s="1"/>
  <c r="J48" i="43"/>
  <c r="J51" i="43"/>
  <c r="C51" i="43" s="1"/>
  <c r="J45" i="43"/>
  <c r="M45" i="43" s="1"/>
  <c r="M47" i="43"/>
  <c r="M31" i="41"/>
  <c r="N31" i="41"/>
  <c r="P91" i="18"/>
  <c r="S88" i="18" s="1"/>
  <c r="N23" i="41"/>
  <c r="M23" i="41"/>
  <c r="P19" i="41"/>
  <c r="M19" i="41"/>
  <c r="H19" i="41"/>
  <c r="F59" i="14" s="1"/>
  <c r="F96" i="14" s="1"/>
  <c r="F98" i="14" s="1"/>
  <c r="G19" i="42"/>
  <c r="H19" i="42" s="1"/>
  <c r="O23" i="41"/>
  <c r="G23" i="42"/>
  <c r="H23" i="42" s="1"/>
  <c r="M17" i="41"/>
  <c r="G17" i="42"/>
  <c r="H17" i="42" s="1"/>
  <c r="H21" i="41"/>
  <c r="G59" i="14" s="1"/>
  <c r="G21" i="42"/>
  <c r="H21" i="42" s="1"/>
  <c r="O25" i="41"/>
  <c r="G25" i="42"/>
  <c r="H25" i="42" s="1"/>
  <c r="P31" i="41"/>
  <c r="G31" i="42"/>
  <c r="H31" i="42" s="1"/>
  <c r="P15" i="41"/>
  <c r="G15" i="42"/>
  <c r="O19" i="41"/>
  <c r="N25" i="41"/>
  <c r="P17" i="41"/>
  <c r="N21" i="41"/>
  <c r="E46" i="41"/>
  <c r="O17" i="41"/>
  <c r="O21" i="41"/>
  <c r="M25" i="41"/>
  <c r="M21" i="41"/>
  <c r="H25" i="41"/>
  <c r="I59" i="14" s="1"/>
  <c r="H31" i="41"/>
  <c r="I23" i="7" s="1"/>
  <c r="N19" i="41"/>
  <c r="P23" i="41"/>
  <c r="O15" i="41"/>
  <c r="O44" i="41" s="1"/>
  <c r="O46" i="41" s="1"/>
  <c r="H15" i="41"/>
  <c r="D59" i="14" s="1"/>
  <c r="N15" i="41"/>
  <c r="M15" i="41"/>
  <c r="H23" i="41"/>
  <c r="H59" i="14" s="1"/>
  <c r="H92" i="14" s="1"/>
  <c r="H93" i="14" s="1"/>
  <c r="H17" i="41"/>
  <c r="E59" i="14" s="1"/>
  <c r="O31" i="41"/>
  <c r="N17" i="41"/>
  <c r="K92" i="14"/>
  <c r="K93" i="14" s="1"/>
  <c r="E49" i="41" l="1"/>
  <c r="E60" i="41" s="1"/>
  <c r="E66" i="41" s="1"/>
  <c r="S89" i="18"/>
  <c r="S85" i="18"/>
  <c r="S87" i="18"/>
  <c r="S86" i="18"/>
  <c r="S90" i="18"/>
  <c r="H15" i="42"/>
  <c r="F92" i="14"/>
  <c r="F93" i="14" s="1"/>
  <c r="K96" i="14"/>
  <c r="K98" i="14" s="1"/>
  <c r="D96" i="14"/>
  <c r="H96" i="14"/>
  <c r="H98" i="14" s="1"/>
  <c r="K94" i="14"/>
  <c r="G92" i="14"/>
  <c r="G93" i="14" s="1"/>
  <c r="G96" i="14"/>
  <c r="G98" i="14" s="1"/>
  <c r="H94" i="14"/>
  <c r="E92" i="14"/>
  <c r="E93" i="14" s="1"/>
  <c r="E96" i="14"/>
  <c r="E98" i="14" s="1"/>
  <c r="I92" i="14"/>
  <c r="I93" i="14" s="1"/>
  <c r="I96" i="14"/>
  <c r="I98" i="14" s="1"/>
  <c r="E50" i="41" l="1"/>
  <c r="G27" i="41"/>
  <c r="F27" i="41" s="1"/>
  <c r="J60" i="14" s="1"/>
  <c r="E62" i="41"/>
  <c r="F66" i="41"/>
  <c r="S91" i="18"/>
  <c r="D92" i="14"/>
  <c r="D93" i="14" s="1"/>
  <c r="F94" i="14"/>
  <c r="I94" i="14"/>
  <c r="E94" i="14"/>
  <c r="G94" i="14"/>
  <c r="D98" i="14"/>
  <c r="H27" i="41" l="1"/>
  <c r="J59" i="14" s="1"/>
  <c r="P27" i="41"/>
  <c r="N27" i="41"/>
  <c r="G33" i="41"/>
  <c r="G27" i="42"/>
  <c r="O27" i="41"/>
  <c r="M27" i="41"/>
  <c r="K100" i="20"/>
  <c r="M69" i="20"/>
  <c r="K70" i="20"/>
  <c r="M114" i="20"/>
  <c r="K115" i="20"/>
  <c r="K116" i="20"/>
  <c r="K35" i="20"/>
  <c r="S99" i="20"/>
  <c r="M85" i="20"/>
  <c r="Q85" i="20" s="1"/>
  <c r="K86" i="20"/>
  <c r="K16" i="20"/>
  <c r="K15" i="20"/>
  <c r="D94" i="14"/>
  <c r="N33" i="41" l="1"/>
  <c r="M33" i="41"/>
  <c r="P33" i="41"/>
  <c r="O33" i="41"/>
  <c r="H33" i="41"/>
  <c r="H27" i="42"/>
  <c r="G33" i="42"/>
  <c r="H33" i="42" s="1"/>
  <c r="C59" i="14"/>
  <c r="J96" i="14"/>
  <c r="J92" i="14"/>
  <c r="H9" i="44"/>
  <c r="W85" i="20"/>
  <c r="M99" i="20"/>
  <c r="Q99" i="20" s="1"/>
  <c r="Q114" i="20"/>
  <c r="W114" i="20"/>
  <c r="Q69" i="20"/>
  <c r="W69" i="20"/>
  <c r="M34" i="20"/>
  <c r="Q34" i="20" s="1"/>
  <c r="S34" i="20"/>
  <c r="M86" i="20"/>
  <c r="Q86" i="20" s="1"/>
  <c r="S100" i="20"/>
  <c r="S85" i="20"/>
  <c r="M115" i="20"/>
  <c r="W115" i="20" s="1"/>
  <c r="M16" i="20"/>
  <c r="M70" i="20"/>
  <c r="Q70" i="20" s="1"/>
  <c r="M116" i="20"/>
  <c r="Q116" i="20" s="1"/>
  <c r="M15" i="20"/>
  <c r="I9" i="44" s="1"/>
  <c r="Q14" i="20"/>
  <c r="S114" i="20"/>
  <c r="S69" i="20"/>
  <c r="S14" i="20"/>
  <c r="C92" i="14" l="1"/>
  <c r="C93" i="14" s="1"/>
  <c r="J93" i="14"/>
  <c r="J94" i="14"/>
  <c r="C94" i="14" s="1"/>
  <c r="J98" i="14"/>
  <c r="C98" i="14" s="1"/>
  <c r="C96" i="14"/>
  <c r="I36" i="44"/>
  <c r="I23" i="44"/>
  <c r="I19" i="44"/>
  <c r="I24" i="44"/>
  <c r="I22" i="44"/>
  <c r="I20" i="44"/>
  <c r="I21" i="44"/>
  <c r="I18" i="44"/>
  <c r="H36" i="44"/>
  <c r="H14" i="44"/>
  <c r="J14" i="44" s="1"/>
  <c r="L14" i="44" s="1"/>
  <c r="M14" i="44" s="1"/>
  <c r="H16" i="44"/>
  <c r="J16" i="44" s="1"/>
  <c r="L16" i="44" s="1"/>
  <c r="M16" i="44" s="1"/>
  <c r="H13" i="44"/>
  <c r="J13" i="44" s="1"/>
  <c r="L13" i="44" s="1"/>
  <c r="M13" i="44" s="1"/>
  <c r="H17" i="44"/>
  <c r="H15" i="44"/>
  <c r="J15" i="44" s="1"/>
  <c r="L15" i="44" s="1"/>
  <c r="M15" i="44" s="1"/>
  <c r="H11" i="44"/>
  <c r="J11" i="44" s="1"/>
  <c r="L11" i="44" s="1"/>
  <c r="M11" i="44" s="1"/>
  <c r="H10" i="44"/>
  <c r="J10" i="44" s="1"/>
  <c r="L10" i="44" s="1"/>
  <c r="M10" i="44" s="1"/>
  <c r="H12" i="44"/>
  <c r="J12" i="44" s="1"/>
  <c r="L12" i="44" s="1"/>
  <c r="M12" i="44" s="1"/>
  <c r="W99" i="20"/>
  <c r="W86" i="20"/>
  <c r="M35" i="20"/>
  <c r="Q35" i="20" s="1"/>
  <c r="Q16" i="20"/>
  <c r="W16" i="20"/>
  <c r="Q15" i="20"/>
  <c r="W15" i="20"/>
  <c r="S116" i="20"/>
  <c r="S16" i="20"/>
  <c r="S86" i="20"/>
  <c r="W70" i="20"/>
  <c r="S115" i="20"/>
  <c r="S35" i="20"/>
  <c r="S15" i="20"/>
  <c r="M100" i="20"/>
  <c r="Q100" i="20" s="1"/>
  <c r="W34" i="20"/>
  <c r="W116" i="20"/>
  <c r="S70" i="20"/>
  <c r="H23" i="44" l="1"/>
  <c r="H19" i="44"/>
  <c r="J19" i="44" s="1"/>
  <c r="L19" i="44" s="1"/>
  <c r="M19" i="44" s="1"/>
  <c r="H24" i="44"/>
  <c r="J24" i="44" s="1"/>
  <c r="L24" i="44" s="1"/>
  <c r="M24" i="44" s="1"/>
  <c r="H22" i="44"/>
  <c r="J22" i="44" s="1"/>
  <c r="L22" i="44" s="1"/>
  <c r="M22" i="44" s="1"/>
  <c r="J17" i="44"/>
  <c r="L17" i="44" s="1"/>
  <c r="M17" i="44" s="1"/>
  <c r="H21" i="44"/>
  <c r="J21" i="44" s="1"/>
  <c r="L21" i="44" s="1"/>
  <c r="M21" i="44" s="1"/>
  <c r="H20" i="44"/>
  <c r="J20" i="44" s="1"/>
  <c r="L20" i="44" s="1"/>
  <c r="M20" i="44" s="1"/>
  <c r="H18" i="44"/>
  <c r="J18" i="44" s="1"/>
  <c r="L18" i="44" s="1"/>
  <c r="M18" i="44" s="1"/>
  <c r="J23" i="44"/>
  <c r="L23" i="44" s="1"/>
  <c r="M23" i="44" s="1"/>
  <c r="G34" i="18"/>
  <c r="H22" i="47" s="1"/>
  <c r="L34" i="18"/>
  <c r="O34" i="18" s="1"/>
  <c r="W100" i="20"/>
  <c r="W35" i="20"/>
  <c r="H22" i="18"/>
  <c r="H24" i="18" s="1"/>
  <c r="H18" i="18"/>
  <c r="H30" i="18"/>
  <c r="N34" i="18" l="1"/>
  <c r="H32" i="18"/>
  <c r="H26" i="18"/>
  <c r="H2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Miller</author>
    <author>Moon, Lindsey</author>
  </authors>
  <commentList>
    <comment ref="I14" authorId="0" shapeId="0" xr:uid="{00000000-0006-0000-0000-000001000000}">
      <text>
        <r>
          <rPr>
            <b/>
            <sz val="8"/>
            <color indexed="81"/>
            <rFont val="Tahoma"/>
            <family val="2"/>
          </rPr>
          <t>Joe Miller:</t>
        </r>
        <r>
          <rPr>
            <sz val="8"/>
            <color indexed="81"/>
            <rFont val="Tahoma"/>
            <family val="2"/>
          </rPr>
          <t xml:space="preserve">
Includes Unbilled</t>
        </r>
      </text>
    </comment>
    <comment ref="J14" authorId="0" shapeId="0" xr:uid="{7A3BCD58-6391-4117-B302-DFDC1DF44A4B}">
      <text>
        <r>
          <rPr>
            <b/>
            <sz val="8"/>
            <color indexed="81"/>
            <rFont val="Tahoma"/>
            <family val="2"/>
          </rPr>
          <t>Joe Miller:</t>
        </r>
        <r>
          <rPr>
            <sz val="8"/>
            <color indexed="81"/>
            <rFont val="Tahoma"/>
            <family val="2"/>
          </rPr>
          <t xml:space="preserve">
Includes Unbilled</t>
        </r>
      </text>
    </comment>
    <comment ref="F225" authorId="1" shapeId="0" xr:uid="{F1B447AA-2908-4FDB-B82D-D3737C341F2D}">
      <text>
        <r>
          <rPr>
            <b/>
            <sz val="9"/>
            <color indexed="81"/>
            <rFont val="Tahoma"/>
            <family val="2"/>
          </rPr>
          <t>Moon, Lindsey:</t>
        </r>
        <r>
          <rPr>
            <sz val="9"/>
            <color indexed="81"/>
            <rFont val="Tahoma"/>
            <family val="2"/>
          </rPr>
          <t xml:space="preserve">
Assumes first block is baseload usage not subject to weather sensitivity</t>
        </r>
      </text>
    </comment>
    <comment ref="F244" authorId="1" shapeId="0" xr:uid="{8AF6D7DE-FE9C-48EB-82B8-78875F7E3A08}">
      <text>
        <r>
          <rPr>
            <b/>
            <sz val="9"/>
            <color indexed="81"/>
            <rFont val="Tahoma"/>
            <family val="2"/>
          </rPr>
          <t>Moon, Lindsey:</t>
        </r>
        <r>
          <rPr>
            <sz val="9"/>
            <color indexed="81"/>
            <rFont val="Tahoma"/>
            <family val="2"/>
          </rPr>
          <t xml:space="preserve">
Assumes first block is baseload usage not subject to weather sensitivity</t>
        </r>
      </text>
    </comment>
    <comment ref="F277" authorId="1" shapeId="0" xr:uid="{C454E8AB-1824-4740-8CCD-58DC5A143E2E}">
      <text>
        <r>
          <rPr>
            <b/>
            <sz val="9"/>
            <color indexed="81"/>
            <rFont val="Tahoma"/>
            <family val="2"/>
          </rPr>
          <t>Moon, Lindsey:</t>
        </r>
        <r>
          <rPr>
            <sz val="9"/>
            <color indexed="81"/>
            <rFont val="Tahoma"/>
            <family val="2"/>
          </rPr>
          <t xml:space="preserve">
First block is considered baseload non weather sensitive usage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KZX5DR</author>
  </authors>
  <commentList>
    <comment ref="D13" authorId="0" shapeId="0" xr:uid="{00000000-0006-0000-0100-000001000000}">
      <text>
        <r>
          <rPr>
            <sz val="11"/>
            <color indexed="81"/>
            <rFont val="Tahoma"/>
            <family val="2"/>
          </rPr>
          <t>include Sch 59 (BPA Res Ex) here but not in other schedules.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KZX5DR</author>
  </authors>
  <commentList>
    <comment ref="I15" authorId="0" shapeId="0" xr:uid="{00000000-0006-0000-0200-000001000000}">
      <text>
        <r>
          <rPr>
            <sz val="8"/>
            <color indexed="81"/>
            <rFont val="Tahoma"/>
            <family val="2"/>
          </rPr>
          <t xml:space="preserve">Change the cell range named Bill1Base2 to '2'.
Copy the values from col. D to this column.
Change the cell range named Bill1Base2 back to '1'.
Add impact of BPA ResEx for Schs 12, 22, 32 below since Sch 59 rates are not included in Rate Design tab.
Residential includes estimate of Low Income bill discount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Joe Miller</author>
  </authors>
  <commentList>
    <comment ref="A115" authorId="0" shapeId="0" xr:uid="{00000000-0006-0000-0300-000002000000}">
      <text>
        <r>
          <rPr>
            <b/>
            <sz val="9"/>
            <color indexed="81"/>
            <rFont val="Tahoma"/>
            <family val="2"/>
          </rPr>
          <t>Joe Miller:</t>
        </r>
        <r>
          <rPr>
            <sz val="9"/>
            <color indexed="81"/>
            <rFont val="Tahoma"/>
            <family val="2"/>
          </rPr>
          <t xml:space="preserve">
Not more than 3,000 kWh in this block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Joe Miller</author>
    <author>Miller, Joe</author>
  </authors>
  <commentList>
    <comment ref="D149" authorId="0" shapeId="0" xr:uid="{00000000-0006-0000-0900-000003000000}">
      <text>
        <r>
          <rPr>
            <b/>
            <sz val="9"/>
            <color indexed="81"/>
            <rFont val="Tahoma"/>
            <family val="2"/>
          </rPr>
          <t>Joe Miller:</t>
        </r>
        <r>
          <rPr>
            <sz val="9"/>
            <color indexed="81"/>
            <rFont val="Tahoma"/>
            <family val="2"/>
          </rPr>
          <t xml:space="preserve">
no PVD
</t>
        </r>
      </text>
    </comment>
    <comment ref="D150" authorId="0" shapeId="0" xr:uid="{00000000-0006-0000-0900-000004000000}">
      <text>
        <r>
          <rPr>
            <b/>
            <sz val="9"/>
            <color indexed="81"/>
            <rFont val="Tahoma"/>
            <family val="2"/>
          </rPr>
          <t>Joe Miller:</t>
        </r>
        <r>
          <rPr>
            <sz val="9"/>
            <color indexed="81"/>
            <rFont val="Tahoma"/>
            <family val="2"/>
          </rPr>
          <t xml:space="preserve">
no PVD
</t>
        </r>
      </text>
    </comment>
    <comment ref="D151" authorId="1" shapeId="0" xr:uid="{D4550448-C837-4475-AA23-8579BFB1B580}">
      <text>
        <r>
          <rPr>
            <b/>
            <sz val="9"/>
            <color indexed="81"/>
            <rFont val="Tahoma"/>
            <family val="2"/>
          </rPr>
          <t>Miller, Joe:</t>
        </r>
        <r>
          <rPr>
            <sz val="9"/>
            <color indexed="81"/>
            <rFont val="Tahoma"/>
            <family val="2"/>
          </rPr>
          <t xml:space="preserve">
No PVD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KZX5DR</author>
    <author>Joe Miller</author>
  </authors>
  <commentList>
    <comment ref="J9" authorId="0" shapeId="0" xr:uid="{00000000-0006-0000-0A00-000001000000}">
      <text>
        <r>
          <rPr>
            <sz val="11"/>
            <color indexed="81"/>
            <rFont val="Tahoma"/>
            <family val="2"/>
          </rPr>
          <t>Switch to Billing view and copy values from Base Rates column.</t>
        </r>
      </text>
    </comment>
    <comment ref="L9" authorId="1" shapeId="0" xr:uid="{00000000-0006-0000-0A00-000002000000}">
      <text>
        <r>
          <rPr>
            <sz val="8"/>
            <color indexed="81"/>
            <rFont val="Tahoma"/>
            <family val="2"/>
          </rPr>
          <t xml:space="preserve">from ROR tab, street/area light %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Joe Miller</author>
    <author>Miller, Joe</author>
    <author>Moon, Lindsey</author>
  </authors>
  <commentList>
    <comment ref="BE1" authorId="0" shapeId="0" xr:uid="{00000000-0006-0000-0B00-000001000000}">
      <text>
        <r>
          <rPr>
            <b/>
            <sz val="9"/>
            <color indexed="81"/>
            <rFont val="Tahoma"/>
            <family val="2"/>
          </rPr>
          <t>Joe Miller:</t>
        </r>
        <r>
          <rPr>
            <sz val="9"/>
            <color indexed="81"/>
            <rFont val="Tahoma"/>
            <family val="2"/>
          </rPr>
          <t xml:space="preserve">
Sch 74 and 98</t>
        </r>
      </text>
    </comment>
    <comment ref="BE2" authorId="0" shapeId="0" xr:uid="{00000000-0006-0000-0B00-000002000000}">
      <text>
        <r>
          <rPr>
            <b/>
            <sz val="9"/>
            <color indexed="81"/>
            <rFont val="Tahoma"/>
            <family val="2"/>
          </rPr>
          <t>Joe Miller:</t>
        </r>
        <r>
          <rPr>
            <sz val="9"/>
            <color indexed="81"/>
            <rFont val="Tahoma"/>
            <family val="2"/>
          </rPr>
          <t xml:space="preserve">
Sch 91</t>
        </r>
      </text>
    </comment>
    <comment ref="AL34" authorId="1" shapeId="0" xr:uid="{CAC6E128-520A-4F5D-A714-14A1E6131133}">
      <text>
        <r>
          <rPr>
            <b/>
            <sz val="9"/>
            <color indexed="81"/>
            <rFont val="Tahoma"/>
            <family val="2"/>
          </rPr>
          <t>Miller, Joe:</t>
        </r>
        <r>
          <rPr>
            <sz val="9"/>
            <color indexed="81"/>
            <rFont val="Tahoma"/>
            <family val="2"/>
          </rPr>
          <t xml:space="preserve">
not on tariff sheet</t>
        </r>
      </text>
    </comment>
    <comment ref="AL37" authorId="1" shapeId="0" xr:uid="{00000000-0006-0000-0B00-000004000000}">
      <text>
        <r>
          <rPr>
            <b/>
            <sz val="9"/>
            <color indexed="81"/>
            <rFont val="Tahoma"/>
            <family val="2"/>
          </rPr>
          <t>Miller, Joe:</t>
        </r>
        <r>
          <rPr>
            <sz val="9"/>
            <color indexed="81"/>
            <rFont val="Tahoma"/>
            <family val="2"/>
          </rPr>
          <t xml:space="preserve">
not on tariff sheet (TIB) rate</t>
        </r>
      </text>
    </comment>
    <comment ref="D39" authorId="0" shapeId="0" xr:uid="{00000000-0006-0000-0B00-00000A000000}">
      <text>
        <r>
          <rPr>
            <b/>
            <sz val="8"/>
            <color indexed="81"/>
            <rFont val="Tahoma"/>
            <family val="2"/>
          </rPr>
          <t>Joe Miller:</t>
        </r>
        <r>
          <rPr>
            <sz val="8"/>
            <color indexed="81"/>
            <rFont val="Tahoma"/>
            <family val="2"/>
          </rPr>
          <t xml:space="preserve">
Coded as 474C on shortcuts.  Capital only portion of lights</t>
        </r>
      </text>
    </comment>
    <comment ref="AL40" authorId="1" shapeId="0" xr:uid="{00000000-0006-0000-0B00-000005000000}">
      <text>
        <r>
          <rPr>
            <b/>
            <sz val="9"/>
            <color indexed="81"/>
            <rFont val="Tahoma"/>
            <family val="2"/>
          </rPr>
          <t>Miller, Joe:</t>
        </r>
        <r>
          <rPr>
            <sz val="9"/>
            <color indexed="81"/>
            <rFont val="Tahoma"/>
            <family val="2"/>
          </rPr>
          <t xml:space="preserve">
not on tariff sheet</t>
        </r>
      </text>
    </comment>
    <comment ref="AL45" authorId="1" shapeId="0" xr:uid="{00000000-0006-0000-0B00-000006000000}">
      <text>
        <r>
          <rPr>
            <b/>
            <sz val="9"/>
            <color indexed="81"/>
            <rFont val="Tahoma"/>
            <family val="2"/>
          </rPr>
          <t>Miller, Joe:</t>
        </r>
        <r>
          <rPr>
            <sz val="9"/>
            <color indexed="81"/>
            <rFont val="Tahoma"/>
            <family val="2"/>
          </rPr>
          <t xml:space="preserve">
not on tariff sheet</t>
        </r>
      </text>
    </comment>
    <comment ref="AL48" authorId="1" shapeId="0" xr:uid="{00000000-0006-0000-0B00-000007000000}">
      <text>
        <r>
          <rPr>
            <b/>
            <sz val="9"/>
            <color indexed="81"/>
            <rFont val="Tahoma"/>
            <family val="2"/>
          </rPr>
          <t>Miller, Joe:</t>
        </r>
        <r>
          <rPr>
            <sz val="9"/>
            <color indexed="81"/>
            <rFont val="Tahoma"/>
            <family val="2"/>
          </rPr>
          <t xml:space="preserve">
not on tariff sheet</t>
        </r>
      </text>
    </comment>
    <comment ref="AL51" authorId="1" shapeId="0" xr:uid="{00000000-0006-0000-0B00-000008000000}">
      <text>
        <r>
          <rPr>
            <b/>
            <sz val="9"/>
            <color indexed="81"/>
            <rFont val="Tahoma"/>
            <family val="2"/>
          </rPr>
          <t>Miller, Joe:</t>
        </r>
        <r>
          <rPr>
            <sz val="9"/>
            <color indexed="81"/>
            <rFont val="Tahoma"/>
            <family val="2"/>
          </rPr>
          <t xml:space="preserve">
not on tariff sheet</t>
        </r>
      </text>
    </comment>
    <comment ref="AL61" authorId="1" shapeId="0" xr:uid="{4E05D5EF-94FF-46DB-A77E-F1A55097CA6E}">
      <text>
        <r>
          <rPr>
            <b/>
            <sz val="9"/>
            <color indexed="81"/>
            <rFont val="Tahoma"/>
            <family val="2"/>
          </rPr>
          <t>Miller, Joe:</t>
        </r>
        <r>
          <rPr>
            <sz val="9"/>
            <color indexed="81"/>
            <rFont val="Tahoma"/>
            <family val="2"/>
          </rPr>
          <t xml:space="preserve">
not on tariff sheet</t>
        </r>
      </text>
    </comment>
    <comment ref="AL64" authorId="1" shapeId="0" xr:uid="{00000000-0006-0000-0B00-00000B000000}">
      <text>
        <r>
          <rPr>
            <b/>
            <sz val="9"/>
            <color indexed="81"/>
            <rFont val="Tahoma"/>
            <family val="2"/>
          </rPr>
          <t>Miller, Joe:</t>
        </r>
        <r>
          <rPr>
            <sz val="9"/>
            <color indexed="81"/>
            <rFont val="Tahoma"/>
            <family val="2"/>
          </rPr>
          <t xml:space="preserve">
not on tariff sheet</t>
        </r>
      </text>
    </comment>
    <comment ref="AL67" authorId="1" shapeId="0" xr:uid="{00000000-0006-0000-0B00-00000C000000}">
      <text>
        <r>
          <rPr>
            <b/>
            <sz val="9"/>
            <color indexed="81"/>
            <rFont val="Tahoma"/>
            <family val="2"/>
          </rPr>
          <t>Miller, Joe:</t>
        </r>
        <r>
          <rPr>
            <sz val="9"/>
            <color indexed="81"/>
            <rFont val="Tahoma"/>
            <family val="2"/>
          </rPr>
          <t xml:space="preserve">
not on tariff sheet</t>
        </r>
      </text>
    </comment>
    <comment ref="AL70" authorId="1" shapeId="0" xr:uid="{00000000-0006-0000-0B00-00000D000000}">
      <text>
        <r>
          <rPr>
            <b/>
            <sz val="9"/>
            <color indexed="81"/>
            <rFont val="Tahoma"/>
            <family val="2"/>
          </rPr>
          <t>Miller, Joe:</t>
        </r>
        <r>
          <rPr>
            <sz val="9"/>
            <color indexed="81"/>
            <rFont val="Tahoma"/>
            <family val="2"/>
          </rPr>
          <t xml:space="preserve">
not on tariff sheet</t>
        </r>
      </text>
    </comment>
    <comment ref="AL73" authorId="1" shapeId="0" xr:uid="{00000000-0006-0000-0B00-00000E000000}">
      <text>
        <r>
          <rPr>
            <b/>
            <sz val="9"/>
            <color indexed="81"/>
            <rFont val="Tahoma"/>
            <family val="2"/>
          </rPr>
          <t>Miller, Joe:</t>
        </r>
        <r>
          <rPr>
            <sz val="9"/>
            <color indexed="81"/>
            <rFont val="Tahoma"/>
            <family val="2"/>
          </rPr>
          <t xml:space="preserve">
not on tariff sheet</t>
        </r>
      </text>
    </comment>
    <comment ref="AL77" authorId="1" shapeId="0" xr:uid="{00000000-0006-0000-0B00-00000F000000}">
      <text>
        <r>
          <rPr>
            <b/>
            <sz val="9"/>
            <color indexed="81"/>
            <rFont val="Tahoma"/>
            <family val="2"/>
          </rPr>
          <t>Miller, Joe:</t>
        </r>
        <r>
          <rPr>
            <sz val="9"/>
            <color indexed="81"/>
            <rFont val="Tahoma"/>
            <family val="2"/>
          </rPr>
          <t xml:space="preserve">
not on tariff sheet</t>
        </r>
      </text>
    </comment>
    <comment ref="I78" authorId="0" shapeId="0" xr:uid="{00000000-0006-0000-0B00-000010000000}">
      <text>
        <r>
          <rPr>
            <b/>
            <sz val="9"/>
            <color indexed="81"/>
            <rFont val="Tahoma"/>
            <family val="2"/>
          </rPr>
          <t>Joe Miller:</t>
        </r>
        <r>
          <rPr>
            <sz val="9"/>
            <color indexed="81"/>
            <rFont val="Tahoma"/>
            <family val="2"/>
          </rPr>
          <t xml:space="preserve">
Add to tariff sheet</t>
        </r>
      </text>
    </comment>
    <comment ref="AL78" authorId="1" shapeId="0" xr:uid="{00000000-0006-0000-0B00-000011000000}">
      <text>
        <r>
          <rPr>
            <b/>
            <sz val="9"/>
            <color indexed="81"/>
            <rFont val="Tahoma"/>
            <family val="2"/>
          </rPr>
          <t>Miller, Joe:</t>
        </r>
        <r>
          <rPr>
            <sz val="9"/>
            <color indexed="81"/>
            <rFont val="Tahoma"/>
            <family val="2"/>
          </rPr>
          <t xml:space="preserve">
not on tariff sheet</t>
        </r>
      </text>
    </comment>
    <comment ref="AL89" authorId="1" shapeId="0" xr:uid="{F3A9145D-BF2C-4FE3-8CA4-2BB3BF3B6857}">
      <text>
        <r>
          <rPr>
            <b/>
            <sz val="9"/>
            <color indexed="81"/>
            <rFont val="Tahoma"/>
            <family val="2"/>
          </rPr>
          <t>Miller, Joe:</t>
        </r>
        <r>
          <rPr>
            <sz val="9"/>
            <color indexed="81"/>
            <rFont val="Tahoma"/>
            <family val="2"/>
          </rPr>
          <t xml:space="preserve">
not on tariff sheet</t>
        </r>
      </text>
    </comment>
    <comment ref="AL91" authorId="1" shapeId="0" xr:uid="{00000000-0006-0000-0B00-000012000000}">
      <text>
        <r>
          <rPr>
            <b/>
            <sz val="9"/>
            <color indexed="81"/>
            <rFont val="Tahoma"/>
            <family val="2"/>
          </rPr>
          <t>Miller, Joe:</t>
        </r>
        <r>
          <rPr>
            <sz val="9"/>
            <color indexed="81"/>
            <rFont val="Tahoma"/>
            <family val="2"/>
          </rPr>
          <t xml:space="preserve">
not on tariff sheet</t>
        </r>
      </text>
    </comment>
    <comment ref="AL94" authorId="1" shapeId="0" xr:uid="{00000000-0006-0000-0B00-000013000000}">
      <text>
        <r>
          <rPr>
            <b/>
            <sz val="9"/>
            <color indexed="81"/>
            <rFont val="Tahoma"/>
            <family val="2"/>
          </rPr>
          <t>Miller, Joe:</t>
        </r>
        <r>
          <rPr>
            <sz val="9"/>
            <color indexed="81"/>
            <rFont val="Tahoma"/>
            <family val="2"/>
          </rPr>
          <t xml:space="preserve">
not on tariff sheet</t>
        </r>
      </text>
    </comment>
    <comment ref="AL96" authorId="1" shapeId="0" xr:uid="{00000000-0006-0000-0B00-000014000000}">
      <text>
        <r>
          <rPr>
            <b/>
            <sz val="9"/>
            <color indexed="81"/>
            <rFont val="Tahoma"/>
            <family val="2"/>
          </rPr>
          <t>Miller, Joe:</t>
        </r>
        <r>
          <rPr>
            <sz val="9"/>
            <color indexed="81"/>
            <rFont val="Tahoma"/>
            <family val="2"/>
          </rPr>
          <t xml:space="preserve">
not on tariff sheet</t>
        </r>
      </text>
    </comment>
    <comment ref="I102" authorId="0" shapeId="0" xr:uid="{00000000-0006-0000-0B00-000015000000}">
      <text>
        <r>
          <rPr>
            <b/>
            <sz val="9"/>
            <color indexed="81"/>
            <rFont val="Tahoma"/>
            <family val="2"/>
          </rPr>
          <t>Joe Miller:</t>
        </r>
        <r>
          <rPr>
            <sz val="9"/>
            <color indexed="81"/>
            <rFont val="Tahoma"/>
            <family val="2"/>
          </rPr>
          <t xml:space="preserve">
State funded program where small communities received grants to convert lights to LED's.  </t>
        </r>
      </text>
    </comment>
    <comment ref="I106" authorId="1" shapeId="0" xr:uid="{00000000-0006-0000-0B00-000016000000}">
      <text>
        <r>
          <rPr>
            <b/>
            <sz val="9"/>
            <color indexed="81"/>
            <rFont val="Tahoma"/>
            <family val="2"/>
          </rPr>
          <t>Miller, Joe:</t>
        </r>
        <r>
          <rPr>
            <sz val="9"/>
            <color indexed="81"/>
            <rFont val="Tahoma"/>
            <family val="2"/>
          </rPr>
          <t xml:space="preserve">
These are TIB funded rates that pay the LED rate less the TIB Capital Offset</t>
        </r>
      </text>
    </comment>
    <comment ref="X107" authorId="1" shapeId="0" xr:uid="{00000000-0006-0000-0B00-000017000000}">
      <text>
        <r>
          <rPr>
            <b/>
            <sz val="9"/>
            <color indexed="81"/>
            <rFont val="Tahoma"/>
            <family val="2"/>
          </rPr>
          <t>Miller, Joe:</t>
        </r>
        <r>
          <rPr>
            <sz val="9"/>
            <color indexed="81"/>
            <rFont val="Tahoma"/>
            <family val="2"/>
          </rPr>
          <t xml:space="preserve">
These are TIB funded rates that pay the LED rate less the TIB Capital Offset</t>
        </r>
      </text>
    </comment>
    <comment ref="L118" authorId="0" shapeId="0" xr:uid="{00000000-0006-0000-0B00-000018000000}">
      <text>
        <r>
          <rPr>
            <b/>
            <sz val="8"/>
            <color indexed="81"/>
            <rFont val="Tahoma"/>
            <family val="2"/>
          </rPr>
          <t>Joe Miller:</t>
        </r>
        <r>
          <rPr>
            <sz val="8"/>
            <color indexed="81"/>
            <rFont val="Tahoma"/>
            <family val="2"/>
          </rPr>
          <t xml:space="preserve">
Coded as 533C on Shortcuts</t>
        </r>
      </text>
    </comment>
    <comment ref="L130" authorId="0" shapeId="0" xr:uid="{00000000-0006-0000-0B00-000019000000}">
      <text>
        <r>
          <rPr>
            <b/>
            <sz val="8"/>
            <color indexed="81"/>
            <rFont val="Tahoma"/>
            <family val="2"/>
          </rPr>
          <t>Joe Miller:</t>
        </r>
        <r>
          <rPr>
            <sz val="8"/>
            <color indexed="81"/>
            <rFont val="Tahoma"/>
            <family val="2"/>
          </rPr>
          <t xml:space="preserve">
Coded as 474C on shortucts</t>
        </r>
      </text>
    </comment>
    <comment ref="I143" authorId="0" shapeId="0" xr:uid="{00000000-0006-0000-0B00-00001A000000}">
      <text>
        <r>
          <rPr>
            <b/>
            <sz val="9"/>
            <color indexed="81"/>
            <rFont val="Tahoma"/>
            <family val="2"/>
          </rPr>
          <t>Joe Miller:</t>
        </r>
        <r>
          <rPr>
            <sz val="9"/>
            <color indexed="81"/>
            <rFont val="Tahoma"/>
            <family val="2"/>
          </rPr>
          <t xml:space="preserve">
Add to tariff sheet</t>
        </r>
      </text>
    </comment>
    <comment ref="I152" authorId="2" shapeId="0" xr:uid="{F2297AA4-4337-4A1E-93CB-C62FAC53E888}">
      <text>
        <r>
          <rPr>
            <b/>
            <sz val="9"/>
            <color indexed="81"/>
            <rFont val="Tahoma"/>
            <family val="2"/>
          </rPr>
          <t>Moon, Lindsey:</t>
        </r>
        <r>
          <rPr>
            <sz val="9"/>
            <color indexed="81"/>
            <rFont val="Tahoma"/>
            <family val="2"/>
          </rPr>
          <t xml:space="preserve">
Moved down from above</t>
        </r>
      </text>
    </comment>
    <comment ref="I153" authorId="2" shapeId="0" xr:uid="{5C7078B4-D0D9-496E-8233-4182F0A7ED78}">
      <text>
        <r>
          <rPr>
            <b/>
            <sz val="9"/>
            <color indexed="81"/>
            <rFont val="Tahoma"/>
            <family val="2"/>
          </rPr>
          <t>Moon, Lindsey:</t>
        </r>
        <r>
          <rPr>
            <sz val="9"/>
            <color indexed="81"/>
            <rFont val="Tahoma"/>
            <family val="2"/>
          </rPr>
          <t xml:space="preserve">
Moved down from above</t>
        </r>
      </text>
    </comment>
    <comment ref="I154" authorId="2" shapeId="0" xr:uid="{3B96DC9B-631C-4857-8A3C-DC95E02DCDE7}">
      <text>
        <r>
          <rPr>
            <b/>
            <sz val="9"/>
            <color indexed="81"/>
            <rFont val="Tahoma"/>
            <family val="2"/>
          </rPr>
          <t>Moon, Lindsey:</t>
        </r>
        <r>
          <rPr>
            <sz val="9"/>
            <color indexed="81"/>
            <rFont val="Tahoma"/>
            <family val="2"/>
          </rPr>
          <t xml:space="preserve">
Moved down from above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Joe Miller</author>
    <author>Moon, Lindsey</author>
    <author>KZX5DR</author>
  </authors>
  <commentList>
    <comment ref="P27" authorId="0" shapeId="0" xr:uid="{00000000-0006-0000-0C00-000001000000}">
      <text>
        <r>
          <rPr>
            <b/>
            <sz val="8"/>
            <color indexed="81"/>
            <rFont val="Tahoma"/>
            <family val="2"/>
          </rPr>
          <t>Joe Miller:</t>
        </r>
        <r>
          <rPr>
            <sz val="8"/>
            <color indexed="81"/>
            <rFont val="Tahoma"/>
            <family val="2"/>
          </rPr>
          <t xml:space="preserve">
Half of MVA per Gayle Gonser (2 customers splitting cost of light)</t>
        </r>
      </text>
    </comment>
    <comment ref="D33" authorId="1" shapeId="0" xr:uid="{23EDA7FC-985B-4728-8BF0-7F52917AFB77}">
      <text>
        <r>
          <rPr>
            <b/>
            <sz val="9"/>
            <color indexed="81"/>
            <rFont val="Tahoma"/>
            <family val="2"/>
          </rPr>
          <t>Moon, Lindsey:</t>
        </r>
        <r>
          <rPr>
            <sz val="9"/>
            <color indexed="81"/>
            <rFont val="Tahoma"/>
            <family val="2"/>
          </rPr>
          <t xml:space="preserve">
HPPL</t>
        </r>
      </text>
    </comment>
    <comment ref="Q51" authorId="2" shapeId="0" xr:uid="{00000000-0006-0000-0C00-000002000000}">
      <text>
        <r>
          <rPr>
            <sz val="11"/>
            <color indexed="81"/>
            <rFont val="Tahoma"/>
            <family val="2"/>
          </rPr>
          <t>Brian says to ignore these.  He was told it was a special temporary program.</t>
        </r>
      </text>
    </comment>
  </commentList>
</comments>
</file>

<file path=xl/sharedStrings.xml><?xml version="1.0" encoding="utf-8"?>
<sst xmlns="http://schemas.openxmlformats.org/spreadsheetml/2006/main" count="3420" uniqueCount="1092">
  <si>
    <t>WORK PAPER</t>
  </si>
  <si>
    <t xml:space="preserve"> </t>
  </si>
  <si>
    <t>RESIDENTIAL</t>
  </si>
  <si>
    <t xml:space="preserve">GENERAL SVC. </t>
  </si>
  <si>
    <t>LG. GEN. SVC.</t>
  </si>
  <si>
    <t>EX LG GEN SVC</t>
  </si>
  <si>
    <t>PUMPING</t>
  </si>
  <si>
    <t>ST &amp; AREA LTG</t>
  </si>
  <si>
    <t>REFERENCE</t>
  </si>
  <si>
    <t>TOTAL</t>
  </si>
  <si>
    <t>SCHEDULE 1</t>
  </si>
  <si>
    <t>SCH. 11,12</t>
  </si>
  <si>
    <t>SCH. 21,22</t>
  </si>
  <si>
    <t>SCHEDULE 25</t>
  </si>
  <si>
    <t>SCH. 30, 31, 32</t>
  </si>
  <si>
    <t>SCH. 41-48</t>
  </si>
  <si>
    <t>PRESENT BILL DETERMINANTS</t>
  </si>
  <si>
    <t>KILOWATT HOURS (KWHS)</t>
  </si>
  <si>
    <t>BLOCK 1</t>
  </si>
  <si>
    <t>BLOCK 2</t>
  </si>
  <si>
    <t>BLOCK 3</t>
  </si>
  <si>
    <t>BLOCK 4</t>
  </si>
  <si>
    <t>STREET &amp; AREA LIGHTS</t>
  </si>
  <si>
    <t>SUBTOTAL</t>
  </si>
  <si>
    <t>ADJUSTMENT TO ACTUAL</t>
  </si>
  <si>
    <t>TOTAL BEFORE ADJUSTMENT</t>
  </si>
  <si>
    <t>WEATHER &amp; UNBILLED ADJ. KWHS</t>
  </si>
  <si>
    <t>TOTAL PROFORMA KWHS</t>
  </si>
  <si>
    <t>TOTAL BILLS</t>
  </si>
  <si>
    <t>MINIMUM BILLS</t>
  </si>
  <si>
    <t>EXCESS DEMAND</t>
  </si>
  <si>
    <t>PROPOSED BILL DETERMINANTS</t>
  </si>
  <si>
    <t>PRESENT RATES</t>
  </si>
  <si>
    <t>BASIC CHARGE</t>
  </si>
  <si>
    <t>MONTHLY MINIMUM</t>
  </si>
  <si>
    <t>BLOCK 1 PER KWH</t>
  </si>
  <si>
    <t>BLOCK 2 PER KWH</t>
  </si>
  <si>
    <t>BLOCK 3 PER KWH</t>
  </si>
  <si>
    <t>BLOCK 4 PER KWH</t>
  </si>
  <si>
    <t>ADJUST TO ACTUAL PER KWH</t>
  </si>
  <si>
    <t>DEMAND BLOCK 1</t>
  </si>
  <si>
    <t>DEMAND BLOCK 2</t>
  </si>
  <si>
    <t>PROPOSED RATES</t>
  </si>
  <si>
    <t>PRESENT REVENUE</t>
  </si>
  <si>
    <t>ADJUST TO ACTUAL</t>
  </si>
  <si>
    <t>ADJUSTMENT REVENUE</t>
  </si>
  <si>
    <t>UNBILLED REVENUE ADJUSTMENT</t>
  </si>
  <si>
    <t>WEATHER NORMALIZATION ADJ</t>
  </si>
  <si>
    <t>TOTAL ADJUSTMENT REVENUE</t>
  </si>
  <si>
    <t>TOTAL PRESENT REVENUE</t>
  </si>
  <si>
    <t>PROPOSED REVENUE</t>
  </si>
  <si>
    <t>TOTAL PROPOSED REVENUE</t>
  </si>
  <si>
    <t>TOTAL REVENUE INCREASE</t>
  </si>
  <si>
    <t>PERCENT REVENUE INCREASE</t>
  </si>
  <si>
    <t>BASELOAD</t>
  </si>
  <si>
    <t>WTHR-SENS.</t>
  </si>
  <si>
    <t>RATES</t>
  </si>
  <si>
    <t>KWHS</t>
  </si>
  <si>
    <t>REVENUE</t>
  </si>
  <si>
    <t>PRESENT BASELOAD AND WEATHER-SENSITIVE RATES</t>
  </si>
  <si>
    <t>AVERAGE RATE</t>
  </si>
  <si>
    <t>PROPOSED BASELOAD AND WEATHER-SENSITIVE RATES</t>
  </si>
  <si>
    <t>SCHEDULE 11</t>
  </si>
  <si>
    <t>kva over 3,000</t>
  </si>
  <si>
    <t>Total</t>
  </si>
  <si>
    <t>Schedule 30, 31, &amp; 32</t>
  </si>
  <si>
    <t>Revenue Runs from this sheet</t>
  </si>
  <si>
    <t>less:</t>
  </si>
  <si>
    <t>Diff</t>
  </si>
  <si>
    <t>Washington Schedule 25 Billing Determinants</t>
  </si>
  <si>
    <t>Annual</t>
  </si>
  <si>
    <t>Acct No.</t>
  </si>
  <si>
    <t>Revenue Run Total</t>
  </si>
  <si>
    <t>*</t>
  </si>
  <si>
    <t>Primary Voltage Discount</t>
  </si>
  <si>
    <t>&gt;11 and &lt;60</t>
  </si>
  <si>
    <t>&gt;60 and &lt;115</t>
  </si>
  <si>
    <t>&gt;115</t>
  </si>
  <si>
    <t>AVISTA UTILITIES</t>
  </si>
  <si>
    <t>STREET &amp; AREA LIGHT REVENUE UNDER PRESENT &amp; PROPOSED RATES</t>
  </si>
  <si>
    <t>Present Rates</t>
  </si>
  <si>
    <t>Proposed Rates</t>
  </si>
  <si>
    <t xml:space="preserve">Monthly </t>
  </si>
  <si>
    <t>Revenue</t>
  </si>
  <si>
    <t>No Pole</t>
  </si>
  <si>
    <t>Wood Pole</t>
  </si>
  <si>
    <t>Pedestal Base</t>
  </si>
  <si>
    <t>Direct Burial</t>
  </si>
  <si>
    <t>Sodium Vapor</t>
  </si>
  <si>
    <t>Street Light Summary</t>
  </si>
  <si>
    <t>Number of Lights</t>
  </si>
  <si>
    <t>Monthly Revenue at Present Rates</t>
  </si>
  <si>
    <t>Fixture Type</t>
  </si>
  <si>
    <t>Pole Facility</t>
  </si>
  <si>
    <t>Size</t>
  </si>
  <si>
    <t>Sched</t>
  </si>
  <si>
    <t>041</t>
  </si>
  <si>
    <t>042</t>
  </si>
  <si>
    <t>044</t>
  </si>
  <si>
    <t>045</t>
  </si>
  <si>
    <t>046</t>
  </si>
  <si>
    <t>Single Mercury Vapor</t>
  </si>
  <si>
    <t>State</t>
  </si>
  <si>
    <t>Rate Sub</t>
  </si>
  <si>
    <t># of Lights</t>
  </si>
  <si>
    <t>Single High-Pressure Sodium Vapor</t>
  </si>
  <si>
    <t>50W</t>
  </si>
  <si>
    <t>High-Pressure Sodium Vapor</t>
  </si>
  <si>
    <t>Dusk to Dawn</t>
  </si>
  <si>
    <t>70W</t>
  </si>
  <si>
    <t>Mercury Vapor</t>
  </si>
  <si>
    <t>100W</t>
  </si>
  <si>
    <t>No Pole / Dusk to Dawn (046)</t>
  </si>
  <si>
    <t>Developer Contributed</t>
  </si>
  <si>
    <t>Decorative Sodium Vapor</t>
  </si>
  <si>
    <t>Kim Light 100W</t>
  </si>
  <si>
    <t>Double High-Pressure Sodium Vapor</t>
  </si>
  <si>
    <t>Granville 100W</t>
  </si>
  <si>
    <t>Post Top 100W</t>
  </si>
  <si>
    <t>200W</t>
  </si>
  <si>
    <t>250W</t>
  </si>
  <si>
    <t>Dusk to Dawn (046)</t>
  </si>
  <si>
    <t>310W</t>
  </si>
  <si>
    <t>Dusk to 1 AM</t>
  </si>
  <si>
    <t>400W</t>
  </si>
  <si>
    <t>Dust to Dawn (046)</t>
  </si>
  <si>
    <t>150W</t>
  </si>
  <si>
    <t>no customer count - taken out of exhibit to limit print range</t>
  </si>
  <si>
    <t>Dusk to 1 AM (046)</t>
  </si>
  <si>
    <t>Area Light Summary</t>
  </si>
  <si>
    <t>Monthly Rev.</t>
  </si>
  <si>
    <t>Pres. Rates</t>
  </si>
  <si>
    <t>at Pres. Rates</t>
  </si>
  <si>
    <t>047</t>
  </si>
  <si>
    <t>048</t>
  </si>
  <si>
    <t>Floodlight on existing standard</t>
  </si>
  <si>
    <t>HAH</t>
  </si>
  <si>
    <t>Kim light w/25' fiberglass pole</t>
  </si>
  <si>
    <t>HAI</t>
  </si>
  <si>
    <t>WA</t>
  </si>
  <si>
    <t>HAP</t>
  </si>
  <si>
    <t>HPA</t>
  </si>
  <si>
    <t>on existing standard</t>
  </si>
  <si>
    <t>HPB</t>
  </si>
  <si>
    <t>HPC</t>
  </si>
  <si>
    <t>HPD</t>
  </si>
  <si>
    <t>30' wood pole</t>
  </si>
  <si>
    <t>HPE</t>
  </si>
  <si>
    <t>HPG</t>
  </si>
  <si>
    <t>HPL</t>
  </si>
  <si>
    <t>HPS</t>
  </si>
  <si>
    <t>25' steel pole</t>
  </si>
  <si>
    <t>HPO</t>
  </si>
  <si>
    <t>HPY</t>
  </si>
  <si>
    <t>20' fiberglass pole</t>
  </si>
  <si>
    <t>MVA</t>
  </si>
  <si>
    <t>30' steel pole w/2 arms</t>
  </si>
  <si>
    <t>MVB</t>
  </si>
  <si>
    <t>MVC</t>
  </si>
  <si>
    <t>MVD</t>
  </si>
  <si>
    <t>MVE</t>
  </si>
  <si>
    <t>MVF</t>
  </si>
  <si>
    <t>MVH</t>
  </si>
  <si>
    <t>MVI</t>
  </si>
  <si>
    <t>25' steel</t>
  </si>
  <si>
    <t>MVG</t>
  </si>
  <si>
    <t>MVJ</t>
  </si>
  <si>
    <t>MVK</t>
  </si>
  <si>
    <t>MVL</t>
  </si>
  <si>
    <t>30' steel</t>
  </si>
  <si>
    <t>MVO</t>
  </si>
  <si>
    <t>PA</t>
  </si>
  <si>
    <t>MVN</t>
  </si>
  <si>
    <t>none</t>
  </si>
  <si>
    <t>n/a</t>
  </si>
  <si>
    <t>PB</t>
  </si>
  <si>
    <t>SLB</t>
  </si>
  <si>
    <t>SLC</t>
  </si>
  <si>
    <t>SLD</t>
  </si>
  <si>
    <t>Monthly Revenue at Proposed Rates</t>
  </si>
  <si>
    <t>Prop. Rates</t>
  </si>
  <si>
    <t>at Prop. Rates</t>
  </si>
  <si>
    <t>POWER FACTOR ADJUSTMENT</t>
  </si>
  <si>
    <t>PRIMARY VOLTAGE DISCOUNT</t>
  </si>
  <si>
    <t>ANNUAL MINIMUM ADJUSTMENT</t>
  </si>
  <si>
    <t>STREET &amp; AREA LIGHT REVENUE</t>
  </si>
  <si>
    <t>WEATHER-SENSITIVE KWHS</t>
  </si>
  <si>
    <t>WEATHER-SENSITIVE RATE</t>
  </si>
  <si>
    <t>WEATHER-SENSITIVE REVENUE</t>
  </si>
  <si>
    <t>TOTAL UNBILLED KWH ADJUST</t>
  </si>
  <si>
    <t>TOTAL UNBILLED REVENUE ADJ</t>
  </si>
  <si>
    <t>Meters</t>
  </si>
  <si>
    <t>Usage</t>
  </si>
  <si>
    <t>Total Schs. 30,31&amp;32</t>
  </si>
  <si>
    <t>or</t>
  </si>
  <si>
    <t>1)</t>
  </si>
  <si>
    <t>2)</t>
  </si>
  <si>
    <t>Base Tariff Rates</t>
  </si>
  <si>
    <t>Billing Rates</t>
  </si>
  <si>
    <t>Print Header for all printed pages on this worksheet:</t>
  </si>
  <si>
    <t>Base Tariff</t>
  </si>
  <si>
    <t>Calculate all revenue exhibits using  ____ rates:</t>
  </si>
  <si>
    <t>Rates_Base_Present</t>
  </si>
  <si>
    <t>Range Name</t>
  </si>
  <si>
    <t>Rates_Billing_Present</t>
  </si>
  <si>
    <t>Rates_Billing_Proposed</t>
  </si>
  <si>
    <t>- range name where Present Rates table can be found</t>
  </si>
  <si>
    <t>- range name where Proposed Rates table can be found</t>
  </si>
  <si>
    <t>Rates_Base_Proposed</t>
  </si>
  <si>
    <t>Proposed Revenue</t>
  </si>
  <si>
    <t>0-3650 KWHS</t>
  </si>
  <si>
    <t>over 3650 KWHS</t>
  </si>
  <si>
    <t>WEATHER &amp; U/B KWHS</t>
  </si>
  <si>
    <t>Basic Charge Revenue</t>
  </si>
  <si>
    <t>Revenue Remaining</t>
  </si>
  <si>
    <t>Demand Revenue</t>
  </si>
  <si>
    <t>Present Basic Charge</t>
  </si>
  <si>
    <t>Present Demand Block 1</t>
  </si>
  <si>
    <t>Present Demand Block 2</t>
  </si>
  <si>
    <t>Pwr Fctr/Prim Voltg Disc</t>
  </si>
  <si>
    <t>Proposed Rate Workup - from Pres &amp; Prop Rev tab</t>
  </si>
  <si>
    <t>Blocks 1-3 Revenue</t>
  </si>
  <si>
    <t>Adj. to Actual Revenue</t>
  </si>
  <si>
    <t>Weather &amp; U/B Revenue</t>
  </si>
  <si>
    <t>2) % Rate Increase</t>
  </si>
  <si>
    <t>1) Flat Rate Increase</t>
  </si>
  <si>
    <t>Method ---&gt;</t>
  </si>
  <si>
    <t>Calculated</t>
  </si>
  <si>
    <t>Input</t>
  </si>
  <si>
    <r>
      <t xml:space="preserve">% </t>
    </r>
    <r>
      <rPr>
        <sz val="10"/>
        <rFont val="Symbol"/>
        <family val="1"/>
        <charset val="2"/>
      </rPr>
      <t>D</t>
    </r>
    <r>
      <rPr>
        <sz val="10"/>
        <rFont val="Arial"/>
        <family val="2"/>
      </rPr>
      <t xml:space="preserve"> in Basic Charge</t>
    </r>
  </si>
  <si>
    <r>
      <t xml:space="preserve">% </t>
    </r>
    <r>
      <rPr>
        <sz val="10"/>
        <rFont val="Symbol"/>
        <family val="1"/>
        <charset val="2"/>
      </rPr>
      <t>D</t>
    </r>
    <r>
      <rPr>
        <sz val="10"/>
        <rFont val="Arial"/>
        <family val="2"/>
      </rPr>
      <t xml:space="preserve"> in Demand Block 1</t>
    </r>
  </si>
  <si>
    <r>
      <t xml:space="preserve">% </t>
    </r>
    <r>
      <rPr>
        <sz val="10"/>
        <rFont val="Symbol"/>
        <family val="1"/>
        <charset val="2"/>
      </rPr>
      <t>D</t>
    </r>
    <r>
      <rPr>
        <sz val="10"/>
        <rFont val="Arial"/>
        <family val="2"/>
      </rPr>
      <t xml:space="preserve"> in Demand Block 2</t>
    </r>
  </si>
  <si>
    <t>Formulas to copy</t>
  </si>
  <si>
    <t>FLOOR</t>
  </si>
  <si>
    <t>CEILING</t>
  </si>
  <si>
    <t>OTHER</t>
  </si>
  <si>
    <r>
      <t xml:space="preserve">Rate </t>
    </r>
    <r>
      <rPr>
        <u/>
        <sz val="10"/>
        <rFont val="Symbol"/>
        <family val="1"/>
        <charset val="2"/>
      </rPr>
      <t>D</t>
    </r>
    <r>
      <rPr>
        <u/>
        <sz val="10"/>
        <rFont val="Arial"/>
        <family val="2"/>
      </rPr>
      <t xml:space="preserve"> Check</t>
    </r>
  </si>
  <si>
    <t>Basic Charge</t>
  </si>
  <si>
    <t>Demand Charge</t>
  </si>
  <si>
    <t>Block Energy Charges</t>
  </si>
  <si>
    <t>Overall Revenue</t>
  </si>
  <si>
    <t>Avg. Usage</t>
  </si>
  <si>
    <t>Bill Compare:</t>
  </si>
  <si>
    <t>Pres</t>
  </si>
  <si>
    <t>Prop</t>
  </si>
  <si>
    <t>Revenue Remaining - ¢/kWh</t>
  </si>
  <si>
    <t>Rate</t>
  </si>
  <si>
    <t>Tiers - used for bill comparisons</t>
  </si>
  <si>
    <t>DEMAND CHARGE</t>
  </si>
  <si>
    <t>% Incr</t>
  </si>
  <si>
    <t>SCH. 25</t>
  </si>
  <si>
    <t>same as current</t>
  </si>
  <si>
    <t>diff than current</t>
  </si>
  <si>
    <t>Proposed rates:</t>
  </si>
  <si>
    <t>Base</t>
  </si>
  <si>
    <t>Present</t>
  </si>
  <si>
    <t>Tariff</t>
  </si>
  <si>
    <t>Proposed</t>
  </si>
  <si>
    <t>Type of</t>
  </si>
  <si>
    <t xml:space="preserve">Proposed </t>
  </si>
  <si>
    <t>No.</t>
  </si>
  <si>
    <t>Service</t>
  </si>
  <si>
    <t>Number</t>
  </si>
  <si>
    <t>Increase</t>
  </si>
  <si>
    <t>(a)</t>
  </si>
  <si>
    <t>(b)</t>
  </si>
  <si>
    <t>(c)</t>
  </si>
  <si>
    <t>(d)</t>
  </si>
  <si>
    <t>(e)</t>
  </si>
  <si>
    <t>(f)</t>
  </si>
  <si>
    <t>(g)</t>
  </si>
  <si>
    <t>Residential</t>
  </si>
  <si>
    <t>General Service</t>
  </si>
  <si>
    <t>Large General Service</t>
  </si>
  <si>
    <t>Pumping Service</t>
  </si>
  <si>
    <t>Street &amp; Area Lights</t>
  </si>
  <si>
    <t>Rounding</t>
  </si>
  <si>
    <t>there will be some remainder in Schs. 21 &amp; 25 because some components of their revenue don't change w/a rate change.</t>
  </si>
  <si>
    <t>PROPOSED INCREASE BY SERVICE SCHEDULE</t>
  </si>
  <si>
    <t>(000s of Dollars)</t>
  </si>
  <si>
    <t>Total Billed</t>
  </si>
  <si>
    <t>Schedule</t>
  </si>
  <si>
    <t>Under Present</t>
  </si>
  <si>
    <t>General</t>
  </si>
  <si>
    <t>Under Proposed</t>
  </si>
  <si>
    <t>Percent</t>
  </si>
  <si>
    <t>at Present</t>
  </si>
  <si>
    <t>on Billed</t>
  </si>
  <si>
    <t>Rates(1)</t>
  </si>
  <si>
    <t>(h)</t>
  </si>
  <si>
    <t>(i)</t>
  </si>
  <si>
    <t>Extra Large General Service</t>
  </si>
  <si>
    <t>PRESENT AND PROPOSED RATE COMPONENTS BY SCHEDULE</t>
  </si>
  <si>
    <t xml:space="preserve">General </t>
  </si>
  <si>
    <t xml:space="preserve">Present </t>
  </si>
  <si>
    <t xml:space="preserve">Rate </t>
  </si>
  <si>
    <t xml:space="preserve">Billing </t>
  </si>
  <si>
    <t>Sch. Rate</t>
  </si>
  <si>
    <t>Other Adj.(1)</t>
  </si>
  <si>
    <t>Billing Rate</t>
  </si>
  <si>
    <t>Residential Service - Schedule 1</t>
  </si>
  <si>
    <t>Energy Charge:</t>
  </si>
  <si>
    <t>General Services - Schedule 11</t>
  </si>
  <si>
    <t>Demand Charge:</t>
  </si>
  <si>
    <t>no charge</t>
  </si>
  <si>
    <t>Large General Service - Schedule 21</t>
  </si>
  <si>
    <t>Extra Large General Service - Schedule 25</t>
  </si>
  <si>
    <t>Annual Minimum</t>
  </si>
  <si>
    <t>Pumping Service - Schedule 31</t>
  </si>
  <si>
    <t>Proposed Target</t>
  </si>
  <si>
    <t>Proposed Actual</t>
  </si>
  <si>
    <t>All additional kWhs</t>
  </si>
  <si>
    <t>Present Block 1 Base Rate</t>
  </si>
  <si>
    <t>Present Block 2 Base Rate</t>
  </si>
  <si>
    <t>Present Block 3 Base Rate</t>
  </si>
  <si>
    <t>Inland Empire Paper</t>
  </si>
  <si>
    <t>This worksheet uses Base &amp; Billing rates from 'Rate Design' tab.</t>
  </si>
  <si>
    <t>This worksheet pulls data from 'Pres &amp; Prop Rev' tab.</t>
  </si>
  <si>
    <t>Targeted Rate Increase</t>
  </si>
  <si>
    <t>Present:</t>
  </si>
  <si>
    <t>Proposed:</t>
  </si>
  <si>
    <t>check - &lt; $6k is rounding</t>
  </si>
  <si>
    <t>41-48</t>
  </si>
  <si>
    <t>Primary Volt. Discount</t>
  </si>
  <si>
    <t>11 - 60 kv</t>
  </si>
  <si>
    <t>60 - 115 kv</t>
  </si>
  <si>
    <t>115 or higher kv</t>
  </si>
  <si>
    <t>Present Billing Rates</t>
  </si>
  <si>
    <t>ACTUAL / PRO FORMA BILLING DETERMINANTS BY RATE SCHEDULE</t>
  </si>
  <si>
    <t>BASE TARIFF</t>
  </si>
  <si>
    <t>BILLING</t>
  </si>
  <si>
    <t>Schedule 25 Total</t>
  </si>
  <si>
    <t>1st</t>
  </si>
  <si>
    <t>kwhs/mo</t>
  </si>
  <si>
    <t>Adj Revenue Runs, Sch 25</t>
  </si>
  <si>
    <t>Schs 41-48 St &amp; Area Lt</t>
  </si>
  <si>
    <t>from Present Rev tab</t>
  </si>
  <si>
    <t>this sheet + SAL</t>
  </si>
  <si>
    <t>Rev. Run customers</t>
  </si>
  <si>
    <t>copy of Total above</t>
  </si>
  <si>
    <t>diff from curr Total above</t>
  </si>
  <si>
    <t>% diff</t>
  </si>
  <si>
    <t>New Billing Rates</t>
  </si>
  <si>
    <t>(j)</t>
  </si>
  <si>
    <t>Total Billings(2)</t>
  </si>
  <si>
    <t>Number of Lights(1)</t>
  </si>
  <si>
    <t># of Lights(1)</t>
  </si>
  <si>
    <t>kwh</t>
  </si>
  <si>
    <t>Schedule 12 only</t>
  </si>
  <si>
    <t>Schedule 22 only</t>
  </si>
  <si>
    <t>Schedule 32 only</t>
  </si>
  <si>
    <t>reduce billed revenue for BPA ResEx (already accounted for in Schs 1 &amp; 48)</t>
  </si>
  <si>
    <t>LIRAP/DSM increase</t>
  </si>
  <si>
    <t>Rate Schedule Num</t>
  </si>
  <si>
    <t>001</t>
  </si>
  <si>
    <t>011</t>
  </si>
  <si>
    <t>012</t>
  </si>
  <si>
    <t>021</t>
  </si>
  <si>
    <t>022</t>
  </si>
  <si>
    <t>025</t>
  </si>
  <si>
    <t>031</t>
  </si>
  <si>
    <t>032</t>
  </si>
  <si>
    <t>12-mo Ended</t>
  </si>
  <si>
    <t>KWHs</t>
  </si>
  <si>
    <t>KVA</t>
  </si>
  <si>
    <t>KVA in excess of 3,000</t>
  </si>
  <si>
    <t>WASHINGTON ELECTRIC</t>
  </si>
  <si>
    <t>Street Light Summary total, WA</t>
  </si>
  <si>
    <t>Area Light Count, WA</t>
  </si>
  <si>
    <t>compare input Present Billing Rates to calculated Present Billing Rates</t>
  </si>
  <si>
    <t>normalize Sch 25</t>
  </si>
  <si>
    <t>SCHEDULE 21</t>
  </si>
  <si>
    <t>0-250000 KWHS</t>
  </si>
  <si>
    <t>OVER 250000 KWHS</t>
  </si>
  <si>
    <t>Decrease</t>
  </si>
  <si>
    <t>% Revenue Change</t>
  </si>
  <si>
    <t>Base Rates</t>
  </si>
  <si>
    <t>Schedule 41</t>
  </si>
  <si>
    <t>Schedule 42</t>
  </si>
  <si>
    <t>Schedule 44</t>
  </si>
  <si>
    <t>Schedule 45</t>
  </si>
  <si>
    <t>Schedule 46</t>
  </si>
  <si>
    <t>Target Base</t>
  </si>
  <si>
    <t>% Change</t>
  </si>
  <si>
    <t>% rate increase --&gt;</t>
  </si>
  <si>
    <t>Schedule 47</t>
  </si>
  <si>
    <t>Schedule 48</t>
  </si>
  <si>
    <t>Billing</t>
  </si>
  <si>
    <t>non-printing</t>
  </si>
  <si>
    <t>(k)</t>
  </si>
  <si>
    <t>0) ERM=0; 1) ERM as is</t>
  </si>
  <si>
    <t>MVV</t>
  </si>
  <si>
    <t>Special</t>
  </si>
  <si>
    <t>Base Revenues</t>
  </si>
  <si>
    <t>Decorative Sodium Vapor (Capital Only)</t>
  </si>
  <si>
    <t>Peak</t>
  </si>
  <si>
    <t>Month</t>
  </si>
  <si>
    <t>UNBILLED LOAD KWHS</t>
  </si>
  <si>
    <t>UNBILLED LOAD RATE</t>
  </si>
  <si>
    <t>UNBILLED LOAD REVENUE</t>
  </si>
  <si>
    <t>ADJ. TO ACTUAL/EE ADJ</t>
  </si>
  <si>
    <t>Rates (2)</t>
  </si>
  <si>
    <t xml:space="preserve">from Present Rev tab </t>
  </si>
  <si>
    <t>Single High-Pressure Sodium Vapor (Capital Only)</t>
  </si>
  <si>
    <t>Type of Service</t>
  </si>
  <si>
    <t>Annual Increase (Decrease)</t>
  </si>
  <si>
    <t>Booked Unbilled Reversal</t>
  </si>
  <si>
    <t>Gross Booked Unbilled</t>
  </si>
  <si>
    <t>Gross Unbilled True-up</t>
  </si>
  <si>
    <t>Unbilled Reversal True-up</t>
  </si>
  <si>
    <t>LED (Dusk to Dawn)</t>
  </si>
  <si>
    <t>LED (Dusk to 11:00)</t>
  </si>
  <si>
    <t>Total by Block</t>
  </si>
  <si>
    <t>Determinants</t>
  </si>
  <si>
    <t>Billed Revenue</t>
  </si>
  <si>
    <t>Impact</t>
  </si>
  <si>
    <t>kWh Rate</t>
  </si>
  <si>
    <t>Proposed Billing</t>
  </si>
  <si>
    <t>Rate With</t>
  </si>
  <si>
    <t>11/12</t>
  </si>
  <si>
    <t>21/22</t>
  </si>
  <si>
    <t>30/31/32</t>
  </si>
  <si>
    <t>ERM Decrease (2)</t>
  </si>
  <si>
    <t>Schedule 25(3)</t>
  </si>
  <si>
    <t>kw over 20(1)</t>
  </si>
  <si>
    <t>kvar billed(1)</t>
  </si>
  <si>
    <t>kw over 50(1)</t>
  </si>
  <si>
    <t>State Cde:WA</t>
  </si>
  <si>
    <t>Period</t>
  </si>
  <si>
    <t>12 Month Average</t>
  </si>
  <si>
    <t>Total for WA</t>
  </si>
  <si>
    <t>12 Month Total</t>
  </si>
  <si>
    <t>Jurisdiction:WA</t>
  </si>
  <si>
    <t>Source Id</t>
  </si>
  <si>
    <t>REVUNBL-E</t>
  </si>
  <si>
    <t>REVUNBL-ER</t>
  </si>
  <si>
    <t>011/012</t>
  </si>
  <si>
    <t>021/022</t>
  </si>
  <si>
    <t>030/031/032</t>
  </si>
  <si>
    <t>04X</t>
  </si>
  <si>
    <t>Sch 25 Adj</t>
  </si>
  <si>
    <t>Sch shifting</t>
  </si>
  <si>
    <t>Sch Shifting</t>
  </si>
  <si>
    <t>July</t>
  </si>
  <si>
    <t>August</t>
  </si>
  <si>
    <t>September</t>
  </si>
  <si>
    <t>October</t>
  </si>
  <si>
    <t>November</t>
  </si>
  <si>
    <t>December</t>
  </si>
  <si>
    <t>January</t>
  </si>
  <si>
    <t>February</t>
  </si>
  <si>
    <t>March</t>
  </si>
  <si>
    <t>April</t>
  </si>
  <si>
    <t>May</t>
  </si>
  <si>
    <t>June</t>
  </si>
  <si>
    <t>Annual Total</t>
  </si>
  <si>
    <t>Rate Design Program Monthly Results</t>
  </si>
  <si>
    <t>Block 1</t>
  </si>
  <si>
    <t>Block 2</t>
  </si>
  <si>
    <t>kWhs</t>
  </si>
  <si>
    <t>Billed Customers</t>
  </si>
  <si>
    <t>Block 1 Limit</t>
  </si>
  <si>
    <t>Schedule 011/012</t>
  </si>
  <si>
    <t>kW</t>
  </si>
  <si>
    <t>kVar</t>
  </si>
  <si>
    <t>pf Charge</t>
  </si>
  <si>
    <t>pf Revenue</t>
  </si>
  <si>
    <t>Schedule 021/022</t>
  </si>
  <si>
    <t>Schedule 31/32</t>
  </si>
  <si>
    <t>Block 3</t>
  </si>
  <si>
    <t>WASHINGTON ELECTRIC SYSTEM</t>
  </si>
  <si>
    <t>Schedule 30/31/32</t>
  </si>
  <si>
    <t>Difference</t>
  </si>
  <si>
    <t>ERM Reduction Calc</t>
  </si>
  <si>
    <t>kWh's</t>
  </si>
  <si>
    <t>Sch. 93/94</t>
  </si>
  <si>
    <t>ERM/BPA</t>
  </si>
  <si>
    <t>Sch. 98</t>
  </si>
  <si>
    <t>REC Revenue</t>
  </si>
  <si>
    <t>Inc/Dec</t>
  </si>
  <si>
    <t>Dusk to 11 PM</t>
  </si>
  <si>
    <t>Monthly Increase (Decrease)</t>
  </si>
  <si>
    <t>Sch 46 Per kWh Rate</t>
  </si>
  <si>
    <t>Total Usage</t>
  </si>
  <si>
    <t>Load Factor</t>
  </si>
  <si>
    <t>Monthly Average</t>
  </si>
  <si>
    <t>Annual Peak</t>
  </si>
  <si>
    <t>ERM</t>
  </si>
  <si>
    <t>Sch. 93</t>
  </si>
  <si>
    <t>4.16 KV</t>
  </si>
  <si>
    <t>115 KV</t>
  </si>
  <si>
    <t>60 KV</t>
  </si>
  <si>
    <t>Sch 93/94</t>
  </si>
  <si>
    <t>421L</t>
  </si>
  <si>
    <t>431L</t>
  </si>
  <si>
    <t>432L</t>
  </si>
  <si>
    <t>433L</t>
  </si>
  <si>
    <t>434L</t>
  </si>
  <si>
    <t>435L</t>
  </si>
  <si>
    <t>436L</t>
  </si>
  <si>
    <t>438L</t>
  </si>
  <si>
    <t>441L</t>
  </si>
  <si>
    <t>474L</t>
  </si>
  <si>
    <t>484L</t>
  </si>
  <si>
    <t>Kim Light 70W</t>
  </si>
  <si>
    <t>Granville 70W</t>
  </si>
  <si>
    <t>Post Top 70W</t>
  </si>
  <si>
    <t>522L</t>
  </si>
  <si>
    <t>531L</t>
  </si>
  <si>
    <t>532L</t>
  </si>
  <si>
    <t>533L</t>
  </si>
  <si>
    <t>535L</t>
  </si>
  <si>
    <t>536L</t>
  </si>
  <si>
    <t>541L</t>
  </si>
  <si>
    <t>542L</t>
  </si>
  <si>
    <t>442L</t>
  </si>
  <si>
    <t>475L</t>
  </si>
  <si>
    <t>107W</t>
  </si>
  <si>
    <t>LED</t>
  </si>
  <si>
    <t>Minimums:</t>
  </si>
  <si>
    <t>HPAL</t>
  </si>
  <si>
    <t>HPBL</t>
  </si>
  <si>
    <t>HPSL</t>
  </si>
  <si>
    <t>HPEL</t>
  </si>
  <si>
    <t>HPDL</t>
  </si>
  <si>
    <t>HPOL</t>
  </si>
  <si>
    <t>HPLL</t>
  </si>
  <si>
    <t>HPYL</t>
  </si>
  <si>
    <t>HAGL</t>
  </si>
  <si>
    <t>HAPL</t>
  </si>
  <si>
    <t>Schedule 98</t>
  </si>
  <si>
    <t>Schedule 59</t>
  </si>
  <si>
    <t>Schedule 48 only</t>
  </si>
  <si>
    <t>Schedule 41-48 only</t>
  </si>
  <si>
    <t>Schedule 98 (REC Revenue Rebate)</t>
  </si>
  <si>
    <t>248W</t>
  </si>
  <si>
    <t>831L</t>
  </si>
  <si>
    <t>832L</t>
  </si>
  <si>
    <t>835L</t>
  </si>
  <si>
    <t>836L</t>
  </si>
  <si>
    <t>842L</t>
  </si>
  <si>
    <t>HPCL</t>
  </si>
  <si>
    <t>HPGL</t>
  </si>
  <si>
    <t>35' wood pole</t>
  </si>
  <si>
    <t>Schedule 91 (DSM)</t>
  </si>
  <si>
    <t>Schedule 91</t>
  </si>
  <si>
    <t>0001</t>
  </si>
  <si>
    <t>0002</t>
  </si>
  <si>
    <t>0011</t>
  </si>
  <si>
    <t>0012</t>
  </si>
  <si>
    <t>002</t>
  </si>
  <si>
    <t>0021</t>
  </si>
  <si>
    <t>0022</t>
  </si>
  <si>
    <t>0025</t>
  </si>
  <si>
    <t>0030</t>
  </si>
  <si>
    <t>0031</t>
  </si>
  <si>
    <t>0032</t>
  </si>
  <si>
    <t>0041</t>
  </si>
  <si>
    <t>0042</t>
  </si>
  <si>
    <t>0044</t>
  </si>
  <si>
    <t>0045</t>
  </si>
  <si>
    <t>0046</t>
  </si>
  <si>
    <t>0047</t>
  </si>
  <si>
    <t>0048</t>
  </si>
  <si>
    <t>0058</t>
  </si>
  <si>
    <t>0058A</t>
  </si>
  <si>
    <t>0095</t>
  </si>
  <si>
    <t>0099</t>
  </si>
  <si>
    <t>025B</t>
  </si>
  <si>
    <t>001/002</t>
  </si>
  <si>
    <t>Average</t>
  </si>
  <si>
    <t>Billing Determinant</t>
  </si>
  <si>
    <t>NA</t>
  </si>
  <si>
    <t>BASIC CHARGE ELE</t>
  </si>
  <si>
    <t>KWH BLOCK 1</t>
  </si>
  <si>
    <t>KWH BLOCK 2</t>
  </si>
  <si>
    <t>KWH BLOCK 3</t>
  </si>
  <si>
    <t>RIDER 59</t>
  </si>
  <si>
    <t>RIDER 91</t>
  </si>
  <si>
    <t>RIDER 92</t>
  </si>
  <si>
    <t>RIDER 93</t>
  </si>
  <si>
    <t>RIDER 94</t>
  </si>
  <si>
    <t>RIDER 98</t>
  </si>
  <si>
    <t>RIDER 89</t>
  </si>
  <si>
    <t>3 PHASE</t>
  </si>
  <si>
    <t>KVAR</t>
  </si>
  <si>
    <t>KW BLOCK 2</t>
  </si>
  <si>
    <t>PVD 11</t>
  </si>
  <si>
    <t>LIGHTS</t>
  </si>
  <si>
    <t>RIDER 58</t>
  </si>
  <si>
    <t>PVD 115</t>
  </si>
  <si>
    <t>PVD 60</t>
  </si>
  <si>
    <t>Revenue Amt</t>
  </si>
  <si>
    <t>SCHEDULE 1,2</t>
  </si>
  <si>
    <t>1/2</t>
  </si>
  <si>
    <t>Schedule 001/002</t>
  </si>
  <si>
    <t>Total Meters Billed</t>
  </si>
  <si>
    <t>431T</t>
  </si>
  <si>
    <t>TIB Capital Offset</t>
  </si>
  <si>
    <t>432T</t>
  </si>
  <si>
    <t>433T</t>
  </si>
  <si>
    <t>435T</t>
  </si>
  <si>
    <t>436T</t>
  </si>
  <si>
    <t>531T</t>
  </si>
  <si>
    <t>532T</t>
  </si>
  <si>
    <t>533T</t>
  </si>
  <si>
    <t>Single Light Emitting Diode (LED)</t>
  </si>
  <si>
    <t>535T</t>
  </si>
  <si>
    <t>536T</t>
  </si>
  <si>
    <t>541T</t>
  </si>
  <si>
    <t>Double Light Emitting Diode (LED)</t>
  </si>
  <si>
    <t>542T</t>
  </si>
  <si>
    <t>831T</t>
  </si>
  <si>
    <t>Decorative Light Emitting Diode (LED)</t>
  </si>
  <si>
    <t>441T</t>
  </si>
  <si>
    <t>0-800 KWHS</t>
  </si>
  <si>
    <t>801-1500 KWHS</t>
  </si>
  <si>
    <t>OVER 100 KWHS</t>
  </si>
  <si>
    <t>OVER 1500 KWHS</t>
  </si>
  <si>
    <t>546T</t>
  </si>
  <si>
    <t>835T</t>
  </si>
  <si>
    <t>Schedule 2 only</t>
  </si>
  <si>
    <t>RIDER 75</t>
  </si>
  <si>
    <t>Adjust. kWhs to Actual</t>
  </si>
  <si>
    <t>0-800 kWhs</t>
  </si>
  <si>
    <t>801-1500 kWhs</t>
  </si>
  <si>
    <t>over 1500 kWhs</t>
  </si>
  <si>
    <t>Total kWhs</t>
  </si>
  <si>
    <t>0-3,650 kWhs</t>
  </si>
  <si>
    <t>over 3,650 kWhs</t>
  </si>
  <si>
    <t>Total Adjusted kWhs</t>
  </si>
  <si>
    <t>0-250,000 kWhs</t>
  </si>
  <si>
    <t>over 250,000 kWhs</t>
  </si>
  <si>
    <t>Total adjusted kWhs</t>
  </si>
  <si>
    <t>0-500,000 kWhs</t>
  </si>
  <si>
    <t>500,001-6M kWhs</t>
  </si>
  <si>
    <t>&gt; 6M kWhs</t>
  </si>
  <si>
    <t>Block 1 kWhs</t>
  </si>
  <si>
    <t>Block 2 kWhs</t>
  </si>
  <si>
    <t>Block 3 kWhs</t>
  </si>
  <si>
    <t>Adjust kWhs to Actual</t>
  </si>
  <si>
    <t>Schedule 41-48 only Total</t>
  </si>
  <si>
    <t>First 85 kW/kWh</t>
  </si>
  <si>
    <t>Next 80 kW/kWh</t>
  </si>
  <si>
    <t>Rate Adjustment</t>
  </si>
  <si>
    <t>Adjusted Billed</t>
  </si>
  <si>
    <t>Adjustment</t>
  </si>
  <si>
    <t>Adjusted</t>
  </si>
  <si>
    <t>30' steel pole</t>
  </si>
  <si>
    <t>Total Revenue</t>
  </si>
  <si>
    <t>Unbilled Usage</t>
  </si>
  <si>
    <t>RIDER 74</t>
  </si>
  <si>
    <t>AMI OPT OUT</t>
  </si>
  <si>
    <t>0160126924</t>
  </si>
  <si>
    <t>546L</t>
  </si>
  <si>
    <t>241W</t>
  </si>
  <si>
    <t>HAAL</t>
  </si>
  <si>
    <t>HAML</t>
  </si>
  <si>
    <t>HANL</t>
  </si>
  <si>
    <t>HPKL</t>
  </si>
  <si>
    <t>35 ft direct buried steel pole</t>
  </si>
  <si>
    <t>125W</t>
  </si>
  <si>
    <t>Floodlight 35ft wood pole</t>
  </si>
  <si>
    <t>30 steel pole pedestal base</t>
  </si>
  <si>
    <t>832T</t>
  </si>
  <si>
    <t>836T</t>
  </si>
  <si>
    <t>Misc</t>
  </si>
  <si>
    <t>Sch 91 &amp; 92</t>
  </si>
  <si>
    <t>18W</t>
  </si>
  <si>
    <t>26W</t>
  </si>
  <si>
    <t>295L</t>
  </si>
  <si>
    <t>395L</t>
  </si>
  <si>
    <t>Change</t>
  </si>
  <si>
    <t>Standard / Dusk to Dawn (046)</t>
  </si>
  <si>
    <t xml:space="preserve">Standard  </t>
  </si>
  <si>
    <t>Standard</t>
  </si>
  <si>
    <t>494L</t>
  </si>
  <si>
    <t>594L</t>
  </si>
  <si>
    <t>30ft Fiberglass Pole</t>
  </si>
  <si>
    <t>35ft Fiberglass Pole</t>
  </si>
  <si>
    <t>HAIL</t>
  </si>
  <si>
    <t>HAOL</t>
  </si>
  <si>
    <t>HAQL</t>
  </si>
  <si>
    <t>70W Kim light w/25ft Fiberglass pole</t>
  </si>
  <si>
    <t>30 ft Fiberglass direct buried</t>
  </si>
  <si>
    <t>35 ft Fiberglass direct buried</t>
  </si>
  <si>
    <t>005L</t>
  </si>
  <si>
    <t>015L</t>
  </si>
  <si>
    <t>025L</t>
  </si>
  <si>
    <t>035L</t>
  </si>
  <si>
    <t>045L</t>
  </si>
  <si>
    <t>055L</t>
  </si>
  <si>
    <t>065L</t>
  </si>
  <si>
    <t>075L</t>
  </si>
  <si>
    <t>085L</t>
  </si>
  <si>
    <t>095L</t>
  </si>
  <si>
    <t>105L</t>
  </si>
  <si>
    <t>115L</t>
  </si>
  <si>
    <t>125L</t>
  </si>
  <si>
    <t>135L</t>
  </si>
  <si>
    <t>145L</t>
  </si>
  <si>
    <t>155L</t>
  </si>
  <si>
    <t>165L</t>
  </si>
  <si>
    <t>175L</t>
  </si>
  <si>
    <t>185L</t>
  </si>
  <si>
    <t>195L</t>
  </si>
  <si>
    <t>212L</t>
  </si>
  <si>
    <t>237L</t>
  </si>
  <si>
    <t>LIRAP</t>
  </si>
  <si>
    <t>Sch. 92</t>
  </si>
  <si>
    <t>LIRAP Rate</t>
  </si>
  <si>
    <t>Sch 92</t>
  </si>
  <si>
    <t>All light codes notated with a "T" are not on the tariff sheets.</t>
  </si>
  <si>
    <t>WASHINGTON Street Lights (Schedule 41 - 46 Rates)</t>
  </si>
  <si>
    <t>WASHINGTON Area Lights (Schedule 47)</t>
  </si>
  <si>
    <t xml:space="preserve">Net </t>
  </si>
  <si>
    <t xml:space="preserve">Base </t>
  </si>
  <si>
    <t>Demand, PF and PVD Calc Support</t>
  </si>
  <si>
    <t>Schedule 11</t>
  </si>
  <si>
    <t>Block 2 Demand Revenue</t>
  </si>
  <si>
    <t>Power Factor Revenue</t>
  </si>
  <si>
    <t>Block 2 Demand Rate</t>
  </si>
  <si>
    <t>Power Factor Rate</t>
  </si>
  <si>
    <t>Schedule 12</t>
  </si>
  <si>
    <t>Schedule 21</t>
  </si>
  <si>
    <t>Prim. Volt. Disc. Revenue</t>
  </si>
  <si>
    <t>Prim. Volt. Disc. Rate</t>
  </si>
  <si>
    <t>Schedule 22</t>
  </si>
  <si>
    <t>Schedule 25</t>
  </si>
  <si>
    <t>Prim. Volt. Disc. &gt;11 Revenue</t>
  </si>
  <si>
    <t>Prim. Volt. Disc. &gt;60 Revenue</t>
  </si>
  <si>
    <t>Prim. Volt. Disc. &gt;115 Revenue</t>
  </si>
  <si>
    <t>Prim. Volt. Disc. &gt;11 Rate</t>
  </si>
  <si>
    <t>Prim. Volt. Disc. &gt;60 Rate</t>
  </si>
  <si>
    <t>Prim. Volt. Disc. &gt;115 Rate</t>
  </si>
  <si>
    <t>Schedule 30</t>
  </si>
  <si>
    <t>Schedule 31</t>
  </si>
  <si>
    <t>Schedule 32</t>
  </si>
  <si>
    <t>5W</t>
  </si>
  <si>
    <t>Dust to 1 AM</t>
  </si>
  <si>
    <t>HARL</t>
  </si>
  <si>
    <t>HPZL</t>
  </si>
  <si>
    <t>30 steel pole pedestal base (Dev Contr)</t>
  </si>
  <si>
    <t>on existing standard (Capital Only</t>
  </si>
  <si>
    <t>(1) from JDM-E-12/14</t>
  </si>
  <si>
    <t>(2) from JDM-E-13/14</t>
  </si>
  <si>
    <t>Schedule 93 (ERM)</t>
  </si>
  <si>
    <t>Schedule 92 (LIRAP)</t>
  </si>
  <si>
    <t>kWhs per billing run</t>
  </si>
  <si>
    <t>Total kWhs per Rev. Run</t>
  </si>
  <si>
    <t>kWhs per Revenue Run</t>
  </si>
  <si>
    <t>kWhs per billing run (30,31&amp; 32)</t>
  </si>
  <si>
    <t>SCH. 13</t>
  </si>
  <si>
    <t>SCH. 23</t>
  </si>
  <si>
    <t>SCHEDULE 25I</t>
  </si>
  <si>
    <t>SCH. 25I</t>
  </si>
  <si>
    <t>25I</t>
  </si>
  <si>
    <t>Schedule 13</t>
  </si>
  <si>
    <t>Schedule 23</t>
  </si>
  <si>
    <t>Schedule 25I</t>
  </si>
  <si>
    <t>Schedule 013</t>
  </si>
  <si>
    <t>0025I</t>
  </si>
  <si>
    <t>025I</t>
  </si>
  <si>
    <t>Schedule 023</t>
  </si>
  <si>
    <t>Schedule Shifting</t>
  </si>
  <si>
    <t>Schedule 25I KWH</t>
  </si>
  <si>
    <t>Schedule 25I Total</t>
  </si>
  <si>
    <t>Schedule 25I kVA</t>
  </si>
  <si>
    <t>Customer Total</t>
  </si>
  <si>
    <t>Transportation - Large General Service</t>
  </si>
  <si>
    <t>Transportation - General Service</t>
  </si>
  <si>
    <t>Transportation General Services - Schedule 13</t>
  </si>
  <si>
    <t>Transportation Large General Service - Schedule 23</t>
  </si>
  <si>
    <t>On-Peak</t>
  </si>
  <si>
    <t>Off-Peak</t>
  </si>
  <si>
    <t>in excess of 3,000 kVA</t>
  </si>
  <si>
    <t>25I KVA</t>
  </si>
  <si>
    <t>Calc Revenue for 25I</t>
  </si>
  <si>
    <t>Less transfer from 25 to 25I (Cust 9)</t>
  </si>
  <si>
    <t>Less Customer Closing (Cust 15)</t>
  </si>
  <si>
    <t>Sch 25 Present Primary Voltage Discount</t>
  </si>
  <si>
    <t>Sch 25 Proposed Primary Voltage Discount</t>
  </si>
  <si>
    <t>Sch 25I Present Primary Voltage Discount</t>
  </si>
  <si>
    <t>Revenue for 25I per Bill (less city tax)</t>
  </si>
  <si>
    <t>Manually deducted in Column K</t>
  </si>
  <si>
    <t>from Sp Ct</t>
  </si>
  <si>
    <t>Extra Large General Service Specific Contract - Schedule 25I</t>
  </si>
  <si>
    <t>HPJL</t>
  </si>
  <si>
    <t>021/022/23</t>
  </si>
  <si>
    <t>Sch 25I Proposed Primary Voltage Discount</t>
  </si>
  <si>
    <t>Schedule 25 to 21</t>
  </si>
  <si>
    <t>Extra Large General Service - Special Contract</t>
  </si>
  <si>
    <t>202207</t>
  </si>
  <si>
    <t>202208</t>
  </si>
  <si>
    <t>202209</t>
  </si>
  <si>
    <t>202210</t>
  </si>
  <si>
    <t>202211</t>
  </si>
  <si>
    <t>202212</t>
  </si>
  <si>
    <t>202301</t>
  </si>
  <si>
    <t>202302</t>
  </si>
  <si>
    <t>202303</t>
  </si>
  <si>
    <t>202304</t>
  </si>
  <si>
    <t>202305</t>
  </si>
  <si>
    <t>202306</t>
  </si>
  <si>
    <t>"Rev Norm Bill Determininant 12 ME Report" for Report Date : '06/30/2023'</t>
  </si>
  <si>
    <t>"Rev Norm Unbill 12 ME Report" for Report Date : '06/30/2023'</t>
  </si>
  <si>
    <t>Schedule 11,12</t>
  </si>
  <si>
    <t>Schedule 21,22</t>
  </si>
  <si>
    <t>MDM-10069 Report as of 10/1/2023</t>
  </si>
  <si>
    <t>894L</t>
  </si>
  <si>
    <t>Actual Revenue Runs</t>
  </si>
  <si>
    <t>pull down below and present rate, will delete codes out</t>
  </si>
  <si>
    <t>Sch 25I</t>
  </si>
  <si>
    <t>12 MONTHS ENDED JUNE 30, 2023</t>
  </si>
  <si>
    <t>Goodrich - North 2311008572</t>
  </si>
  <si>
    <t>2311008572</t>
  </si>
  <si>
    <t>Boise Cascade Plywood</t>
  </si>
  <si>
    <t>8920023327</t>
  </si>
  <si>
    <t>Boise Cascade Sawmill</t>
  </si>
  <si>
    <t>9920023116</t>
  </si>
  <si>
    <t>City of Spokane</t>
  </si>
  <si>
    <t>8970099313</t>
  </si>
  <si>
    <t>Empire Health Services</t>
  </si>
  <si>
    <t>0080095044</t>
  </si>
  <si>
    <t>Gonzaga University</t>
  </si>
  <si>
    <t>1420028876</t>
  </si>
  <si>
    <t>Honeywell Electronics</t>
  </si>
  <si>
    <t>0170122152</t>
  </si>
  <si>
    <t>Huntwood Industries</t>
  </si>
  <si>
    <t>8640841982</t>
  </si>
  <si>
    <t>Simplot - Othello</t>
  </si>
  <si>
    <t>4250473907</t>
  </si>
  <si>
    <t>McCaine Foods Inc</t>
  </si>
  <si>
    <t>9060132009</t>
  </si>
  <si>
    <t>Sacred Heart Medical Center</t>
  </si>
  <si>
    <t>0030019644</t>
  </si>
  <si>
    <t>Spokane County Combined Master</t>
  </si>
  <si>
    <t>1080099801</t>
  </si>
  <si>
    <t>Spokane Industries</t>
  </si>
  <si>
    <t>0070121063</t>
  </si>
  <si>
    <t>Vaagen Brothers Lumber</t>
  </si>
  <si>
    <t>2470070232</t>
  </si>
  <si>
    <t xml:space="preserve">WSU - MP-A South Campus Feeder </t>
  </si>
  <si>
    <t>3730460787</t>
  </si>
  <si>
    <t xml:space="preserve">WSU - MP-B East Campus EA </t>
  </si>
  <si>
    <t>6030021572</t>
  </si>
  <si>
    <t xml:space="preserve">WSU - MP-C East Campus EB </t>
  </si>
  <si>
    <t>6100609210</t>
  </si>
  <si>
    <t>WSU - MP -D Casp East (no PVD)</t>
  </si>
  <si>
    <t>5030019646</t>
  </si>
  <si>
    <t>WSU - MP-E Casp West (no PVD)</t>
  </si>
  <si>
    <t>7030024549</t>
  </si>
  <si>
    <t>Goodrich - South 2311155858 (No PVD)</t>
  </si>
  <si>
    <t>Boise Cascade LLC Inland Region</t>
  </si>
  <si>
    <t>30' steel pole (pedestal base)</t>
  </si>
  <si>
    <t>Avista</t>
  </si>
  <si>
    <t>Electric</t>
  </si>
  <si>
    <t>Rate Spread</t>
  </si>
  <si>
    <t>Percentage</t>
  </si>
  <si>
    <t xml:space="preserve">LIRAP </t>
  </si>
  <si>
    <t>Tax</t>
  </si>
  <si>
    <t xml:space="preserve">Total </t>
  </si>
  <si>
    <t>of Base</t>
  </si>
  <si>
    <t>GRC</t>
  </si>
  <si>
    <t>Extra Large General Service - Specific Contract</t>
  </si>
  <si>
    <t>Revenue Requirement</t>
  </si>
  <si>
    <t>LIRAP Change</t>
  </si>
  <si>
    <t>x 2</t>
  </si>
  <si>
    <t>Base Increase</t>
  </si>
  <si>
    <t>MWh</t>
  </si>
  <si>
    <t>$ Per MWh Change</t>
  </si>
  <si>
    <t>Special Contract Rate Spread</t>
  </si>
  <si>
    <t>Rate Calculation</t>
  </si>
  <si>
    <t>IEP Rate Factor</t>
  </si>
  <si>
    <t>IEP MWh's</t>
  </si>
  <si>
    <t>IEP Increase</t>
  </si>
  <si>
    <t>Rate Factor Calculation for future Special Contract Rate Changes</t>
  </si>
  <si>
    <t>UE-190334</t>
  </si>
  <si>
    <t>Rate Year Revenue</t>
  </si>
  <si>
    <t>Rate Factor</t>
  </si>
  <si>
    <t>Special Contract</t>
  </si>
  <si>
    <t>$21.00 Single Phase Service</t>
  </si>
  <si>
    <t>Schedule 99 (Colstrip)</t>
  </si>
  <si>
    <t>Schedule 88 (Wildfire)</t>
  </si>
  <si>
    <t>Schedule 78 (Tax)</t>
  </si>
  <si>
    <t>Adder Schedules</t>
  </si>
  <si>
    <t>RY1</t>
  </si>
  <si>
    <t>RY2</t>
  </si>
  <si>
    <t>PRESENT &amp; PROPOSED RATE OF RETURN BY RATE SCHEDULE</t>
  </si>
  <si>
    <t>Sch 1</t>
  </si>
  <si>
    <t>Sch 11</t>
  </si>
  <si>
    <t>Sch 21</t>
  </si>
  <si>
    <t>Sch 25</t>
  </si>
  <si>
    <t>Sch 25i</t>
  </si>
  <si>
    <t>Sch 31</t>
  </si>
  <si>
    <t>Schs 41-48</t>
  </si>
  <si>
    <t>Total Rate Base</t>
  </si>
  <si>
    <t>from COS</t>
  </si>
  <si>
    <t>Revenue From Retail Rates</t>
  </si>
  <si>
    <t>Other Operating Revenues</t>
  </si>
  <si>
    <t>Total Revenues</t>
  </si>
  <si>
    <t>Total Operating Exp b4 conv items &amp; taxes</t>
  </si>
  <si>
    <t>Revenue Related conversion items</t>
  </si>
  <si>
    <t>Income Taxes</t>
  </si>
  <si>
    <t>Total Expenses</t>
  </si>
  <si>
    <t>.</t>
  </si>
  <si>
    <t>Net Operating Income</t>
  </si>
  <si>
    <t>Present Rate of Return</t>
  </si>
  <si>
    <t>Present Return Ratio</t>
  </si>
  <si>
    <t>Interest Expense</t>
  </si>
  <si>
    <t>Proposed Misc Revenue Increase</t>
  </si>
  <si>
    <t>Proposed Rate Revenue Increase</t>
  </si>
  <si>
    <t>Proposed Rev Increase</t>
  </si>
  <si>
    <t>change</t>
  </si>
  <si>
    <t>Proposed Rate Revenues</t>
  </si>
  <si>
    <t>Uncollectibles</t>
  </si>
  <si>
    <t>incremental conversion expenses</t>
  </si>
  <si>
    <t>Commiss Fees</t>
  </si>
  <si>
    <t>incremental Income Taxes</t>
  </si>
  <si>
    <t>Excise Tax</t>
  </si>
  <si>
    <t>Proposed Return</t>
  </si>
  <si>
    <t>Federal Inc Tax</t>
  </si>
  <si>
    <t>Proposed Return %</t>
  </si>
  <si>
    <t>Allocation of incremental Misc Rev</t>
  </si>
  <si>
    <t>Target Relative Return</t>
  </si>
  <si>
    <t>Target Return %</t>
  </si>
  <si>
    <t>Target Return (NOI b4 Interest)</t>
  </si>
  <si>
    <t>Target Return after Interest Expense</t>
  </si>
  <si>
    <t>Target Return b4 Income Taxes &amp; Interest</t>
  </si>
  <si>
    <t>Target Return b4 Misc Rev</t>
  </si>
  <si>
    <t>Conversion Items</t>
  </si>
  <si>
    <t>Incremental Rate Revenue</t>
  </si>
  <si>
    <t>Target Rate Revenue</t>
  </si>
  <si>
    <t>Change in Rate Revenue</t>
  </si>
  <si>
    <t>Incremental Rate Revenue - rounded</t>
  </si>
  <si>
    <t>Target Rate Revenue - rounded</t>
  </si>
  <si>
    <t>ERM Revenue decrease</t>
  </si>
  <si>
    <t>Net Increase</t>
  </si>
  <si>
    <t>Present Billed</t>
  </si>
  <si>
    <t>Net Increase as % of billed</t>
  </si>
  <si>
    <t>Total Present Billed Revenue</t>
  </si>
  <si>
    <t>% of Present Billed Revenue</t>
  </si>
  <si>
    <t>Movement towards Unity</t>
  </si>
  <si>
    <t>Movement To Unity</t>
  </si>
  <si>
    <t>Uniform Present Return</t>
  </si>
  <si>
    <t>Present Income Taxes at Unity</t>
  </si>
  <si>
    <t>Operating Expenses (Excl. Rev Rel exp &amp; inc tax)</t>
  </si>
  <si>
    <t>Deduct Other Operating Revenues</t>
  </si>
  <si>
    <t>Revenue Related Expenses at Unity</t>
  </si>
  <si>
    <t>Total Uniform Cost at Present Return</t>
  </si>
  <si>
    <t>Uniform Proposed Return</t>
  </si>
  <si>
    <t>Proposed Income Taxes at Unity</t>
  </si>
  <si>
    <t>Proposed Revenue Related Expenses at Unity</t>
  </si>
  <si>
    <t>Total Uniform Cost at Proposed Return</t>
  </si>
  <si>
    <t>Revenue Change to Achieve Unity (rounded)</t>
  </si>
  <si>
    <t>Revenue to Cost Ratio at Present Rates</t>
  </si>
  <si>
    <t>Revenue to Cost Ratio at Proposed Rates</t>
  </si>
  <si>
    <t>Change in Revenue to Cost Ratio</t>
  </si>
  <si>
    <t>Bill Impact</t>
  </si>
  <si>
    <t>Schedule 001 Bill Impact</t>
  </si>
  <si>
    <t>Schedule 001 Present</t>
  </si>
  <si>
    <t>Schedule 001 Proposed</t>
  </si>
  <si>
    <t>Total Bill</t>
  </si>
  <si>
    <t>Exhibit B - Rate Design</t>
  </si>
  <si>
    <t>DSM</t>
  </si>
  <si>
    <t>Rate Factor Calculation for future IEP Special Contract Rate Changes from UE-200900</t>
  </si>
  <si>
    <t>Extra Large Special Contract</t>
  </si>
  <si>
    <t>First 500,000 kWhs</t>
  </si>
  <si>
    <t>500,000 - 6,000,000 kWhs</t>
  </si>
  <si>
    <t>All over 6,000,000 kWhs</t>
  </si>
  <si>
    <t>3,000 kva or less</t>
  </si>
  <si>
    <t>Over 3,000 kva</t>
  </si>
  <si>
    <t>Total Present Revenue</t>
  </si>
  <si>
    <t>Total Proposed Revenue</t>
  </si>
  <si>
    <t>Capital Recovery Factor Calculation</t>
  </si>
  <si>
    <t>Present - UE-120436</t>
  </si>
  <si>
    <t>Cost of Capital</t>
  </si>
  <si>
    <t>Source</t>
  </si>
  <si>
    <t>Capital</t>
  </si>
  <si>
    <t>Component</t>
  </si>
  <si>
    <t>Weighted</t>
  </si>
  <si>
    <t>Structure</t>
  </si>
  <si>
    <t>Cost</t>
  </si>
  <si>
    <t>Long Term Debt</t>
  </si>
  <si>
    <t>Preferred Equity</t>
  </si>
  <si>
    <t>Common Equity</t>
  </si>
  <si>
    <t>Grossed-up Rate of Return</t>
  </si>
  <si>
    <t>Tax Gross-up Factor</t>
  </si>
  <si>
    <t>Weighted ROE * Tax Gross-up</t>
  </si>
  <si>
    <t>1.611 * 4.606%</t>
  </si>
  <si>
    <t>1.325 * 4.95%</t>
  </si>
  <si>
    <t>1.324 * 4.540%</t>
  </si>
  <si>
    <t>Preferred Equity * Tax Gross-up</t>
  </si>
  <si>
    <t>1.611 * 0.000%</t>
  </si>
  <si>
    <t>1.325 * 0.000%</t>
  </si>
  <si>
    <t>1.324 * 0.000%</t>
  </si>
  <si>
    <t>Test Year</t>
  </si>
  <si>
    <t>Effective</t>
  </si>
  <si>
    <t>Account</t>
  </si>
  <si>
    <t>Plant in</t>
  </si>
  <si>
    <t>Depreciation</t>
  </si>
  <si>
    <t>Expense</t>
  </si>
  <si>
    <t>373 - Street Lighting</t>
  </si>
  <si>
    <t>Revenue Conversion Factor (Before FIT)</t>
  </si>
  <si>
    <t>Grossed-Up Depreciation Rate</t>
  </si>
  <si>
    <t>*From Cost of Service (Knox)</t>
  </si>
  <si>
    <t xml:space="preserve">Capital Recovery Factor </t>
  </si>
  <si>
    <t>This worksheet pulls data from 'ROR' tab.</t>
  </si>
  <si>
    <t>Parity Ratios input from COS study</t>
  </si>
  <si>
    <t>PRESENT &amp; PROPOSED RATES OF RETURN BY RATE SCHEDULE</t>
  </si>
  <si>
    <t>Line</t>
  </si>
  <si>
    <t>Sch.</t>
  </si>
  <si>
    <t>Rate of</t>
  </si>
  <si>
    <t>Parity</t>
  </si>
  <si>
    <t>Return</t>
  </si>
  <si>
    <t>Ratio</t>
  </si>
  <si>
    <t>Extra Large General Svc.</t>
  </si>
  <si>
    <t>The total level of revenue requirement assigned to IEP will be updated as a result of any base rate percentage changes approved for Schedule 25 by the WUTC that occur after Docket UE-200900. A Schedule 25 rate factor will be established equal to the Special Contract rate divided by Schedule 25’s final base rate approved in UE-200900, where rates are expressed as rate year revenue divided by rate year MWh. The Special Contract rate change will be equal to the Schedule 25 rate factor times the Schedule 25 rate change. For example, if Avista’s rate request in UE-200900 results in Schedule 25 revenue of $40 million and load of 600,000 MWh, Schedule 25 rates will be $66.67/MWh. If the Special Contract revenue is set at $22 million with a load of 440,000 MWh the Special Contract rate will be $50/MWh, resulting in a rate factor of 0.75. For subsequent base rate changes, the Special Contract rate change under this example will, therefore, be 75 percent of the Schedule 25 $/MWh rate change.</t>
  </si>
  <si>
    <t>Approved - UE- 220053</t>
  </si>
  <si>
    <t>$25.00 Single Phase Service</t>
  </si>
  <si>
    <t>$28.35 Three Phase Service</t>
  </si>
  <si>
    <t>$32.35 Three Phase Service</t>
  </si>
  <si>
    <r>
      <t xml:space="preserve">(1) </t>
    </r>
    <r>
      <rPr>
        <u/>
        <sz val="10"/>
        <rFont val="Arial"/>
        <family val="2"/>
      </rPr>
      <t>Excludes</t>
    </r>
    <r>
      <rPr>
        <sz val="10"/>
        <rFont val="Arial"/>
        <family val="2"/>
      </rPr>
      <t xml:space="preserve"> all present rate adjustments:  Schedule 59 (BPA Residential Exchange), Schedule 61 (IV Funding, Schedule 66 (Insurance), Schedule 75 (Decoupling), </t>
    </r>
  </si>
  <si>
    <r>
      <t>(2) In</t>
    </r>
    <r>
      <rPr>
        <u/>
        <sz val="10"/>
        <rFont val="Arial"/>
        <family val="2"/>
      </rPr>
      <t>cludes</t>
    </r>
    <r>
      <rPr>
        <sz val="10"/>
        <rFont val="Arial"/>
        <family val="2"/>
      </rPr>
      <t xml:space="preserve"> all present rate adjustments:  Schedule 59 (BPA Residential Exchange), Schedule 61 (IV Funding, Schedule 66 (Insurance), Schedule 75 (Decoupling), </t>
    </r>
  </si>
  <si>
    <r>
      <t>(2) In</t>
    </r>
    <r>
      <rPr>
        <u/>
        <sz val="10"/>
        <rFont val="Arial"/>
        <family val="2"/>
      </rPr>
      <t>cludes</t>
    </r>
    <r>
      <rPr>
        <sz val="10"/>
        <rFont val="Arial"/>
        <family val="2"/>
      </rPr>
      <t xml:space="preserve"> all present rate adjustments:  Schedule 59 (BPA Residential Exchange), Schedule 61 (IV Funding, </t>
    </r>
  </si>
  <si>
    <t xml:space="preserve">    Schedule 91 (DSM), Schedule 92 (LIRAP),Schedule 93 (ERM), Schedule 98 (REC Revenue) and Schedule 99 (Colstrip).</t>
  </si>
  <si>
    <t>Unbilled (used billed data)</t>
  </si>
  <si>
    <t>1</t>
  </si>
  <si>
    <t>SCH. 1</t>
  </si>
  <si>
    <t>Schedule 1</t>
  </si>
  <si>
    <t xml:space="preserve">     Schedule 78 (Tax Credit), Schedule 88 (Wildfire), Schedule 91 (DSM), Schedule 92 (LIRAP), Schedule 93 (ERM), Schedule 98 (REC Revenue) and Schedule 99 (Colstrip).</t>
  </si>
  <si>
    <t xml:space="preserve">     Schedule 66 (Insurance), Schedule 75 (Decoupling), Schedule 78 (Tax Credit), Schedule 88 (Wildfire), </t>
  </si>
  <si>
    <t>Schedule 001</t>
  </si>
  <si>
    <t>Use Per Customer</t>
  </si>
  <si>
    <t>Schedule 002</t>
  </si>
  <si>
    <t xml:space="preserve">Schedule 001 </t>
  </si>
  <si>
    <t>Average Annual</t>
  </si>
  <si>
    <t>kWh Usage</t>
  </si>
  <si>
    <t>Average Monthly</t>
  </si>
  <si>
    <t>Colstrip</t>
  </si>
  <si>
    <t>Reduction</t>
  </si>
  <si>
    <t>Schedule 99</t>
  </si>
  <si>
    <t>Residential TOU Service - Schedule 7</t>
  </si>
  <si>
    <t>Off-Peak Morning Discount</t>
  </si>
  <si>
    <t>Residential TOU Morning Discount Service - Schedule 8</t>
  </si>
  <si>
    <t>General TOU Service - Schedule 17</t>
  </si>
  <si>
    <t>General TOU Morning Discount Service - Schedule 18</t>
  </si>
  <si>
    <t>Sch. 99</t>
  </si>
  <si>
    <t>Avg Present</t>
  </si>
  <si>
    <t>Avg Proposed</t>
  </si>
  <si>
    <t>Less: LI</t>
  </si>
  <si>
    <t>Annual UPC</t>
  </si>
  <si>
    <t>Monthly UPC</t>
  </si>
  <si>
    <t>Total Population</t>
  </si>
  <si>
    <t>Sch 13</t>
  </si>
  <si>
    <t>Sch 23</t>
  </si>
  <si>
    <t>Less:  Special Contract Revenue</t>
  </si>
  <si>
    <t>Rate Year 1</t>
  </si>
  <si>
    <t>From Garbarino "Summary" in COS model</t>
  </si>
  <si>
    <t>Includes reallocation of Special Contract Increase</t>
  </si>
  <si>
    <t>*From Cost of Service (Garbarino)</t>
  </si>
  <si>
    <t>Proposed - UE- 240006</t>
  </si>
  <si>
    <t>Schultz</t>
  </si>
  <si>
    <t>Garbarino</t>
  </si>
  <si>
    <t>Open</t>
  </si>
  <si>
    <t>Witness: Dismukes</t>
  </si>
  <si>
    <t>Customer 1</t>
  </si>
  <si>
    <t>Customer 2</t>
  </si>
  <si>
    <t>Customer 3</t>
  </si>
  <si>
    <t>Hypothetical</t>
  </si>
  <si>
    <t>One-Third Less</t>
  </si>
  <si>
    <t>One-Third Greater</t>
  </si>
  <si>
    <t>Typical User</t>
  </si>
  <si>
    <t>Than Typical User</t>
  </si>
  <si>
    <t>Than System Average</t>
  </si>
  <si>
    <t>Average Usage per Month (kWh)</t>
  </si>
  <si>
    <t>Bill Amount</t>
  </si>
  <si>
    <t>Utility Charges - Current Rates</t>
  </si>
  <si>
    <t>Monthly Basic Facilities Charge</t>
  </si>
  <si>
    <t>First 800 kWh</t>
  </si>
  <si>
    <t>Average Monthly Utility Bill Under Existing Rates</t>
  </si>
  <si>
    <t>Utility Charges - Proposed Rates</t>
  </si>
  <si>
    <t>Average Monthly Utility Bill Under Proposed Rates</t>
  </si>
  <si>
    <t>Percent Increase from Existing Rates to Proposed Rates</t>
  </si>
  <si>
    <t>Exhibit DED-8</t>
  </si>
  <si>
    <t>Exhibit DED-8 - Residential Electric Bill Comparison at Different Usage Levels</t>
  </si>
  <si>
    <t>800-1,500 kWh</t>
  </si>
  <si>
    <t>Over 1,500 kWh</t>
  </si>
  <si>
    <t>Prepared by: MD 6/24/2024</t>
  </si>
  <si>
    <t>Source: Exh. JDM-4.</t>
  </si>
  <si>
    <t>Checked by: NA 06/25/2024</t>
  </si>
  <si>
    <t>Dockets UE-240006 and UG-240007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</si>
</sst>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0.000\¢\)"/>
    <numFmt numFmtId="166" formatCode="&quot;$&quot;#,##0.00000_);\(&quot;$&quot;#,##0.00000\)"/>
    <numFmt numFmtId="167" formatCode="&quot;$&quot;#,##0.0000_);\(&quot;$&quot;#,##0.0000\)"/>
    <numFmt numFmtId="168" formatCode="#,##0;\-#,##0;"/>
    <numFmt numFmtId="169" formatCode="_(&quot;$&quot;* #,##0_);_(&quot;$&quot;* \(#,##0\);_(&quot;$&quot;* &quot;-&quot;??_);_(@_)"/>
    <numFmt numFmtId="170" formatCode="&quot;$&quot;#,##0.00"/>
    <numFmt numFmtId="171" formatCode="0.0%"/>
    <numFmt numFmtId="172" formatCode="0.00000"/>
    <numFmt numFmtId="173" formatCode="0.0000"/>
    <numFmt numFmtId="174" formatCode="&quot;$&quot;#,##0.00;\-&quot;$&quot;#,##0.00;"/>
    <numFmt numFmtId="175" formatCode="&quot;$&quot;#,##0;\-&quot;$&quot;#,##0;"/>
    <numFmt numFmtId="176" formatCode="&quot;$&quot;#,##0"/>
    <numFmt numFmtId="177" formatCode=";;;"/>
    <numFmt numFmtId="178" formatCode="#,##0;;"/>
    <numFmt numFmtId="179" formatCode="#,##0.000\¢\ ;\(#,##0.000\¢\);"/>
    <numFmt numFmtId="180" formatCode="&quot;$&quot;#,##0.00000"/>
    <numFmt numFmtId="181" formatCode="0.0%;\-0.0%;"/>
    <numFmt numFmtId="182" formatCode="&quot;$&quot;#,##0.00&quot;/kW &quot;;\-&quot;$&quot;#,##0.00&quot;/kW &quot;;"/>
    <numFmt numFmtId="183" formatCode="&quot;$&quot;#,##0_);\(&quot;$&quot;#,##0\);"/>
    <numFmt numFmtId="184" formatCode="&quot;$&quot;#,##0.00&quot;/kva &quot;;\-&quot;$&quot;#,##0.00&quot;/kva &quot;;"/>
    <numFmt numFmtId="185" formatCode="#,##0_);\(#,##0\);"/>
    <numFmt numFmtId="186" formatCode="0.000%"/>
    <numFmt numFmtId="187" formatCode="&quot;Over&quot;"/>
    <numFmt numFmtId="188" formatCode="mmm\ yy"/>
    <numFmt numFmtId="189" formatCode="#,##0.000_);\(#,##0.000\)"/>
    <numFmt numFmtId="190" formatCode="0.0%;\ \(0.0%\)"/>
    <numFmt numFmtId="191" formatCode="[$-409]mmm/yy;@"/>
    <numFmt numFmtId="192" formatCode="_(&quot;$&quot;* #,##0.00000_);_(&quot;$&quot;* \(#,##0.00000\);_(&quot;$&quot;* &quot;-&quot;??_);_(@_)"/>
    <numFmt numFmtId="193" formatCode="&quot;$&quot;#,##0.000_);\(&quot;$&quot;#,##0.000\)"/>
    <numFmt numFmtId="194" formatCode="[$-409]mmm\-yy;@"/>
    <numFmt numFmtId="195" formatCode="[$-F800]dddd\,\ mmmm\ dd\,\ yyyy"/>
    <numFmt numFmtId="196" formatCode="mmmm\ d\,\ yyyy"/>
    <numFmt numFmtId="197" formatCode="[$-409]mmmm\-yy;@"/>
    <numFmt numFmtId="198" formatCode="#,##0_%_);\(#,##0\)_%;#,##0_%_);@_%_)"/>
    <numFmt numFmtId="199" formatCode="_._.* #,##0.0_)_%;_._.* \(#,##0.0\)_%"/>
    <numFmt numFmtId="200" formatCode="_._.* #,##0.00_)_%;_._.* \(#,##0.00\)_%"/>
    <numFmt numFmtId="201" formatCode="_._.* #,##0.000_)_%;_._.* \(#,##0.000\)_%"/>
    <numFmt numFmtId="202" formatCode="_(* #,##0.00_);_(* \(\ #,##0.00\ \);_(* &quot;-&quot;??_);_(\ @_ \)"/>
    <numFmt numFmtId="203" formatCode="_._.* #,##0_)_%;_._.* #,##0_)_%;_._.* 0_)_%;_._.@_)_%"/>
    <numFmt numFmtId="204" formatCode="_._.&quot;$&quot;* #,##0.0_)_%;_._.&quot;$&quot;* \(#,##0.0\)_%"/>
    <numFmt numFmtId="205" formatCode="_._.&quot;$&quot;* #,##0.00_)_%;_._.&quot;$&quot;* \(#,##0.00\)_%"/>
    <numFmt numFmtId="206" formatCode="_._.&quot;$&quot;* #,##0.000_)_%;_._.&quot;$&quot;* \(#,##0.000\)_%"/>
    <numFmt numFmtId="207" formatCode="_._.&quot;$&quot;* #,###_)_%;_._.&quot;$&quot;* #,###_)_%;_._.&quot;$&quot;* 0_)_%;_._.@_)_%"/>
    <numFmt numFmtId="208" formatCode="#,###,##0.00;\(#,###,##0.00\)"/>
    <numFmt numFmtId="209" formatCode="#,###,##0;\(#,###,##0\)"/>
    <numFmt numFmtId="210" formatCode="0.0"/>
    <numFmt numFmtId="211" formatCode="_(&quot;$&quot;* #,##0.0_);_(&quot;$&quot;* \(#,##0.0\);_(&quot;$&quot;* &quot;-&quot;??_);_(@_)"/>
    <numFmt numFmtId="212" formatCode="&quot;$&quot;#,###,##0.00;\(&quot;$&quot;#,###,##0.00\)"/>
    <numFmt numFmtId="213" formatCode="&quot;$&quot;#,###,##0;\(&quot;$&quot;#,###,##0\)"/>
    <numFmt numFmtId="214" formatCode="#,##0.00%;\(#,##0.00%\)"/>
    <numFmt numFmtId="215" formatCode="_(0_)%;\(0\)%"/>
    <numFmt numFmtId="216" formatCode="_._._(* 0_)%;_._.* \(0\)%"/>
    <numFmt numFmtId="217" formatCode="_(0.0_)%;\(0.0\)%"/>
    <numFmt numFmtId="218" formatCode="_._._(* 0.0_)%;_._.* \(0.0\)%"/>
    <numFmt numFmtId="219" formatCode="_(0.00_)%;\(0.00\)%"/>
    <numFmt numFmtId="220" formatCode="_._._(* 0.00_)%;_._.* \(0.00\)%"/>
    <numFmt numFmtId="221" formatCode="_(0.000_)%;\(0.000\)%"/>
    <numFmt numFmtId="222" formatCode="_._._(* 0.000_)%;_._.* \(0.000\)%"/>
    <numFmt numFmtId="223" formatCode="_(0.0000_)%;\(0.0000\)%"/>
    <numFmt numFmtId="224" formatCode="_._._(* 0.0000_)%;_._.* \(0.0000\)%"/>
    <numFmt numFmtId="225" formatCode="_(* #,##0_);_(* \(#,##0\);_(* 0_);_(@_)"/>
    <numFmt numFmtId="226" formatCode="_(* #,##0.0_);_(* \(#,##0.0\)"/>
    <numFmt numFmtId="227" formatCode="_(* #,##0.00_);_(* \(#,##0.00\)"/>
    <numFmt numFmtId="228" formatCode="_(* #,##0.000_);_(* \(#,##0.000\)"/>
    <numFmt numFmtId="229" formatCode="_(&quot;$&quot;* #,##0_);_(&quot;$&quot;* \(#,##0\);_(&quot;$&quot;* 0_);_(@_)"/>
    <numFmt numFmtId="230" formatCode="_(&quot;$&quot;* #,##0.0_);_(&quot;$&quot;* \(#,##0.0\)"/>
    <numFmt numFmtId="231" formatCode="_(&quot;$&quot;* #,##0.00_);_(&quot;$&quot;* \(#,##0.00\)"/>
    <numFmt numFmtId="232" formatCode="_(&quot;$&quot;* #,##0.000_);_(&quot;$&quot;* \(#,##0.000\)"/>
    <numFmt numFmtId="233" formatCode="#,##0.0_x_x"/>
    <numFmt numFmtId="234" formatCode="&quot;$&quot;#,##0\ ;\(&quot;$&quot;#,##0\)"/>
    <numFmt numFmtId="235" formatCode="#,##0.000000"/>
    <numFmt numFmtId="236" formatCode="0.0000000"/>
    <numFmt numFmtId="237" formatCode="0.0000%"/>
    <numFmt numFmtId="238" formatCode="0.000"/>
    <numFmt numFmtId="239" formatCode="_(&quot;$&quot;* #,##0.00_);_(&quot;$&quot;* \(#,##0.00\);_(&quot;$&quot;* &quot;-&quot;?????_);_(@_)"/>
    <numFmt numFmtId="240" formatCode="_(&quot;$&quot;* #,##0.00000_);_(&quot;$&quot;* \(#,##0.00000\);_(&quot;$&quot;* &quot;-&quot;?????_);_(@_)"/>
  </numFmts>
  <fonts count="1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Geneva"/>
    </font>
    <font>
      <b/>
      <sz val="8"/>
      <name val="Courier"/>
      <family val="3"/>
    </font>
    <font>
      <u/>
      <sz val="8"/>
      <name val="Geneva"/>
    </font>
    <font>
      <b/>
      <sz val="8"/>
      <name val="Geneva"/>
    </font>
    <font>
      <sz val="8"/>
      <color indexed="12"/>
      <name val="Geneva"/>
    </font>
    <font>
      <sz val="8"/>
      <name val="Arial"/>
      <family val="2"/>
    </font>
    <font>
      <sz val="10"/>
      <color indexed="8"/>
      <name val="Times New Roman"/>
      <family val="1"/>
    </font>
    <font>
      <sz val="9"/>
      <name val="Geneva"/>
    </font>
    <font>
      <b/>
      <sz val="9"/>
      <name val="Geneva"/>
    </font>
    <font>
      <u/>
      <sz val="9"/>
      <name val="Geneva"/>
    </font>
    <font>
      <u val="singleAccounting"/>
      <sz val="9"/>
      <name val="Geneva"/>
    </font>
    <font>
      <b/>
      <u val="singleAccounting"/>
      <sz val="9"/>
      <name val="Geneva"/>
    </font>
    <font>
      <b/>
      <u/>
      <sz val="9"/>
      <name val="Geneva"/>
    </font>
    <font>
      <b/>
      <sz val="10"/>
      <name val="Arial"/>
      <family val="2"/>
    </font>
    <font>
      <sz val="8"/>
      <color indexed="81"/>
      <name val="Tahoma"/>
      <family val="2"/>
    </font>
    <font>
      <b/>
      <sz val="10"/>
      <name val="Geneva"/>
    </font>
    <font>
      <u/>
      <sz val="10"/>
      <name val="Geneva"/>
    </font>
    <font>
      <sz val="10"/>
      <name val="Arial"/>
      <family val="2"/>
    </font>
    <font>
      <u val="singleAccounting"/>
      <sz val="10"/>
      <name val="Arial"/>
      <family val="2"/>
    </font>
    <font>
      <b/>
      <sz val="12"/>
      <name val="Arial"/>
      <family val="2"/>
    </font>
    <font>
      <b/>
      <sz val="11"/>
      <name val="Arial"/>
      <family val="2"/>
    </font>
    <font>
      <sz val="11"/>
      <name val="Arial"/>
      <family val="2"/>
    </font>
    <font>
      <u/>
      <sz val="10"/>
      <name val="Arial"/>
      <family val="2"/>
    </font>
    <font>
      <sz val="10"/>
      <name val="Times New Roman"/>
      <family val="1"/>
    </font>
    <font>
      <sz val="10"/>
      <color indexed="39"/>
      <name val="Arial"/>
      <family val="2"/>
    </font>
    <font>
      <sz val="8"/>
      <color indexed="39"/>
      <name val="Geneva"/>
    </font>
    <font>
      <sz val="9"/>
      <color indexed="39"/>
      <name val="Geneva"/>
    </font>
    <font>
      <b/>
      <sz val="9"/>
      <name val="Arial"/>
      <family val="2"/>
    </font>
    <font>
      <b/>
      <u/>
      <sz val="10"/>
      <name val="Arial"/>
      <family val="2"/>
    </font>
    <font>
      <u/>
      <sz val="10"/>
      <name val="Arial"/>
      <family val="2"/>
    </font>
    <font>
      <sz val="11"/>
      <color indexed="81"/>
      <name val="Tahoma"/>
      <family val="2"/>
    </font>
    <font>
      <sz val="10"/>
      <color indexed="12"/>
      <name val="Arial"/>
      <family val="2"/>
    </font>
    <font>
      <sz val="10"/>
      <color indexed="12"/>
      <name val="Arial"/>
      <family val="2"/>
    </font>
    <font>
      <b/>
      <sz val="10"/>
      <color indexed="12"/>
      <name val="Arial"/>
      <family val="2"/>
    </font>
    <font>
      <sz val="10"/>
      <name val="Symbol"/>
      <family val="1"/>
      <charset val="2"/>
    </font>
    <font>
      <u/>
      <sz val="10"/>
      <name val="Symbol"/>
      <family val="1"/>
      <charset val="2"/>
    </font>
    <font>
      <b/>
      <sz val="10"/>
      <color indexed="10"/>
      <name val="Arial"/>
      <family val="2"/>
    </font>
    <font>
      <b/>
      <sz val="8"/>
      <color indexed="12"/>
      <name val="Geneva"/>
    </font>
    <font>
      <u val="doubleAccounting"/>
      <sz val="10"/>
      <name val="Arial"/>
      <family val="2"/>
    </font>
    <font>
      <sz val="10"/>
      <color indexed="10"/>
      <name val="Arial"/>
      <family val="2"/>
    </font>
    <font>
      <sz val="8"/>
      <color indexed="10"/>
      <name val="Geneva"/>
    </font>
    <font>
      <b/>
      <i/>
      <sz val="10"/>
      <name val="Arial"/>
      <family val="2"/>
    </font>
    <font>
      <sz val="10"/>
      <color indexed="8"/>
      <name val="Arial"/>
      <family val="2"/>
    </font>
    <font>
      <u val="doubleAccounting"/>
      <sz val="10"/>
      <color indexed="12"/>
      <name val="Arial"/>
      <family val="2"/>
    </font>
    <font>
      <b/>
      <sz val="8"/>
      <color indexed="10"/>
      <name val="Geneva"/>
    </font>
    <font>
      <sz val="10"/>
      <color rgb="FF0000FF"/>
      <name val="Arial"/>
      <family val="2"/>
    </font>
    <font>
      <b/>
      <sz val="8"/>
      <color indexed="81"/>
      <name val="Tahoma"/>
      <family val="2"/>
    </font>
    <font>
      <sz val="8"/>
      <color rgb="FF0000FF"/>
      <name val="Geneva"/>
    </font>
    <font>
      <sz val="10"/>
      <name val="Geneva"/>
    </font>
    <font>
      <sz val="9"/>
      <color rgb="FF0000FF"/>
      <name val="Geneva"/>
    </font>
    <font>
      <u val="singleAccounting"/>
      <sz val="9"/>
      <color indexed="39"/>
      <name val="Geneva"/>
    </font>
    <font>
      <u val="singleAccounting"/>
      <sz val="9"/>
      <color rgb="FF0000FF"/>
      <name val="Geneva"/>
    </font>
    <font>
      <sz val="12"/>
      <name val="Arial"/>
      <family val="2"/>
    </font>
    <font>
      <sz val="11"/>
      <color indexed="8"/>
      <name val="Calibri"/>
      <family val="2"/>
    </font>
    <font>
      <sz val="12"/>
      <color theme="1"/>
      <name val="Times New Roman"/>
      <family val="2"/>
    </font>
    <font>
      <sz val="12"/>
      <name val="Times New Roman"/>
      <family val="1"/>
    </font>
    <font>
      <sz val="8"/>
      <color indexed="56"/>
      <name val="Arial"/>
      <family val="2"/>
    </font>
    <font>
      <sz val="10"/>
      <name val="MS Sans Serif"/>
      <family val="2"/>
    </font>
    <font>
      <b/>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color theme="6" tint="-0.249977111117893"/>
      <name val="Arial"/>
      <family val="2"/>
    </font>
    <font>
      <sz val="12"/>
      <color indexed="10"/>
      <name val="Times New Roman"/>
      <family val="1"/>
    </font>
    <font>
      <sz val="10"/>
      <color theme="1"/>
      <name val="Arial"/>
      <family val="2"/>
    </font>
    <font>
      <sz val="10"/>
      <color indexed="60"/>
      <name val="Arial"/>
      <family val="2"/>
    </font>
    <font>
      <b/>
      <sz val="14"/>
      <name val="Arial"/>
      <family val="2"/>
    </font>
    <font>
      <sz val="8"/>
      <color rgb="FF00B050"/>
      <name val="Geneva"/>
    </font>
    <font>
      <sz val="8"/>
      <color theme="1"/>
      <name val="Calibri"/>
      <family val="2"/>
      <scheme val="minor"/>
    </font>
    <font>
      <sz val="9"/>
      <name val="Courier"/>
      <family val="3"/>
    </font>
    <font>
      <sz val="9"/>
      <color indexed="81"/>
      <name val="Tahoma"/>
      <family val="2"/>
    </font>
    <font>
      <b/>
      <sz val="9"/>
      <color indexed="81"/>
      <name val="Tahoma"/>
      <family val="2"/>
    </font>
    <font>
      <b/>
      <sz val="11"/>
      <color theme="3"/>
      <name val="Calibri"/>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1"/>
      <color indexed="9"/>
      <name val="Calibri"/>
      <family val="2"/>
    </font>
    <font>
      <sz val="10"/>
      <color indexed="9"/>
      <name val="Arial"/>
      <family val="2"/>
    </font>
    <font>
      <sz val="11"/>
      <color indexed="20"/>
      <name val="Calibri"/>
      <family val="2"/>
      <scheme val="minor"/>
    </font>
    <font>
      <sz val="11"/>
      <color indexed="20"/>
      <name val="Calibri"/>
      <family val="2"/>
    </font>
    <font>
      <b/>
      <sz val="11"/>
      <color indexed="52"/>
      <name val="Calibri"/>
      <family val="2"/>
    </font>
    <font>
      <b/>
      <sz val="8"/>
      <name val="Arial"/>
      <family val="2"/>
    </font>
    <font>
      <b/>
      <sz val="11"/>
      <color indexed="9"/>
      <name val="Calibri"/>
      <family val="2"/>
    </font>
    <font>
      <b/>
      <sz val="9.75"/>
      <name val="Abadi MT Condensed"/>
      <family val="2"/>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trike/>
      <sz val="10"/>
      <name val="Arial"/>
      <family val="2"/>
    </font>
    <font>
      <strike/>
      <sz val="10"/>
      <color indexed="39"/>
      <name val="Arial"/>
      <family val="2"/>
    </font>
    <font>
      <strike/>
      <sz val="10"/>
      <color rgb="FF0000FF"/>
      <name val="Arial"/>
      <family val="2"/>
    </font>
    <font>
      <strike/>
      <sz val="10"/>
      <color rgb="FFFF0000"/>
      <name val="Arial"/>
      <family val="2"/>
    </font>
    <font>
      <strike/>
      <u/>
      <sz val="10"/>
      <name val="Arial"/>
      <family val="2"/>
    </font>
    <font>
      <sz val="8"/>
      <color rgb="FF333333"/>
      <name val="Arial"/>
      <family val="2"/>
    </font>
    <font>
      <sz val="8"/>
      <color rgb="FF454545"/>
      <name val="Arial"/>
      <family val="2"/>
    </font>
    <font>
      <b/>
      <sz val="8"/>
      <color rgb="FF444444"/>
      <name val="Arial"/>
      <family val="2"/>
    </font>
    <font>
      <b/>
      <sz val="8"/>
      <color rgb="FF31455E"/>
      <name val="Arial"/>
      <family val="2"/>
    </font>
    <font>
      <b/>
      <sz val="8"/>
      <color rgb="FF222222"/>
      <name val="Arial"/>
      <family val="2"/>
    </font>
    <font>
      <sz val="11"/>
      <color rgb="FF0000FF"/>
      <name val="Calibri"/>
      <family val="2"/>
      <scheme val="minor"/>
    </font>
    <font>
      <sz val="11"/>
      <name val="Calibri"/>
      <family val="2"/>
      <scheme val="minor"/>
    </font>
    <font>
      <sz val="10"/>
      <color rgb="FFFF0000"/>
      <name val="Arial"/>
      <family val="2"/>
    </font>
    <font>
      <sz val="9"/>
      <color rgb="FFFF0000"/>
      <name val="Geneva"/>
    </font>
    <font>
      <sz val="8"/>
      <color rgb="FFFF0000"/>
      <name val="Geneva"/>
    </font>
    <font>
      <b/>
      <sz val="10"/>
      <color rgb="FF0000FF"/>
      <name val="Arial"/>
      <family val="2"/>
    </font>
    <font>
      <b/>
      <u/>
      <sz val="12"/>
      <name val="Arial"/>
      <family val="2"/>
    </font>
    <font>
      <sz val="12"/>
      <color rgb="FF0000FF"/>
      <name val="Arial"/>
      <family val="2"/>
    </font>
    <font>
      <b/>
      <sz val="10"/>
      <color theme="1"/>
      <name val="Arial"/>
      <family val="2"/>
    </font>
    <font>
      <b/>
      <sz val="10"/>
      <color theme="0"/>
      <name val="Arial"/>
      <family val="2"/>
    </font>
    <font>
      <b/>
      <u/>
      <sz val="10"/>
      <color theme="1"/>
      <name val="Arial"/>
      <family val="2"/>
    </font>
  </fonts>
  <fills count="8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mediumGray">
        <fgColor indexed="22"/>
      </patternFill>
    </fill>
    <fill>
      <patternFill patternType="solid">
        <fgColor indexed="5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rgb="FFE7E5E5"/>
      </patternFill>
    </fill>
    <fill>
      <patternFill patternType="solid">
        <fgColor rgb="FFDEE6F2"/>
      </patternFill>
    </fill>
    <fill>
      <patternFill patternType="solid">
        <fgColor rgb="FFBDDAF3"/>
      </patternFill>
    </fill>
    <fill>
      <patternFill patternType="solid">
        <fgColor rgb="FFBBDCFD"/>
      </patternFill>
    </fill>
    <fill>
      <patternFill patternType="solid">
        <fgColor rgb="FF99CCFF"/>
      </patternFill>
    </fill>
    <fill>
      <patternFill patternType="solid">
        <fgColor rgb="FFFFC000"/>
        <bgColor indexed="64"/>
      </patternFill>
    </fill>
    <fill>
      <patternFill patternType="solid">
        <fgColor rgb="FF1C230F"/>
        <bgColor indexed="64"/>
      </patternFill>
    </fill>
  </fills>
  <borders count="8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right style="medium">
        <color indexed="64"/>
      </right>
      <top/>
      <bottom style="medium">
        <color indexed="64"/>
      </bottom>
      <diagonal/>
    </border>
    <border>
      <left/>
      <right style="medium">
        <color indexed="64"/>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bottom style="medium">
        <color rgb="FFEFEFEF"/>
      </bottom>
      <diagonal/>
    </border>
    <border>
      <left style="medium">
        <color rgb="FFD5D5D5"/>
      </left>
      <right style="medium">
        <color rgb="FFD5D5D5"/>
      </right>
      <top/>
      <bottom style="medium">
        <color rgb="FFD5D5D5"/>
      </bottom>
      <diagonal/>
    </border>
    <border>
      <left style="medium">
        <color rgb="FFC0C0C0"/>
      </left>
      <right style="medium">
        <color rgb="FFC0C0C0"/>
      </right>
      <top/>
      <bottom/>
      <diagonal/>
    </border>
    <border>
      <left style="medium">
        <color rgb="FF93B1CD"/>
      </left>
      <right style="medium">
        <color rgb="FF93B1CD"/>
      </right>
      <top/>
      <bottom style="medium">
        <color rgb="FF93B1CD"/>
      </bottom>
      <diagonal/>
    </border>
    <border>
      <left/>
      <right/>
      <top/>
      <bottom style="medium">
        <color rgb="FF93B1CD"/>
      </bottom>
      <diagonal/>
    </border>
    <border>
      <left/>
      <right style="medium">
        <color rgb="FF93B1CD"/>
      </right>
      <top/>
      <bottom style="medium">
        <color rgb="FF93B1CD"/>
      </bottom>
      <diagonal/>
    </border>
    <border>
      <left style="medium">
        <color rgb="FFE1E6EC"/>
      </left>
      <right style="medium">
        <color rgb="FFE1E6EC"/>
      </right>
      <top/>
      <bottom style="medium">
        <color rgb="FFE1E6EC"/>
      </bottom>
      <diagonal/>
    </border>
    <border>
      <left style="medium">
        <color rgb="FFC0C0C0"/>
      </left>
      <right style="medium">
        <color rgb="FFC0C0C0"/>
      </right>
      <top style="medium">
        <color rgb="FFC0C0C0"/>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bottom/>
      <diagonal/>
    </border>
    <border>
      <left style="thin">
        <color indexed="8"/>
      </left>
      <right style="thin">
        <color indexed="8"/>
      </right>
      <top/>
      <bottom/>
      <diagonal/>
    </border>
    <border>
      <left/>
      <right style="thin">
        <color indexed="8"/>
      </right>
      <top/>
      <bottom/>
      <diagonal/>
    </border>
    <border>
      <left/>
      <right style="medium">
        <color indexed="8"/>
      </right>
      <top/>
      <bottom/>
      <diagonal/>
    </border>
    <border>
      <left style="medium">
        <color indexed="8"/>
      </left>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right style="thin">
        <color indexed="8"/>
      </right>
      <top style="double">
        <color indexed="8"/>
      </top>
      <bottom style="medium">
        <color indexed="8"/>
      </bottom>
      <diagonal/>
    </border>
    <border>
      <left/>
      <right style="medium">
        <color indexed="8"/>
      </right>
      <top style="double">
        <color indexed="8"/>
      </top>
      <bottom style="medium">
        <color indexed="8"/>
      </bottom>
      <diagonal/>
    </border>
    <border>
      <left/>
      <right/>
      <top style="double">
        <color indexed="8"/>
      </top>
      <bottom style="medium">
        <color indexed="8"/>
      </bottom>
      <diagonal/>
    </border>
    <border>
      <left style="thin">
        <color indexed="8"/>
      </left>
      <right style="thin">
        <color indexed="8"/>
      </right>
      <top style="medium">
        <color indexed="64"/>
      </top>
      <bottom/>
      <diagonal/>
    </border>
    <border>
      <left style="thin">
        <color indexed="8"/>
      </left>
      <right style="thin">
        <color indexed="8"/>
      </right>
      <top/>
      <bottom style="medium">
        <color indexed="64"/>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style="thin">
        <color indexed="64"/>
      </left>
      <right/>
      <top/>
      <bottom style="double">
        <color indexed="64"/>
      </bottom>
      <diagonal/>
    </border>
    <border>
      <left/>
      <right style="thin">
        <color indexed="64"/>
      </right>
      <top/>
      <bottom style="double">
        <color indexed="64"/>
      </bottom>
      <diagonal/>
    </border>
  </borders>
  <cellStyleXfs count="43230">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alignment readingOrder="1"/>
    </xf>
    <xf numFmtId="0" fontId="58" fillId="0" borderId="0"/>
    <xf numFmtId="40" fontId="58" fillId="0" borderId="0" applyFont="0" applyFill="0" applyBorder="0" applyAlignment="0" applyProtection="0"/>
    <xf numFmtId="8" fontId="58" fillId="0" borderId="0" applyFont="0" applyFill="0" applyBorder="0" applyAlignment="0" applyProtection="0"/>
    <xf numFmtId="9" fontId="58" fillId="0" borderId="0" applyFont="0" applyFill="0" applyBorder="0" applyAlignment="0" applyProtection="0"/>
    <xf numFmtId="41"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33" fillId="0" borderId="0"/>
    <xf numFmtId="43" fontId="9"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43" fontId="62" fillId="0" borderId="0" applyFont="0" applyFill="0" applyBorder="0" applyAlignment="0" applyProtection="0"/>
    <xf numFmtId="44" fontId="9" fillId="0" borderId="0" applyFont="0" applyFill="0" applyBorder="0" applyAlignment="0" applyProtection="0"/>
    <xf numFmtId="44" fontId="62" fillId="0" borderId="0" applyFont="0" applyFill="0" applyBorder="0" applyAlignment="0" applyProtection="0"/>
    <xf numFmtId="44" fontId="33" fillId="0" borderId="0" applyFont="0" applyFill="0" applyBorder="0" applyAlignment="0" applyProtection="0"/>
    <xf numFmtId="44" fontId="9" fillId="0" borderId="0" applyFont="0" applyFill="0" applyBorder="0" applyAlignment="0" applyProtection="0"/>
    <xf numFmtId="0" fontId="62" fillId="0" borderId="0"/>
    <xf numFmtId="0" fontId="63" fillId="0" borderId="0"/>
    <xf numFmtId="0" fontId="33" fillId="0" borderId="0"/>
    <xf numFmtId="0" fontId="62" fillId="0" borderId="0"/>
    <xf numFmtId="0" fontId="33" fillId="0" borderId="0"/>
    <xf numFmtId="0" fontId="9" fillId="0" borderId="0"/>
    <xf numFmtId="0" fontId="9" fillId="0" borderId="0"/>
    <xf numFmtId="0" fontId="64" fillId="0" borderId="0"/>
    <xf numFmtId="0" fontId="9" fillId="0" borderId="0"/>
    <xf numFmtId="9" fontId="33" fillId="0" borderId="0" applyFont="0" applyFill="0" applyBorder="0" applyAlignment="0" applyProtection="0"/>
    <xf numFmtId="9" fontId="65" fillId="0" borderId="0" applyFont="0" applyFill="0" applyBorder="0" applyAlignment="0" applyProtection="0"/>
    <xf numFmtId="9" fontId="9" fillId="0" borderId="0" applyFont="0" applyFill="0" applyBorder="0" applyAlignment="0" applyProtection="0"/>
    <xf numFmtId="9" fontId="62" fillId="0" borderId="0" applyFont="0" applyFill="0" applyBorder="0" applyAlignment="0" applyProtection="0"/>
    <xf numFmtId="38" fontId="66" fillId="0" borderId="0" applyNumberFormat="0" applyFont="0" applyFill="0" applyBorder="0">
      <alignment horizontal="left" indent="4"/>
      <protection locked="0"/>
    </xf>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68" fillId="0" borderId="3">
      <alignment horizontal="center"/>
    </xf>
    <xf numFmtId="3" fontId="67" fillId="0" borderId="0" applyFont="0" applyFill="0" applyBorder="0" applyAlignment="0" applyProtection="0"/>
    <xf numFmtId="0" fontId="67" fillId="12" borderId="0" applyNumberFormat="0" applyFont="0" applyBorder="0" applyAlignment="0" applyProtection="0"/>
    <xf numFmtId="164" fontId="62" fillId="2" borderId="0" applyFont="0" applyFill="0" applyBorder="0" applyAlignment="0" applyProtection="0">
      <alignment wrapText="1"/>
    </xf>
    <xf numFmtId="0" fontId="9" fillId="13" borderId="0" applyNumberFormat="0" applyFont="0" applyFill="0" applyBorder="0" applyAlignment="0" applyProtection="0"/>
    <xf numFmtId="0" fontId="69" fillId="0" borderId="0" applyNumberFormat="0" applyFill="0" applyBorder="0" applyAlignment="0" applyProtection="0"/>
    <xf numFmtId="0" fontId="70" fillId="0" borderId="16" applyNumberFormat="0" applyFill="0" applyAlignment="0" applyProtection="0"/>
    <xf numFmtId="0" fontId="71" fillId="0" borderId="17" applyNumberFormat="0" applyFill="0" applyAlignment="0" applyProtection="0"/>
    <xf numFmtId="0" fontId="72" fillId="0" borderId="18" applyNumberFormat="0" applyFill="0" applyAlignment="0" applyProtection="0"/>
    <xf numFmtId="0" fontId="72" fillId="0" borderId="0" applyNumberFormat="0" applyFill="0" applyBorder="0" applyAlignment="0" applyProtection="0"/>
    <xf numFmtId="0" fontId="73" fillId="14" borderId="0" applyNumberFormat="0" applyBorder="0" applyAlignment="0" applyProtection="0"/>
    <xf numFmtId="0" fontId="74" fillId="15" borderId="0" applyNumberFormat="0" applyBorder="0" applyAlignment="0" applyProtection="0"/>
    <xf numFmtId="0" fontId="75" fillId="16" borderId="0" applyNumberFormat="0" applyBorder="0" applyAlignment="0" applyProtection="0"/>
    <xf numFmtId="0" fontId="76" fillId="17" borderId="19" applyNumberFormat="0" applyAlignment="0" applyProtection="0"/>
    <xf numFmtId="0" fontId="77" fillId="18" borderId="20" applyNumberFormat="0" applyAlignment="0" applyProtection="0"/>
    <xf numFmtId="0" fontId="78" fillId="18" borderId="19" applyNumberFormat="0" applyAlignment="0" applyProtection="0"/>
    <xf numFmtId="0" fontId="79" fillId="0" borderId="21" applyNumberFormat="0" applyFill="0" applyAlignment="0" applyProtection="0"/>
    <xf numFmtId="0" fontId="80" fillId="19" borderId="22"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4" fillId="40" borderId="0" applyNumberFormat="0" applyBorder="0" applyAlignment="0" applyProtection="0"/>
    <xf numFmtId="0" fontId="84"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4" fillId="44" borderId="0" applyNumberFormat="0" applyBorder="0" applyAlignment="0" applyProtection="0"/>
    <xf numFmtId="0" fontId="9"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85" fillId="0" borderId="0"/>
    <xf numFmtId="43" fontId="62" fillId="0" borderId="0" applyFont="0" applyFill="0" applyBorder="0" applyAlignment="0" applyProtection="0"/>
    <xf numFmtId="44" fontId="62" fillId="0" borderId="0" applyFont="0" applyFill="0" applyBorder="0" applyAlignment="0" applyProtection="0"/>
    <xf numFmtId="9" fontId="33" fillId="0" borderId="0" applyFont="0" applyFill="0" applyBorder="0" applyAlignment="0" applyProtection="0"/>
    <xf numFmtId="0" fontId="7" fillId="0" borderId="0"/>
    <xf numFmtId="43" fontId="7" fillId="0" borderId="0" applyFont="0" applyFill="0" applyBorder="0" applyAlignment="0" applyProtection="0"/>
    <xf numFmtId="0" fontId="9" fillId="0" borderId="0"/>
    <xf numFmtId="43" fontId="7"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65" fillId="0" borderId="0"/>
    <xf numFmtId="0" fontId="87" fillId="4"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8" fillId="0" borderId="0"/>
    <xf numFmtId="9" fontId="9" fillId="0" borderId="0" applyFont="0" applyFill="0" applyBorder="0" applyAlignment="0" applyProtection="0"/>
    <xf numFmtId="0" fontId="58" fillId="0" borderId="0"/>
    <xf numFmtId="9" fontId="58" fillId="0" borderId="0" applyFont="0" applyFill="0" applyBorder="0" applyAlignment="0" applyProtection="0"/>
    <xf numFmtId="43" fontId="58" fillId="0" borderId="0" applyFont="0" applyFill="0" applyBorder="0" applyAlignment="0" applyProtection="0"/>
    <xf numFmtId="9" fontId="9" fillId="0" borderId="0" applyFont="0" applyFill="0" applyBorder="0" applyAlignment="0" applyProtection="0"/>
    <xf numFmtId="0" fontId="88" fillId="0" borderId="0"/>
    <xf numFmtId="9" fontId="88"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3" fontId="9" fillId="45" borderId="0" applyFont="0" applyFill="0" applyBorder="0" applyAlignment="0" applyProtection="0"/>
    <xf numFmtId="5" fontId="9" fillId="45" borderId="0" applyFont="0" applyFill="0" applyBorder="0" applyAlignment="0" applyProtection="0"/>
    <xf numFmtId="0" fontId="9" fillId="45" borderId="0" applyFont="0" applyFill="0" applyBorder="0" applyAlignment="0" applyProtection="0"/>
    <xf numFmtId="2" fontId="9" fillId="45" borderId="0" applyFont="0" applyFill="0" applyBorder="0" applyAlignment="0" applyProtection="0"/>
    <xf numFmtId="41" fontId="89" fillId="2" borderId="25">
      <alignment horizontal="left"/>
      <protection locked="0"/>
    </xf>
    <xf numFmtId="0" fontId="33" fillId="0" borderId="0"/>
    <xf numFmtId="44" fontId="33" fillId="0" borderId="0" applyFont="0" applyFill="0" applyBorder="0" applyAlignment="0" applyProtection="0"/>
    <xf numFmtId="44" fontId="9" fillId="0" borderId="0" applyFont="0" applyFill="0" applyBorder="0" applyAlignment="0" applyProtection="0"/>
    <xf numFmtId="9" fontId="58" fillId="0" borderId="0" applyFont="0" applyFill="0" applyBorder="0" applyAlignment="0" applyProtection="0"/>
    <xf numFmtId="9" fontId="88" fillId="0" borderId="0" applyFont="0" applyFill="0" applyBorder="0" applyAlignment="0" applyProtection="0"/>
    <xf numFmtId="43" fontId="58" fillId="0" borderId="0" applyFont="0" applyFill="0" applyBorder="0" applyAlignment="0" applyProtection="0"/>
    <xf numFmtId="0" fontId="88" fillId="0" borderId="0"/>
    <xf numFmtId="44" fontId="9" fillId="0" borderId="0" applyFont="0" applyFill="0" applyBorder="0" applyAlignment="0" applyProtection="0"/>
    <xf numFmtId="9" fontId="88"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0" fontId="88" fillId="0" borderId="0"/>
    <xf numFmtId="9"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9" fontId="33" fillId="0" borderId="0" applyFont="0" applyFill="0" applyBorder="0" applyAlignment="0" applyProtection="0"/>
    <xf numFmtId="0" fontId="58" fillId="0" borderId="0"/>
    <xf numFmtId="44" fontId="9" fillId="0" borderId="0" applyFont="0" applyFill="0" applyBorder="0" applyAlignment="0" applyProtection="0"/>
    <xf numFmtId="9" fontId="33" fillId="0" borderId="0" applyFont="0" applyFill="0" applyBorder="0" applyAlignment="0" applyProtection="0"/>
    <xf numFmtId="43" fontId="9" fillId="0" borderId="0" applyFont="0" applyFill="0" applyBorder="0" applyAlignment="0" applyProtection="0"/>
    <xf numFmtId="9" fontId="88" fillId="0" borderId="0" applyFont="0" applyFill="0" applyBorder="0" applyAlignment="0" applyProtection="0"/>
    <xf numFmtId="44" fontId="9" fillId="0" borderId="0" applyFont="0" applyFill="0" applyBorder="0" applyAlignment="0" applyProtection="0"/>
    <xf numFmtId="0" fontId="33" fillId="0" borderId="0"/>
    <xf numFmtId="9" fontId="8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88" fillId="0" borderId="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58"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43" fontId="58" fillId="0" borderId="0" applyFont="0" applyFill="0" applyBorder="0" applyAlignment="0" applyProtection="0"/>
    <xf numFmtId="9" fontId="88" fillId="0" borderId="0" applyFont="0" applyFill="0" applyBorder="0" applyAlignment="0" applyProtection="0"/>
    <xf numFmtId="0" fontId="33" fillId="0" borderId="0"/>
    <xf numFmtId="44" fontId="33" fillId="0" borderId="0" applyFont="0" applyFill="0" applyBorder="0" applyAlignment="0" applyProtection="0"/>
    <xf numFmtId="9" fontId="9" fillId="0" borderId="0" applyFont="0" applyFill="0" applyBorder="0" applyAlignment="0" applyProtection="0"/>
    <xf numFmtId="0" fontId="33" fillId="0" borderId="0"/>
    <xf numFmtId="44" fontId="33" fillId="0" borderId="0" applyFont="0" applyFill="0" applyBorder="0" applyAlignment="0" applyProtection="0"/>
    <xf numFmtId="0" fontId="88" fillId="0" borderId="0"/>
    <xf numFmtId="9" fontId="58" fillId="0" borderId="0" applyFont="0" applyFill="0" applyBorder="0" applyAlignment="0" applyProtection="0"/>
    <xf numFmtId="0" fontId="58" fillId="0" borderId="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88" fillId="0" borderId="0" applyFont="0" applyFill="0" applyBorder="0" applyAlignment="0" applyProtection="0"/>
    <xf numFmtId="43" fontId="33"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0" fontId="88" fillId="0" borderId="0"/>
    <xf numFmtId="44" fontId="9" fillId="0" borderId="0" applyFont="0" applyFill="0" applyBorder="0" applyAlignment="0" applyProtection="0"/>
    <xf numFmtId="0" fontId="88" fillId="0" borderId="0"/>
    <xf numFmtId="0" fontId="88" fillId="0" borderId="0"/>
    <xf numFmtId="44" fontId="9" fillId="0" borderId="0" applyFont="0" applyFill="0" applyBorder="0" applyAlignment="0" applyProtection="0"/>
    <xf numFmtId="0" fontId="7" fillId="0" borderId="0"/>
    <xf numFmtId="9" fontId="5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9" fontId="58"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9" fontId="9" fillId="0" borderId="0" applyFont="0" applyFill="0" applyBorder="0" applyAlignment="0" applyProtection="0"/>
    <xf numFmtId="44" fontId="33" fillId="0" borderId="0" applyFont="0" applyFill="0" applyBorder="0" applyAlignment="0" applyProtection="0"/>
    <xf numFmtId="0" fontId="88" fillId="0" borderId="0"/>
    <xf numFmtId="9" fontId="88" fillId="0" borderId="0" applyFont="0" applyFill="0" applyBorder="0" applyAlignment="0" applyProtection="0"/>
    <xf numFmtId="9" fontId="58" fillId="0" borderId="0" applyFont="0" applyFill="0" applyBorder="0" applyAlignment="0" applyProtection="0"/>
    <xf numFmtId="0" fontId="7" fillId="0" borderId="0"/>
    <xf numFmtId="9" fontId="9"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88" fillId="0" borderId="0"/>
    <xf numFmtId="44" fontId="9" fillId="0" borderId="0" applyFont="0" applyFill="0" applyBorder="0" applyAlignment="0" applyProtection="0"/>
    <xf numFmtId="9" fontId="33" fillId="0" borderId="0" applyFont="0" applyFill="0" applyBorder="0" applyAlignment="0" applyProtection="0"/>
    <xf numFmtId="0" fontId="88" fillId="0" borderId="0"/>
    <xf numFmtId="43" fontId="58" fillId="0" borderId="0" applyFont="0" applyFill="0" applyBorder="0" applyAlignment="0" applyProtection="0"/>
    <xf numFmtId="43" fontId="9" fillId="0" borderId="0" applyFont="0" applyFill="0" applyBorder="0" applyAlignment="0" applyProtection="0"/>
    <xf numFmtId="9" fontId="58"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0" fontId="9" fillId="0" borderId="0"/>
    <xf numFmtId="9" fontId="9"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0" fontId="88" fillId="0" borderId="0"/>
    <xf numFmtId="43" fontId="58" fillId="0" borderId="0" applyFont="0" applyFill="0" applyBorder="0" applyAlignment="0" applyProtection="0"/>
    <xf numFmtId="43" fontId="9" fillId="0" borderId="0" applyFont="0" applyFill="0" applyBorder="0" applyAlignment="0" applyProtection="0"/>
    <xf numFmtId="9" fontId="58" fillId="0" borderId="0" applyFont="0" applyFill="0" applyBorder="0" applyAlignment="0" applyProtection="0"/>
    <xf numFmtId="43" fontId="33" fillId="0" borderId="0" applyFont="0" applyFill="0" applyBorder="0" applyAlignment="0" applyProtection="0"/>
    <xf numFmtId="0" fontId="33" fillId="0" borderId="0"/>
    <xf numFmtId="44" fontId="33" fillId="0" borderId="0" applyFont="0" applyFill="0" applyBorder="0" applyAlignment="0" applyProtection="0"/>
    <xf numFmtId="0" fontId="9" fillId="0" borderId="0"/>
    <xf numFmtId="9" fontId="9"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9" fontId="33" fillId="0" borderId="0" applyFont="0" applyFill="0" applyBorder="0" applyAlignment="0" applyProtection="0"/>
    <xf numFmtId="9" fontId="58"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9" fillId="0" borderId="0"/>
    <xf numFmtId="9" fontId="9"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44" fontId="9" fillId="0" borderId="0" applyFont="0" applyFill="0" applyBorder="0" applyAlignment="0" applyProtection="0"/>
    <xf numFmtId="9" fontId="3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9" fontId="58" fillId="0" borderId="0" applyFont="0" applyFill="0" applyBorder="0" applyAlignment="0" applyProtection="0"/>
    <xf numFmtId="43" fontId="33" fillId="0" borderId="0" applyFont="0" applyFill="0" applyBorder="0" applyAlignment="0" applyProtection="0"/>
    <xf numFmtId="0" fontId="33" fillId="0" borderId="0"/>
    <xf numFmtId="0" fontId="9" fillId="0" borderId="0"/>
    <xf numFmtId="9" fontId="9"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0" fontId="58" fillId="0" borderId="0"/>
    <xf numFmtId="43" fontId="33" fillId="0" borderId="0" applyFont="0" applyFill="0" applyBorder="0" applyAlignment="0" applyProtection="0"/>
    <xf numFmtId="0" fontId="33" fillId="0" borderId="0"/>
    <xf numFmtId="0" fontId="9" fillId="0" borderId="0"/>
    <xf numFmtId="43" fontId="58"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58" fillId="0" borderId="0" applyFont="0" applyFill="0" applyBorder="0" applyAlignment="0" applyProtection="0"/>
    <xf numFmtId="43" fontId="9" fillId="0" borderId="0" applyFont="0" applyFill="0" applyBorder="0" applyAlignment="0" applyProtection="0"/>
    <xf numFmtId="9" fontId="88" fillId="0" borderId="0" applyFont="0" applyFill="0" applyBorder="0" applyAlignment="0" applyProtection="0"/>
    <xf numFmtId="44" fontId="33" fillId="0" borderId="0" applyFont="0" applyFill="0" applyBorder="0" applyAlignment="0" applyProtection="0"/>
    <xf numFmtId="0" fontId="33" fillId="0" borderId="0"/>
    <xf numFmtId="0" fontId="9" fillId="0" borderId="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43" fontId="33" fillId="0" borderId="0" applyFont="0" applyFill="0" applyBorder="0" applyAlignment="0" applyProtection="0"/>
    <xf numFmtId="0" fontId="88" fillId="0" borderId="0"/>
    <xf numFmtId="44" fontId="9" fillId="0" borderId="0" applyFont="0" applyFill="0" applyBorder="0" applyAlignment="0" applyProtection="0"/>
    <xf numFmtId="43" fontId="9" fillId="0" borderId="0" applyFont="0" applyFill="0" applyBorder="0" applyAlignment="0" applyProtection="0"/>
    <xf numFmtId="0" fontId="7" fillId="0" borderId="0"/>
    <xf numFmtId="0" fontId="58"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9" fillId="0" borderId="0"/>
    <xf numFmtId="0" fontId="58" fillId="0" borderId="0"/>
    <xf numFmtId="43" fontId="58" fillId="0" borderId="0" applyFont="0" applyFill="0" applyBorder="0" applyAlignment="0" applyProtection="0"/>
    <xf numFmtId="0" fontId="58" fillId="0" borderId="0"/>
    <xf numFmtId="9" fontId="58" fillId="0" borderId="0" applyFont="0" applyFill="0" applyBorder="0" applyAlignment="0" applyProtection="0"/>
    <xf numFmtId="43" fontId="58" fillId="0" borderId="0" applyFont="0" applyFill="0" applyBorder="0" applyAlignment="0" applyProtection="0"/>
    <xf numFmtId="9" fontId="9" fillId="0" borderId="0" applyFont="0" applyFill="0" applyBorder="0" applyAlignment="0" applyProtection="0"/>
    <xf numFmtId="0" fontId="88" fillId="0" borderId="0"/>
    <xf numFmtId="9" fontId="88"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58"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33" fillId="0" borderId="0"/>
    <xf numFmtId="9" fontId="9"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0" fontId="58" fillId="0" borderId="0"/>
    <xf numFmtId="44" fontId="9" fillId="0" borderId="0" applyFont="0" applyFill="0" applyBorder="0" applyAlignment="0" applyProtection="0"/>
    <xf numFmtId="0" fontId="58" fillId="0" borderId="0"/>
    <xf numFmtId="9" fontId="88" fillId="0" borderId="0" applyFont="0" applyFill="0" applyBorder="0" applyAlignment="0" applyProtection="0"/>
    <xf numFmtId="9" fontId="58" fillId="0" borderId="0" applyFont="0" applyFill="0" applyBorder="0" applyAlignment="0" applyProtection="0"/>
    <xf numFmtId="43" fontId="9" fillId="0" borderId="0" applyFont="0" applyFill="0" applyBorder="0" applyAlignment="0" applyProtection="0"/>
    <xf numFmtId="9" fontId="33" fillId="0" borderId="0" applyFont="0" applyFill="0" applyBorder="0" applyAlignment="0" applyProtection="0"/>
    <xf numFmtId="9" fontId="58" fillId="0" borderId="0" applyFont="0" applyFill="0" applyBorder="0" applyAlignment="0" applyProtection="0"/>
    <xf numFmtId="0" fontId="88" fillId="0" borderId="0"/>
    <xf numFmtId="43" fontId="58" fillId="0" borderId="0" applyFont="0" applyFill="0" applyBorder="0" applyAlignment="0" applyProtection="0"/>
    <xf numFmtId="9" fontId="58" fillId="0" borderId="0" applyFont="0" applyFill="0" applyBorder="0" applyAlignment="0" applyProtection="0"/>
    <xf numFmtId="43" fontId="58" fillId="0" borderId="0" applyFont="0" applyFill="0" applyBorder="0" applyAlignment="0" applyProtection="0"/>
    <xf numFmtId="9" fontId="33" fillId="0" borderId="0" applyFont="0" applyFill="0" applyBorder="0" applyAlignment="0" applyProtection="0"/>
    <xf numFmtId="44" fontId="33" fillId="0" borderId="0" applyFont="0" applyFill="0" applyBorder="0" applyAlignment="0" applyProtection="0"/>
    <xf numFmtId="0" fontId="9" fillId="0" borderId="0"/>
    <xf numFmtId="44"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58" fillId="0" borderId="0"/>
    <xf numFmtId="43" fontId="9"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43" fontId="58" fillId="0" borderId="0" applyFont="0" applyFill="0" applyBorder="0" applyAlignment="0" applyProtection="0"/>
    <xf numFmtId="0" fontId="33" fillId="0" borderId="0"/>
    <xf numFmtId="0" fontId="7" fillId="30" borderId="0" applyNumberFormat="0" applyBorder="0" applyAlignment="0" applyProtection="0"/>
    <xf numFmtId="0" fontId="7" fillId="31" borderId="0" applyNumberFormat="0" applyBorder="0" applyAlignment="0" applyProtection="0"/>
    <xf numFmtId="9" fontId="88" fillId="0" borderId="0" applyFont="0" applyFill="0" applyBorder="0" applyAlignment="0" applyProtection="0"/>
    <xf numFmtId="44" fontId="33"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9" fontId="9" fillId="0" borderId="0" applyFont="0" applyFill="0" applyBorder="0" applyAlignment="0" applyProtection="0"/>
    <xf numFmtId="0" fontId="58" fillId="0" borderId="0"/>
    <xf numFmtId="0" fontId="7" fillId="38" borderId="0" applyNumberFormat="0" applyBorder="0" applyAlignment="0" applyProtection="0"/>
    <xf numFmtId="0" fontId="7" fillId="39" borderId="0" applyNumberFormat="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43" fontId="33"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88" fillId="0" borderId="0"/>
    <xf numFmtId="9" fontId="33"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4"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9" fontId="88" fillId="0" borderId="0" applyFont="0" applyFill="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9" fontId="58" fillId="0" borderId="0" applyFont="0" applyFill="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43" fontId="58" fillId="0" borderId="0" applyFont="0" applyFill="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43" fontId="58" fillId="0" borderId="0" applyFont="0" applyFill="0" applyBorder="0" applyAlignment="0" applyProtection="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4"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9" fontId="9" fillId="0" borderId="0" applyFont="0" applyFill="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88" fillId="0" borderId="0" applyFont="0" applyFill="0" applyBorder="0" applyAlignment="0" applyProtection="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3"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43" fontId="58" fillId="0" borderId="0" applyFont="0" applyFill="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58" fillId="0" borderId="0"/>
    <xf numFmtId="0" fontId="9" fillId="0" borderId="0"/>
    <xf numFmtId="0" fontId="88" fillId="0" borderId="0"/>
    <xf numFmtId="0" fontId="7" fillId="22" borderId="0" applyNumberFormat="0" applyBorder="0" applyAlignment="0" applyProtection="0"/>
    <xf numFmtId="0" fontId="7" fillId="23" borderId="0" applyNumberFormat="0" applyBorder="0" applyAlignment="0" applyProtection="0"/>
    <xf numFmtId="9" fontId="58"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9"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43"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0" fontId="58" fillId="0" borderId="0"/>
    <xf numFmtId="0" fontId="33" fillId="0" borderId="0"/>
    <xf numFmtId="0" fontId="7" fillId="38" borderId="0" applyNumberFormat="0" applyBorder="0" applyAlignment="0" applyProtection="0"/>
    <xf numFmtId="0" fontId="7" fillId="39" borderId="0" applyNumberFormat="0" applyBorder="0" applyAlignment="0" applyProtection="0"/>
    <xf numFmtId="0" fontId="58" fillId="0" borderId="0"/>
    <xf numFmtId="44" fontId="33"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88" fillId="0" borderId="0"/>
    <xf numFmtId="0" fontId="7" fillId="22" borderId="0" applyNumberFormat="0" applyBorder="0" applyAlignment="0" applyProtection="0"/>
    <xf numFmtId="0" fontId="7" fillId="23" borderId="0" applyNumberFormat="0" applyBorder="0" applyAlignment="0" applyProtection="0"/>
    <xf numFmtId="43" fontId="58"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0" fontId="33" fillId="0" borderId="0"/>
    <xf numFmtId="0" fontId="7" fillId="30" borderId="0" applyNumberFormat="0" applyBorder="0" applyAlignment="0" applyProtection="0"/>
    <xf numFmtId="0" fontId="7" fillId="31" borderId="0" applyNumberFormat="0" applyBorder="0" applyAlignment="0" applyProtection="0"/>
    <xf numFmtId="44" fontId="9" fillId="0" borderId="0" applyFont="0" applyFill="0" applyBorder="0" applyAlignment="0" applyProtection="0"/>
    <xf numFmtId="0" fontId="58" fillId="0" borderId="0"/>
    <xf numFmtId="0" fontId="7" fillId="34" borderId="0" applyNumberFormat="0" applyBorder="0" applyAlignment="0" applyProtection="0"/>
    <xf numFmtId="0" fontId="7" fillId="35" borderId="0" applyNumberFormat="0" applyBorder="0" applyAlignment="0" applyProtection="0"/>
    <xf numFmtId="0" fontId="9" fillId="0" borderId="0"/>
    <xf numFmtId="0" fontId="7" fillId="38" borderId="0" applyNumberFormat="0" applyBorder="0" applyAlignment="0" applyProtection="0"/>
    <xf numFmtId="0" fontId="7" fillId="39" borderId="0" applyNumberFormat="0" applyBorder="0" applyAlignment="0" applyProtection="0"/>
    <xf numFmtId="43" fontId="9" fillId="0" borderId="0" applyFont="0" applyFill="0" applyBorder="0" applyAlignment="0" applyProtection="0"/>
    <xf numFmtId="9" fontId="88"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33" fillId="0" borderId="0"/>
    <xf numFmtId="0" fontId="7" fillId="26" borderId="0" applyNumberFormat="0" applyBorder="0" applyAlignment="0" applyProtection="0"/>
    <xf numFmtId="0" fontId="7" fillId="27" borderId="0" applyNumberFormat="0" applyBorder="0" applyAlignment="0" applyProtection="0"/>
    <xf numFmtId="0" fontId="9" fillId="0" borderId="0"/>
    <xf numFmtId="9"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9" fontId="58" fillId="0" borderId="0" applyFont="0" applyFill="0" applyBorder="0" applyAlignment="0" applyProtection="0"/>
    <xf numFmtId="9" fontId="33"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33"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88" fillId="0" borderId="0"/>
    <xf numFmtId="44" fontId="33"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43" fontId="33"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58" fillId="0" borderId="0"/>
    <xf numFmtId="44" fontId="33" fillId="0" borderId="0" applyFont="0" applyFill="0" applyBorder="0" applyAlignment="0" applyProtection="0"/>
    <xf numFmtId="0" fontId="58" fillId="0" borderId="0"/>
    <xf numFmtId="43" fontId="58" fillId="0" borderId="0" applyFont="0" applyFill="0" applyBorder="0" applyAlignment="0" applyProtection="0"/>
    <xf numFmtId="9" fontId="58" fillId="0" borderId="0" applyFont="0" applyFill="0" applyBorder="0" applyAlignment="0" applyProtection="0"/>
    <xf numFmtId="43" fontId="5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4" fontId="33"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0" fontId="88" fillId="0" borderId="0"/>
    <xf numFmtId="44" fontId="9"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58" fillId="0" borderId="0"/>
    <xf numFmtId="43"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58" fillId="0" borderId="0" applyFont="0" applyFill="0" applyBorder="0" applyAlignment="0" applyProtection="0"/>
    <xf numFmtId="0" fontId="33" fillId="0" borderId="0"/>
    <xf numFmtId="0" fontId="7" fillId="38" borderId="0" applyNumberFormat="0" applyBorder="0" applyAlignment="0" applyProtection="0"/>
    <xf numFmtId="0" fontId="7" fillId="39" borderId="0" applyNumberFormat="0" applyBorder="0" applyAlignment="0" applyProtection="0"/>
    <xf numFmtId="9" fontId="88" fillId="0" borderId="0" applyFont="0" applyFill="0" applyBorder="0" applyAlignment="0" applyProtection="0"/>
    <xf numFmtId="44" fontId="33"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9" fontId="9"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4"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0" fontId="58" fillId="0" borderId="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43" fontId="58" fillId="0" borderId="0" applyFont="0" applyFill="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4"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43" fontId="58" fillId="0" borderId="0" applyFont="0" applyFill="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 fillId="0" borderId="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44" fontId="33" fillId="0" borderId="0" applyFont="0" applyFill="0" applyBorder="0" applyAlignment="0" applyProtection="0"/>
    <xf numFmtId="0" fontId="7" fillId="26" borderId="0" applyNumberFormat="0" applyBorder="0" applyAlignment="0" applyProtection="0"/>
    <xf numFmtId="0" fontId="7" fillId="27" borderId="0" applyNumberFormat="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 fillId="0" borderId="0"/>
    <xf numFmtId="9" fontId="9"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43" fontId="33" fillId="0" borderId="0" applyFont="0" applyFill="0" applyBorder="0" applyAlignment="0" applyProtection="0"/>
    <xf numFmtId="0" fontId="7" fillId="30" borderId="0" applyNumberFormat="0" applyBorder="0" applyAlignment="0" applyProtection="0"/>
    <xf numFmtId="0" fontId="7" fillId="31" borderId="0" applyNumberFormat="0" applyBorder="0" applyAlignment="0" applyProtection="0"/>
    <xf numFmtId="0" fontId="88" fillId="0" borderId="0"/>
    <xf numFmtId="44" fontId="9" fillId="0" borderId="0" applyFon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43" fontId="9"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33" fillId="0" borderId="0"/>
    <xf numFmtId="0" fontId="7" fillId="42" borderId="0" applyNumberFormat="0" applyBorder="0" applyAlignment="0" applyProtection="0"/>
    <xf numFmtId="0" fontId="7" fillId="43" borderId="0" applyNumberFormat="0" applyBorder="0" applyAlignment="0" applyProtection="0"/>
    <xf numFmtId="9" fontId="88" fillId="0" borderId="0" applyFont="0" applyFill="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0" borderId="0"/>
    <xf numFmtId="0" fontId="7" fillId="20" borderId="23" applyNumberFormat="0" applyFont="0" applyAlignment="0" applyProtection="0"/>
    <xf numFmtId="43" fontId="7" fillId="0" borderId="0" applyFont="0" applyFill="0" applyBorder="0" applyAlignment="0" applyProtection="0"/>
    <xf numFmtId="9" fontId="7" fillId="0" borderId="0" applyFont="0" applyFill="0" applyBorder="0" applyAlignment="0" applyProtection="0"/>
    <xf numFmtId="0" fontId="9" fillId="0" borderId="0"/>
    <xf numFmtId="0" fontId="9" fillId="0" borderId="0"/>
    <xf numFmtId="43" fontId="62" fillId="0" borderId="0" applyFont="0" applyFill="0" applyBorder="0" applyAlignment="0" applyProtection="0"/>
    <xf numFmtId="44" fontId="62" fillId="0" borderId="0" applyFont="0" applyFill="0" applyBorder="0" applyAlignment="0" applyProtection="0"/>
    <xf numFmtId="9" fontId="33"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0" borderId="0"/>
    <xf numFmtId="0" fontId="6" fillId="20" borderId="23"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44" fontId="9"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93" fillId="0" borderId="0"/>
    <xf numFmtId="44" fontId="9" fillId="0" borderId="0" applyFont="0" applyFill="0" applyBorder="0" applyAlignment="0" applyProtection="0"/>
    <xf numFmtId="0" fontId="5" fillId="39"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9" fillId="0" borderId="0">
      <alignment readingOrder="1"/>
    </xf>
    <xf numFmtId="43" fontId="9" fillId="0" borderId="0" applyFont="0" applyFill="0" applyBorder="0" applyAlignment="0" applyProtection="0"/>
    <xf numFmtId="43" fontId="9" fillId="0" borderId="0" applyFont="0" applyFill="0" applyBorder="0" applyAlignment="0" applyProtection="0"/>
    <xf numFmtId="3" fontId="88" fillId="0" borderId="0"/>
    <xf numFmtId="3" fontId="88"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8" fillId="0" borderId="0"/>
    <xf numFmtId="3" fontId="88" fillId="0" borderId="0"/>
    <xf numFmtId="0" fontId="96" fillId="0" borderId="18" applyNumberFormat="0" applyFill="0" applyAlignment="0" applyProtection="0"/>
    <xf numFmtId="3" fontId="88" fillId="0" borderId="0"/>
    <xf numFmtId="3" fontId="88" fillId="0" borderId="0"/>
    <xf numFmtId="3" fontId="88" fillId="0" borderId="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42" fontId="88" fillId="0" borderId="0" applyFont="0" applyFill="0" applyBorder="0" applyAlignment="0" applyProtection="0"/>
    <xf numFmtId="0" fontId="97" fillId="0" borderId="0" applyBorder="0">
      <alignment horizontal="centerContinuous"/>
    </xf>
    <xf numFmtId="0" fontId="98" fillId="0" borderId="0" applyBorder="0">
      <alignment horizontal="centerContinuous"/>
    </xf>
    <xf numFmtId="0" fontId="99" fillId="47" borderId="0">
      <alignment horizontal="right"/>
    </xf>
    <xf numFmtId="0" fontId="98" fillId="47" borderId="9"/>
    <xf numFmtId="44" fontId="88" fillId="0" borderId="0" applyFont="0" applyFill="0" applyBorder="0" applyAlignment="0" applyProtection="0"/>
    <xf numFmtId="42" fontId="9" fillId="0" borderId="0" applyFont="0" applyFill="0" applyBorder="0" applyAlignment="0" applyProtection="0"/>
    <xf numFmtId="43" fontId="88" fillId="0" borderId="0" applyFont="0" applyFill="0" applyBorder="0" applyAlignment="0" applyProtection="0"/>
    <xf numFmtId="0" fontId="100" fillId="48" borderId="0">
      <alignment horizontal="left"/>
    </xf>
    <xf numFmtId="0" fontId="101" fillId="48" borderId="0">
      <alignment horizontal="right"/>
    </xf>
    <xf numFmtId="0" fontId="101" fillId="48" borderId="0">
      <alignment horizontal="center"/>
    </xf>
    <xf numFmtId="0" fontId="101" fillId="48" borderId="0">
      <alignment horizontal="right"/>
    </xf>
    <xf numFmtId="0" fontId="102" fillId="48" borderId="0">
      <alignment horizontal="left"/>
    </xf>
    <xf numFmtId="41" fontId="6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5" fillId="0" borderId="0" applyFont="0" applyFill="0" applyBorder="0" applyAlignment="0" applyProtection="0"/>
    <xf numFmtId="42" fontId="65" fillId="0" borderId="0" applyFont="0" applyFill="0" applyBorder="0" applyAlignment="0" applyProtection="0"/>
    <xf numFmtId="9" fontId="88" fillId="0" borderId="0" applyFont="0" applyFill="0" applyBorder="0" applyAlignment="0" applyProtection="0"/>
    <xf numFmtId="0" fontId="5" fillId="27" borderId="0" applyNumberFormat="0" applyBorder="0" applyAlignment="0" applyProtection="0"/>
    <xf numFmtId="44" fontId="65" fillId="0" borderId="0" applyFont="0" applyFill="0" applyBorder="0" applyAlignment="0" applyProtection="0"/>
    <xf numFmtId="44" fontId="5" fillId="0" borderId="0" applyFont="0" applyFill="0" applyBorder="0" applyAlignment="0" applyProtection="0"/>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0" fillId="48" borderId="0">
      <alignment horizontal="left"/>
    </xf>
    <xf numFmtId="0" fontId="100" fillId="48"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0" fontId="104" fillId="47" borderId="0">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5" fillId="0" borderId="0" applyFont="0" applyFill="0" applyBorder="0" applyAlignment="0" applyProtection="0"/>
    <xf numFmtId="0" fontId="100" fillId="48" borderId="0">
      <alignment horizontal="center"/>
    </xf>
    <xf numFmtId="49" fontId="105" fillId="48" borderId="0">
      <alignment horizontal="center"/>
    </xf>
    <xf numFmtId="0" fontId="101" fillId="48" borderId="0">
      <alignment horizontal="center"/>
    </xf>
    <xf numFmtId="0" fontId="101" fillId="48" borderId="0">
      <alignment horizontal="centerContinuous"/>
    </xf>
    <xf numFmtId="0" fontId="106" fillId="48" borderId="0">
      <alignment horizontal="left"/>
    </xf>
    <xf numFmtId="49" fontId="106" fillId="48" borderId="0">
      <alignment horizontal="center"/>
    </xf>
    <xf numFmtId="0" fontId="100" fillId="48" borderId="0">
      <alignment horizontal="left"/>
    </xf>
    <xf numFmtId="49" fontId="106" fillId="48" borderId="0">
      <alignment horizontal="left"/>
    </xf>
    <xf numFmtId="0" fontId="100" fillId="48" borderId="0">
      <alignment horizontal="centerContinuous"/>
    </xf>
    <xf numFmtId="0" fontId="100" fillId="48" borderId="0">
      <alignment horizontal="right"/>
    </xf>
    <xf numFmtId="49" fontId="100" fillId="48" borderId="0">
      <alignment horizontal="left"/>
    </xf>
    <xf numFmtId="0" fontId="101" fillId="48" borderId="0">
      <alignment horizontal="right"/>
    </xf>
    <xf numFmtId="0" fontId="106" fillId="49" borderId="0">
      <alignment horizontal="center"/>
    </xf>
    <xf numFmtId="0" fontId="107" fillId="49" borderId="0">
      <alignment horizontal="center"/>
    </xf>
    <xf numFmtId="0" fontId="108" fillId="48" borderId="0">
      <alignment horizontal="center"/>
    </xf>
    <xf numFmtId="0" fontId="9"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72" fillId="0" borderId="18" applyNumberFormat="0" applyFill="0" applyAlignment="0" applyProtection="0"/>
    <xf numFmtId="43" fontId="5" fillId="0" borderId="0" applyFont="0" applyFill="0" applyBorder="0" applyAlignment="0" applyProtection="0"/>
    <xf numFmtId="194" fontId="33" fillId="3" borderId="0" applyFont="0" applyFill="0" applyBorder="0" applyAlignment="0" applyProtection="0"/>
    <xf numFmtId="0" fontId="5" fillId="0" borderId="0"/>
    <xf numFmtId="0" fontId="88" fillId="0" borderId="0"/>
    <xf numFmtId="0" fontId="96" fillId="0" borderId="18" applyNumberFormat="0" applyFill="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42" fontId="88"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65" fillId="0" borderId="0"/>
    <xf numFmtId="43" fontId="65" fillId="0" borderId="0" applyFont="0" applyFill="0" applyBorder="0" applyAlignment="0" applyProtection="0"/>
    <xf numFmtId="41" fontId="65" fillId="0" borderId="0" applyFont="0" applyFill="0" applyBorder="0" applyAlignment="0" applyProtection="0"/>
    <xf numFmtId="44" fontId="65" fillId="0" borderId="0" applyFont="0" applyFill="0" applyBorder="0" applyAlignment="0" applyProtection="0"/>
    <xf numFmtId="42" fontId="65" fillId="0" borderId="0" applyFont="0" applyFill="0" applyBorder="0" applyAlignment="0" applyProtection="0"/>
    <xf numFmtId="9" fontId="65" fillId="0" borderId="0" applyFont="0" applyFill="0" applyBorder="0" applyAlignment="0" applyProtection="0"/>
    <xf numFmtId="0" fontId="5" fillId="0" borderId="0"/>
    <xf numFmtId="0" fontId="52" fillId="0" borderId="0">
      <alignment vertical="top"/>
    </xf>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63"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63"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63"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63"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63" fillId="54"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63" fillId="55"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63"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63" fillId="5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63"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63"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63" fillId="56"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0" fontId="63" fillId="59"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60" borderId="0" applyNumberFormat="0" applyBorder="0" applyAlignment="0" applyProtection="0"/>
    <xf numFmtId="0" fontId="109"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109" fillId="57"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58" borderId="0" applyNumberFormat="0" applyBorder="0" applyAlignment="0" applyProtection="0"/>
    <xf numFmtId="0" fontId="109" fillId="58"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61" borderId="0" applyNumberFormat="0" applyBorder="0" applyAlignment="0" applyProtection="0"/>
    <xf numFmtId="0" fontId="109" fillId="61"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109" fillId="62"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63" borderId="0" applyNumberFormat="0" applyBorder="0" applyAlignment="0" applyProtection="0"/>
    <xf numFmtId="0" fontId="109" fillId="63" borderId="0" applyNumberFormat="0" applyBorder="0" applyAlignment="0" applyProtection="0"/>
    <xf numFmtId="0" fontId="84" fillId="21" borderId="0" applyNumberFormat="0" applyBorder="0" applyAlignment="0" applyProtection="0"/>
    <xf numFmtId="0" fontId="84" fillId="21" borderId="0" applyNumberFormat="0" applyBorder="0" applyAlignment="0" applyProtection="0"/>
    <xf numFmtId="0" fontId="84" fillId="21" borderId="0" applyNumberFormat="0" applyBorder="0" applyAlignment="0" applyProtection="0"/>
    <xf numFmtId="0" fontId="84" fillId="64" borderId="0" applyNumberFormat="0" applyBorder="0" applyAlignment="0" applyProtection="0"/>
    <xf numFmtId="0" fontId="109" fillId="64"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65" borderId="0" applyNumberFormat="0" applyBorder="0" applyAlignment="0" applyProtection="0"/>
    <xf numFmtId="0" fontId="109" fillId="6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66" borderId="0" applyNumberFormat="0" applyBorder="0" applyAlignment="0" applyProtection="0"/>
    <xf numFmtId="0" fontId="109" fillId="66"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61" borderId="0" applyNumberFormat="0" applyBorder="0" applyAlignment="0" applyProtection="0"/>
    <xf numFmtId="0" fontId="109" fillId="61"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109" fillId="62"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109" fillId="67" borderId="0" applyNumberFormat="0" applyBorder="0" applyAlignment="0" applyProtection="0"/>
    <xf numFmtId="197" fontId="110" fillId="68" borderId="0" applyNumberFormat="0" applyBorder="0" applyAlignment="0" applyProtection="0"/>
    <xf numFmtId="197" fontId="41" fillId="7" borderId="0" applyNumberFormat="0" applyBorder="0" applyAlignment="0" applyProtection="0"/>
    <xf numFmtId="197" fontId="41" fillId="7"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111" fillId="15" borderId="0" applyNumberFormat="0" applyBorder="0" applyAlignment="0" applyProtection="0"/>
    <xf numFmtId="0" fontId="112" fillId="51" borderId="0" applyNumberFormat="0" applyBorder="0" applyAlignment="0" applyProtection="0"/>
    <xf numFmtId="0" fontId="33" fillId="0" borderId="0" applyFill="0" applyBorder="0" applyAlignment="0" applyProtection="0"/>
    <xf numFmtId="0" fontId="78" fillId="18" borderId="19" applyNumberFormat="0" applyAlignment="0" applyProtection="0"/>
    <xf numFmtId="0" fontId="78" fillId="18" borderId="19" applyNumberFormat="0" applyAlignment="0" applyProtection="0"/>
    <xf numFmtId="0" fontId="78" fillId="18" borderId="19" applyNumberFormat="0" applyAlignment="0" applyProtection="0"/>
    <xf numFmtId="0" fontId="78" fillId="69" borderId="19" applyNumberFormat="0" applyAlignment="0" applyProtection="0"/>
    <xf numFmtId="0" fontId="113" fillId="69" borderId="26" applyNumberFormat="0" applyAlignment="0" applyProtection="0"/>
    <xf numFmtId="0" fontId="114" fillId="0" borderId="0" applyFill="0" applyBorder="0" applyProtection="0">
      <alignment horizontal="center" vertical="center"/>
    </xf>
    <xf numFmtId="0" fontId="37" fillId="0" borderId="0" applyFill="0" applyBorder="0" applyProtection="0">
      <alignment horizontal="center"/>
      <protection locked="0"/>
    </xf>
    <xf numFmtId="0" fontId="114" fillId="0" borderId="0" applyFill="0" applyBorder="0" applyProtection="0">
      <alignment horizontal="center" vertical="center"/>
    </xf>
    <xf numFmtId="0" fontId="80" fillId="19" borderId="22" applyNumberFormat="0" applyAlignment="0" applyProtection="0"/>
    <xf numFmtId="0" fontId="80" fillId="19" borderId="22" applyNumberFormat="0" applyAlignment="0" applyProtection="0"/>
    <xf numFmtId="0" fontId="80" fillId="19" borderId="22" applyNumberFormat="0" applyAlignment="0" applyProtection="0"/>
    <xf numFmtId="0" fontId="115" fillId="70" borderId="27" applyNumberFormat="0" applyAlignment="0" applyProtection="0"/>
    <xf numFmtId="0" fontId="116" fillId="0" borderId="3">
      <alignment horizontal="center"/>
    </xf>
    <xf numFmtId="198" fontId="117" fillId="0" borderId="0" applyFont="0" applyFill="0" applyBorder="0" applyAlignment="0" applyProtection="0">
      <alignment horizontal="right"/>
    </xf>
    <xf numFmtId="199" fontId="118" fillId="0" borderId="0" applyFont="0" applyFill="0" applyBorder="0" applyAlignment="0" applyProtection="0"/>
    <xf numFmtId="200" fontId="119" fillId="0" borderId="0" applyFont="0" applyFill="0" applyBorder="0" applyAlignment="0" applyProtection="0"/>
    <xf numFmtId="201" fontId="1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63"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2" fillId="0" borderId="0" applyFont="0" applyFill="0" applyBorder="0" applyAlignment="0" applyProtection="0"/>
    <xf numFmtId="43" fontId="120" fillId="0" borderId="0" applyFont="0" applyFill="0" applyBorder="0" applyAlignment="0" applyProtection="0"/>
    <xf numFmtId="43" fontId="9" fillId="0" borderId="0" applyFont="0" applyFill="0" applyBorder="0" applyAlignment="0" applyProtection="0"/>
    <xf numFmtId="43" fontId="120"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6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alignment vertical="top"/>
    </xf>
    <xf numFmtId="43" fontId="52" fillId="0" borderId="0" applyFont="0" applyFill="0" applyBorder="0" applyAlignment="0" applyProtection="0">
      <alignment vertical="top"/>
    </xf>
    <xf numFmtId="43" fontId="52" fillId="0" borderId="0" applyFont="0" applyFill="0" applyBorder="0" applyAlignment="0" applyProtection="0">
      <alignment vertical="top"/>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1"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02" fontId="12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02" fontId="122"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2" fontId="1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1" fontId="1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1" fontId="1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3" fontId="118" fillId="0" borderId="0">
      <protection locked="0"/>
    </xf>
    <xf numFmtId="0" fontId="123" fillId="0" borderId="0" applyFill="0" applyBorder="0" applyAlignment="0" applyProtection="0"/>
    <xf numFmtId="0" fontId="90" fillId="0" borderId="0" applyFill="0" applyBorder="0" applyAlignment="0" applyProtection="0">
      <protection locked="0"/>
    </xf>
    <xf numFmtId="0" fontId="123" fillId="0" borderId="0" applyFill="0" applyBorder="0" applyAlignment="0" applyProtection="0"/>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6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120"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3"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207" fontId="118" fillId="0" borderId="0">
      <protection locked="0"/>
    </xf>
    <xf numFmtId="196" fontId="124" fillId="0" borderId="0" applyFont="0" applyFill="0" applyBorder="0" applyAlignment="0" applyProtection="0"/>
    <xf numFmtId="197" fontId="125" fillId="0"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26" fillId="0" borderId="0" applyNumberFormat="0" applyFill="0" applyBorder="0" applyAlignment="0" applyProtection="0"/>
    <xf numFmtId="208" fontId="127" fillId="0" borderId="0"/>
    <xf numFmtId="209" fontId="127" fillId="0" borderId="0"/>
    <xf numFmtId="164" fontId="127" fillId="0" borderId="0"/>
    <xf numFmtId="209" fontId="127" fillId="0" borderId="0"/>
    <xf numFmtId="210" fontId="127" fillId="0" borderId="0"/>
    <xf numFmtId="210" fontId="127" fillId="0" borderId="0"/>
    <xf numFmtId="208" fontId="127" fillId="0" borderId="0"/>
    <xf numFmtId="211" fontId="127" fillId="0" borderId="0"/>
    <xf numFmtId="212" fontId="127" fillId="0" borderId="0"/>
    <xf numFmtId="213" fontId="127" fillId="0" borderId="0"/>
    <xf numFmtId="214" fontId="127" fillId="0" borderId="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128" fillId="52" borderId="0" applyNumberFormat="0" applyBorder="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129" fillId="0" borderId="28" applyNumberFormat="0" applyFill="0" applyAlignment="0" applyProtection="0"/>
    <xf numFmtId="0" fontId="130" fillId="0" borderId="28"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131" fillId="0" borderId="17" applyNumberFormat="0" applyFill="0" applyAlignment="0" applyProtection="0"/>
    <xf numFmtId="0" fontId="132" fillId="0" borderId="29"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133" fillId="0" borderId="30" applyNumberFormat="0" applyFill="0" applyAlignment="0" applyProtection="0"/>
    <xf numFmtId="0" fontId="134" fillId="0" borderId="30"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23" fillId="0" borderId="0" applyFill="0" applyAlignment="0" applyProtection="0"/>
    <xf numFmtId="0" fontId="37" fillId="0" borderId="0" applyFill="0" applyAlignment="0" applyProtection="0">
      <protection locked="0"/>
    </xf>
    <xf numFmtId="0" fontId="23" fillId="0" borderId="0" applyFill="0" applyAlignment="0" applyProtection="0"/>
    <xf numFmtId="0" fontId="23" fillId="0" borderId="1" applyFill="0" applyAlignment="0" applyProtection="0"/>
    <xf numFmtId="0" fontId="37" fillId="0" borderId="1" applyFill="0" applyAlignment="0" applyProtection="0">
      <protection locked="0"/>
    </xf>
    <xf numFmtId="0" fontId="23" fillId="0" borderId="1" applyFill="0" applyAlignment="0" applyProtection="0"/>
    <xf numFmtId="0" fontId="37" fillId="0" borderId="0" applyFill="0" applyAlignment="0" applyProtection="0"/>
    <xf numFmtId="197" fontId="135" fillId="47" borderId="0" applyNumberFormat="0" applyBorder="0" applyAlignment="0" applyProtection="0"/>
    <xf numFmtId="0" fontId="76" fillId="17" borderId="19" applyNumberFormat="0" applyAlignment="0" applyProtection="0"/>
    <xf numFmtId="0" fontId="76" fillId="17" borderId="19" applyNumberFormat="0" applyAlignment="0" applyProtection="0"/>
    <xf numFmtId="0" fontId="76" fillId="17" borderId="19" applyNumberFormat="0" applyAlignment="0" applyProtection="0"/>
    <xf numFmtId="0" fontId="136" fillId="55" borderId="26" applyNumberFormat="0" applyAlignment="0" applyProtection="0"/>
    <xf numFmtId="197" fontId="41" fillId="2" borderId="0" applyNumberFormat="0" applyBorder="0" applyAlignment="0" applyProtection="0"/>
    <xf numFmtId="197" fontId="41" fillId="2" borderId="0" applyNumberFormat="0" applyBorder="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137" fillId="0" borderId="31" applyNumberFormat="0" applyFill="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138" fillId="71" borderId="0" applyNumberFormat="0" applyBorder="0" applyAlignment="0" applyProtection="0"/>
    <xf numFmtId="197" fontId="88" fillId="0" borderId="0"/>
    <xf numFmtId="197" fontId="88" fillId="0" borderId="0"/>
    <xf numFmtId="197" fontId="88" fillId="0" borderId="0"/>
    <xf numFmtId="197"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197" fontId="88" fillId="0" borderId="0"/>
    <xf numFmtId="197" fontId="88" fillId="0" borderId="0"/>
    <xf numFmtId="197" fontId="88" fillId="0" borderId="0"/>
    <xf numFmtId="197" fontId="88"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197" fontId="88" fillId="0" borderId="0"/>
    <xf numFmtId="197" fontId="88" fillId="0" borderId="0"/>
    <xf numFmtId="197" fontId="88" fillId="0" borderId="0"/>
    <xf numFmtId="197" fontId="88"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2" fillId="0" borderId="0"/>
    <xf numFmtId="0" fontId="5" fillId="0" borderId="0"/>
    <xf numFmtId="0" fontId="5" fillId="0" borderId="0"/>
    <xf numFmtId="0" fontId="5" fillId="0" borderId="0"/>
    <xf numFmtId="0" fontId="5" fillId="0" borderId="0"/>
    <xf numFmtId="0" fontId="5" fillId="0" borderId="0"/>
    <xf numFmtId="0" fontId="5" fillId="0" borderId="0"/>
    <xf numFmtId="0" fontId="92" fillId="0" borderId="0"/>
    <xf numFmtId="197" fontId="88" fillId="0" borderId="0"/>
    <xf numFmtId="197" fontId="88" fillId="0" borderId="0"/>
    <xf numFmtId="197" fontId="88" fillId="0" borderId="0"/>
    <xf numFmtId="197" fontId="88" fillId="0" borderId="0"/>
    <xf numFmtId="0" fontId="5" fillId="0" borderId="0"/>
    <xf numFmtId="0" fontId="5" fillId="0" borderId="0"/>
    <xf numFmtId="0" fontId="5" fillId="0" borderId="0"/>
    <xf numFmtId="197" fontId="88" fillId="0" borderId="0"/>
    <xf numFmtId="197" fontId="88" fillId="0" borderId="0"/>
    <xf numFmtId="197" fontId="88" fillId="0" borderId="0"/>
    <xf numFmtId="197" fontId="88" fillId="0" borderId="0"/>
    <xf numFmtId="0" fontId="5" fillId="0" borderId="0"/>
    <xf numFmtId="0" fontId="5" fillId="0" borderId="0"/>
    <xf numFmtId="0" fontId="5" fillId="0" borderId="0"/>
    <xf numFmtId="0" fontId="5" fillId="0" borderId="0"/>
    <xf numFmtId="0" fontId="5" fillId="0" borderId="0"/>
    <xf numFmtId="0" fontId="5" fillId="0" borderId="0"/>
    <xf numFmtId="197" fontId="88" fillId="0" borderId="0"/>
    <xf numFmtId="197" fontId="88" fillId="0" borderId="0"/>
    <xf numFmtId="197" fontId="88" fillId="0" borderId="0"/>
    <xf numFmtId="197" fontId="88" fillId="0" borderId="0"/>
    <xf numFmtId="0" fontId="5" fillId="0" borderId="0"/>
    <xf numFmtId="0" fontId="5" fillId="0" borderId="0"/>
    <xf numFmtId="195" fontId="88" fillId="0" borderId="0"/>
    <xf numFmtId="195" fontId="88" fillId="0" borderId="0"/>
    <xf numFmtId="195" fontId="88" fillId="0" borderId="0"/>
    <xf numFmtId="195" fontId="88"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2" fillId="0" borderId="0"/>
    <xf numFmtId="197" fontId="9" fillId="0" borderId="0"/>
    <xf numFmtId="0" fontId="92" fillId="0" borderId="0"/>
    <xf numFmtId="0" fontId="5" fillId="0" borderId="0"/>
    <xf numFmtId="0" fontId="92" fillId="0" borderId="0"/>
    <xf numFmtId="0" fontId="5" fillId="0" borderId="0"/>
    <xf numFmtId="0" fontId="5" fillId="0" borderId="0"/>
    <xf numFmtId="0" fontId="5" fillId="0" borderId="0"/>
    <xf numFmtId="0" fontId="5" fillId="0" borderId="0"/>
    <xf numFmtId="0" fontId="92" fillId="0" borderId="0"/>
    <xf numFmtId="0" fontId="9" fillId="0" borderId="0"/>
    <xf numFmtId="0" fontId="5" fillId="0" borderId="0"/>
    <xf numFmtId="0" fontId="5" fillId="0" borderId="0"/>
    <xf numFmtId="197" fontId="9"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33" fillId="0" borderId="0"/>
    <xf numFmtId="0" fontId="9" fillId="0" borderId="0"/>
    <xf numFmtId="0" fontId="33"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9" fillId="0" borderId="0"/>
    <xf numFmtId="0" fontId="9" fillId="0" borderId="0"/>
    <xf numFmtId="0" fontId="52" fillId="0" borderId="0">
      <alignment vertical="top"/>
    </xf>
    <xf numFmtId="0" fontId="9" fillId="0" borderId="0"/>
    <xf numFmtId="0" fontId="9" fillId="0" borderId="0"/>
    <xf numFmtId="197" fontId="9" fillId="0" borderId="0"/>
    <xf numFmtId="0" fontId="5" fillId="0" borderId="0"/>
    <xf numFmtId="0" fontId="5" fillId="0" borderId="0"/>
    <xf numFmtId="0" fontId="5" fillId="0" borderId="0"/>
    <xf numFmtId="197"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52" fillId="0" borderId="0">
      <alignment vertical="top"/>
    </xf>
    <xf numFmtId="0" fontId="52" fillId="0" borderId="0">
      <alignment vertical="top"/>
    </xf>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 fillId="0" borderId="0"/>
    <xf numFmtId="0" fontId="9" fillId="0" borderId="0"/>
    <xf numFmtId="0" fontId="52" fillId="0" borderId="0">
      <alignment vertical="top"/>
    </xf>
    <xf numFmtId="0" fontId="52" fillId="0" borderId="0">
      <alignment vertical="top"/>
    </xf>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 fillId="0" borderId="0"/>
    <xf numFmtId="0" fontId="9" fillId="0" borderId="0"/>
    <xf numFmtId="0" fontId="9" fillId="0" borderId="0"/>
    <xf numFmtId="197" fontId="88" fillId="0" borderId="0"/>
    <xf numFmtId="197" fontId="88" fillId="0" borderId="0"/>
    <xf numFmtId="197" fontId="88" fillId="0" borderId="0"/>
    <xf numFmtId="197" fontId="88" fillId="0" borderId="0"/>
    <xf numFmtId="0" fontId="1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7" fillId="0" borderId="0"/>
    <xf numFmtId="195" fontId="88" fillId="0" borderId="0"/>
    <xf numFmtId="195" fontId="88" fillId="0" borderId="0"/>
    <xf numFmtId="195" fontId="88" fillId="0" borderId="0"/>
    <xf numFmtId="195"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7" fillId="0" borderId="0"/>
    <xf numFmtId="0" fontId="5" fillId="0" borderId="0"/>
    <xf numFmtId="0" fontId="5" fillId="0" borderId="0"/>
    <xf numFmtId="0" fontId="5" fillId="0" borderId="0"/>
    <xf numFmtId="0" fontId="5" fillId="0" borderId="0"/>
    <xf numFmtId="195" fontId="9" fillId="0" borderId="0"/>
    <xf numFmtId="0" fontId="52" fillId="0" borderId="0">
      <alignment vertical="top"/>
    </xf>
    <xf numFmtId="0" fontId="52" fillId="0" borderId="0">
      <alignment vertical="top"/>
    </xf>
    <xf numFmtId="0" fontId="88" fillId="0" borderId="0"/>
    <xf numFmtId="0" fontId="5" fillId="0" borderId="0"/>
    <xf numFmtId="0" fontId="88" fillId="0" borderId="0"/>
    <xf numFmtId="0" fontId="88" fillId="0" borderId="0"/>
    <xf numFmtId="0" fontId="88" fillId="0" borderId="0"/>
    <xf numFmtId="197" fontId="88" fillId="0" borderId="0"/>
    <xf numFmtId="197" fontId="88" fillId="0" borderId="0"/>
    <xf numFmtId="0" fontId="52" fillId="0" borderId="0">
      <alignment vertical="top"/>
    </xf>
    <xf numFmtId="197" fontId="88" fillId="0" borderId="0"/>
    <xf numFmtId="197" fontId="88" fillId="0" borderId="0"/>
    <xf numFmtId="0" fontId="9" fillId="0" borderId="0"/>
    <xf numFmtId="0" fontId="5" fillId="0" borderId="0"/>
    <xf numFmtId="0" fontId="88" fillId="0" borderId="0"/>
    <xf numFmtId="0" fontId="52" fillId="0" borderId="0">
      <alignment vertical="top"/>
    </xf>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197" fontId="88" fillId="0" borderId="0"/>
    <xf numFmtId="197" fontId="88" fillId="0" borderId="0"/>
    <xf numFmtId="197" fontId="88" fillId="0" borderId="0"/>
    <xf numFmtId="197" fontId="88"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197" fontId="88" fillId="0" borderId="0"/>
    <xf numFmtId="197" fontId="88" fillId="0" borderId="0"/>
    <xf numFmtId="197" fontId="88" fillId="0" borderId="0"/>
    <xf numFmtId="197"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197" fontId="1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197" fontId="88" fillId="0" borderId="0"/>
    <xf numFmtId="197" fontId="88" fillId="0" borderId="0"/>
    <xf numFmtId="197" fontId="88" fillId="0" borderId="0"/>
    <xf numFmtId="197"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88" fillId="0" borderId="0"/>
    <xf numFmtId="0" fontId="88" fillId="0" borderId="0"/>
    <xf numFmtId="0" fontId="88" fillId="0" borderId="0"/>
    <xf numFmtId="0"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63" fillId="20" borderId="23" applyNumberFormat="0" applyFont="0" applyAlignment="0" applyProtection="0"/>
    <xf numFmtId="0" fontId="9" fillId="72" borderId="32" applyNumberFormat="0" applyFont="0" applyAlignment="0" applyProtection="0"/>
    <xf numFmtId="0" fontId="5" fillId="20" borderId="23" applyNumberFormat="0" applyFont="0" applyAlignment="0" applyProtection="0"/>
    <xf numFmtId="0" fontId="77" fillId="18" borderId="20" applyNumberFormat="0" applyAlignment="0" applyProtection="0"/>
    <xf numFmtId="0" fontId="77" fillId="18" borderId="20" applyNumberFormat="0" applyAlignment="0" applyProtection="0"/>
    <xf numFmtId="0" fontId="77" fillId="18" borderId="20" applyNumberFormat="0" applyAlignment="0" applyProtection="0"/>
    <xf numFmtId="0" fontId="77" fillId="69" borderId="20" applyNumberFormat="0" applyAlignment="0" applyProtection="0"/>
    <xf numFmtId="0" fontId="140" fillId="69" borderId="33" applyNumberFormat="0" applyAlignment="0" applyProtection="0"/>
    <xf numFmtId="197" fontId="9" fillId="3" borderId="0" applyNumberFormat="0" applyBorder="0" applyAlignment="0" applyProtection="0"/>
    <xf numFmtId="197" fontId="9" fillId="3" borderId="0" applyNumberFormat="0" applyBorder="0" applyAlignment="0" applyProtection="0"/>
    <xf numFmtId="215" fontId="119" fillId="0" borderId="0" applyFont="0" applyFill="0" applyBorder="0" applyAlignment="0" applyProtection="0"/>
    <xf numFmtId="216" fontId="118" fillId="0" borderId="0" applyFont="0" applyFill="0" applyBorder="0" applyAlignment="0" applyProtection="0"/>
    <xf numFmtId="217" fontId="119" fillId="0" borderId="0" applyFont="0" applyFill="0" applyBorder="0" applyAlignment="0" applyProtection="0"/>
    <xf numFmtId="218" fontId="118" fillId="0" borderId="0" applyFont="0" applyFill="0" applyBorder="0" applyAlignment="0" applyProtection="0"/>
    <xf numFmtId="219" fontId="119" fillId="0" borderId="0" applyFont="0" applyFill="0" applyBorder="0" applyAlignment="0" applyProtection="0"/>
    <xf numFmtId="220" fontId="118" fillId="0" borderId="0" applyFont="0" applyFill="0" applyBorder="0" applyAlignment="0" applyProtection="0"/>
    <xf numFmtId="221" fontId="119" fillId="0" borderId="0" applyFont="0" applyFill="0" applyBorder="0" applyAlignment="0" applyProtection="0"/>
    <xf numFmtId="222" fontId="118" fillId="0" borderId="0" applyFont="0" applyFill="0" applyBorder="0" applyAlignment="0" applyProtection="0"/>
    <xf numFmtId="223" fontId="118" fillId="0" borderId="0" applyFont="0" applyFill="0" applyBorder="0" applyAlignment="0" applyProtection="0"/>
    <xf numFmtId="224" fontId="1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92" fillId="0" borderId="0" applyFont="0" applyFill="0" applyBorder="0" applyAlignment="0" applyProtection="0"/>
    <xf numFmtId="9" fontId="52" fillId="0" borderId="0" applyFont="0" applyFill="0" applyBorder="0" applyAlignment="0" applyProtection="0"/>
    <xf numFmtId="9" fontId="92" fillId="0" borderId="0" applyFont="0" applyFill="0" applyBorder="0" applyAlignment="0" applyProtection="0"/>
    <xf numFmtId="9" fontId="5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xf numFmtId="9" fontId="120"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97" fontId="110" fillId="68" borderId="0" applyNumberFormat="0" applyBorder="0" applyAlignment="0" applyProtection="0"/>
    <xf numFmtId="0" fontId="141" fillId="0" borderId="0">
      <alignment horizontal="right"/>
    </xf>
    <xf numFmtId="0" fontId="142" fillId="0" borderId="0">
      <alignment horizontal="right"/>
    </xf>
    <xf numFmtId="0" fontId="127" fillId="0" borderId="0"/>
    <xf numFmtId="0" fontId="143" fillId="0" borderId="0" applyNumberFormat="0" applyBorder="0" applyAlignment="0"/>
    <xf numFmtId="0" fontId="143" fillId="0" borderId="0" applyNumberFormat="0" applyBorder="0" applyAlignment="0"/>
    <xf numFmtId="0" fontId="52" fillId="0" borderId="0" applyNumberFormat="0" applyBorder="0" applyAlignment="0"/>
    <xf numFmtId="197" fontId="52" fillId="0" borderId="0" applyNumberFormat="0" applyBorder="0" applyAlignment="0"/>
    <xf numFmtId="0" fontId="127" fillId="0" borderId="0"/>
    <xf numFmtId="197" fontId="52" fillId="0" borderId="0" applyNumberFormat="0" applyBorder="0" applyAlignment="0"/>
    <xf numFmtId="0" fontId="144" fillId="0" borderId="0"/>
    <xf numFmtId="0" fontId="145" fillId="0" borderId="0" applyNumberFormat="0" applyBorder="0" applyAlignment="0"/>
    <xf numFmtId="0" fontId="145" fillId="0" borderId="0" applyNumberFormat="0" applyBorder="0" applyAlignment="0"/>
    <xf numFmtId="0" fontId="144" fillId="0" borderId="0"/>
    <xf numFmtId="0" fontId="146" fillId="0" borderId="0"/>
    <xf numFmtId="197" fontId="147" fillId="0" borderId="0"/>
    <xf numFmtId="0" fontId="148" fillId="0" borderId="0"/>
    <xf numFmtId="0" fontId="149" fillId="0" borderId="0" applyNumberFormat="0" applyBorder="0" applyAlignment="0"/>
    <xf numFmtId="0" fontId="149" fillId="0" borderId="0" applyNumberFormat="0" applyBorder="0" applyAlignment="0"/>
    <xf numFmtId="0" fontId="148" fillId="0" borderId="0"/>
    <xf numFmtId="0" fontId="150" fillId="0" borderId="0" applyNumberFormat="0" applyBorder="0" applyAlignment="0"/>
    <xf numFmtId="0" fontId="151" fillId="0" borderId="0"/>
    <xf numFmtId="197" fontId="152" fillId="0" borderId="0"/>
    <xf numFmtId="0" fontId="153" fillId="0" borderId="0"/>
    <xf numFmtId="0" fontId="149" fillId="73" borderId="0" applyNumberFormat="0" applyBorder="0" applyAlignment="0"/>
    <xf numFmtId="0" fontId="154" fillId="0" borderId="0"/>
    <xf numFmtId="0" fontId="155" fillId="0" borderId="0"/>
    <xf numFmtId="0" fontId="156" fillId="0" borderId="0"/>
    <xf numFmtId="0" fontId="155" fillId="74" borderId="0"/>
    <xf numFmtId="0" fontId="69" fillId="0" borderId="0" applyNumberFormat="0" applyFill="0" applyBorder="0" applyAlignment="0" applyProtection="0"/>
    <xf numFmtId="0" fontId="157" fillId="75" borderId="34" applyNumberFormat="0">
      <alignment horizontal="left"/>
    </xf>
    <xf numFmtId="0" fontId="69" fillId="0" borderId="0" applyNumberFormat="0" applyFill="0" applyBorder="0" applyAlignment="0" applyProtection="0"/>
    <xf numFmtId="0" fontId="6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7" fillId="75" borderId="35">
      <alignment horizontal="left"/>
    </xf>
    <xf numFmtId="0" fontId="83" fillId="0" borderId="24" applyNumberFormat="0" applyFill="0" applyAlignment="0" applyProtection="0"/>
    <xf numFmtId="0" fontId="83" fillId="0" borderId="24" applyNumberFormat="0" applyFill="0" applyAlignment="0" applyProtection="0"/>
    <xf numFmtId="0" fontId="83" fillId="0" borderId="24" applyNumberFormat="0" applyFill="0" applyAlignment="0" applyProtection="0"/>
    <xf numFmtId="0" fontId="83" fillId="0" borderId="36" applyNumberFormat="0" applyFill="0" applyAlignment="0" applyProtection="0"/>
    <xf numFmtId="0" fontId="160" fillId="0" borderId="36"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61" fillId="0" borderId="0" applyNumberFormat="0" applyFill="0" applyBorder="0" applyAlignment="0" applyProtection="0"/>
    <xf numFmtId="197" fontId="23" fillId="76" borderId="0" applyNumberFormat="0" applyBorder="0" applyAlignment="0" applyProtection="0"/>
    <xf numFmtId="225" fontId="118" fillId="0" borderId="0" applyFont="0" applyFill="0" applyBorder="0" applyAlignment="0" applyProtection="0"/>
    <xf numFmtId="226" fontId="118" fillId="0" borderId="0" applyFont="0" applyFill="0" applyBorder="0" applyAlignment="0" applyProtection="0"/>
    <xf numFmtId="227" fontId="118" fillId="0" borderId="0" applyFont="0" applyFill="0" applyBorder="0" applyAlignment="0" applyProtection="0"/>
    <xf numFmtId="228" fontId="118" fillId="0" borderId="0" applyFont="0" applyFill="0" applyBorder="0" applyAlignment="0" applyProtection="0"/>
    <xf numFmtId="229" fontId="118" fillId="0" borderId="0" applyFont="0" applyFill="0" applyBorder="0" applyAlignment="0" applyProtection="0"/>
    <xf numFmtId="230" fontId="118" fillId="0" borderId="0" applyFont="0" applyFill="0" applyBorder="0" applyAlignment="0" applyProtection="0"/>
    <xf numFmtId="231" fontId="118" fillId="0" borderId="0" applyFont="0" applyFill="0" applyBorder="0" applyAlignment="0" applyProtection="0"/>
    <xf numFmtId="232" fontId="118" fillId="0" borderId="0" applyFont="0" applyFill="0" applyBorder="0" applyAlignment="0" applyProtection="0"/>
    <xf numFmtId="233" fontId="33" fillId="0" borderId="0" applyFont="0" applyFill="0" applyBorder="0" applyAlignment="0" applyProtection="0">
      <alignment horizontal="right"/>
    </xf>
    <xf numFmtId="3" fontId="88" fillId="0" borderId="0"/>
    <xf numFmtId="0" fontId="96" fillId="0" borderId="18" applyNumberFormat="0" applyFill="0" applyAlignment="0" applyProtection="0"/>
    <xf numFmtId="3" fontId="88" fillId="0" borderId="0"/>
    <xf numFmtId="3" fontId="88" fillId="0" borderId="0"/>
    <xf numFmtId="3" fontId="88" fillId="0" borderId="0"/>
    <xf numFmtId="3" fontId="88" fillId="0" borderId="0"/>
    <xf numFmtId="3" fontId="88" fillId="0" borderId="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42" fontId="88"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5" fillId="0" borderId="0" applyFont="0" applyFill="0" applyBorder="0" applyAlignment="0" applyProtection="0"/>
    <xf numFmtId="44" fontId="5" fillId="0" borderId="0" applyFont="0" applyFill="0" applyBorder="0" applyAlignment="0" applyProtection="0"/>
    <xf numFmtId="0" fontId="103"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5" fillId="0" borderId="0" applyFont="0" applyFill="0" applyBorder="0" applyAlignment="0" applyProtection="0"/>
    <xf numFmtId="0" fontId="9"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96" fillId="0" borderId="18" applyNumberFormat="0" applyFill="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2" fontId="88" fillId="0" borderId="0" applyFont="0" applyFill="0" applyBorder="0" applyAlignment="0" applyProtection="0"/>
    <xf numFmtId="41"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96" fillId="0" borderId="18" applyNumberFormat="0" applyFill="0" applyAlignment="0" applyProtection="0"/>
    <xf numFmtId="0" fontId="88"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140" fillId="69" borderId="33" applyNumberFormat="0" applyAlignment="0" applyProtection="0"/>
    <xf numFmtId="0" fontId="113" fillId="69" borderId="26" applyNumberFormat="0" applyAlignment="0" applyProtection="0"/>
    <xf numFmtId="44"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0" fontId="113" fillId="69" borderId="26" applyNumberFormat="0" applyAlignment="0" applyProtection="0"/>
    <xf numFmtId="43" fontId="88" fillId="0" borderId="0" applyFont="0" applyFill="0" applyBorder="0" applyAlignment="0" applyProtection="0"/>
    <xf numFmtId="0" fontId="9" fillId="72" borderId="32" applyNumberFormat="0" applyFont="0" applyAlignment="0" applyProtection="0"/>
    <xf numFmtId="9" fontId="88" fillId="0" borderId="0" applyFont="0" applyFill="0" applyBorder="0" applyAlignment="0" applyProtection="0"/>
    <xf numFmtId="0" fontId="160" fillId="0" borderId="36" applyNumberFormat="0" applyFill="0" applyAlignment="0" applyProtection="0"/>
    <xf numFmtId="43" fontId="88"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0" fontId="160" fillId="0" borderId="36" applyNumberFormat="0" applyFill="0" applyAlignment="0" applyProtection="0"/>
    <xf numFmtId="9" fontId="88" fillId="0" borderId="0" applyFont="0" applyFill="0" applyBorder="0" applyAlignment="0" applyProtection="0"/>
    <xf numFmtId="44" fontId="88" fillId="0" borderId="0" applyFont="0" applyFill="0" applyBorder="0" applyAlignment="0" applyProtection="0"/>
    <xf numFmtId="0" fontId="113" fillId="69" borderId="26" applyNumberFormat="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136" fillId="55" borderId="26" applyNumberFormat="0" applyAlignment="0" applyProtection="0"/>
    <xf numFmtId="0" fontId="136" fillId="55" borderId="26" applyNumberFormat="0" applyAlignment="0" applyProtection="0"/>
    <xf numFmtId="0" fontId="136" fillId="55" borderId="26" applyNumberFormat="0" applyAlignment="0" applyProtection="0"/>
    <xf numFmtId="0" fontId="9" fillId="72" borderId="32" applyNumberFormat="0" applyFont="0" applyAlignment="0" applyProtection="0"/>
    <xf numFmtId="0" fontId="83" fillId="0" borderId="36" applyNumberFormat="0" applyFill="0" applyAlignment="0" applyProtection="0"/>
    <xf numFmtId="43" fontId="88" fillId="0" borderId="0" applyFont="0" applyFill="0" applyBorder="0" applyAlignment="0" applyProtection="0"/>
    <xf numFmtId="43" fontId="88" fillId="0" borderId="0" applyFont="0" applyFill="0" applyBorder="0" applyAlignment="0" applyProtection="0"/>
    <xf numFmtId="9" fontId="88" fillId="0" borderId="0" applyFont="0" applyFill="0" applyBorder="0" applyAlignment="0" applyProtection="0"/>
    <xf numFmtId="0" fontId="9" fillId="72" borderId="32" applyNumberFormat="0" applyFont="0" applyAlignment="0" applyProtection="0"/>
    <xf numFmtId="0" fontId="140" fillId="69" borderId="33" applyNumberFormat="0" applyAlignment="0" applyProtection="0"/>
    <xf numFmtId="44" fontId="88" fillId="0" borderId="0" applyFont="0" applyFill="0" applyBorder="0" applyAlignment="0" applyProtection="0"/>
    <xf numFmtId="0" fontId="83" fillId="0" borderId="36" applyNumberFormat="0" applyFill="0" applyAlignment="0" applyProtection="0"/>
    <xf numFmtId="43" fontId="88" fillId="0" borderId="0" applyFont="0" applyFill="0" applyBorder="0" applyAlignment="0" applyProtection="0"/>
    <xf numFmtId="44" fontId="88" fillId="0" borderId="0" applyFont="0" applyFill="0" applyBorder="0" applyAlignment="0" applyProtection="0"/>
    <xf numFmtId="0" fontId="160" fillId="0" borderId="36" applyNumberFormat="0" applyFill="0" applyAlignment="0" applyProtection="0"/>
    <xf numFmtId="9"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9" fillId="72" borderId="32" applyNumberFormat="0" applyFont="0" applyAlignment="0" applyProtection="0"/>
    <xf numFmtId="0" fontId="140" fillId="69" borderId="33" applyNumberFormat="0" applyAlignment="0" applyProtection="0"/>
    <xf numFmtId="0" fontId="113" fillId="69" borderId="26" applyNumberFormat="0" applyAlignment="0" applyProtection="0"/>
    <xf numFmtId="9" fontId="88" fillId="0" borderId="0" applyFont="0" applyFill="0" applyBorder="0" applyAlignment="0" applyProtection="0"/>
    <xf numFmtId="0" fontId="140" fillId="69" borderId="33" applyNumberFormat="0" applyAlignment="0" applyProtection="0"/>
    <xf numFmtId="0" fontId="83" fillId="0" borderId="36" applyNumberFormat="0" applyFill="0" applyAlignment="0" applyProtection="0"/>
    <xf numFmtId="43"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43" fontId="88" fillId="0" borderId="0" applyFont="0" applyFill="0" applyBorder="0" applyAlignment="0" applyProtection="0"/>
    <xf numFmtId="0" fontId="83" fillId="0" borderId="36" applyNumberFormat="0" applyFill="0" applyAlignment="0" applyProtection="0"/>
    <xf numFmtId="0" fontId="160" fillId="0" borderId="36" applyNumberFormat="0" applyFill="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136" fillId="55" borderId="26" applyNumberFormat="0" applyAlignment="0" applyProtection="0"/>
    <xf numFmtId="0" fontId="5" fillId="0" borderId="0"/>
    <xf numFmtId="43" fontId="5" fillId="0" borderId="0" applyFont="0" applyFill="0" applyBorder="0" applyAlignment="0" applyProtection="0"/>
    <xf numFmtId="0" fontId="9"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83" fillId="0" borderId="36" applyNumberFormat="0" applyFill="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72" borderId="32" applyNumberFormat="0" applyFont="0" applyAlignment="0" applyProtection="0"/>
    <xf numFmtId="0" fontId="140" fillId="69" borderId="33"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60" fillId="0" borderId="36"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3" fillId="69" borderId="26" applyNumberFormat="0" applyAlignment="0" applyProtection="0"/>
    <xf numFmtId="0" fontId="160" fillId="0" borderId="36" applyNumberFormat="0" applyFill="0" applyAlignment="0" applyProtection="0"/>
    <xf numFmtId="0" fontId="160" fillId="0" borderId="36" applyNumberFormat="0" applyFill="0" applyAlignment="0" applyProtection="0"/>
    <xf numFmtId="0" fontId="113" fillId="69" borderId="2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6" fillId="55" borderId="2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72" borderId="3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83" fillId="0" borderId="36"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72" borderId="3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72" borderId="32" applyNumberFormat="0" applyFont="0" applyAlignment="0" applyProtection="0"/>
    <xf numFmtId="0" fontId="113" fillId="69" borderId="2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3" fillId="0" borderId="36"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60" fillId="0" borderId="36"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6" fillId="55" borderId="2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9" fillId="72" borderId="32" applyNumberFormat="0" applyFont="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83" fillId="0" borderId="36" applyNumberFormat="0" applyFill="0" applyAlignment="0" applyProtection="0"/>
    <xf numFmtId="0" fontId="140" fillId="69" borderId="33" applyNumberFormat="0" applyAlignment="0" applyProtection="0"/>
    <xf numFmtId="0" fontId="140" fillId="69" borderId="33" applyNumberFormat="0" applyAlignment="0" applyProtection="0"/>
    <xf numFmtId="0" fontId="160" fillId="0" borderId="36" applyNumberFormat="0" applyFill="0" applyAlignment="0" applyProtection="0"/>
    <xf numFmtId="0" fontId="83" fillId="0" borderId="36" applyNumberFormat="0" applyFill="0" applyAlignment="0" applyProtection="0"/>
    <xf numFmtId="0" fontId="140" fillId="69" borderId="33" applyNumberFormat="0" applyAlignment="0" applyProtection="0"/>
    <xf numFmtId="0" fontId="136" fillId="55" borderId="26" applyNumberFormat="0" applyAlignment="0" applyProtection="0"/>
    <xf numFmtId="0" fontId="136" fillId="55" borderId="26" applyNumberFormat="0" applyAlignment="0" applyProtection="0"/>
    <xf numFmtId="0" fontId="113" fillId="69" borderId="26" applyNumberFormat="0" applyAlignment="0" applyProtection="0"/>
    <xf numFmtId="0" fontId="140" fillId="69" borderId="33" applyNumberFormat="0" applyAlignment="0" applyProtection="0"/>
    <xf numFmtId="0" fontId="136" fillId="55" borderId="26" applyNumberFormat="0" applyAlignment="0" applyProtection="0"/>
    <xf numFmtId="0" fontId="113" fillId="69" borderId="26" applyNumberFormat="0" applyAlignment="0" applyProtection="0"/>
    <xf numFmtId="0" fontId="5" fillId="0" borderId="0"/>
    <xf numFmtId="0" fontId="88" fillId="0" borderId="0"/>
    <xf numFmtId="0" fontId="96" fillId="0" borderId="18" applyNumberFormat="0" applyFill="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42" fontId="88"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9"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39" fontId="162" fillId="0" borderId="0"/>
    <xf numFmtId="40" fontId="58" fillId="0" borderId="0" applyFont="0" applyFill="0" applyBorder="0" applyAlignment="0" applyProtection="0"/>
    <xf numFmtId="8" fontId="58" fillId="0" borderId="0" applyFont="0" applyFill="0" applyBorder="0" applyAlignment="0" applyProtection="0"/>
    <xf numFmtId="9" fontId="58" fillId="0" borderId="0" applyFont="0" applyFill="0" applyBorder="0" applyAlignment="0" applyProtection="0"/>
    <xf numFmtId="0" fontId="163" fillId="0" borderId="0"/>
    <xf numFmtId="44" fontId="163" fillId="0" borderId="0" applyFont="0" applyFill="0" applyBorder="0" applyAlignment="0" applyProtection="0"/>
    <xf numFmtId="43" fontId="163"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8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34"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15" fillId="0" borderId="0"/>
    <xf numFmtId="0" fontId="88" fillId="0" borderId="0"/>
    <xf numFmtId="0" fontId="5" fillId="0" borderId="0"/>
    <xf numFmtId="10" fontId="1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5" fillId="0" borderId="0"/>
    <xf numFmtId="0" fontId="58"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0" borderId="0"/>
    <xf numFmtId="43" fontId="88" fillId="0" borderId="0" applyFont="0" applyFill="0" applyBorder="0" applyAlignment="0" applyProtection="0"/>
    <xf numFmtId="44" fontId="88" fillId="0" borderId="0" applyFont="0" applyFill="0" applyBorder="0" applyAlignment="0" applyProtection="0"/>
    <xf numFmtId="44" fontId="9" fillId="0" borderId="0" applyFont="0" applyFill="0" applyBorder="0" applyAlignment="0" applyProtection="0"/>
    <xf numFmtId="0" fontId="88" fillId="0" borderId="0"/>
    <xf numFmtId="9" fontId="88"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0" fontId="5" fillId="0" borderId="0"/>
    <xf numFmtId="43" fontId="5" fillId="0" borderId="0" applyFont="0" applyFill="0" applyBorder="0" applyAlignment="0" applyProtection="0"/>
    <xf numFmtId="44" fontId="163" fillId="0" borderId="0" applyFont="0" applyFill="0" applyBorder="0" applyAlignment="0" applyProtection="0"/>
    <xf numFmtId="9" fontId="163" fillId="0" borderId="0" applyFont="0" applyFill="0" applyBorder="0" applyAlignment="0" applyProtection="0"/>
    <xf numFmtId="43" fontId="5" fillId="0" borderId="0" applyFont="0" applyFill="0" applyBorder="0" applyAlignment="0" applyProtection="0"/>
    <xf numFmtId="0" fontId="5" fillId="0" borderId="0"/>
    <xf numFmtId="0" fontId="88" fillId="0" borderId="0"/>
    <xf numFmtId="0" fontId="96" fillId="0" borderId="18" applyNumberFormat="0" applyFill="0" applyAlignment="0" applyProtection="0"/>
    <xf numFmtId="9" fontId="88"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42" fontId="88"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5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5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5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53"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0" fontId="5" fillId="20"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43" fontId="88" fillId="0" borderId="0" applyFont="0" applyFill="0" applyBorder="0" applyAlignment="0" applyProtection="0"/>
    <xf numFmtId="9"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0" fontId="5" fillId="42" borderId="0" applyNumberFormat="0" applyBorder="0" applyAlignment="0" applyProtection="0"/>
    <xf numFmtId="0" fontId="5" fillId="42" borderId="0" applyNumberFormat="0" applyBorder="0" applyAlignment="0" applyProtection="0"/>
    <xf numFmtId="9" fontId="5" fillId="0" borderId="0" applyFont="0" applyFill="0" applyBorder="0" applyAlignment="0" applyProtection="0"/>
    <xf numFmtId="0" fontId="5" fillId="43" borderId="0" applyNumberFormat="0" applyBorder="0" applyAlignment="0" applyProtection="0"/>
    <xf numFmtId="0" fontId="5" fillId="23" borderId="0" applyNumberFormat="0" applyBorder="0" applyAlignment="0" applyProtection="0"/>
    <xf numFmtId="0" fontId="5" fillId="20" borderId="23" applyNumberFormat="0" applyFont="0" applyAlignment="0" applyProtection="0"/>
    <xf numFmtId="0" fontId="5" fillId="38" borderId="0" applyNumberFormat="0" applyBorder="0" applyAlignment="0" applyProtection="0"/>
    <xf numFmtId="0" fontId="5" fillId="0" borderId="0"/>
    <xf numFmtId="0" fontId="5" fillId="22" borderId="0" applyNumberFormat="0" applyBorder="0" applyAlignment="0" applyProtection="0"/>
    <xf numFmtId="0" fontId="5" fillId="31"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35"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23"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9" borderId="0" applyNumberFormat="0" applyBorder="0" applyAlignment="0" applyProtection="0"/>
    <xf numFmtId="0" fontId="5" fillId="34"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0" borderId="23" applyNumberFormat="0" applyFont="0" applyAlignment="0" applyProtection="0"/>
    <xf numFmtId="0" fontId="5" fillId="35" borderId="0" applyNumberFormat="0" applyBorder="0" applyAlignment="0" applyProtection="0"/>
    <xf numFmtId="43" fontId="5" fillId="0" borderId="0" applyFont="0" applyFill="0" applyBorder="0" applyAlignment="0" applyProtection="0"/>
    <xf numFmtId="0" fontId="5" fillId="43" borderId="0" applyNumberFormat="0" applyBorder="0" applyAlignment="0" applyProtection="0"/>
    <xf numFmtId="0" fontId="5" fillId="42" borderId="0" applyNumberFormat="0" applyBorder="0" applyAlignment="0" applyProtection="0"/>
    <xf numFmtId="43" fontId="5" fillId="0" borderId="0" applyFont="0" applyFill="0" applyBorder="0" applyAlignment="0" applyProtection="0"/>
    <xf numFmtId="0" fontId="5" fillId="27"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27" borderId="0" applyNumberFormat="0" applyBorder="0" applyAlignment="0" applyProtection="0"/>
    <xf numFmtId="0" fontId="5" fillId="0" borderId="0"/>
    <xf numFmtId="9" fontId="5" fillId="0" borderId="0" applyFont="0" applyFill="0" applyBorder="0" applyAlignment="0" applyProtection="0"/>
    <xf numFmtId="0" fontId="5" fillId="0" borderId="0"/>
    <xf numFmtId="0" fontId="5" fillId="31" borderId="0" applyNumberFormat="0" applyBorder="0" applyAlignment="0" applyProtection="0"/>
    <xf numFmtId="0" fontId="5" fillId="23"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1" borderId="0" applyNumberFormat="0" applyBorder="0" applyAlignment="0" applyProtection="0"/>
    <xf numFmtId="0" fontId="5" fillId="30"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43" borderId="0" applyNumberFormat="0" applyBorder="0" applyAlignment="0" applyProtection="0"/>
    <xf numFmtId="0" fontId="5" fillId="20" borderId="23" applyNumberFormat="0" applyFont="0" applyAlignment="0" applyProtection="0"/>
    <xf numFmtId="43" fontId="5" fillId="0" borderId="0" applyFont="0" applyFill="0" applyBorder="0" applyAlignment="0" applyProtection="0"/>
    <xf numFmtId="0" fontId="5" fillId="20" borderId="23" applyNumberFormat="0" applyFont="0" applyAlignment="0" applyProtection="0"/>
    <xf numFmtId="0" fontId="5" fillId="30" borderId="0" applyNumberFormat="0" applyBorder="0" applyAlignment="0" applyProtection="0"/>
    <xf numFmtId="43" fontId="5" fillId="0" borderId="0" applyFont="0" applyFill="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35" borderId="0" applyNumberFormat="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34" borderId="0" applyNumberFormat="0" applyBorder="0" applyAlignment="0" applyProtection="0"/>
    <xf numFmtId="0" fontId="5" fillId="43" borderId="0" applyNumberFormat="0" applyBorder="0" applyAlignment="0" applyProtection="0"/>
    <xf numFmtId="0" fontId="5" fillId="35"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3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34" borderId="0" applyNumberFormat="0" applyBorder="0" applyAlignment="0" applyProtection="0"/>
    <xf numFmtId="9" fontId="5" fillId="0" borderId="0" applyFont="0" applyFill="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0" borderId="0"/>
    <xf numFmtId="0" fontId="5" fillId="35" borderId="0" applyNumberFormat="0" applyBorder="0" applyAlignment="0" applyProtection="0"/>
    <xf numFmtId="0" fontId="5" fillId="42" borderId="0" applyNumberFormat="0" applyBorder="0" applyAlignment="0" applyProtection="0"/>
    <xf numFmtId="0" fontId="5" fillId="38" borderId="0" applyNumberFormat="0" applyBorder="0" applyAlignment="0" applyProtection="0"/>
    <xf numFmtId="0" fontId="5" fillId="0" borderId="0"/>
    <xf numFmtId="0" fontId="5" fillId="42" borderId="0" applyNumberFormat="0" applyBorder="0" applyAlignment="0" applyProtection="0"/>
    <xf numFmtId="0" fontId="5" fillId="42"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22" borderId="0" applyNumberFormat="0" applyBorder="0" applyAlignment="0" applyProtection="0"/>
    <xf numFmtId="0" fontId="5" fillId="35"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38" borderId="0" applyNumberFormat="0" applyBorder="0" applyAlignment="0" applyProtection="0"/>
    <xf numFmtId="0" fontId="5" fillId="22" borderId="0" applyNumberFormat="0" applyBorder="0" applyAlignment="0" applyProtection="0"/>
    <xf numFmtId="43" fontId="5" fillId="0" borderId="0" applyFont="0" applyFill="0" applyBorder="0" applyAlignment="0" applyProtection="0"/>
    <xf numFmtId="0" fontId="5" fillId="27" borderId="0" applyNumberFormat="0" applyBorder="0" applyAlignment="0" applyProtection="0"/>
    <xf numFmtId="0" fontId="5" fillId="35" borderId="0" applyNumberFormat="0" applyBorder="0" applyAlignment="0" applyProtection="0"/>
    <xf numFmtId="9" fontId="5" fillId="0" borderId="0" applyFont="0" applyFill="0" applyBorder="0" applyAlignment="0" applyProtection="0"/>
    <xf numFmtId="0" fontId="5" fillId="38" borderId="0" applyNumberFormat="0" applyBorder="0" applyAlignment="0" applyProtection="0"/>
    <xf numFmtId="0" fontId="5" fillId="30" borderId="0" applyNumberFormat="0" applyBorder="0" applyAlignment="0" applyProtection="0"/>
    <xf numFmtId="0" fontId="5" fillId="0" borderId="0"/>
    <xf numFmtId="0" fontId="5" fillId="42"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0" borderId="23" applyNumberFormat="0" applyFont="0" applyAlignment="0" applyProtection="0"/>
    <xf numFmtId="43" fontId="5" fillId="0" borderId="0" applyFont="0" applyFill="0" applyBorder="0" applyAlignment="0" applyProtection="0"/>
    <xf numFmtId="0" fontId="5" fillId="38"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30"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0" borderId="0" applyNumberFormat="0" applyBorder="0" applyAlignment="0" applyProtection="0"/>
    <xf numFmtId="0" fontId="5" fillId="23"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22" borderId="0" applyNumberFormat="0" applyBorder="0" applyAlignment="0" applyProtection="0"/>
    <xf numFmtId="9" fontId="5" fillId="0" borderId="0" applyFont="0" applyFill="0" applyBorder="0" applyAlignment="0" applyProtection="0"/>
    <xf numFmtId="0" fontId="5" fillId="22" borderId="0" applyNumberFormat="0" applyBorder="0" applyAlignment="0" applyProtection="0"/>
    <xf numFmtId="9" fontId="5" fillId="0" borderId="0" applyFont="0" applyFill="0" applyBorder="0" applyAlignment="0" applyProtection="0"/>
    <xf numFmtId="0" fontId="5" fillId="20" borderId="23" applyNumberFormat="0" applyFont="0" applyAlignment="0" applyProtection="0"/>
    <xf numFmtId="0" fontId="5" fillId="31" borderId="0" applyNumberFormat="0" applyBorder="0" applyAlignment="0" applyProtection="0"/>
    <xf numFmtId="0" fontId="5" fillId="43" borderId="0" applyNumberFormat="0" applyBorder="0" applyAlignment="0" applyProtection="0"/>
    <xf numFmtId="0" fontId="5" fillId="23" borderId="0" applyNumberFormat="0" applyBorder="0" applyAlignment="0" applyProtection="0"/>
    <xf numFmtId="43" fontId="5" fillId="0" borderId="0" applyFont="0" applyFill="0" applyBorder="0" applyAlignment="0" applyProtection="0"/>
    <xf numFmtId="0" fontId="5" fillId="38" borderId="0" applyNumberFormat="0" applyBorder="0" applyAlignment="0" applyProtection="0"/>
    <xf numFmtId="0" fontId="5" fillId="31" borderId="0" applyNumberFormat="0" applyBorder="0" applyAlignment="0" applyProtection="0"/>
    <xf numFmtId="0" fontId="5" fillId="27" borderId="0" applyNumberFormat="0" applyBorder="0" applyAlignment="0" applyProtection="0"/>
    <xf numFmtId="0" fontId="5" fillId="23" borderId="0" applyNumberFormat="0" applyBorder="0" applyAlignment="0" applyProtection="0"/>
    <xf numFmtId="0" fontId="5" fillId="43" borderId="0" applyNumberFormat="0" applyBorder="0" applyAlignment="0" applyProtection="0"/>
    <xf numFmtId="0" fontId="5" fillId="31" borderId="0" applyNumberFormat="0" applyBorder="0" applyAlignment="0" applyProtection="0"/>
    <xf numFmtId="0" fontId="5" fillId="27"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9" fontId="5" fillId="0" borderId="0" applyFont="0" applyFill="0" applyBorder="0" applyAlignment="0" applyProtection="0"/>
    <xf numFmtId="0" fontId="5" fillId="20" borderId="23" applyNumberFormat="0" applyFont="0" applyAlignment="0" applyProtection="0"/>
    <xf numFmtId="0" fontId="5" fillId="0" borderId="0"/>
    <xf numFmtId="0" fontId="5" fillId="42"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20" borderId="23" applyNumberFormat="0" applyFont="0" applyAlignment="0" applyProtection="0"/>
    <xf numFmtId="43" fontId="5" fillId="0" borderId="0" applyFont="0" applyFill="0" applyBorder="0" applyAlignment="0" applyProtection="0"/>
    <xf numFmtId="9" fontId="5" fillId="0" borderId="0" applyFont="0" applyFill="0" applyBorder="0" applyAlignment="0" applyProtection="0"/>
    <xf numFmtId="0" fontId="5" fillId="43" borderId="0" applyNumberFormat="0" applyBorder="0" applyAlignment="0" applyProtection="0"/>
    <xf numFmtId="0" fontId="5" fillId="26" borderId="0" applyNumberFormat="0" applyBorder="0" applyAlignment="0" applyProtection="0"/>
    <xf numFmtId="0" fontId="5" fillId="42"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0" borderId="0"/>
    <xf numFmtId="43" fontId="5" fillId="0" borderId="0" applyFont="0" applyFill="0" applyBorder="0" applyAlignment="0" applyProtection="0"/>
    <xf numFmtId="0" fontId="5" fillId="43" borderId="0" applyNumberFormat="0" applyBorder="0" applyAlignment="0" applyProtection="0"/>
    <xf numFmtId="43" fontId="5" fillId="0" borderId="0" applyFont="0" applyFill="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0"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23" borderId="0" applyNumberFormat="0" applyBorder="0" applyAlignment="0" applyProtection="0"/>
    <xf numFmtId="0" fontId="5" fillId="0" borderId="0"/>
    <xf numFmtId="0" fontId="5"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22" borderId="0" applyNumberFormat="0" applyBorder="0" applyAlignment="0" applyProtection="0"/>
    <xf numFmtId="43" fontId="5" fillId="0" borderId="0" applyFont="0" applyFill="0" applyBorder="0" applyAlignment="0" applyProtection="0"/>
    <xf numFmtId="0" fontId="5" fillId="26" borderId="0" applyNumberFormat="0" applyBorder="0" applyAlignment="0" applyProtection="0"/>
    <xf numFmtId="43" fontId="5" fillId="0" borderId="0" applyFont="0" applyFill="0" applyBorder="0" applyAlignment="0" applyProtection="0"/>
    <xf numFmtId="0" fontId="5" fillId="26"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9" fontId="5" fillId="0" borderId="0" applyFont="0" applyFill="0" applyBorder="0" applyAlignment="0" applyProtection="0"/>
    <xf numFmtId="0" fontId="5" fillId="43" borderId="0" applyNumberFormat="0" applyBorder="0" applyAlignment="0" applyProtection="0"/>
    <xf numFmtId="0" fontId="5" fillId="34"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43" fontId="5" fillId="0" borderId="0" applyFont="0" applyFill="0" applyBorder="0" applyAlignment="0" applyProtection="0"/>
    <xf numFmtId="0" fontId="5" fillId="0" borderId="0"/>
    <xf numFmtId="0" fontId="5" fillId="27" borderId="0" applyNumberFormat="0" applyBorder="0" applyAlignment="0" applyProtection="0"/>
    <xf numFmtId="0" fontId="5" fillId="43" borderId="0" applyNumberFormat="0" applyBorder="0" applyAlignment="0" applyProtection="0"/>
    <xf numFmtId="0" fontId="5" fillId="23"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9" fontId="5" fillId="0" borderId="0" applyFont="0" applyFill="0" applyBorder="0" applyAlignment="0" applyProtection="0"/>
    <xf numFmtId="0" fontId="5" fillId="34" borderId="0" applyNumberFormat="0" applyBorder="0" applyAlignment="0" applyProtection="0"/>
    <xf numFmtId="9" fontId="5" fillId="0" borderId="0" applyFont="0" applyFill="0" applyBorder="0" applyAlignment="0" applyProtection="0"/>
    <xf numFmtId="0" fontId="5" fillId="30" borderId="0" applyNumberFormat="0" applyBorder="0" applyAlignment="0" applyProtection="0"/>
    <xf numFmtId="0" fontId="5" fillId="39" borderId="0" applyNumberFormat="0" applyBorder="0" applyAlignment="0" applyProtection="0"/>
    <xf numFmtId="43" fontId="5" fillId="0" borderId="0" applyFont="0" applyFill="0" applyBorder="0" applyAlignment="0" applyProtection="0"/>
    <xf numFmtId="0" fontId="5" fillId="30" borderId="0" applyNumberFormat="0" applyBorder="0" applyAlignment="0" applyProtection="0"/>
    <xf numFmtId="0" fontId="5" fillId="0" borderId="0"/>
    <xf numFmtId="0" fontId="5" fillId="39"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20" borderId="23" applyNumberFormat="0" applyFont="0" applyAlignment="0" applyProtection="0"/>
    <xf numFmtId="0" fontId="5" fillId="38" borderId="0" applyNumberFormat="0" applyBorder="0" applyAlignment="0" applyProtection="0"/>
    <xf numFmtId="0" fontId="5" fillId="27"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0" borderId="0"/>
    <xf numFmtId="0" fontId="5" fillId="43" borderId="0" applyNumberFormat="0" applyBorder="0" applyAlignment="0" applyProtection="0"/>
    <xf numFmtId="0" fontId="5" fillId="2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34" borderId="0" applyNumberFormat="0" applyBorder="0" applyAlignment="0" applyProtection="0"/>
    <xf numFmtId="43" fontId="5" fillId="0" borderId="0" applyFont="0" applyFill="0" applyBorder="0" applyAlignment="0" applyProtection="0"/>
    <xf numFmtId="0" fontId="5" fillId="22" borderId="0" applyNumberFormat="0" applyBorder="0" applyAlignment="0" applyProtection="0"/>
    <xf numFmtId="43" fontId="5"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0" borderId="0"/>
    <xf numFmtId="0" fontId="4" fillId="20" borderId="23"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20" borderId="2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9"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7" borderId="0" applyNumberFormat="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5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5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5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0" fontId="2" fillId="20"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42" borderId="0" applyNumberFormat="0" applyBorder="0" applyAlignment="0" applyProtection="0"/>
    <xf numFmtId="0" fontId="2" fillId="42" borderId="0" applyNumberFormat="0" applyBorder="0" applyAlignment="0" applyProtection="0"/>
    <xf numFmtId="9" fontId="2" fillId="0" borderId="0" applyFont="0" applyFill="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20" borderId="23" applyNumberFormat="0" applyFont="0" applyAlignment="0" applyProtection="0"/>
    <xf numFmtId="0" fontId="2" fillId="38" borderId="0" applyNumberFormat="0" applyBorder="0" applyAlignment="0" applyProtection="0"/>
    <xf numFmtId="0" fontId="2" fillId="0" borderId="0"/>
    <xf numFmtId="0" fontId="2" fillId="22" borderId="0" applyNumberFormat="0" applyBorder="0" applyAlignment="0" applyProtection="0"/>
    <xf numFmtId="0" fontId="2" fillId="31"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2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0" borderId="23" applyNumberFormat="0" applyFont="0" applyAlignment="0" applyProtection="0"/>
    <xf numFmtId="0" fontId="2" fillId="35" borderId="0" applyNumberFormat="0" applyBorder="0" applyAlignment="0" applyProtection="0"/>
    <xf numFmtId="43" fontId="2" fillId="0" borderId="0" applyFont="0" applyFill="0" applyBorder="0" applyAlignment="0" applyProtection="0"/>
    <xf numFmtId="0" fontId="2" fillId="43" borderId="0" applyNumberFormat="0" applyBorder="0" applyAlignment="0" applyProtection="0"/>
    <xf numFmtId="0" fontId="2" fillId="42" borderId="0" applyNumberFormat="0" applyBorder="0" applyAlignment="0" applyProtection="0"/>
    <xf numFmtId="43" fontId="2" fillId="0" borderId="0" applyFont="0" applyFill="0" applyBorder="0" applyAlignment="0" applyProtection="0"/>
    <xf numFmtId="0" fontId="2" fillId="2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7"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31" borderId="0" applyNumberFormat="0" applyBorder="0" applyAlignment="0" applyProtection="0"/>
    <xf numFmtId="0" fontId="2" fillId="2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1" borderId="0" applyNumberFormat="0" applyBorder="0" applyAlignment="0" applyProtection="0"/>
    <xf numFmtId="0" fontId="2" fillId="3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3" borderId="0" applyNumberFormat="0" applyBorder="0" applyAlignment="0" applyProtection="0"/>
    <xf numFmtId="0" fontId="2" fillId="20" borderId="23" applyNumberFormat="0" applyFont="0" applyAlignment="0" applyProtection="0"/>
    <xf numFmtId="43" fontId="2" fillId="0" borderId="0" applyFont="0" applyFill="0" applyBorder="0" applyAlignment="0" applyProtection="0"/>
    <xf numFmtId="0" fontId="2" fillId="20" borderId="23" applyNumberFormat="0" applyFont="0" applyAlignment="0" applyProtection="0"/>
    <xf numFmtId="0" fontId="2" fillId="30" borderId="0" applyNumberFormat="0" applyBorder="0" applyAlignment="0" applyProtection="0"/>
    <xf numFmtId="43" fontId="2" fillId="0" borderId="0" applyFont="0" applyFill="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35"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34" borderId="0" applyNumberFormat="0" applyBorder="0" applyAlignment="0" applyProtection="0"/>
    <xf numFmtId="0" fontId="2" fillId="43" borderId="0" applyNumberFormat="0" applyBorder="0" applyAlignment="0" applyProtection="0"/>
    <xf numFmtId="0" fontId="2" fillId="35"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4" borderId="0" applyNumberFormat="0" applyBorder="0" applyAlignment="0" applyProtection="0"/>
    <xf numFmtId="9" fontId="2" fillId="0" borderId="0" applyFont="0" applyFill="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0" borderId="0"/>
    <xf numFmtId="0" fontId="2" fillId="35"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0" borderId="0"/>
    <xf numFmtId="0" fontId="2" fillId="42" borderId="0" applyNumberFormat="0" applyBorder="0" applyAlignment="0" applyProtection="0"/>
    <xf numFmtId="0" fontId="2" fillId="42"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22" borderId="0" applyNumberFormat="0" applyBorder="0" applyAlignment="0" applyProtection="0"/>
    <xf numFmtId="43" fontId="2" fillId="0" borderId="0" applyFont="0" applyFill="0" applyBorder="0" applyAlignment="0" applyProtection="0"/>
    <xf numFmtId="0" fontId="2" fillId="27" borderId="0" applyNumberFormat="0" applyBorder="0" applyAlignment="0" applyProtection="0"/>
    <xf numFmtId="0" fontId="2" fillId="35" borderId="0" applyNumberFormat="0" applyBorder="0" applyAlignment="0" applyProtection="0"/>
    <xf numFmtId="9" fontId="2" fillId="0" borderId="0" applyFont="0" applyFill="0" applyBorder="0" applyAlignment="0" applyProtection="0"/>
    <xf numFmtId="0" fontId="2" fillId="38" borderId="0" applyNumberFormat="0" applyBorder="0" applyAlignment="0" applyProtection="0"/>
    <xf numFmtId="0" fontId="2" fillId="30" borderId="0" applyNumberFormat="0" applyBorder="0" applyAlignment="0" applyProtection="0"/>
    <xf numFmtId="0" fontId="2" fillId="0" borderId="0"/>
    <xf numFmtId="0" fontId="2" fillId="42"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0" borderId="23" applyNumberFormat="0" applyFont="0" applyAlignment="0" applyProtection="0"/>
    <xf numFmtId="43" fontId="2" fillId="0" borderId="0" applyFont="0" applyFill="0" applyBorder="0" applyAlignment="0" applyProtection="0"/>
    <xf numFmtId="0" fontId="2" fillId="3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0" borderId="0" applyNumberFormat="0" applyBorder="0" applyAlignment="0" applyProtection="0"/>
    <xf numFmtId="0" fontId="2" fillId="2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2" borderId="0" applyNumberFormat="0" applyBorder="0" applyAlignment="0" applyProtection="0"/>
    <xf numFmtId="9" fontId="2" fillId="0" borderId="0" applyFont="0" applyFill="0" applyBorder="0" applyAlignment="0" applyProtection="0"/>
    <xf numFmtId="0" fontId="2" fillId="22" borderId="0" applyNumberFormat="0" applyBorder="0" applyAlignment="0" applyProtection="0"/>
    <xf numFmtId="9" fontId="2" fillId="0" borderId="0" applyFont="0" applyFill="0" applyBorder="0" applyAlignment="0" applyProtection="0"/>
    <xf numFmtId="0" fontId="2" fillId="20" borderId="23" applyNumberFormat="0" applyFont="0" applyAlignment="0" applyProtection="0"/>
    <xf numFmtId="0" fontId="2" fillId="31"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43" fontId="2" fillId="0" borderId="0" applyFont="0" applyFill="0" applyBorder="0" applyAlignment="0" applyProtection="0"/>
    <xf numFmtId="0" fontId="2" fillId="38"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43"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9" fontId="2" fillId="0" borderId="0" applyFont="0" applyFill="0" applyBorder="0" applyAlignment="0" applyProtection="0"/>
    <xf numFmtId="0" fontId="2" fillId="20" borderId="23" applyNumberFormat="0" applyFont="0" applyAlignment="0" applyProtection="0"/>
    <xf numFmtId="0" fontId="2" fillId="0" borderId="0"/>
    <xf numFmtId="0" fontId="2" fillId="4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43"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0" borderId="0"/>
    <xf numFmtId="43" fontId="2" fillId="0" borderId="0" applyFont="0" applyFill="0" applyBorder="0" applyAlignment="0" applyProtection="0"/>
    <xf numFmtId="0" fontId="2" fillId="43" borderId="0" applyNumberFormat="0" applyBorder="0" applyAlignment="0" applyProtection="0"/>
    <xf numFmtId="43" fontId="2" fillId="0" borderId="0" applyFont="0" applyFill="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0"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23" borderId="0" applyNumberFormat="0" applyBorder="0" applyAlignment="0" applyProtection="0"/>
    <xf numFmtId="0" fontId="2" fillId="0" borderId="0"/>
    <xf numFmtId="0" fontId="2" fillId="3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22" borderId="0" applyNumberFormat="0" applyBorder="0" applyAlignment="0" applyProtection="0"/>
    <xf numFmtId="43" fontId="2" fillId="0" borderId="0" applyFont="0" applyFill="0" applyBorder="0" applyAlignment="0" applyProtection="0"/>
    <xf numFmtId="0" fontId="2" fillId="26" borderId="0" applyNumberFormat="0" applyBorder="0" applyAlignment="0" applyProtection="0"/>
    <xf numFmtId="43" fontId="2" fillId="0" borderId="0" applyFont="0" applyFill="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22" borderId="0" applyNumberFormat="0" applyBorder="0" applyAlignment="0" applyProtection="0"/>
    <xf numFmtId="9" fontId="2" fillId="0" borderId="0" applyFont="0" applyFill="0" applyBorder="0" applyAlignment="0" applyProtection="0"/>
    <xf numFmtId="0" fontId="2" fillId="43" borderId="0" applyNumberFormat="0" applyBorder="0" applyAlignment="0" applyProtection="0"/>
    <xf numFmtId="0" fontId="2" fillId="34"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43" fontId="2" fillId="0" borderId="0" applyFont="0" applyFill="0" applyBorder="0" applyAlignment="0" applyProtection="0"/>
    <xf numFmtId="0" fontId="2" fillId="0" borderId="0"/>
    <xf numFmtId="0" fontId="2" fillId="27"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9" fontId="2" fillId="0" borderId="0" applyFont="0" applyFill="0" applyBorder="0" applyAlignment="0" applyProtection="0"/>
    <xf numFmtId="0" fontId="2" fillId="34" borderId="0" applyNumberFormat="0" applyBorder="0" applyAlignment="0" applyProtection="0"/>
    <xf numFmtId="9" fontId="2" fillId="0" borderId="0" applyFont="0" applyFill="0" applyBorder="0" applyAlignment="0" applyProtection="0"/>
    <xf numFmtId="0" fontId="2" fillId="30" borderId="0" applyNumberFormat="0" applyBorder="0" applyAlignment="0" applyProtection="0"/>
    <xf numFmtId="0" fontId="2" fillId="39" borderId="0" applyNumberFormat="0" applyBorder="0" applyAlignment="0" applyProtection="0"/>
    <xf numFmtId="43" fontId="2" fillId="0" borderId="0" applyFont="0" applyFill="0" applyBorder="0" applyAlignment="0" applyProtection="0"/>
    <xf numFmtId="0" fontId="2" fillId="30" borderId="0" applyNumberFormat="0" applyBorder="0" applyAlignment="0" applyProtection="0"/>
    <xf numFmtId="0" fontId="2" fillId="0" borderId="0"/>
    <xf numFmtId="0" fontId="2" fillId="39"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20" borderId="23" applyNumberFormat="0" applyFont="0" applyAlignment="0" applyProtection="0"/>
    <xf numFmtId="0" fontId="2" fillId="38" borderId="0" applyNumberFormat="0" applyBorder="0" applyAlignment="0" applyProtection="0"/>
    <xf numFmtId="0" fontId="2" fillId="2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0" borderId="0"/>
    <xf numFmtId="0" fontId="2" fillId="43" borderId="0" applyNumberFormat="0" applyBorder="0" applyAlignment="0" applyProtection="0"/>
    <xf numFmtId="0" fontId="2" fillId="2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2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20" borderId="23"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43" fontId="9" fillId="0" borderId="0" applyFont="0" applyFill="0" applyBorder="0" applyAlignment="0" applyProtection="0"/>
  </cellStyleXfs>
  <cellXfs count="718">
    <xf numFmtId="0" fontId="0" fillId="0" borderId="0" xfId="0"/>
    <xf numFmtId="0" fontId="10" fillId="0" borderId="0" xfId="0" applyFont="1" applyAlignment="1">
      <alignment horizontal="left"/>
    </xf>
    <xf numFmtId="0" fontId="10" fillId="0" borderId="0" xfId="0" applyFont="1" applyAlignment="1">
      <alignment horizontal="center"/>
    </xf>
    <xf numFmtId="0" fontId="10" fillId="0" borderId="1" xfId="0" applyFont="1" applyBorder="1" applyAlignment="1">
      <alignment horizontal="center"/>
    </xf>
    <xf numFmtId="0" fontId="11" fillId="0" borderId="1" xfId="0" applyFont="1" applyBorder="1"/>
    <xf numFmtId="0" fontId="10" fillId="0" borderId="0" xfId="0" applyFont="1"/>
    <xf numFmtId="0" fontId="10" fillId="0" borderId="1" xfId="0" applyFont="1" applyBorder="1"/>
    <xf numFmtId="3" fontId="10" fillId="0" borderId="0" xfId="0" applyNumberFormat="1" applyFont="1"/>
    <xf numFmtId="164" fontId="10" fillId="0" borderId="0" xfId="1" applyNumberFormat="1" applyFont="1"/>
    <xf numFmtId="7" fontId="10" fillId="0" borderId="0" xfId="0" applyNumberFormat="1" applyFont="1"/>
    <xf numFmtId="165" fontId="10" fillId="0" borderId="0" xfId="0" applyNumberFormat="1" applyFont="1"/>
    <xf numFmtId="5" fontId="10" fillId="0" borderId="0" xfId="0" applyNumberFormat="1" applyFont="1"/>
    <xf numFmtId="37" fontId="10" fillId="0" borderId="0" xfId="0" applyNumberFormat="1" applyFont="1"/>
    <xf numFmtId="0" fontId="13" fillId="0" borderId="0" xfId="0" applyFont="1" applyAlignment="1">
      <alignment horizontal="left"/>
    </xf>
    <xf numFmtId="0" fontId="13" fillId="0" borderId="0" xfId="0" applyFont="1"/>
    <xf numFmtId="5" fontId="13" fillId="0" borderId="0" xfId="0" applyNumberFormat="1" applyFont="1"/>
    <xf numFmtId="10" fontId="13" fillId="0" borderId="0" xfId="0" applyNumberFormat="1" applyFont="1"/>
    <xf numFmtId="10" fontId="10" fillId="0" borderId="0" xfId="0" applyNumberFormat="1" applyFont="1"/>
    <xf numFmtId="0" fontId="17" fillId="0" borderId="0" xfId="0" applyFont="1"/>
    <xf numFmtId="164" fontId="17" fillId="0" borderId="0" xfId="1" applyNumberFormat="1" applyFont="1" applyFill="1"/>
    <xf numFmtId="0" fontId="17" fillId="0" borderId="0" xfId="0" applyFont="1" applyAlignment="1">
      <alignment horizontal="left"/>
    </xf>
    <xf numFmtId="0" fontId="18" fillId="0" borderId="0" xfId="0" applyFont="1" applyAlignment="1">
      <alignment horizontal="centerContinuous"/>
    </xf>
    <xf numFmtId="0" fontId="17" fillId="0" borderId="0" xfId="0" applyFont="1" applyAlignment="1">
      <alignment horizontal="center"/>
    </xf>
    <xf numFmtId="0" fontId="19" fillId="0" borderId="0" xfId="0" applyFont="1"/>
    <xf numFmtId="0" fontId="19" fillId="0" borderId="0" xfId="0" applyFont="1" applyAlignment="1">
      <alignment horizontal="center"/>
    </xf>
    <xf numFmtId="164" fontId="21" fillId="0" borderId="0" xfId="1" applyNumberFormat="1" applyFont="1" applyFill="1"/>
    <xf numFmtId="164" fontId="17" fillId="0" borderId="0" xfId="0" applyNumberFormat="1" applyFont="1"/>
    <xf numFmtId="10" fontId="17" fillId="0" borderId="0" xfId="0" applyNumberFormat="1" applyFont="1"/>
    <xf numFmtId="164" fontId="20" fillId="0" borderId="0" xfId="1" applyNumberFormat="1" applyFont="1" applyFill="1"/>
    <xf numFmtId="43" fontId="17" fillId="0" borderId="0" xfId="1" applyFont="1" applyFill="1"/>
    <xf numFmtId="0" fontId="17" fillId="0" borderId="0" xfId="0" applyFont="1" applyAlignment="1">
      <alignment horizontal="left" indent="1"/>
    </xf>
    <xf numFmtId="164" fontId="10" fillId="0" borderId="0" xfId="1" applyNumberFormat="1" applyFont="1" applyAlignment="1">
      <alignment horizontal="left"/>
    </xf>
    <xf numFmtId="0" fontId="0" fillId="0" borderId="0" xfId="0" applyAlignment="1">
      <alignment horizontal="center"/>
    </xf>
    <xf numFmtId="0" fontId="0" fillId="0" borderId="0" xfId="0" applyAlignment="1">
      <alignment horizontal="left"/>
    </xf>
    <xf numFmtId="164" fontId="9" fillId="0" borderId="0" xfId="1" applyNumberFormat="1"/>
    <xf numFmtId="164" fontId="9" fillId="0" borderId="2" xfId="1" applyNumberFormat="1" applyBorder="1"/>
    <xf numFmtId="164" fontId="0" fillId="0" borderId="2" xfId="0" applyNumberFormat="1" applyBorder="1"/>
    <xf numFmtId="164" fontId="9" fillId="0" borderId="0" xfId="1" applyNumberFormat="1" applyFont="1" applyFill="1" applyBorder="1"/>
    <xf numFmtId="0" fontId="0" fillId="0" borderId="0" xfId="0" applyAlignment="1">
      <alignment vertical="justify"/>
    </xf>
    <xf numFmtId="164" fontId="0" fillId="0" borderId="0" xfId="0" applyNumberFormat="1" applyAlignment="1">
      <alignment horizontal="centerContinuous" vertical="justify"/>
    </xf>
    <xf numFmtId="164" fontId="0" fillId="0" borderId="0" xfId="0" applyNumberFormat="1"/>
    <xf numFmtId="0" fontId="9" fillId="0" borderId="0" xfId="0" applyFont="1"/>
    <xf numFmtId="0" fontId="23" fillId="0" borderId="0" xfId="0" applyFont="1" applyAlignment="1">
      <alignment horizontal="center"/>
    </xf>
    <xf numFmtId="164" fontId="9" fillId="0" borderId="0" xfId="1" applyNumberFormat="1" applyBorder="1"/>
    <xf numFmtId="164" fontId="9" fillId="0" borderId="0" xfId="1" applyNumberFormat="1" applyFont="1"/>
    <xf numFmtId="169" fontId="9" fillId="0" borderId="0" xfId="2" applyNumberFormat="1"/>
    <xf numFmtId="43" fontId="9" fillId="0" borderId="0" xfId="1" applyFont="1"/>
    <xf numFmtId="43" fontId="0" fillId="0" borderId="2" xfId="0" applyNumberFormat="1" applyBorder="1"/>
    <xf numFmtId="172" fontId="0" fillId="0" borderId="0" xfId="0" applyNumberFormat="1"/>
    <xf numFmtId="170" fontId="0" fillId="0" borderId="0" xfId="0" applyNumberFormat="1"/>
    <xf numFmtId="0" fontId="0" fillId="0" borderId="0" xfId="0" applyAlignment="1">
      <alignment horizontal="centerContinuous"/>
    </xf>
    <xf numFmtId="0" fontId="25" fillId="0" borderId="0" xfId="0" applyFont="1" applyAlignment="1">
      <alignment horizontal="centerContinuous"/>
    </xf>
    <xf numFmtId="0" fontId="26" fillId="0" borderId="0" xfId="0" applyFont="1" applyAlignment="1">
      <alignment horizontal="center"/>
    </xf>
    <xf numFmtId="169" fontId="0" fillId="0" borderId="0" xfId="0" applyNumberFormat="1"/>
    <xf numFmtId="0" fontId="0" fillId="0" borderId="0" xfId="0" applyAlignment="1">
      <alignment horizontal="right"/>
    </xf>
    <xf numFmtId="169" fontId="9" fillId="0" borderId="0" xfId="2" applyNumberFormat="1" applyFont="1"/>
    <xf numFmtId="0" fontId="29" fillId="0" borderId="0" xfId="0" applyFont="1"/>
    <xf numFmtId="0" fontId="30" fillId="0" borderId="0" xfId="0" applyFont="1"/>
    <xf numFmtId="0" fontId="31" fillId="0" borderId="0" xfId="0" applyFont="1"/>
    <xf numFmtId="0" fontId="30" fillId="0" borderId="1" xfId="0" applyFont="1" applyBorder="1" applyAlignment="1">
      <alignment horizontal="centerContinuous"/>
    </xf>
    <xf numFmtId="0" fontId="0" fillId="0" borderId="1" xfId="0" applyBorder="1" applyAlignment="1">
      <alignment horizontal="centerContinuous"/>
    </xf>
    <xf numFmtId="0" fontId="23" fillId="0" borderId="3" xfId="0" applyFont="1" applyBorder="1" applyAlignment="1">
      <alignment horizontal="center"/>
    </xf>
    <xf numFmtId="0" fontId="23" fillId="0" borderId="3" xfId="0" applyFont="1" applyBorder="1" applyAlignment="1">
      <alignment horizontal="right"/>
    </xf>
    <xf numFmtId="0" fontId="23" fillId="0" borderId="3" xfId="0" quotePrefix="1" applyFont="1" applyBorder="1" applyAlignment="1">
      <alignment horizontal="center"/>
    </xf>
    <xf numFmtId="168" fontId="0" fillId="0" borderId="0" xfId="0" applyNumberFormat="1"/>
    <xf numFmtId="175" fontId="0" fillId="0" borderId="0" xfId="0" applyNumberFormat="1"/>
    <xf numFmtId="0" fontId="23" fillId="0" borderId="0" xfId="0" applyFont="1" applyAlignment="1">
      <alignment horizontal="right"/>
    </xf>
    <xf numFmtId="3" fontId="0" fillId="0" borderId="0" xfId="0" applyNumberFormat="1"/>
    <xf numFmtId="0" fontId="0" fillId="0" borderId="0" xfId="0" quotePrefix="1" applyAlignment="1">
      <alignment horizontal="right"/>
    </xf>
    <xf numFmtId="168" fontId="0" fillId="0" borderId="2" xfId="0" applyNumberFormat="1" applyBorder="1"/>
    <xf numFmtId="175" fontId="0" fillId="0" borderId="2" xfId="0" applyNumberFormat="1" applyBorder="1"/>
    <xf numFmtId="175" fontId="27" fillId="0" borderId="0" xfId="0" applyNumberFormat="1" applyFont="1"/>
    <xf numFmtId="0" fontId="32" fillId="0" borderId="0" xfId="0" applyFont="1"/>
    <xf numFmtId="0" fontId="30" fillId="0" borderId="0" xfId="0" applyFont="1" applyAlignment="1">
      <alignment horizontal="centerContinuous"/>
    </xf>
    <xf numFmtId="174" fontId="9" fillId="0" borderId="0" xfId="0" applyNumberFormat="1" applyFont="1"/>
    <xf numFmtId="10" fontId="30" fillId="0" borderId="0" xfId="0" applyNumberFormat="1" applyFont="1"/>
    <xf numFmtId="10" fontId="0" fillId="0" borderId="0" xfId="0" applyNumberFormat="1"/>
    <xf numFmtId="0" fontId="16" fillId="0" borderId="0" xfId="0" applyFont="1" applyAlignment="1">
      <alignment vertical="center"/>
    </xf>
    <xf numFmtId="0" fontId="10" fillId="0" borderId="0" xfId="1" applyNumberFormat="1" applyFont="1"/>
    <xf numFmtId="0" fontId="10" fillId="0" borderId="0" xfId="0" applyFont="1" applyAlignment="1">
      <alignment horizontal="left" indent="1"/>
    </xf>
    <xf numFmtId="37" fontId="10" fillId="0" borderId="0" xfId="0" applyNumberFormat="1" applyFont="1" applyAlignment="1">
      <alignment horizontal="left" indent="1"/>
    </xf>
    <xf numFmtId="165" fontId="10" fillId="0" borderId="0" xfId="0" applyNumberFormat="1" applyFont="1" applyAlignment="1">
      <alignment horizontal="left" indent="1"/>
    </xf>
    <xf numFmtId="5" fontId="10" fillId="0" borderId="0" xfId="0" applyNumberFormat="1" applyFont="1" applyAlignment="1">
      <alignment horizontal="left" indent="1"/>
    </xf>
    <xf numFmtId="3" fontId="10" fillId="0" borderId="0" xfId="0" applyNumberFormat="1" applyFont="1" applyAlignment="1">
      <alignment horizontal="left" indent="1"/>
    </xf>
    <xf numFmtId="0" fontId="34" fillId="0" borderId="0" xfId="0" applyFont="1" applyAlignment="1">
      <alignment horizontal="center"/>
    </xf>
    <xf numFmtId="170" fontId="34" fillId="0" borderId="0" xfId="0" applyNumberFormat="1" applyFont="1"/>
    <xf numFmtId="176" fontId="34" fillId="0" borderId="0" xfId="0" applyNumberFormat="1" applyFont="1"/>
    <xf numFmtId="164" fontId="36" fillId="0" borderId="0" xfId="1" applyNumberFormat="1" applyFont="1" applyFill="1"/>
    <xf numFmtId="0" fontId="36" fillId="0" borderId="0" xfId="0" applyFont="1"/>
    <xf numFmtId="10" fontId="35" fillId="0" borderId="0" xfId="0" applyNumberFormat="1" applyFont="1"/>
    <xf numFmtId="37" fontId="10" fillId="0" borderId="1" xfId="0" applyNumberFormat="1" applyFont="1" applyBorder="1"/>
    <xf numFmtId="37" fontId="14" fillId="0" borderId="0" xfId="0" applyNumberFormat="1" applyFont="1"/>
    <xf numFmtId="37" fontId="10" fillId="0" borderId="2" xfId="0" applyNumberFormat="1" applyFont="1" applyBorder="1"/>
    <xf numFmtId="37" fontId="10" fillId="0" borderId="0" xfId="1" applyNumberFormat="1" applyFont="1"/>
    <xf numFmtId="37" fontId="35" fillId="0" borderId="0" xfId="1" applyNumberFormat="1" applyFont="1"/>
    <xf numFmtId="37" fontId="35" fillId="0" borderId="0" xfId="0" applyNumberFormat="1" applyFont="1"/>
    <xf numFmtId="0" fontId="12" fillId="0" borderId="0" xfId="0" applyFont="1"/>
    <xf numFmtId="0" fontId="23" fillId="0" borderId="0" xfId="0" applyFont="1"/>
    <xf numFmtId="0" fontId="35" fillId="0" borderId="0" xfId="0" applyFont="1"/>
    <xf numFmtId="177" fontId="10" fillId="0" borderId="0" xfId="0" applyNumberFormat="1" applyFont="1"/>
    <xf numFmtId="178" fontId="10" fillId="0" borderId="0" xfId="0" applyNumberFormat="1" applyFont="1" applyAlignment="1">
      <alignment horizontal="center"/>
    </xf>
    <xf numFmtId="170" fontId="34" fillId="2" borderId="0" xfId="0" applyNumberFormat="1" applyFont="1" applyFill="1"/>
    <xf numFmtId="0" fontId="0" fillId="2" borderId="0" xfId="0" applyFill="1"/>
    <xf numFmtId="165" fontId="34" fillId="2" borderId="0" xfId="0" applyNumberFormat="1" applyFont="1" applyFill="1"/>
    <xf numFmtId="170" fontId="9" fillId="3" borderId="0" xfId="0" applyNumberFormat="1" applyFont="1" applyFill="1"/>
    <xf numFmtId="0" fontId="0" fillId="3" borderId="0" xfId="0" applyFill="1"/>
    <xf numFmtId="165" fontId="34" fillId="3" borderId="0" xfId="0" applyNumberFormat="1" applyFont="1" applyFill="1"/>
    <xf numFmtId="170" fontId="34" fillId="3" borderId="0" xfId="0" applyNumberFormat="1" applyFont="1" applyFill="1"/>
    <xf numFmtId="170" fontId="9" fillId="4" borderId="0" xfId="0" applyNumberFormat="1" applyFont="1" applyFill="1"/>
    <xf numFmtId="0" fontId="0" fillId="4" borderId="0" xfId="0" applyFill="1"/>
    <xf numFmtId="165" fontId="9" fillId="4" borderId="0" xfId="0" applyNumberFormat="1" applyFont="1" applyFill="1"/>
    <xf numFmtId="170" fontId="9" fillId="5" borderId="0" xfId="0" applyNumberFormat="1" applyFont="1" applyFill="1"/>
    <xf numFmtId="0" fontId="0" fillId="5" borderId="0" xfId="0" applyFill="1"/>
    <xf numFmtId="165" fontId="9" fillId="5" borderId="0" xfId="0" applyNumberFormat="1" applyFont="1" applyFill="1"/>
    <xf numFmtId="0" fontId="10" fillId="0" borderId="0" xfId="0" quotePrefix="1" applyFont="1"/>
    <xf numFmtId="174" fontId="10" fillId="0" borderId="0" xfId="0" applyNumberFormat="1" applyFont="1"/>
    <xf numFmtId="179" fontId="10" fillId="0" borderId="0" xfId="0" applyNumberFormat="1" applyFont="1"/>
    <xf numFmtId="0" fontId="23" fillId="0" borderId="0" xfId="0" applyFont="1" applyAlignment="1">
      <alignment horizontal="centerContinuous"/>
    </xf>
    <xf numFmtId="0" fontId="38" fillId="0" borderId="0" xfId="0" applyFont="1" applyAlignment="1">
      <alignment horizontal="center"/>
    </xf>
    <xf numFmtId="174" fontId="34" fillId="0" borderId="0" xfId="0" applyNumberFormat="1" applyFont="1"/>
    <xf numFmtId="0" fontId="23" fillId="0" borderId="0" xfId="0" applyFont="1" applyAlignment="1">
      <alignment horizontal="left" indent="1"/>
    </xf>
    <xf numFmtId="0" fontId="0" fillId="0" borderId="0" xfId="0" applyAlignment="1">
      <alignment horizontal="left" indent="1"/>
    </xf>
    <xf numFmtId="176" fontId="0" fillId="0" borderId="0" xfId="0" applyNumberFormat="1"/>
    <xf numFmtId="0" fontId="0" fillId="0" borderId="4" xfId="0" applyBorder="1"/>
    <xf numFmtId="174" fontId="0" fillId="0" borderId="2" xfId="0" applyNumberFormat="1" applyBorder="1"/>
    <xf numFmtId="0" fontId="0" fillId="0" borderId="5" xfId="0" applyBorder="1"/>
    <xf numFmtId="0" fontId="0" fillId="0" borderId="6" xfId="0" applyBorder="1"/>
    <xf numFmtId="0" fontId="0" fillId="0" borderId="7" xfId="0" applyBorder="1"/>
    <xf numFmtId="176" fontId="0" fillId="0" borderId="5" xfId="0" applyNumberFormat="1" applyBorder="1"/>
    <xf numFmtId="179" fontId="0" fillId="0" borderId="0" xfId="0" applyNumberFormat="1"/>
    <xf numFmtId="3" fontId="43" fillId="0" borderId="0" xfId="0" applyNumberFormat="1" applyFont="1" applyAlignment="1">
      <alignment horizontal="center"/>
    </xf>
    <xf numFmtId="179" fontId="42" fillId="0" borderId="0" xfId="0" applyNumberFormat="1" applyFont="1"/>
    <xf numFmtId="10" fontId="42" fillId="0" borderId="0" xfId="0" applyNumberFormat="1" applyFont="1"/>
    <xf numFmtId="171" fontId="0" fillId="0" borderId="0" xfId="0" applyNumberFormat="1"/>
    <xf numFmtId="170" fontId="42" fillId="0" borderId="0" xfId="0" applyNumberFormat="1" applyFont="1"/>
    <xf numFmtId="0" fontId="0" fillId="0" borderId="8" xfId="0" applyBorder="1"/>
    <xf numFmtId="0" fontId="0" fillId="0" borderId="9" xfId="0" applyBorder="1"/>
    <xf numFmtId="181" fontId="9" fillId="0" borderId="1" xfId="0" applyNumberFormat="1" applyFont="1" applyBorder="1"/>
    <xf numFmtId="0" fontId="42" fillId="0" borderId="0" xfId="0" applyFont="1"/>
    <xf numFmtId="0" fontId="38" fillId="0" borderId="0" xfId="0" applyFont="1" applyAlignment="1">
      <alignment horizontal="centerContinuous"/>
    </xf>
    <xf numFmtId="3" fontId="43" fillId="0" borderId="0" xfId="0" applyNumberFormat="1" applyFont="1" applyAlignment="1">
      <alignment horizontal="right"/>
    </xf>
    <xf numFmtId="179" fontId="42" fillId="0" borderId="1" xfId="0" applyNumberFormat="1" applyFont="1" applyBorder="1"/>
    <xf numFmtId="0" fontId="0" fillId="0" borderId="2" xfId="0" applyBorder="1"/>
    <xf numFmtId="0" fontId="0" fillId="0" borderId="1" xfId="0" applyBorder="1"/>
    <xf numFmtId="178" fontId="0" fillId="0" borderId="0" xfId="0" applyNumberFormat="1"/>
    <xf numFmtId="0" fontId="0" fillId="0" borderId="2" xfId="0" applyBorder="1" applyAlignment="1">
      <alignment horizontal="centerContinuous"/>
    </xf>
    <xf numFmtId="3" fontId="42" fillId="0" borderId="0" xfId="0" applyNumberFormat="1" applyFont="1"/>
    <xf numFmtId="0" fontId="43" fillId="0" borderId="0" xfId="0" applyFont="1"/>
    <xf numFmtId="0" fontId="23" fillId="0" borderId="2" xfId="0" applyFont="1" applyBorder="1" applyAlignment="1">
      <alignment horizontal="left" indent="7"/>
    </xf>
    <xf numFmtId="0" fontId="43" fillId="0" borderId="0" xfId="0" applyFont="1" applyAlignment="1">
      <alignment horizontal="center"/>
    </xf>
    <xf numFmtId="3" fontId="9" fillId="0" borderId="0" xfId="0" applyNumberFormat="1" applyFont="1"/>
    <xf numFmtId="0" fontId="39" fillId="0" borderId="0" xfId="0" applyFont="1" applyAlignment="1">
      <alignment horizontal="centerContinuous"/>
    </xf>
    <xf numFmtId="165" fontId="0" fillId="0" borderId="0" xfId="0" applyNumberFormat="1"/>
    <xf numFmtId="171" fontId="23" fillId="0" borderId="0" xfId="0" applyNumberFormat="1" applyFont="1"/>
    <xf numFmtId="170" fontId="42" fillId="6" borderId="0" xfId="0" applyNumberFormat="1" applyFont="1" applyFill="1"/>
    <xf numFmtId="0" fontId="0" fillId="6" borderId="0" xfId="0" applyFill="1"/>
    <xf numFmtId="0" fontId="0" fillId="7" borderId="0" xfId="0" applyFill="1"/>
    <xf numFmtId="179" fontId="42" fillId="0" borderId="5" xfId="0" applyNumberFormat="1" applyFont="1" applyBorder="1"/>
    <xf numFmtId="179" fontId="42" fillId="0" borderId="9" xfId="0" applyNumberFormat="1" applyFont="1" applyBorder="1"/>
    <xf numFmtId="179" fontId="42" fillId="0" borderId="7" xfId="0" applyNumberFormat="1" applyFont="1" applyBorder="1"/>
    <xf numFmtId="179" fontId="42" fillId="6" borderId="2" xfId="0" applyNumberFormat="1" applyFont="1" applyFill="1" applyBorder="1"/>
    <xf numFmtId="179" fontId="42" fillId="6" borderId="0" xfId="0" applyNumberFormat="1" applyFont="1" applyFill="1"/>
    <xf numFmtId="179" fontId="42" fillId="6" borderId="1" xfId="0" applyNumberFormat="1" applyFont="1" applyFill="1" applyBorder="1"/>
    <xf numFmtId="0" fontId="10" fillId="0" borderId="10" xfId="0" applyFont="1" applyBorder="1"/>
    <xf numFmtId="5" fontId="10" fillId="0" borderId="2" xfId="0" applyNumberFormat="1" applyFont="1" applyBorder="1"/>
    <xf numFmtId="5" fontId="12" fillId="0" borderId="2" xfId="0" applyNumberFormat="1" applyFont="1" applyBorder="1"/>
    <xf numFmtId="37" fontId="10" fillId="0" borderId="0" xfId="1" applyNumberFormat="1" applyFont="1" applyAlignment="1"/>
    <xf numFmtId="0" fontId="10" fillId="0" borderId="2" xfId="0" applyFont="1" applyBorder="1"/>
    <xf numFmtId="10" fontId="23" fillId="0" borderId="0" xfId="0" applyNumberFormat="1" applyFont="1" applyAlignment="1">
      <alignment horizontal="center"/>
    </xf>
    <xf numFmtId="10" fontId="23" fillId="0" borderId="1" xfId="0" applyNumberFormat="1" applyFont="1" applyBorder="1" applyAlignment="1">
      <alignment horizontal="center"/>
    </xf>
    <xf numFmtId="0" fontId="23" fillId="0" borderId="1" xfId="0" applyFont="1" applyBorder="1" applyAlignment="1">
      <alignment horizontal="center"/>
    </xf>
    <xf numFmtId="10" fontId="23" fillId="0" borderId="0" xfId="0" applyNumberFormat="1" applyFont="1"/>
    <xf numFmtId="0" fontId="38" fillId="0" borderId="0" xfId="0" applyFont="1"/>
    <xf numFmtId="7" fontId="23" fillId="0" borderId="0" xfId="0" applyNumberFormat="1" applyFont="1"/>
    <xf numFmtId="166" fontId="23" fillId="0" borderId="0" xfId="0" applyNumberFormat="1" applyFont="1"/>
    <xf numFmtId="176" fontId="23" fillId="0" borderId="0" xfId="0" applyNumberFormat="1" applyFont="1"/>
    <xf numFmtId="166" fontId="9" fillId="0" borderId="0" xfId="0" applyNumberFormat="1" applyFont="1"/>
    <xf numFmtId="174" fontId="9" fillId="0" borderId="0" xfId="0" applyNumberFormat="1" applyFont="1" applyAlignment="1">
      <alignment horizontal="center"/>
    </xf>
    <xf numFmtId="7" fontId="9" fillId="0" borderId="0" xfId="0" applyNumberFormat="1" applyFont="1"/>
    <xf numFmtId="182" fontId="9" fillId="0" borderId="0" xfId="0" applyNumberFormat="1" applyFont="1" applyAlignment="1">
      <alignment horizontal="right"/>
    </xf>
    <xf numFmtId="0" fontId="9" fillId="0" borderId="0" xfId="0" applyFont="1" applyAlignment="1">
      <alignment horizontal="center"/>
    </xf>
    <xf numFmtId="0" fontId="9" fillId="0" borderId="0" xfId="0" applyFont="1" applyAlignment="1">
      <alignment horizontal="right"/>
    </xf>
    <xf numFmtId="183" fontId="9" fillId="0" borderId="0" xfId="0" applyNumberFormat="1" applyFont="1"/>
    <xf numFmtId="183" fontId="23" fillId="0" borderId="0" xfId="0" applyNumberFormat="1" applyFont="1"/>
    <xf numFmtId="184" fontId="9" fillId="0" borderId="0" xfId="0" applyNumberFormat="1" applyFont="1" applyAlignment="1">
      <alignment horizontal="right"/>
    </xf>
    <xf numFmtId="167" fontId="10" fillId="0" borderId="0" xfId="0" applyNumberFormat="1" applyFont="1"/>
    <xf numFmtId="43" fontId="0" fillId="0" borderId="0" xfId="0" applyNumberFormat="1"/>
    <xf numFmtId="0" fontId="46" fillId="0" borderId="0" xfId="0" applyFont="1"/>
    <xf numFmtId="173" fontId="10" fillId="0" borderId="0" xfId="0" applyNumberFormat="1" applyFont="1"/>
    <xf numFmtId="5" fontId="23" fillId="0" borderId="0" xfId="0" applyNumberFormat="1" applyFont="1"/>
    <xf numFmtId="176" fontId="27" fillId="0" borderId="0" xfId="0" applyNumberFormat="1" applyFont="1"/>
    <xf numFmtId="176" fontId="27" fillId="0" borderId="2" xfId="0" applyNumberFormat="1" applyFont="1" applyBorder="1"/>
    <xf numFmtId="176" fontId="0" fillId="0" borderId="2" xfId="0" applyNumberFormat="1" applyBorder="1"/>
    <xf numFmtId="0" fontId="19" fillId="0" borderId="0" xfId="0" applyFont="1" applyAlignment="1">
      <alignment horizontal="right"/>
    </xf>
    <xf numFmtId="5" fontId="0" fillId="0" borderId="0" xfId="0" applyNumberFormat="1"/>
    <xf numFmtId="0" fontId="17" fillId="0" borderId="0" xfId="0" applyFont="1" applyAlignment="1">
      <alignment horizontal="centerContinuous"/>
    </xf>
    <xf numFmtId="164" fontId="9" fillId="0" borderId="2" xfId="1" applyNumberFormat="1" applyFont="1" applyFill="1" applyBorder="1"/>
    <xf numFmtId="3" fontId="23" fillId="0" borderId="0" xfId="0" applyNumberFormat="1" applyFont="1" applyAlignment="1">
      <alignment horizontal="center"/>
    </xf>
    <xf numFmtId="187" fontId="43" fillId="0" borderId="0" xfId="0" applyNumberFormat="1" applyFont="1" applyAlignment="1">
      <alignment horizontal="center"/>
    </xf>
    <xf numFmtId="3" fontId="38" fillId="0" borderId="0" xfId="0" applyNumberFormat="1" applyFont="1" applyAlignment="1">
      <alignment horizontal="center"/>
    </xf>
    <xf numFmtId="3" fontId="9" fillId="0" borderId="2" xfId="1" applyNumberFormat="1" applyFont="1" applyFill="1" applyBorder="1"/>
    <xf numFmtId="164" fontId="9" fillId="0" borderId="11" xfId="1" applyNumberFormat="1" applyFont="1" applyFill="1" applyBorder="1"/>
    <xf numFmtId="164" fontId="9" fillId="0" borderId="11" xfId="1" applyNumberFormat="1" applyBorder="1"/>
    <xf numFmtId="164" fontId="17" fillId="0" borderId="12" xfId="0" applyNumberFormat="1" applyFont="1" applyBorder="1"/>
    <xf numFmtId="164" fontId="17" fillId="0" borderId="11" xfId="0" applyNumberFormat="1" applyFont="1" applyBorder="1"/>
    <xf numFmtId="37" fontId="17" fillId="0" borderId="0" xfId="0" applyNumberFormat="1" applyFont="1"/>
    <xf numFmtId="164" fontId="17" fillId="0" borderId="2" xfId="0" applyNumberFormat="1" applyFont="1" applyBorder="1"/>
    <xf numFmtId="37" fontId="17" fillId="0" borderId="12" xfId="0" applyNumberFormat="1" applyFont="1" applyBorder="1"/>
    <xf numFmtId="37" fontId="12" fillId="0" borderId="1" xfId="0" applyNumberFormat="1" applyFont="1" applyBorder="1"/>
    <xf numFmtId="41" fontId="9" fillId="0" borderId="0" xfId="2" applyNumberFormat="1" applyFont="1"/>
    <xf numFmtId="41" fontId="9" fillId="0" borderId="0" xfId="2" applyNumberFormat="1"/>
    <xf numFmtId="41" fontId="0" fillId="0" borderId="0" xfId="0" applyNumberFormat="1"/>
    <xf numFmtId="41" fontId="28" fillId="0" borderId="0" xfId="2" applyNumberFormat="1" applyFont="1"/>
    <xf numFmtId="169" fontId="48" fillId="0" borderId="0" xfId="0" applyNumberFormat="1" applyFont="1"/>
    <xf numFmtId="174" fontId="0" fillId="0" borderId="0" xfId="0" applyNumberFormat="1"/>
    <xf numFmtId="0" fontId="32" fillId="0" borderId="0" xfId="0" applyFont="1" applyAlignment="1">
      <alignment horizontal="right"/>
    </xf>
    <xf numFmtId="165" fontId="42" fillId="0" borderId="0" xfId="0" applyNumberFormat="1" applyFont="1"/>
    <xf numFmtId="165" fontId="9" fillId="0" borderId="0" xfId="0" applyNumberFormat="1" applyFont="1"/>
    <xf numFmtId="0" fontId="49" fillId="0" borderId="0" xfId="0" applyFont="1"/>
    <xf numFmtId="5" fontId="0" fillId="3" borderId="0" xfId="0" applyNumberFormat="1" applyFill="1"/>
    <xf numFmtId="5" fontId="42" fillId="0" borderId="0" xfId="0" applyNumberFormat="1" applyFont="1"/>
    <xf numFmtId="0" fontId="50" fillId="0" borderId="0" xfId="0" applyFont="1"/>
    <xf numFmtId="172" fontId="9" fillId="0" borderId="0" xfId="0" applyNumberFormat="1" applyFont="1"/>
    <xf numFmtId="5" fontId="9" fillId="0" borderId="0" xfId="0" applyNumberFormat="1" applyFont="1"/>
    <xf numFmtId="5" fontId="9" fillId="5" borderId="0" xfId="0" applyNumberFormat="1" applyFont="1" applyFill="1"/>
    <xf numFmtId="0" fontId="51" fillId="0" borderId="0" xfId="0" applyFont="1" applyAlignment="1">
      <alignment horizontal="center"/>
    </xf>
    <xf numFmtId="188" fontId="0" fillId="0" borderId="0" xfId="0" applyNumberFormat="1" applyAlignment="1">
      <alignment horizontal="center"/>
    </xf>
    <xf numFmtId="164" fontId="9" fillId="0" borderId="0" xfId="1" applyNumberFormat="1" applyFill="1"/>
    <xf numFmtId="164" fontId="9" fillId="0" borderId="2" xfId="1" applyNumberFormat="1" applyFill="1" applyBorder="1"/>
    <xf numFmtId="164" fontId="9" fillId="0" borderId="0" xfId="1" applyNumberFormat="1" applyFill="1" applyBorder="1"/>
    <xf numFmtId="43" fontId="9" fillId="0" borderId="0" xfId="1" applyFill="1"/>
    <xf numFmtId="189" fontId="9" fillId="0" borderId="0" xfId="0" applyNumberFormat="1" applyFont="1"/>
    <xf numFmtId="0" fontId="32" fillId="0" borderId="0" xfId="0" applyFont="1" applyAlignment="1">
      <alignment horizontal="centerContinuous"/>
    </xf>
    <xf numFmtId="171" fontId="53" fillId="0" borderId="0" xfId="0" applyNumberFormat="1" applyFont="1"/>
    <xf numFmtId="170" fontId="9" fillId="0" borderId="0" xfId="0" applyNumberFormat="1" applyFont="1"/>
    <xf numFmtId="186" fontId="0" fillId="0" borderId="0" xfId="0" applyNumberFormat="1"/>
    <xf numFmtId="0" fontId="54" fillId="0" borderId="0" xfId="0" applyFont="1"/>
    <xf numFmtId="7" fontId="0" fillId="0" borderId="0" xfId="0" applyNumberFormat="1"/>
    <xf numFmtId="37" fontId="43" fillId="0" borderId="0" xfId="0" applyNumberFormat="1" applyFont="1"/>
    <xf numFmtId="189" fontId="9" fillId="7" borderId="0" xfId="0" applyNumberFormat="1" applyFont="1" applyFill="1"/>
    <xf numFmtId="0" fontId="9" fillId="0" borderId="0" xfId="0" applyFont="1" applyAlignment="1">
      <alignment horizontal="left" indent="1"/>
    </xf>
    <xf numFmtId="169" fontId="42" fillId="9" borderId="0" xfId="0" applyNumberFormat="1" applyFont="1" applyFill="1"/>
    <xf numFmtId="0" fontId="42" fillId="9" borderId="0" xfId="0" applyFont="1" applyFill="1"/>
    <xf numFmtId="171" fontId="48" fillId="0" borderId="0" xfId="0" applyNumberFormat="1" applyFont="1"/>
    <xf numFmtId="191" fontId="0" fillId="0" borderId="0" xfId="0" applyNumberFormat="1" applyAlignment="1">
      <alignment horizontal="center"/>
    </xf>
    <xf numFmtId="0" fontId="9" fillId="0" borderId="0" xfId="4"/>
    <xf numFmtId="0" fontId="10" fillId="0" borderId="0" xfId="4" applyFont="1" applyAlignment="1">
      <alignment horizontal="left"/>
    </xf>
    <xf numFmtId="190" fontId="23" fillId="0" borderId="0" xfId="0" applyNumberFormat="1" applyFont="1" applyAlignment="1">
      <alignment horizontal="center"/>
    </xf>
    <xf numFmtId="171" fontId="23"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left"/>
    </xf>
    <xf numFmtId="0" fontId="9" fillId="0" borderId="1" xfId="0" applyFont="1" applyBorder="1" applyAlignment="1">
      <alignment horizontal="center"/>
    </xf>
    <xf numFmtId="5" fontId="9" fillId="0" borderId="0" xfId="4" applyNumberFormat="1" applyAlignment="1">
      <alignment horizontal="center"/>
    </xf>
    <xf numFmtId="5" fontId="23" fillId="0" borderId="0" xfId="0" applyNumberFormat="1" applyFont="1" applyAlignment="1">
      <alignment horizontal="center"/>
    </xf>
    <xf numFmtId="0" fontId="9" fillId="0" borderId="0" xfId="0" applyFont="1" applyAlignment="1">
      <alignment horizontal="centerContinuous"/>
    </xf>
    <xf numFmtId="0" fontId="32" fillId="0" borderId="0" xfId="0" applyFont="1" applyAlignment="1">
      <alignment horizontal="center"/>
    </xf>
    <xf numFmtId="171" fontId="9" fillId="0" borderId="0" xfId="0" applyNumberFormat="1" applyFont="1"/>
    <xf numFmtId="180" fontId="23" fillId="0" borderId="0" xfId="0" applyNumberFormat="1" applyFont="1"/>
    <xf numFmtId="5" fontId="9" fillId="0" borderId="0" xfId="0" applyNumberFormat="1" applyFont="1" applyAlignment="1">
      <alignment horizontal="center"/>
    </xf>
    <xf numFmtId="5" fontId="9" fillId="0" borderId="1" xfId="0" applyNumberFormat="1" applyFont="1" applyBorder="1" applyAlignment="1">
      <alignment horizontal="center"/>
    </xf>
    <xf numFmtId="5" fontId="32" fillId="0" borderId="0" xfId="0" applyNumberFormat="1" applyFont="1" applyAlignment="1">
      <alignment horizontal="center"/>
    </xf>
    <xf numFmtId="5" fontId="32" fillId="0" borderId="0" xfId="0" applyNumberFormat="1" applyFont="1"/>
    <xf numFmtId="176" fontId="9" fillId="0" borderId="0" xfId="0" applyNumberFormat="1" applyFont="1" applyAlignment="1">
      <alignment horizontal="center"/>
    </xf>
    <xf numFmtId="176" fontId="9" fillId="0" borderId="0" xfId="0" applyNumberFormat="1" applyFont="1"/>
    <xf numFmtId="0" fontId="9" fillId="0" borderId="0" xfId="0" applyFont="1" applyAlignment="1">
      <alignment horizontal="left" indent="3"/>
    </xf>
    <xf numFmtId="185" fontId="9" fillId="0" borderId="0" xfId="0" applyNumberFormat="1" applyFont="1"/>
    <xf numFmtId="169" fontId="9" fillId="0" borderId="0" xfId="2" applyNumberFormat="1" applyFont="1" applyFill="1"/>
    <xf numFmtId="171" fontId="9" fillId="0" borderId="0" xfId="3" applyNumberFormat="1" applyFont="1"/>
    <xf numFmtId="0" fontId="23" fillId="0" borderId="0" xfId="0" quotePrefix="1" applyFont="1" applyAlignment="1">
      <alignment horizontal="center"/>
    </xf>
    <xf numFmtId="37" fontId="57" fillId="0" borderId="0" xfId="0" applyNumberFormat="1" applyFont="1"/>
    <xf numFmtId="164" fontId="17" fillId="0" borderId="0" xfId="1" applyNumberFormat="1" applyFont="1" applyFill="1" applyBorder="1"/>
    <xf numFmtId="0" fontId="10" fillId="0" borderId="0" xfId="1" applyNumberFormat="1" applyFont="1" applyFill="1"/>
    <xf numFmtId="164" fontId="60" fillId="8" borderId="0" xfId="1" applyNumberFormat="1" applyFont="1" applyFill="1"/>
    <xf numFmtId="164" fontId="17" fillId="8" borderId="0" xfId="1" applyNumberFormat="1" applyFont="1" applyFill="1" applyBorder="1"/>
    <xf numFmtId="169" fontId="9" fillId="0" borderId="0" xfId="0" applyNumberFormat="1" applyFont="1"/>
    <xf numFmtId="169" fontId="55" fillId="0" borderId="0" xfId="2" applyNumberFormat="1" applyFont="1"/>
    <xf numFmtId="193" fontId="9" fillId="0" borderId="0" xfId="0" applyNumberFormat="1" applyFont="1"/>
    <xf numFmtId="10" fontId="9" fillId="0" borderId="0" xfId="3" applyNumberFormat="1" applyFont="1"/>
    <xf numFmtId="169" fontId="0" fillId="0" borderId="0" xfId="2" applyNumberFormat="1" applyFont="1"/>
    <xf numFmtId="16" fontId="9" fillId="0" borderId="0" xfId="0" quotePrefix="1" applyNumberFormat="1" applyFont="1" applyAlignment="1">
      <alignment horizontal="center"/>
    </xf>
    <xf numFmtId="0" fontId="9" fillId="0" borderId="0" xfId="0" quotePrefix="1" applyFont="1" applyAlignment="1">
      <alignment horizontal="center"/>
    </xf>
    <xf numFmtId="1" fontId="9" fillId="0" borderId="0" xfId="0" applyNumberFormat="1" applyFont="1"/>
    <xf numFmtId="44" fontId="9" fillId="0" borderId="0" xfId="0" applyNumberFormat="1" applyFont="1"/>
    <xf numFmtId="44" fontId="23" fillId="0" borderId="0" xfId="2" applyFont="1"/>
    <xf numFmtId="164" fontId="0" fillId="0" borderId="2" xfId="11" applyNumberFormat="1" applyFont="1" applyBorder="1"/>
    <xf numFmtId="164" fontId="0" fillId="0" borderId="0" xfId="1" applyNumberFormat="1" applyFont="1"/>
    <xf numFmtId="164" fontId="0" fillId="0" borderId="1" xfId="1" applyNumberFormat="1" applyFont="1" applyBorder="1"/>
    <xf numFmtId="164" fontId="0" fillId="0" borderId="0" xfId="1" applyNumberFormat="1" applyFont="1" applyBorder="1"/>
    <xf numFmtId="164" fontId="0" fillId="0" borderId="1" xfId="0" applyNumberFormat="1" applyBorder="1"/>
    <xf numFmtId="10" fontId="0" fillId="0" borderId="0" xfId="3" applyNumberFormat="1" applyFont="1"/>
    <xf numFmtId="10" fontId="0" fillId="0" borderId="1" xfId="3" applyNumberFormat="1" applyFont="1" applyBorder="1"/>
    <xf numFmtId="188" fontId="9" fillId="0" borderId="0" xfId="4" applyNumberFormat="1" applyAlignment="1">
      <alignment horizontal="center"/>
    </xf>
    <xf numFmtId="164" fontId="9" fillId="0" borderId="0" xfId="1" applyNumberFormat="1" applyFont="1" applyFill="1"/>
    <xf numFmtId="164" fontId="36" fillId="0" borderId="0" xfId="1" applyNumberFormat="1" applyFont="1" applyFill="1" applyBorder="1"/>
    <xf numFmtId="164" fontId="59" fillId="0" borderId="0" xfId="1" applyNumberFormat="1" applyFont="1" applyFill="1" applyBorder="1"/>
    <xf numFmtId="164" fontId="60" fillId="0" borderId="0" xfId="1" applyNumberFormat="1" applyFont="1" applyFill="1"/>
    <xf numFmtId="164" fontId="60" fillId="0" borderId="0" xfId="1" applyNumberFormat="1" applyFont="1" applyFill="1" applyBorder="1"/>
    <xf numFmtId="164" fontId="61" fillId="0" borderId="0" xfId="1" applyNumberFormat="1" applyFont="1" applyFill="1"/>
    <xf numFmtId="169" fontId="9" fillId="0" borderId="0" xfId="2" applyNumberFormat="1" applyFont="1" applyBorder="1"/>
    <xf numFmtId="164" fontId="55" fillId="0" borderId="0" xfId="1" applyNumberFormat="1" applyFont="1" applyAlignment="1">
      <alignment horizontal="center"/>
    </xf>
    <xf numFmtId="9" fontId="10" fillId="0" borderId="0" xfId="3" applyFont="1"/>
    <xf numFmtId="169" fontId="10" fillId="0" borderId="0" xfId="2" applyNumberFormat="1" applyFont="1"/>
    <xf numFmtId="164" fontId="10" fillId="0" borderId="0" xfId="0" applyNumberFormat="1" applyFont="1"/>
    <xf numFmtId="164" fontId="10" fillId="0" borderId="1" xfId="1" applyNumberFormat="1" applyFont="1" applyBorder="1"/>
    <xf numFmtId="169" fontId="10" fillId="0" borderId="1" xfId="2" applyNumberFormat="1" applyFont="1" applyBorder="1"/>
    <xf numFmtId="9" fontId="10" fillId="0" borderId="1" xfId="3" applyFont="1" applyBorder="1"/>
    <xf numFmtId="171" fontId="0" fillId="0" borderId="0" xfId="3" applyNumberFormat="1" applyFont="1"/>
    <xf numFmtId="192" fontId="9" fillId="0" borderId="0" xfId="2" applyNumberFormat="1" applyFont="1"/>
    <xf numFmtId="171" fontId="23" fillId="0" borderId="0" xfId="3" applyNumberFormat="1" applyFont="1"/>
    <xf numFmtId="176" fontId="32" fillId="0" borderId="0" xfId="0" applyNumberFormat="1" applyFont="1" applyAlignment="1">
      <alignment horizontal="center"/>
    </xf>
    <xf numFmtId="166" fontId="23" fillId="0" borderId="0" xfId="0" applyNumberFormat="1" applyFont="1" applyAlignment="1">
      <alignment horizontal="right"/>
    </xf>
    <xf numFmtId="166" fontId="9" fillId="0" borderId="0" xfId="0" applyNumberFormat="1" applyFont="1" applyAlignment="1">
      <alignment horizontal="right"/>
    </xf>
    <xf numFmtId="0" fontId="9" fillId="0" borderId="0" xfId="728"/>
    <xf numFmtId="0" fontId="9" fillId="0" borderId="0" xfId="728" applyAlignment="1">
      <alignment horizontal="left"/>
    </xf>
    <xf numFmtId="170" fontId="57" fillId="0" borderId="0" xfId="0" applyNumberFormat="1" applyFont="1"/>
    <xf numFmtId="37" fontId="91" fillId="0" borderId="0" xfId="0" applyNumberFormat="1" applyFont="1"/>
    <xf numFmtId="9" fontId="0" fillId="0" borderId="0" xfId="3" applyFont="1"/>
    <xf numFmtId="9" fontId="0" fillId="0" borderId="0" xfId="0" applyNumberFormat="1"/>
    <xf numFmtId="164" fontId="0" fillId="46" borderId="0" xfId="11" applyNumberFormat="1" applyFont="1" applyFill="1" applyBorder="1"/>
    <xf numFmtId="164" fontId="0" fillId="11" borderId="0" xfId="11" applyNumberFormat="1" applyFont="1" applyFill="1" applyBorder="1"/>
    <xf numFmtId="0" fontId="0" fillId="9" borderId="0" xfId="0" applyFill="1"/>
    <xf numFmtId="192" fontId="23" fillId="0" borderId="0" xfId="2" applyNumberFormat="1" applyFont="1"/>
    <xf numFmtId="164" fontId="34" fillId="0" borderId="0" xfId="15" applyNumberFormat="1" applyFont="1" applyFill="1"/>
    <xf numFmtId="164" fontId="34" fillId="0" borderId="0" xfId="4511" applyNumberFormat="1" applyFont="1" applyFill="1"/>
    <xf numFmtId="164" fontId="41" fillId="0" borderId="0" xfId="4511" applyNumberFormat="1" applyFont="1" applyFill="1"/>
    <xf numFmtId="164" fontId="41" fillId="0" borderId="0" xfId="4511" applyNumberFormat="1" applyFont="1"/>
    <xf numFmtId="0" fontId="0" fillId="0" borderId="3" xfId="0" applyBorder="1"/>
    <xf numFmtId="44" fontId="0" fillId="0" borderId="0" xfId="2" applyFont="1"/>
    <xf numFmtId="174" fontId="55" fillId="0" borderId="0" xfId="85" applyNumberFormat="1" applyFont="1"/>
    <xf numFmtId="192" fontId="0" fillId="0" borderId="0" xfId="2" applyNumberFormat="1" applyFont="1" applyFill="1"/>
    <xf numFmtId="192" fontId="23" fillId="0" borderId="0" xfId="2" applyNumberFormat="1" applyFont="1" applyFill="1"/>
    <xf numFmtId="0" fontId="0" fillId="0" borderId="0" xfId="0" quotePrefix="1"/>
    <xf numFmtId="182" fontId="9" fillId="0" borderId="0" xfId="0" quotePrefix="1" applyNumberFormat="1" applyFont="1" applyAlignment="1">
      <alignment horizontal="right"/>
    </xf>
    <xf numFmtId="182" fontId="9" fillId="0" borderId="0" xfId="0" quotePrefix="1" applyNumberFormat="1" applyFont="1" applyAlignment="1">
      <alignment horizontal="left"/>
    </xf>
    <xf numFmtId="0" fontId="29" fillId="0" borderId="0" xfId="0" applyFont="1" applyAlignment="1">
      <alignment horizontal="left"/>
    </xf>
    <xf numFmtId="164" fontId="0" fillId="0" borderId="0" xfId="1" applyNumberFormat="1" applyFont="1" applyFill="1"/>
    <xf numFmtId="0" fontId="164" fillId="0" borderId="0" xfId="0" applyFont="1"/>
    <xf numFmtId="174" fontId="55" fillId="0" borderId="0" xfId="0" applyNumberFormat="1" applyFont="1"/>
    <xf numFmtId="0" fontId="164" fillId="0" borderId="0" xfId="0" applyFont="1" applyAlignment="1">
      <alignment horizontal="right"/>
    </xf>
    <xf numFmtId="0" fontId="165" fillId="0" borderId="0" xfId="0" applyFont="1" applyAlignment="1">
      <alignment horizontal="center"/>
    </xf>
    <xf numFmtId="174" fontId="86" fillId="0" borderId="0" xfId="85" applyNumberFormat="1" applyFont="1"/>
    <xf numFmtId="192" fontId="55" fillId="0" borderId="0" xfId="2" applyNumberFormat="1" applyFont="1" applyFill="1"/>
    <xf numFmtId="175" fontId="9" fillId="0" borderId="0" xfId="0" applyNumberFormat="1" applyFont="1"/>
    <xf numFmtId="169" fontId="0" fillId="0" borderId="11" xfId="0" applyNumberFormat="1" applyBorder="1"/>
    <xf numFmtId="192" fontId="55" fillId="0" borderId="0" xfId="2" applyNumberFormat="1" applyFont="1"/>
    <xf numFmtId="168" fontId="164" fillId="0" borderId="0" xfId="0" applyNumberFormat="1" applyFont="1"/>
    <xf numFmtId="174" fontId="166" fillId="0" borderId="0" xfId="0" applyNumberFormat="1" applyFont="1"/>
    <xf numFmtId="174" fontId="164" fillId="0" borderId="0" xfId="0" applyNumberFormat="1" applyFont="1"/>
    <xf numFmtId="169" fontId="0" fillId="0" borderId="0" xfId="2" applyNumberFormat="1" applyFont="1" applyBorder="1"/>
    <xf numFmtId="174" fontId="86" fillId="0" borderId="0" xfId="0" applyNumberFormat="1" applyFont="1"/>
    <xf numFmtId="3" fontId="17" fillId="0" borderId="0" xfId="0" applyNumberFormat="1" applyFont="1"/>
    <xf numFmtId="164" fontId="22" fillId="0" borderId="0" xfId="1" applyNumberFormat="1" applyFont="1" applyFill="1"/>
    <xf numFmtId="37" fontId="0" fillId="0" borderId="0" xfId="0" applyNumberFormat="1"/>
    <xf numFmtId="5" fontId="32" fillId="0" borderId="0" xfId="4" applyNumberFormat="1" applyFont="1" applyAlignment="1">
      <alignment horizontal="center"/>
    </xf>
    <xf numFmtId="171" fontId="9" fillId="0" borderId="0" xfId="3" applyNumberFormat="1" applyFont="1" applyAlignment="1">
      <alignment horizontal="center"/>
    </xf>
    <xf numFmtId="10" fontId="9" fillId="0" borderId="0" xfId="3" applyNumberFormat="1" applyFont="1" applyAlignment="1">
      <alignment horizontal="center"/>
    </xf>
    <xf numFmtId="171" fontId="10" fillId="0" borderId="0" xfId="3" applyNumberFormat="1" applyFont="1"/>
    <xf numFmtId="43" fontId="10" fillId="0" borderId="0" xfId="0" applyNumberFormat="1" applyFont="1"/>
    <xf numFmtId="164" fontId="28" fillId="0" borderId="0" xfId="1" applyNumberFormat="1" applyFont="1" applyFill="1"/>
    <xf numFmtId="16" fontId="0" fillId="0" borderId="0" xfId="0" applyNumberFormat="1"/>
    <xf numFmtId="175" fontId="164" fillId="0" borderId="0" xfId="0" applyNumberFormat="1" applyFont="1"/>
    <xf numFmtId="174" fontId="166" fillId="0" borderId="0" xfId="85" applyNumberFormat="1" applyFont="1"/>
    <xf numFmtId="170" fontId="164" fillId="0" borderId="0" xfId="0" applyNumberFormat="1" applyFont="1"/>
    <xf numFmtId="164" fontId="166" fillId="0" borderId="0" xfId="1" applyNumberFormat="1" applyFont="1" applyAlignment="1">
      <alignment horizontal="center"/>
    </xf>
    <xf numFmtId="170" fontId="165" fillId="0" borderId="0" xfId="0" applyNumberFormat="1" applyFont="1"/>
    <xf numFmtId="44" fontId="164" fillId="0" borderId="0" xfId="2" applyFont="1"/>
    <xf numFmtId="174" fontId="167" fillId="0" borderId="0" xfId="0" applyNumberFormat="1" applyFont="1"/>
    <xf numFmtId="0" fontId="168" fillId="0" borderId="0" xfId="0" applyFont="1"/>
    <xf numFmtId="164" fontId="0" fillId="0" borderId="0" xfId="0" applyNumberFormat="1" applyAlignment="1">
      <alignment vertical="justify"/>
    </xf>
    <xf numFmtId="0" fontId="9" fillId="0" borderId="0" xfId="4" applyProtection="1">
      <protection hidden="1"/>
    </xf>
    <xf numFmtId="0" fontId="90" fillId="0" borderId="0" xfId="0" applyFont="1"/>
    <xf numFmtId="0" fontId="55" fillId="8" borderId="0" xfId="0" applyFont="1" applyFill="1" applyAlignment="1">
      <alignment horizontal="center"/>
    </xf>
    <xf numFmtId="5" fontId="23" fillId="0" borderId="1" xfId="0" applyNumberFormat="1" applyFont="1" applyBorder="1" applyAlignment="1">
      <alignment horizontal="center"/>
    </xf>
    <xf numFmtId="5" fontId="23" fillId="0" borderId="0" xfId="4" applyNumberFormat="1" applyFont="1" applyAlignment="1">
      <alignment horizontal="center"/>
    </xf>
    <xf numFmtId="0" fontId="169" fillId="77" borderId="39" xfId="0" applyFont="1" applyFill="1" applyBorder="1" applyAlignment="1">
      <alignment horizontal="left" vertical="top"/>
    </xf>
    <xf numFmtId="3" fontId="170" fillId="0" borderId="40" xfId="0" applyNumberFormat="1" applyFont="1" applyBorder="1" applyAlignment="1">
      <alignment horizontal="right" vertical="top"/>
    </xf>
    <xf numFmtId="3" fontId="171" fillId="78" borderId="41" xfId="0" applyNumberFormat="1" applyFont="1" applyFill="1" applyBorder="1" applyAlignment="1">
      <alignment horizontal="right" vertical="top"/>
    </xf>
    <xf numFmtId="0" fontId="0" fillId="0" borderId="40" xfId="0" applyBorder="1"/>
    <xf numFmtId="164" fontId="0" fillId="0" borderId="0" xfId="1" applyNumberFormat="1" applyFont="1" applyFill="1" applyBorder="1"/>
    <xf numFmtId="10" fontId="41" fillId="0" borderId="0" xfId="0" applyNumberFormat="1" applyFont="1"/>
    <xf numFmtId="0" fontId="9" fillId="0" borderId="0" xfId="0" quotePrefix="1" applyFont="1"/>
    <xf numFmtId="164" fontId="36" fillId="8" borderId="0" xfId="1" applyNumberFormat="1" applyFont="1" applyFill="1"/>
    <xf numFmtId="0" fontId="0" fillId="0" borderId="13" xfId="0" applyBorder="1"/>
    <xf numFmtId="0" fontId="0" fillId="0" borderId="48" xfId="0" applyBorder="1" applyAlignment="1">
      <alignment horizontal="center"/>
    </xf>
    <xf numFmtId="0" fontId="0" fillId="0" borderId="48" xfId="0" applyBorder="1"/>
    <xf numFmtId="164" fontId="0" fillId="0" borderId="48" xfId="11" applyNumberFormat="1" applyFont="1" applyBorder="1"/>
    <xf numFmtId="0" fontId="0" fillId="0" borderId="49" xfId="0" applyBorder="1"/>
    <xf numFmtId="0" fontId="0" fillId="0" borderId="14" xfId="0" applyBorder="1"/>
    <xf numFmtId="164" fontId="0" fillId="10" borderId="0" xfId="11" applyNumberFormat="1" applyFont="1" applyFill="1" applyBorder="1"/>
    <xf numFmtId="164" fontId="0" fillId="0" borderId="0" xfId="11" applyNumberFormat="1" applyFont="1" applyBorder="1"/>
    <xf numFmtId="0" fontId="0" fillId="0" borderId="38" xfId="0" applyBorder="1"/>
    <xf numFmtId="164" fontId="9" fillId="46" borderId="0" xfId="1" applyNumberFormat="1" applyFill="1" applyBorder="1"/>
    <xf numFmtId="164" fontId="0" fillId="0" borderId="0" xfId="11" applyNumberFormat="1" applyFont="1" applyFill="1" applyBorder="1"/>
    <xf numFmtId="171" fontId="0" fillId="0" borderId="38" xfId="12" applyNumberFormat="1" applyFont="1" applyBorder="1"/>
    <xf numFmtId="0" fontId="0" fillId="0" borderId="15" xfId="0" applyBorder="1"/>
    <xf numFmtId="164" fontId="0" fillId="0" borderId="3" xfId="11" applyNumberFormat="1" applyFont="1" applyBorder="1"/>
    <xf numFmtId="164" fontId="0" fillId="0" borderId="3" xfId="11" applyNumberFormat="1" applyFont="1" applyFill="1" applyBorder="1"/>
    <xf numFmtId="164" fontId="0" fillId="0" borderId="3" xfId="0" applyNumberFormat="1" applyBorder="1"/>
    <xf numFmtId="171" fontId="0" fillId="0" borderId="37" xfId="12" applyNumberFormat="1" applyFont="1" applyBorder="1"/>
    <xf numFmtId="171" fontId="0" fillId="0" borderId="48" xfId="12" applyNumberFormat="1" applyFont="1" applyBorder="1"/>
    <xf numFmtId="171" fontId="0" fillId="0" borderId="0" xfId="12" applyNumberFormat="1" applyFont="1" applyBorder="1"/>
    <xf numFmtId="164" fontId="0" fillId="0" borderId="38" xfId="0" applyNumberFormat="1" applyBorder="1"/>
    <xf numFmtId="44" fontId="0" fillId="0" borderId="0" xfId="13" applyFont="1" applyFill="1" applyBorder="1"/>
    <xf numFmtId="44" fontId="0" fillId="0" borderId="0" xfId="13" applyFont="1" applyBorder="1"/>
    <xf numFmtId="44" fontId="0" fillId="0" borderId="38" xfId="0" applyNumberFormat="1" applyBorder="1"/>
    <xf numFmtId="0" fontId="0" fillId="0" borderId="37" xfId="0" applyBorder="1"/>
    <xf numFmtId="171" fontId="0" fillId="0" borderId="38" xfId="3" applyNumberFormat="1" applyFont="1" applyBorder="1"/>
    <xf numFmtId="0" fontId="9" fillId="0" borderId="0" xfId="0" applyFont="1" applyAlignment="1">
      <alignment horizontal="left" vertical="justify"/>
    </xf>
    <xf numFmtId="0" fontId="9" fillId="0" borderId="0" xfId="43228"/>
    <xf numFmtId="0" fontId="88" fillId="0" borderId="0" xfId="43228" applyFont="1" applyAlignment="1">
      <alignment vertical="justify"/>
    </xf>
    <xf numFmtId="0" fontId="9" fillId="0" borderId="0" xfId="0" applyFont="1" applyAlignment="1">
      <alignment horizontal="centerContinuous" vertical="justify"/>
    </xf>
    <xf numFmtId="3" fontId="41" fillId="0" borderId="0" xfId="23000" applyNumberFormat="1" applyFont="1" applyAlignment="1">
      <alignment vertical="justify"/>
    </xf>
    <xf numFmtId="3" fontId="0" fillId="0" borderId="0" xfId="0" applyNumberFormat="1" applyAlignment="1">
      <alignment vertical="justify"/>
    </xf>
    <xf numFmtId="3" fontId="9" fillId="0" borderId="2" xfId="43228" applyNumberFormat="1" applyBorder="1" applyAlignment="1">
      <alignment vertical="justify"/>
    </xf>
    <xf numFmtId="3" fontId="9" fillId="0" borderId="11" xfId="43228" applyNumberFormat="1" applyBorder="1" applyAlignment="1">
      <alignment vertical="justify"/>
    </xf>
    <xf numFmtId="171" fontId="0" fillId="0" borderId="0" xfId="3" applyNumberFormat="1" applyFont="1" applyAlignment="1">
      <alignment vertical="justify"/>
    </xf>
    <xf numFmtId="0" fontId="23" fillId="0" borderId="0" xfId="43228" applyFont="1"/>
    <xf numFmtId="3" fontId="9" fillId="0" borderId="0" xfId="1" applyNumberFormat="1" applyAlignment="1">
      <alignment vertical="justify"/>
    </xf>
    <xf numFmtId="0" fontId="57" fillId="0" borderId="0" xfId="0" applyFont="1"/>
    <xf numFmtId="7" fontId="23" fillId="8" borderId="0" xfId="0" applyNumberFormat="1" applyFont="1" applyFill="1"/>
    <xf numFmtId="7" fontId="9" fillId="8" borderId="0" xfId="0" applyNumberFormat="1" applyFont="1" applyFill="1"/>
    <xf numFmtId="43" fontId="0" fillId="0" borderId="0" xfId="1" applyFont="1"/>
    <xf numFmtId="169" fontId="23" fillId="0" borderId="0" xfId="0" applyNumberFormat="1" applyFont="1"/>
    <xf numFmtId="10" fontId="9" fillId="0" borderId="0" xfId="3" applyNumberFormat="1" applyFont="1" applyFill="1"/>
    <xf numFmtId="174" fontId="23" fillId="0" borderId="0" xfId="0" applyNumberFormat="1" applyFont="1"/>
    <xf numFmtId="0" fontId="0" fillId="77" borderId="39" xfId="0" applyFill="1" applyBorder="1"/>
    <xf numFmtId="0" fontId="172" fillId="79" borderId="43" xfId="0" applyFont="1" applyFill="1" applyBorder="1" applyAlignment="1">
      <alignment horizontal="left" vertical="top"/>
    </xf>
    <xf numFmtId="0" fontId="0" fillId="77" borderId="42" xfId="0" applyFill="1" applyBorder="1"/>
    <xf numFmtId="3" fontId="173" fillId="80" borderId="46" xfId="0" applyNumberFormat="1" applyFont="1" applyFill="1" applyBorder="1" applyAlignment="1">
      <alignment horizontal="right" vertical="top"/>
    </xf>
    <xf numFmtId="0" fontId="0" fillId="77" borderId="0" xfId="0" applyFill="1"/>
    <xf numFmtId="3" fontId="173" fillId="81" borderId="46" xfId="0" applyNumberFormat="1" applyFont="1" applyFill="1" applyBorder="1" applyAlignment="1">
      <alignment horizontal="right" vertical="top"/>
    </xf>
    <xf numFmtId="0" fontId="9" fillId="0" borderId="0" xfId="4" quotePrefix="1" applyAlignment="1">
      <alignment horizontal="left"/>
    </xf>
    <xf numFmtId="0" fontId="9" fillId="0" borderId="0" xfId="4" applyAlignment="1">
      <alignment horizontal="left"/>
    </xf>
    <xf numFmtId="0" fontId="9" fillId="0" borderId="48" xfId="0" applyFont="1" applyBorder="1" applyAlignment="1">
      <alignment horizontal="center"/>
    </xf>
    <xf numFmtId="190" fontId="38" fillId="0" borderId="0" xfId="0" applyNumberFormat="1" applyFont="1" applyAlignment="1">
      <alignment horizontal="center"/>
    </xf>
    <xf numFmtId="5" fontId="38" fillId="0" borderId="0" xfId="4" applyNumberFormat="1" applyFont="1" applyAlignment="1">
      <alignment horizontal="center"/>
    </xf>
    <xf numFmtId="171" fontId="38" fillId="0" borderId="0" xfId="0" applyNumberFormat="1" applyFont="1" applyAlignment="1">
      <alignment horizontal="center"/>
    </xf>
    <xf numFmtId="3" fontId="34" fillId="8" borderId="0" xfId="85" applyNumberFormat="1" applyFont="1" applyFill="1"/>
    <xf numFmtId="164" fontId="0" fillId="0" borderId="0" xfId="1" applyNumberFormat="1" applyFont="1" applyFill="1" applyAlignment="1">
      <alignment horizontal="right"/>
    </xf>
    <xf numFmtId="164" fontId="0" fillId="0" borderId="0" xfId="1" quotePrefix="1" applyNumberFormat="1" applyFont="1" applyFill="1"/>
    <xf numFmtId="164" fontId="0" fillId="0" borderId="0" xfId="0" applyNumberFormat="1" applyAlignment="1">
      <alignment horizontal="right"/>
    </xf>
    <xf numFmtId="0" fontId="176" fillId="0" borderId="0" xfId="0" applyFont="1"/>
    <xf numFmtId="44" fontId="174" fillId="0" borderId="0" xfId="2" applyFont="1" applyFill="1"/>
    <xf numFmtId="44" fontId="0" fillId="0" borderId="0" xfId="0" applyNumberFormat="1"/>
    <xf numFmtId="44" fontId="175" fillId="0" borderId="0" xfId="2" applyFont="1" applyFill="1"/>
    <xf numFmtId="44" fontId="0" fillId="0" borderId="0" xfId="2" applyFont="1" applyFill="1"/>
    <xf numFmtId="169" fontId="174" fillId="0" borderId="0" xfId="2" applyNumberFormat="1" applyFont="1" applyFill="1"/>
    <xf numFmtId="0" fontId="0" fillId="9" borderId="14" xfId="0" applyFill="1" applyBorder="1"/>
    <xf numFmtId="0" fontId="0" fillId="9" borderId="0" xfId="0" applyFill="1" applyAlignment="1">
      <alignment horizontal="center"/>
    </xf>
    <xf numFmtId="0" fontId="23" fillId="8" borderId="0" xfId="0" applyFont="1" applyFill="1"/>
    <xf numFmtId="0" fontId="0" fillId="8" borderId="0" xfId="0" applyFill="1"/>
    <xf numFmtId="164" fontId="41" fillId="8" borderId="0" xfId="4511" applyNumberFormat="1" applyFont="1" applyFill="1"/>
    <xf numFmtId="164" fontId="9" fillId="8" borderId="0" xfId="1" applyNumberFormat="1" applyFont="1" applyFill="1"/>
    <xf numFmtId="164" fontId="55" fillId="8" borderId="0" xfId="15" applyNumberFormat="1" applyFont="1" applyFill="1" applyBorder="1"/>
    <xf numFmtId="0" fontId="9" fillId="8" borderId="0" xfId="43228" applyFill="1"/>
    <xf numFmtId="164" fontId="0" fillId="82" borderId="0" xfId="1" applyNumberFormat="1" applyFont="1" applyFill="1" applyAlignment="1">
      <alignment horizontal="right"/>
    </xf>
    <xf numFmtId="10" fontId="0" fillId="0" borderId="0" xfId="3" applyNumberFormat="1" applyFont="1" applyBorder="1"/>
    <xf numFmtId="0" fontId="0" fillId="82" borderId="14" xfId="0" applyFill="1" applyBorder="1"/>
    <xf numFmtId="0" fontId="9" fillId="82" borderId="0" xfId="0" applyFont="1" applyFill="1"/>
    <xf numFmtId="0" fontId="177" fillId="8" borderId="0" xfId="0" applyFont="1" applyFill="1"/>
    <xf numFmtId="0" fontId="17" fillId="8" borderId="0" xfId="0" applyFont="1" applyFill="1"/>
    <xf numFmtId="164" fontId="0" fillId="9" borderId="0" xfId="0" applyNumberFormat="1" applyFill="1"/>
    <xf numFmtId="164" fontId="0" fillId="9" borderId="0" xfId="11" applyNumberFormat="1" applyFont="1" applyFill="1" applyBorder="1"/>
    <xf numFmtId="164" fontId="0" fillId="9" borderId="0" xfId="1" applyNumberFormat="1" applyFont="1" applyFill="1" applyBorder="1"/>
    <xf numFmtId="164" fontId="0" fillId="9" borderId="1" xfId="1" applyNumberFormat="1" applyFont="1" applyFill="1" applyBorder="1"/>
    <xf numFmtId="171" fontId="0" fillId="9" borderId="0" xfId="12" applyNumberFormat="1" applyFont="1" applyFill="1" applyBorder="1"/>
    <xf numFmtId="164" fontId="0" fillId="9" borderId="2" xfId="11" applyNumberFormat="1" applyFont="1" applyFill="1" applyBorder="1"/>
    <xf numFmtId="44" fontId="0" fillId="9" borderId="0" xfId="13" applyFont="1" applyFill="1" applyBorder="1"/>
    <xf numFmtId="0" fontId="30" fillId="8" borderId="1" xfId="0" applyFont="1" applyFill="1" applyBorder="1" applyAlignment="1">
      <alignment horizontal="centerContinuous"/>
    </xf>
    <xf numFmtId="0" fontId="0" fillId="8" borderId="1" xfId="0" applyFill="1" applyBorder="1" applyAlignment="1">
      <alignment horizontal="centerContinuous"/>
    </xf>
    <xf numFmtId="0" fontId="9" fillId="8" borderId="0" xfId="4" applyFill="1"/>
    <xf numFmtId="164" fontId="34" fillId="8" borderId="0" xfId="1" applyNumberFormat="1" applyFont="1" applyFill="1"/>
    <xf numFmtId="164" fontId="34" fillId="8" borderId="0" xfId="4511" applyNumberFormat="1" applyFont="1" applyFill="1"/>
    <xf numFmtId="0" fontId="176" fillId="8" borderId="0" xfId="0" applyFont="1" applyFill="1"/>
    <xf numFmtId="4" fontId="42" fillId="8" borderId="0" xfId="0" applyNumberFormat="1" applyFont="1" applyFill="1"/>
    <xf numFmtId="0" fontId="9" fillId="8" borderId="0" xfId="0" applyFont="1" applyFill="1"/>
    <xf numFmtId="164" fontId="9" fillId="0" borderId="0" xfId="0" applyNumberFormat="1" applyFont="1"/>
    <xf numFmtId="0" fontId="23" fillId="8" borderId="0" xfId="0" applyFont="1" applyFill="1" applyAlignment="1">
      <alignment horizontal="center"/>
    </xf>
    <xf numFmtId="0" fontId="23" fillId="8" borderId="0" xfId="0" applyFont="1" applyFill="1" applyAlignment="1">
      <alignment horizontal="right"/>
    </xf>
    <xf numFmtId="0" fontId="0" fillId="8" borderId="0" xfId="0" applyFill="1" applyAlignment="1">
      <alignment horizontal="right"/>
    </xf>
    <xf numFmtId="0" fontId="0" fillId="8" borderId="0" xfId="0" applyFill="1" applyAlignment="1">
      <alignment horizontal="center"/>
    </xf>
    <xf numFmtId="0" fontId="0" fillId="8" borderId="0" xfId="0" quotePrefix="1" applyFill="1" applyAlignment="1">
      <alignment horizontal="center"/>
    </xf>
    <xf numFmtId="3" fontId="34" fillId="8" borderId="0" xfId="0" applyNumberFormat="1" applyFont="1" applyFill="1"/>
    <xf numFmtId="3" fontId="0" fillId="8" borderId="0" xfId="0" applyNumberFormat="1" applyFill="1"/>
    <xf numFmtId="3" fontId="0" fillId="8" borderId="2" xfId="0" applyNumberFormat="1" applyFill="1" applyBorder="1"/>
    <xf numFmtId="0" fontId="31" fillId="8" borderId="0" xfId="0" applyFont="1" applyFill="1"/>
    <xf numFmtId="0" fontId="9" fillId="8" borderId="0" xfId="0" applyFont="1" applyFill="1" applyAlignment="1">
      <alignment horizontal="center"/>
    </xf>
    <xf numFmtId="164" fontId="0" fillId="8" borderId="0" xfId="0" applyNumberFormat="1" applyFill="1"/>
    <xf numFmtId="164" fontId="0" fillId="8" borderId="0" xfId="1" applyNumberFormat="1" applyFont="1" applyFill="1"/>
    <xf numFmtId="0" fontId="9" fillId="8" borderId="0" xfId="0" quotePrefix="1" applyFont="1" applyFill="1" applyAlignment="1">
      <alignment horizontal="center"/>
    </xf>
    <xf numFmtId="3" fontId="55" fillId="8" borderId="0" xfId="85" applyNumberFormat="1" applyFont="1" applyFill="1"/>
    <xf numFmtId="0" fontId="19" fillId="8" borderId="0" xfId="0" applyFont="1" applyFill="1"/>
    <xf numFmtId="164" fontId="17" fillId="8" borderId="0" xfId="1" applyNumberFormat="1" applyFont="1" applyFill="1"/>
    <xf numFmtId="164" fontId="60" fillId="8" borderId="0" xfId="1" applyNumberFormat="1" applyFont="1" applyFill="1" applyBorder="1"/>
    <xf numFmtId="0" fontId="19" fillId="8" borderId="0" xfId="0" applyFont="1" applyFill="1" applyAlignment="1">
      <alignment horizontal="center"/>
    </xf>
    <xf numFmtId="175" fontId="0" fillId="8" borderId="0" xfId="0" applyNumberFormat="1" applyFill="1"/>
    <xf numFmtId="164" fontId="57" fillId="8" borderId="0" xfId="1" applyNumberFormat="1" applyFont="1" applyFill="1"/>
    <xf numFmtId="0" fontId="10" fillId="8" borderId="0" xfId="4" applyFont="1" applyFill="1" applyAlignment="1">
      <alignment horizontal="left"/>
    </xf>
    <xf numFmtId="165" fontId="10" fillId="8" borderId="0" xfId="0" applyNumberFormat="1" applyFont="1" applyFill="1" applyAlignment="1">
      <alignment horizontal="left" indent="1"/>
    </xf>
    <xf numFmtId="164" fontId="10" fillId="8" borderId="0" xfId="1" applyNumberFormat="1" applyFont="1" applyFill="1"/>
    <xf numFmtId="164" fontId="35" fillId="8" borderId="0" xfId="1" applyNumberFormat="1" applyFont="1" applyFill="1"/>
    <xf numFmtId="5" fontId="14" fillId="8" borderId="0" xfId="0" applyNumberFormat="1" applyFont="1" applyFill="1"/>
    <xf numFmtId="165" fontId="10" fillId="8" borderId="0" xfId="0" applyNumberFormat="1" applyFont="1" applyFill="1"/>
    <xf numFmtId="4" fontId="0" fillId="8" borderId="0" xfId="0" applyNumberFormat="1" applyFill="1"/>
    <xf numFmtId="175" fontId="27" fillId="8" borderId="0" xfId="0" applyNumberFormat="1" applyFont="1" applyFill="1"/>
    <xf numFmtId="0" fontId="9" fillId="82" borderId="0" xfId="4" applyFill="1" applyAlignment="1">
      <alignment horizontal="left"/>
    </xf>
    <xf numFmtId="0" fontId="10" fillId="9" borderId="0" xfId="0" applyFont="1" applyFill="1" applyAlignment="1">
      <alignment horizontal="center"/>
    </xf>
    <xf numFmtId="0" fontId="10" fillId="9" borderId="0" xfId="0" applyFont="1" applyFill="1"/>
    <xf numFmtId="0" fontId="10" fillId="9" borderId="0" xfId="0" applyFont="1" applyFill="1" applyAlignment="1">
      <alignment horizontal="right"/>
    </xf>
    <xf numFmtId="0" fontId="47" fillId="9" borderId="0" xfId="0" applyFont="1" applyFill="1" applyAlignment="1">
      <alignment horizontal="left" indent="1"/>
    </xf>
    <xf numFmtId="43" fontId="17" fillId="0" borderId="0" xfId="0" applyNumberFormat="1" applyFont="1"/>
    <xf numFmtId="0" fontId="0" fillId="0" borderId="0" xfId="0" quotePrefix="1" applyAlignment="1">
      <alignment horizontal="center"/>
    </xf>
    <xf numFmtId="3" fontId="34" fillId="0" borderId="0" xfId="85" applyNumberFormat="1" applyFont="1"/>
    <xf numFmtId="0" fontId="164" fillId="8" borderId="0" xfId="0" applyFont="1" applyFill="1"/>
    <xf numFmtId="174" fontId="86" fillId="8" borderId="0" xfId="0" applyNumberFormat="1" applyFont="1" applyFill="1"/>
    <xf numFmtId="174" fontId="55" fillId="8" borderId="0" xfId="0" applyNumberFormat="1" applyFont="1" applyFill="1"/>
    <xf numFmtId="174" fontId="166" fillId="8" borderId="0" xfId="0" applyNumberFormat="1" applyFont="1" applyFill="1"/>
    <xf numFmtId="0" fontId="55" fillId="0" borderId="0" xfId="4" applyFont="1" applyAlignment="1">
      <alignment horizontal="left"/>
    </xf>
    <xf numFmtId="0" fontId="55" fillId="0" borderId="0" xfId="4" quotePrefix="1" applyFont="1" applyAlignment="1">
      <alignment horizontal="left"/>
    </xf>
    <xf numFmtId="0" fontId="178" fillId="0" borderId="0" xfId="4" applyFont="1" applyAlignment="1">
      <alignment horizontal="left"/>
    </xf>
    <xf numFmtId="37" fontId="10" fillId="0" borderId="0" xfId="1" applyNumberFormat="1" applyFont="1" applyFill="1"/>
    <xf numFmtId="37" fontId="57" fillId="0" borderId="0" xfId="1" applyNumberFormat="1" applyFont="1" applyFill="1"/>
    <xf numFmtId="10" fontId="32" fillId="0" borderId="0" xfId="3" applyNumberFormat="1" applyFont="1"/>
    <xf numFmtId="0" fontId="9" fillId="0" borderId="13" xfId="0" applyFont="1" applyBorder="1"/>
    <xf numFmtId="0" fontId="9" fillId="0" borderId="14" xfId="0" applyFont="1" applyBorder="1"/>
    <xf numFmtId="0" fontId="9" fillId="0" borderId="38" xfId="0" applyFont="1" applyBorder="1"/>
    <xf numFmtId="43" fontId="0" fillId="0" borderId="0" xfId="1" applyFont="1" applyBorder="1"/>
    <xf numFmtId="44" fontId="0" fillId="0" borderId="38" xfId="2" applyFont="1" applyBorder="1"/>
    <xf numFmtId="10" fontId="23" fillId="0" borderId="50" xfId="3" applyNumberFormat="1" applyFont="1" applyBorder="1"/>
    <xf numFmtId="0" fontId="7" fillId="0" borderId="0" xfId="93" applyAlignment="1">
      <alignment horizontal="center"/>
    </xf>
    <xf numFmtId="0" fontId="7" fillId="0" borderId="1" xfId="93" applyBorder="1" applyAlignment="1">
      <alignment horizontal="center"/>
    </xf>
    <xf numFmtId="0" fontId="7" fillId="0" borderId="0" xfId="93"/>
    <xf numFmtId="37" fontId="7" fillId="0" borderId="0" xfId="93" applyNumberFormat="1"/>
    <xf numFmtId="169" fontId="23" fillId="0" borderId="0" xfId="2" applyNumberFormat="1" applyFont="1"/>
    <xf numFmtId="3" fontId="55" fillId="0" borderId="0" xfId="4" applyNumberFormat="1" applyFont="1"/>
    <xf numFmtId="3" fontId="9" fillId="0" borderId="2" xfId="0" applyNumberFormat="1" applyFont="1" applyBorder="1"/>
    <xf numFmtId="3" fontId="55" fillId="0" borderId="0" xfId="0" applyNumberFormat="1" applyFont="1"/>
    <xf numFmtId="3" fontId="55" fillId="0" borderId="2" xfId="4" applyNumberFormat="1" applyFont="1" applyBorder="1"/>
    <xf numFmtId="3" fontId="23" fillId="0" borderId="0" xfId="0" applyNumberFormat="1" applyFont="1"/>
    <xf numFmtId="4" fontId="23" fillId="0" borderId="0" xfId="0" applyNumberFormat="1" applyFont="1"/>
    <xf numFmtId="3" fontId="179" fillId="0" borderId="0" xfId="0" applyNumberFormat="1" applyFont="1"/>
    <xf numFmtId="10" fontId="9" fillId="0" borderId="0" xfId="0" applyNumberFormat="1" applyFont="1"/>
    <xf numFmtId="3" fontId="23" fillId="0" borderId="2" xfId="0" applyNumberFormat="1" applyFont="1" applyBorder="1"/>
    <xf numFmtId="235" fontId="179" fillId="0" borderId="0" xfId="4" applyNumberFormat="1" applyFont="1"/>
    <xf numFmtId="235" fontId="9" fillId="0" borderId="0" xfId="0" applyNumberFormat="1" applyFont="1"/>
    <xf numFmtId="2" fontId="23" fillId="0" borderId="0" xfId="0" applyNumberFormat="1" applyFont="1"/>
    <xf numFmtId="4" fontId="179" fillId="0" borderId="0" xfId="4" applyNumberFormat="1" applyFont="1"/>
    <xf numFmtId="236" fontId="9" fillId="0" borderId="0" xfId="0" applyNumberFormat="1" applyFont="1"/>
    <xf numFmtId="41" fontId="9" fillId="0" borderId="0" xfId="0" applyNumberFormat="1" applyFont="1"/>
    <xf numFmtId="9" fontId="9" fillId="0" borderId="0" xfId="3"/>
    <xf numFmtId="4" fontId="9" fillId="0" borderId="0" xfId="0" applyNumberFormat="1" applyFont="1"/>
    <xf numFmtId="2" fontId="9" fillId="0" borderId="0" xfId="0" applyNumberFormat="1" applyFont="1"/>
    <xf numFmtId="3" fontId="9" fillId="0" borderId="0" xfId="4" applyNumberFormat="1"/>
    <xf numFmtId="43" fontId="23" fillId="0" borderId="0" xfId="1" applyFont="1"/>
    <xf numFmtId="43" fontId="23" fillId="0" borderId="0" xfId="3" applyNumberFormat="1" applyFont="1"/>
    <xf numFmtId="0" fontId="180" fillId="0" borderId="0" xfId="85" applyFont="1"/>
    <xf numFmtId="0" fontId="9" fillId="0" borderId="0" xfId="85"/>
    <xf numFmtId="0" fontId="23" fillId="0" borderId="0" xfId="85" applyFont="1"/>
    <xf numFmtId="7" fontId="86" fillId="0" borderId="0" xfId="2" applyNumberFormat="1" applyFont="1"/>
    <xf numFmtId="192" fontId="86" fillId="0" borderId="0" xfId="2" applyNumberFormat="1" applyFont="1"/>
    <xf numFmtId="44" fontId="9" fillId="0" borderId="0" xfId="2" applyFont="1"/>
    <xf numFmtId="7" fontId="9" fillId="0" borderId="0" xfId="2" applyNumberFormat="1" applyFont="1"/>
    <xf numFmtId="7" fontId="9" fillId="0" borderId="0" xfId="85" applyNumberFormat="1"/>
    <xf numFmtId="7" fontId="23" fillId="0" borderId="0" xfId="85" applyNumberFormat="1" applyFont="1"/>
    <xf numFmtId="7" fontId="0" fillId="0" borderId="0" xfId="2" applyNumberFormat="1" applyFont="1"/>
    <xf numFmtId="7" fontId="9" fillId="0" borderId="52" xfId="2" applyNumberFormat="1" applyFont="1" applyBorder="1"/>
    <xf numFmtId="44" fontId="9" fillId="0" borderId="52" xfId="2" applyFont="1" applyBorder="1"/>
    <xf numFmtId="7" fontId="9" fillId="0" borderId="52" xfId="85" applyNumberFormat="1" applyBorder="1"/>
    <xf numFmtId="0" fontId="9" fillId="0" borderId="52" xfId="85" applyBorder="1"/>
    <xf numFmtId="7" fontId="23" fillId="0" borderId="52" xfId="85" applyNumberFormat="1" applyFont="1" applyBorder="1"/>
    <xf numFmtId="171" fontId="23" fillId="0" borderId="53" xfId="3" applyNumberFormat="1" applyFont="1" applyBorder="1"/>
    <xf numFmtId="1" fontId="9" fillId="0" borderId="51" xfId="85" applyNumberFormat="1" applyBorder="1"/>
    <xf numFmtId="9" fontId="23" fillId="0" borderId="0" xfId="0" applyNumberFormat="1" applyFont="1"/>
    <xf numFmtId="0" fontId="0" fillId="0" borderId="0" xfId="0" applyAlignment="1">
      <alignment vertical="top" wrapText="1"/>
    </xf>
    <xf numFmtId="0" fontId="29" fillId="0" borderId="54" xfId="23" applyFont="1" applyBorder="1" applyAlignment="1">
      <alignment horizontal="centerContinuous" vertical="center"/>
    </xf>
    <xf numFmtId="0" fontId="62" fillId="0" borderId="55" xfId="23" applyBorder="1" applyAlignment="1">
      <alignment horizontal="centerContinuous" vertical="center"/>
    </xf>
    <xf numFmtId="0" fontId="62" fillId="0" borderId="56" xfId="23" applyBorder="1" applyAlignment="1">
      <alignment horizontal="centerContinuous" vertical="center"/>
    </xf>
    <xf numFmtId="0" fontId="32" fillId="0" borderId="0" xfId="85" applyFont="1"/>
    <xf numFmtId="0" fontId="62" fillId="0" borderId="57" xfId="23" applyBorder="1"/>
    <xf numFmtId="0" fontId="62" fillId="0" borderId="58" xfId="23" applyBorder="1" applyAlignment="1">
      <alignment horizontal="center"/>
    </xf>
    <xf numFmtId="0" fontId="62" fillId="0" borderId="59" xfId="23" applyBorder="1" applyAlignment="1">
      <alignment horizontal="center"/>
    </xf>
    <xf numFmtId="0" fontId="62" fillId="0" borderId="60" xfId="23" applyBorder="1" applyAlignment="1">
      <alignment horizontal="center"/>
    </xf>
    <xf numFmtId="0" fontId="62" fillId="0" borderId="61" xfId="23" applyBorder="1" applyAlignment="1">
      <alignment vertical="top"/>
    </xf>
    <xf numFmtId="0" fontId="62" fillId="0" borderId="62" xfId="23" applyBorder="1" applyAlignment="1">
      <alignment horizontal="center" vertical="top"/>
    </xf>
    <xf numFmtId="0" fontId="62" fillId="0" borderId="63" xfId="23" applyBorder="1" applyAlignment="1">
      <alignment horizontal="center" vertical="top"/>
    </xf>
    <xf numFmtId="0" fontId="62" fillId="0" borderId="64" xfId="23" applyBorder="1" applyAlignment="1">
      <alignment horizontal="center" vertical="top"/>
    </xf>
    <xf numFmtId="0" fontId="62" fillId="0" borderId="65" xfId="23" applyBorder="1"/>
    <xf numFmtId="186" fontId="181" fillId="0" borderId="66" xfId="23" applyNumberFormat="1" applyFont="1" applyBorder="1"/>
    <xf numFmtId="237" fontId="181" fillId="0" borderId="67" xfId="23" applyNumberFormat="1" applyFont="1" applyBorder="1"/>
    <xf numFmtId="186" fontId="62" fillId="0" borderId="68" xfId="23" applyNumberFormat="1" applyBorder="1"/>
    <xf numFmtId="10" fontId="181" fillId="0" borderId="66" xfId="23" applyNumberFormat="1" applyFont="1" applyBorder="1"/>
    <xf numFmtId="10" fontId="181" fillId="0" borderId="67" xfId="23" applyNumberFormat="1" applyFont="1" applyBorder="1"/>
    <xf numFmtId="10" fontId="62" fillId="0" borderId="68" xfId="23" applyNumberFormat="1" applyBorder="1"/>
    <xf numFmtId="0" fontId="62" fillId="0" borderId="65" xfId="23" applyBorder="1" applyAlignment="1">
      <alignment vertical="top"/>
    </xf>
    <xf numFmtId="186" fontId="181" fillId="0" borderId="66" xfId="23" applyNumberFormat="1" applyFont="1" applyBorder="1" applyAlignment="1">
      <alignment vertical="top"/>
    </xf>
    <xf numFmtId="237" fontId="181" fillId="0" borderId="67" xfId="23" applyNumberFormat="1" applyFont="1" applyBorder="1" applyAlignment="1">
      <alignment vertical="top"/>
    </xf>
    <xf numFmtId="10" fontId="181" fillId="0" borderId="66" xfId="23" applyNumberFormat="1" applyFont="1" applyBorder="1" applyAlignment="1">
      <alignment vertical="top"/>
    </xf>
    <xf numFmtId="10" fontId="181" fillId="0" borderId="67" xfId="23" applyNumberFormat="1" applyFont="1" applyBorder="1" applyAlignment="1">
      <alignment vertical="top"/>
    </xf>
    <xf numFmtId="0" fontId="62" fillId="0" borderId="69" xfId="23" applyBorder="1" applyAlignment="1">
      <alignment vertical="center"/>
    </xf>
    <xf numFmtId="10" fontId="62" fillId="0" borderId="70" xfId="23" applyNumberFormat="1" applyBorder="1" applyAlignment="1">
      <alignment vertical="center"/>
    </xf>
    <xf numFmtId="186" fontId="62" fillId="0" borderId="71" xfId="23" applyNumberFormat="1" applyBorder="1" applyAlignment="1">
      <alignment vertical="center"/>
    </xf>
    <xf numFmtId="186" fontId="62" fillId="0" borderId="72" xfId="23" applyNumberFormat="1" applyBorder="1" applyAlignment="1">
      <alignment vertical="center"/>
    </xf>
    <xf numFmtId="10" fontId="62" fillId="0" borderId="72" xfId="23" applyNumberFormat="1" applyBorder="1" applyAlignment="1">
      <alignment vertical="center"/>
    </xf>
    <xf numFmtId="0" fontId="62" fillId="0" borderId="0" xfId="23" applyAlignment="1">
      <alignment vertical="center"/>
    </xf>
    <xf numFmtId="186" fontId="62" fillId="0" borderId="0" xfId="23" applyNumberFormat="1" applyAlignment="1">
      <alignment vertical="center"/>
    </xf>
    <xf numFmtId="0" fontId="62" fillId="0" borderId="0" xfId="23"/>
    <xf numFmtId="0" fontId="62" fillId="0" borderId="68" xfId="23" applyBorder="1"/>
    <xf numFmtId="238" fontId="181" fillId="0" borderId="68" xfId="23" applyNumberFormat="1" applyFont="1" applyBorder="1" applyAlignment="1">
      <alignment horizontal="right"/>
    </xf>
    <xf numFmtId="0" fontId="62" fillId="0" borderId="0" xfId="23" applyAlignment="1">
      <alignment horizontal="center"/>
    </xf>
    <xf numFmtId="0" fontId="62" fillId="0" borderId="0" xfId="23" applyAlignment="1">
      <alignment horizontal="right"/>
    </xf>
    <xf numFmtId="0" fontId="62" fillId="0" borderId="0" xfId="23" applyAlignment="1">
      <alignment vertical="top"/>
    </xf>
    <xf numFmtId="0" fontId="62" fillId="0" borderId="0" xfId="23" applyAlignment="1">
      <alignment horizontal="right" vertical="top"/>
    </xf>
    <xf numFmtId="186" fontId="62" fillId="0" borderId="68" xfId="23" applyNumberFormat="1" applyBorder="1" applyAlignment="1">
      <alignment vertical="top"/>
    </xf>
    <xf numFmtId="0" fontId="62" fillId="0" borderId="73" xfId="23" applyBorder="1" applyAlignment="1">
      <alignment vertical="center"/>
    </xf>
    <xf numFmtId="186" fontId="29" fillId="0" borderId="72" xfId="23" applyNumberFormat="1" applyFont="1" applyBorder="1" applyAlignment="1">
      <alignment vertical="center"/>
    </xf>
    <xf numFmtId="0" fontId="9" fillId="0" borderId="13" xfId="23" applyFont="1" applyBorder="1"/>
    <xf numFmtId="0" fontId="9" fillId="0" borderId="74" xfId="23" applyFont="1" applyBorder="1"/>
    <xf numFmtId="0" fontId="9" fillId="0" borderId="74" xfId="23" applyFont="1" applyBorder="1" applyAlignment="1">
      <alignment horizontal="center"/>
    </xf>
    <xf numFmtId="0" fontId="9" fillId="0" borderId="14" xfId="23" applyFont="1" applyBorder="1" applyAlignment="1">
      <alignment horizontal="center"/>
    </xf>
    <xf numFmtId="0" fontId="9" fillId="0" borderId="66" xfId="23" applyFont="1" applyBorder="1" applyAlignment="1">
      <alignment horizontal="center"/>
    </xf>
    <xf numFmtId="0" fontId="9" fillId="0" borderId="15" xfId="23" applyFont="1" applyBorder="1" applyAlignment="1">
      <alignment horizontal="center"/>
    </xf>
    <xf numFmtId="0" fontId="9" fillId="0" borderId="75" xfId="23" applyFont="1" applyBorder="1" applyAlignment="1">
      <alignment horizontal="center"/>
    </xf>
    <xf numFmtId="0" fontId="9" fillId="0" borderId="76" xfId="23" applyFont="1" applyBorder="1" applyAlignment="1">
      <alignment horizontal="center"/>
    </xf>
    <xf numFmtId="5" fontId="55" fillId="0" borderId="77" xfId="23" applyNumberFormat="1" applyFont="1" applyBorder="1"/>
    <xf numFmtId="10" fontId="9" fillId="0" borderId="77" xfId="23" applyNumberFormat="1" applyFont="1" applyBorder="1"/>
    <xf numFmtId="0" fontId="9" fillId="0" borderId="57" xfId="23" applyFont="1" applyBorder="1" applyAlignment="1">
      <alignment horizontal="center"/>
    </xf>
    <xf numFmtId="5" fontId="55" fillId="0" borderId="58" xfId="23" applyNumberFormat="1" applyFont="1" applyBorder="1"/>
    <xf numFmtId="186" fontId="9" fillId="0" borderId="58" xfId="23" applyNumberFormat="1" applyFont="1" applyBorder="1"/>
    <xf numFmtId="0" fontId="9" fillId="0" borderId="0" xfId="23" applyFont="1" applyAlignment="1">
      <alignment horizontal="left"/>
    </xf>
    <xf numFmtId="0" fontId="9" fillId="0" borderId="78" xfId="23" applyFont="1" applyBorder="1" applyAlignment="1">
      <alignment horizontal="left"/>
    </xf>
    <xf numFmtId="0" fontId="0" fillId="0" borderId="79" xfId="0" applyBorder="1"/>
    <xf numFmtId="0" fontId="9" fillId="0" borderId="79" xfId="23" applyFont="1" applyBorder="1" applyAlignment="1">
      <alignment horizontal="center"/>
    </xf>
    <xf numFmtId="0" fontId="55" fillId="0" borderId="80" xfId="0" applyFont="1" applyBorder="1"/>
    <xf numFmtId="0" fontId="9" fillId="0" borderId="15" xfId="23" applyFont="1" applyBorder="1" applyAlignment="1">
      <alignment horizontal="left"/>
    </xf>
    <xf numFmtId="186" fontId="23" fillId="0" borderId="37" xfId="3" applyNumberFormat="1" applyFont="1" applyBorder="1"/>
    <xf numFmtId="0" fontId="9" fillId="0" borderId="0" xfId="23" applyFont="1" applyAlignment="1">
      <alignment horizontal="center"/>
    </xf>
    <xf numFmtId="186" fontId="29" fillId="0" borderId="0" xfId="0" applyNumberFormat="1" applyFont="1"/>
    <xf numFmtId="10" fontId="23" fillId="0" borderId="0" xfId="0" applyNumberFormat="1" applyFont="1" applyAlignment="1">
      <alignment horizontal="centerContinuous"/>
    </xf>
    <xf numFmtId="10" fontId="9" fillId="0" borderId="0" xfId="0" applyNumberFormat="1" applyFont="1" applyAlignment="1">
      <alignment horizontal="center"/>
    </xf>
    <xf numFmtId="2" fontId="23" fillId="0" borderId="0" xfId="0" applyNumberFormat="1" applyFont="1" applyAlignment="1">
      <alignment horizontal="center"/>
    </xf>
    <xf numFmtId="171" fontId="9" fillId="0" borderId="0" xfId="0" applyNumberFormat="1" applyFont="1" applyAlignment="1">
      <alignment horizontal="center"/>
    </xf>
    <xf numFmtId="0" fontId="9" fillId="0" borderId="0" xfId="0" quotePrefix="1" applyFont="1" applyAlignment="1">
      <alignment horizontal="right"/>
    </xf>
    <xf numFmtId="44" fontId="23" fillId="0" borderId="0" xfId="2" applyFont="1" applyFill="1"/>
    <xf numFmtId="169" fontId="0" fillId="0" borderId="0" xfId="2" applyNumberFormat="1" applyFont="1" applyFill="1"/>
    <xf numFmtId="171" fontId="42" fillId="0" borderId="0" xfId="0" applyNumberFormat="1" applyFont="1"/>
    <xf numFmtId="3" fontId="0" fillId="0" borderId="2" xfId="0" applyNumberFormat="1" applyBorder="1"/>
    <xf numFmtId="3" fontId="41" fillId="0" borderId="0" xfId="0" applyNumberFormat="1" applyFont="1"/>
    <xf numFmtId="9" fontId="9" fillId="0" borderId="0" xfId="3" applyFont="1" applyAlignment="1">
      <alignment horizontal="center"/>
    </xf>
    <xf numFmtId="9" fontId="9" fillId="0" borderId="0" xfId="0" applyNumberFormat="1" applyFont="1" applyAlignment="1">
      <alignment horizontal="center"/>
    </xf>
    <xf numFmtId="5" fontId="14" fillId="0" borderId="1" xfId="0" applyNumberFormat="1" applyFont="1" applyBorder="1"/>
    <xf numFmtId="165" fontId="10" fillId="0" borderId="1" xfId="0" applyNumberFormat="1" applyFont="1" applyBorder="1"/>
    <xf numFmtId="44" fontId="10" fillId="0" borderId="0" xfId="2" applyFont="1"/>
    <xf numFmtId="169" fontId="9" fillId="0" borderId="0" xfId="2" applyNumberFormat="1" applyFill="1"/>
    <xf numFmtId="0" fontId="90" fillId="0" borderId="0" xfId="0" applyFont="1" applyAlignment="1">
      <alignment horizontal="left"/>
    </xf>
    <xf numFmtId="0" fontId="182" fillId="0" borderId="0" xfId="6" applyFont="1"/>
    <xf numFmtId="0" fontId="88" fillId="0" borderId="0" xfId="6" applyFont="1"/>
    <xf numFmtId="0" fontId="58" fillId="0" borderId="0" xfId="6"/>
    <xf numFmtId="0" fontId="88" fillId="0" borderId="0" xfId="0" applyFont="1" applyAlignment="1">
      <alignment horizontal="right"/>
    </xf>
    <xf numFmtId="0" fontId="88" fillId="8" borderId="0" xfId="6" applyFont="1" applyFill="1"/>
    <xf numFmtId="0" fontId="88" fillId="8" borderId="81" xfId="6" applyFont="1" applyFill="1" applyBorder="1"/>
    <xf numFmtId="0" fontId="88" fillId="8" borderId="10" xfId="6" applyFont="1" applyFill="1" applyBorder="1"/>
    <xf numFmtId="0" fontId="88" fillId="8" borderId="82" xfId="6" applyFont="1" applyFill="1" applyBorder="1"/>
    <xf numFmtId="0" fontId="183" fillId="83" borderId="4" xfId="6" applyFont="1" applyFill="1" applyBorder="1"/>
    <xf numFmtId="0" fontId="183" fillId="83" borderId="2" xfId="6" applyFont="1" applyFill="1" applyBorder="1"/>
    <xf numFmtId="0" fontId="183" fillId="83" borderId="5" xfId="6" applyFont="1" applyFill="1" applyBorder="1"/>
    <xf numFmtId="0" fontId="183" fillId="83" borderId="8" xfId="6" applyFont="1" applyFill="1" applyBorder="1"/>
    <xf numFmtId="0" fontId="183" fillId="83" borderId="0" xfId="6" applyFont="1" applyFill="1"/>
    <xf numFmtId="0" fontId="183" fillId="83" borderId="0" xfId="6" applyFont="1" applyFill="1" applyAlignment="1">
      <alignment horizontal="center"/>
    </xf>
    <xf numFmtId="0" fontId="183" fillId="83" borderId="9" xfId="6" applyFont="1" applyFill="1" applyBorder="1"/>
    <xf numFmtId="0" fontId="183" fillId="83" borderId="6" xfId="6" applyFont="1" applyFill="1" applyBorder="1"/>
    <xf numFmtId="0" fontId="183" fillId="83" borderId="1" xfId="6" applyFont="1" applyFill="1" applyBorder="1"/>
    <xf numFmtId="0" fontId="183" fillId="83" borderId="1" xfId="6" applyFont="1" applyFill="1" applyBorder="1" applyAlignment="1">
      <alignment horizontal="center"/>
    </xf>
    <xf numFmtId="0" fontId="183" fillId="83" borderId="7" xfId="6" applyFont="1" applyFill="1" applyBorder="1"/>
    <xf numFmtId="0" fontId="88" fillId="8" borderId="10" xfId="6" applyFont="1" applyFill="1" applyBorder="1" applyAlignment="1">
      <alignment horizontal="center"/>
    </xf>
    <xf numFmtId="0" fontId="88" fillId="8" borderId="4" xfId="6" applyFont="1" applyFill="1" applyBorder="1"/>
    <xf numFmtId="0" fontId="88" fillId="8" borderId="2" xfId="6" applyFont="1" applyFill="1" applyBorder="1"/>
    <xf numFmtId="1" fontId="88" fillId="8" borderId="2" xfId="6" applyNumberFormat="1" applyFont="1" applyFill="1" applyBorder="1"/>
    <xf numFmtId="0" fontId="88" fillId="8" borderId="2" xfId="6" applyFont="1" applyFill="1" applyBorder="1" applyAlignment="1">
      <alignment horizontal="center"/>
    </xf>
    <xf numFmtId="0" fontId="88" fillId="8" borderId="5" xfId="6" applyFont="1" applyFill="1" applyBorder="1"/>
    <xf numFmtId="0" fontId="88" fillId="8" borderId="8" xfId="6" applyFont="1" applyFill="1" applyBorder="1"/>
    <xf numFmtId="0" fontId="88" fillId="8" borderId="9" xfId="6" applyFont="1" applyFill="1" applyBorder="1"/>
    <xf numFmtId="0" fontId="88" fillId="8" borderId="0" xfId="6" applyFont="1" applyFill="1" applyAlignment="1">
      <alignment horizontal="center"/>
    </xf>
    <xf numFmtId="0" fontId="88" fillId="8" borderId="9" xfId="6" applyFont="1" applyFill="1" applyBorder="1" applyAlignment="1">
      <alignment horizontal="center"/>
    </xf>
    <xf numFmtId="0" fontId="184" fillId="8" borderId="0" xfId="6" applyFont="1" applyFill="1"/>
    <xf numFmtId="44" fontId="88" fillId="8" borderId="0" xfId="6" applyNumberFormat="1" applyFont="1" applyFill="1"/>
    <xf numFmtId="239" fontId="88" fillId="8" borderId="0" xfId="6" applyNumberFormat="1" applyFont="1" applyFill="1"/>
    <xf numFmtId="240" fontId="88" fillId="8" borderId="0" xfId="6" applyNumberFormat="1" applyFont="1" applyFill="1"/>
    <xf numFmtId="0" fontId="182" fillId="8" borderId="0" xfId="6" applyFont="1" applyFill="1"/>
    <xf numFmtId="44" fontId="182" fillId="8" borderId="0" xfId="6" applyNumberFormat="1" applyFont="1" applyFill="1"/>
    <xf numFmtId="170" fontId="88" fillId="8" borderId="0" xfId="6" applyNumberFormat="1" applyFont="1" applyFill="1"/>
    <xf numFmtId="10" fontId="182" fillId="8" borderId="0" xfId="6" applyNumberFormat="1" applyFont="1" applyFill="1"/>
    <xf numFmtId="0" fontId="88" fillId="8" borderId="85" xfId="6" applyFont="1" applyFill="1" applyBorder="1"/>
    <xf numFmtId="0" fontId="88" fillId="8" borderId="12" xfId="6" applyFont="1" applyFill="1" applyBorder="1"/>
    <xf numFmtId="10" fontId="88" fillId="8" borderId="12" xfId="6" applyNumberFormat="1" applyFont="1" applyFill="1" applyBorder="1"/>
    <xf numFmtId="0" fontId="88" fillId="8" borderId="86" xfId="6" applyFont="1" applyFill="1" applyBorder="1" applyAlignment="1">
      <alignment horizontal="center"/>
    </xf>
    <xf numFmtId="1" fontId="182" fillId="8" borderId="0" xfId="6" applyNumberFormat="1" applyFont="1" applyFill="1"/>
    <xf numFmtId="43" fontId="88" fillId="8" borderId="0" xfId="1" applyFont="1" applyFill="1"/>
    <xf numFmtId="0" fontId="183" fillId="83" borderId="0" xfId="6" applyFont="1" applyFill="1" applyAlignment="1">
      <alignment horizontal="center"/>
    </xf>
    <xf numFmtId="1" fontId="182" fillId="8" borderId="0" xfId="6" applyNumberFormat="1" applyFont="1" applyFill="1" applyAlignment="1">
      <alignment horizontal="center"/>
    </xf>
    <xf numFmtId="0" fontId="183" fillId="83" borderId="83" xfId="6" applyFont="1" applyFill="1" applyBorder="1" applyAlignment="1">
      <alignment horizontal="center"/>
    </xf>
    <xf numFmtId="0" fontId="183" fillId="83" borderId="84" xfId="6" applyFont="1" applyFill="1" applyBorder="1" applyAlignment="1">
      <alignment horizontal="center"/>
    </xf>
    <xf numFmtId="0" fontId="37" fillId="0" borderId="0" xfId="0" applyFont="1" applyAlignment="1">
      <alignment wrapText="1"/>
    </xf>
    <xf numFmtId="7" fontId="13" fillId="0" borderId="0" xfId="0" applyNumberFormat="1" applyFont="1" applyAlignment="1">
      <alignment wrapText="1"/>
    </xf>
    <xf numFmtId="0" fontId="0" fillId="0" borderId="0" xfId="0"/>
    <xf numFmtId="5" fontId="23" fillId="0" borderId="0" xfId="0" applyNumberFormat="1" applyFont="1" applyAlignment="1">
      <alignment horizontal="center"/>
    </xf>
    <xf numFmtId="0" fontId="9" fillId="0" borderId="0" xfId="0" applyFont="1" applyAlignment="1">
      <alignment vertical="top" wrapText="1"/>
    </xf>
    <xf numFmtId="0" fontId="32" fillId="0" borderId="0" xfId="0" applyFont="1" applyAlignment="1">
      <alignment horizontal="center"/>
    </xf>
    <xf numFmtId="0" fontId="9"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center"/>
    </xf>
    <xf numFmtId="0" fontId="26" fillId="0" borderId="0" xfId="0" applyFont="1" applyAlignment="1">
      <alignment horizontal="center"/>
    </xf>
    <xf numFmtId="0" fontId="169" fillId="77" borderId="39" xfId="0" applyFont="1" applyFill="1" applyBorder="1" applyAlignment="1">
      <alignment horizontal="left" vertical="top"/>
    </xf>
    <xf numFmtId="0" fontId="0" fillId="77" borderId="39" xfId="0" applyFill="1" applyBorder="1"/>
    <xf numFmtId="0" fontId="172" fillId="79" borderId="43" xfId="0" applyFont="1" applyFill="1" applyBorder="1" applyAlignment="1">
      <alignment horizontal="left" vertical="top"/>
    </xf>
    <xf numFmtId="0" fontId="0" fillId="79" borderId="44" xfId="0" applyFill="1" applyBorder="1"/>
    <xf numFmtId="0" fontId="0" fillId="79" borderId="45" xfId="0" applyFill="1" applyBorder="1"/>
    <xf numFmtId="0" fontId="0" fillId="77" borderId="42" xfId="0" applyFill="1" applyBorder="1"/>
    <xf numFmtId="0" fontId="169" fillId="77" borderId="47" xfId="0" applyFont="1" applyFill="1" applyBorder="1" applyAlignment="1">
      <alignment horizontal="left" vertical="top"/>
    </xf>
  </cellXfs>
  <cellStyles count="43230">
    <cellStyle name="20% - Accent1" xfId="62" builtinId="30" customBuiltin="1"/>
    <cellStyle name="20% - Accent1 10" xfId="594" xr:uid="{00000000-0005-0000-0000-000001000000}"/>
    <cellStyle name="20% - Accent1 10 2" xfId="939" xr:uid="{00000000-0005-0000-0000-000002000000}"/>
    <cellStyle name="20% - Accent1 10 2 2" xfId="23821" xr:uid="{00000000-0005-0000-0000-000003000000}"/>
    <cellStyle name="20% - Accent1 10 3" xfId="22561" xr:uid="{00000000-0005-0000-0000-000004000000}"/>
    <cellStyle name="20% - Accent1 10 3 2" xfId="42472" xr:uid="{00000000-0005-0000-0000-000005000000}"/>
    <cellStyle name="20% - Accent1 10 4" xfId="22904" xr:uid="{00000000-0005-0000-0000-000006000000}"/>
    <cellStyle name="20% - Accent1 10 4 2" xfId="42815" xr:uid="{00000000-0005-0000-0000-000007000000}"/>
    <cellStyle name="20% - Accent1 10 5" xfId="23207" xr:uid="{00000000-0005-0000-0000-000008000000}"/>
    <cellStyle name="20% - Accent1 10 5 2" xfId="43118" xr:uid="{00000000-0005-0000-0000-000009000000}"/>
    <cellStyle name="20% - Accent1 10 6" xfId="23518" xr:uid="{00000000-0005-0000-0000-00000A000000}"/>
    <cellStyle name="20% - Accent1 11" xfId="622" xr:uid="{00000000-0005-0000-0000-00000B000000}"/>
    <cellStyle name="20% - Accent1 11 2" xfId="955" xr:uid="{00000000-0005-0000-0000-00000C000000}"/>
    <cellStyle name="20% - Accent1 11 2 2" xfId="23837" xr:uid="{00000000-0005-0000-0000-00000D000000}"/>
    <cellStyle name="20% - Accent1 11 3" xfId="22588" xr:uid="{00000000-0005-0000-0000-00000E000000}"/>
    <cellStyle name="20% - Accent1 11 3 2" xfId="42499" xr:uid="{00000000-0005-0000-0000-00000F000000}"/>
    <cellStyle name="20% - Accent1 11 4" xfId="22920" xr:uid="{00000000-0005-0000-0000-000010000000}"/>
    <cellStyle name="20% - Accent1 11 4 2" xfId="42831" xr:uid="{00000000-0005-0000-0000-000011000000}"/>
    <cellStyle name="20% - Accent1 11 5" xfId="23223" xr:uid="{00000000-0005-0000-0000-000012000000}"/>
    <cellStyle name="20% - Accent1 11 5 2" xfId="43134" xr:uid="{00000000-0005-0000-0000-000013000000}"/>
    <cellStyle name="20% - Accent1 11 6" xfId="23534" xr:uid="{00000000-0005-0000-0000-000014000000}"/>
    <cellStyle name="20% - Accent1 12" xfId="648" xr:uid="{00000000-0005-0000-0000-000015000000}"/>
    <cellStyle name="20% - Accent1 12 2" xfId="971" xr:uid="{00000000-0005-0000-0000-000016000000}"/>
    <cellStyle name="20% - Accent1 12 2 2" xfId="23853" xr:uid="{00000000-0005-0000-0000-000017000000}"/>
    <cellStyle name="20% - Accent1 12 3" xfId="22612" xr:uid="{00000000-0005-0000-0000-000018000000}"/>
    <cellStyle name="20% - Accent1 12 3 2" xfId="42523" xr:uid="{00000000-0005-0000-0000-000019000000}"/>
    <cellStyle name="20% - Accent1 12 4" xfId="22936" xr:uid="{00000000-0005-0000-0000-00001A000000}"/>
    <cellStyle name="20% - Accent1 12 4 2" xfId="42847" xr:uid="{00000000-0005-0000-0000-00001B000000}"/>
    <cellStyle name="20% - Accent1 12 5" xfId="23239" xr:uid="{00000000-0005-0000-0000-00001C000000}"/>
    <cellStyle name="20% - Accent1 12 5 2" xfId="43150" xr:uid="{00000000-0005-0000-0000-00001D000000}"/>
    <cellStyle name="20% - Accent1 12 6" xfId="23550" xr:uid="{00000000-0005-0000-0000-00001E000000}"/>
    <cellStyle name="20% - Accent1 13" xfId="673" xr:uid="{00000000-0005-0000-0000-00001F000000}"/>
    <cellStyle name="20% - Accent1 13 2" xfId="987" xr:uid="{00000000-0005-0000-0000-000020000000}"/>
    <cellStyle name="20% - Accent1 13 2 2" xfId="23869" xr:uid="{00000000-0005-0000-0000-000021000000}"/>
    <cellStyle name="20% - Accent1 13 3" xfId="22590" xr:uid="{00000000-0005-0000-0000-000022000000}"/>
    <cellStyle name="20% - Accent1 13 3 2" xfId="42501" xr:uid="{00000000-0005-0000-0000-000023000000}"/>
    <cellStyle name="20% - Accent1 13 4" xfId="22952" xr:uid="{00000000-0005-0000-0000-000024000000}"/>
    <cellStyle name="20% - Accent1 13 4 2" xfId="42863" xr:uid="{00000000-0005-0000-0000-000025000000}"/>
    <cellStyle name="20% - Accent1 13 5" xfId="23255" xr:uid="{00000000-0005-0000-0000-000026000000}"/>
    <cellStyle name="20% - Accent1 13 5 2" xfId="43166" xr:uid="{00000000-0005-0000-0000-000027000000}"/>
    <cellStyle name="20% - Accent1 13 6" xfId="23566" xr:uid="{00000000-0005-0000-0000-000028000000}"/>
    <cellStyle name="20% - Accent1 14" xfId="695" xr:uid="{00000000-0005-0000-0000-000029000000}"/>
    <cellStyle name="20% - Accent1 14 2" xfId="1003" xr:uid="{00000000-0005-0000-0000-00002A000000}"/>
    <cellStyle name="20% - Accent1 14 2 2" xfId="23885" xr:uid="{00000000-0005-0000-0000-00002B000000}"/>
    <cellStyle name="20% - Accent1 14 3" xfId="22556" xr:uid="{00000000-0005-0000-0000-00002C000000}"/>
    <cellStyle name="20% - Accent1 14 3 2" xfId="42467" xr:uid="{00000000-0005-0000-0000-00002D000000}"/>
    <cellStyle name="20% - Accent1 14 4" xfId="22968" xr:uid="{00000000-0005-0000-0000-00002E000000}"/>
    <cellStyle name="20% - Accent1 14 4 2" xfId="42879" xr:uid="{00000000-0005-0000-0000-00002F000000}"/>
    <cellStyle name="20% - Accent1 14 5" xfId="23271" xr:uid="{00000000-0005-0000-0000-000030000000}"/>
    <cellStyle name="20% - Accent1 14 5 2" xfId="43182" xr:uid="{00000000-0005-0000-0000-000031000000}"/>
    <cellStyle name="20% - Accent1 14 6" xfId="23582" xr:uid="{00000000-0005-0000-0000-000032000000}"/>
    <cellStyle name="20% - Accent1 15" xfId="711" xr:uid="{00000000-0005-0000-0000-000033000000}"/>
    <cellStyle name="20% - Accent1 15 2" xfId="1019" xr:uid="{00000000-0005-0000-0000-000034000000}"/>
    <cellStyle name="20% - Accent1 15 2 2" xfId="23901" xr:uid="{00000000-0005-0000-0000-000035000000}"/>
    <cellStyle name="20% - Accent1 15 3" xfId="22548" xr:uid="{00000000-0005-0000-0000-000036000000}"/>
    <cellStyle name="20% - Accent1 15 3 2" xfId="42459" xr:uid="{00000000-0005-0000-0000-000037000000}"/>
    <cellStyle name="20% - Accent1 15 4" xfId="22984" xr:uid="{00000000-0005-0000-0000-000038000000}"/>
    <cellStyle name="20% - Accent1 15 4 2" xfId="42895" xr:uid="{00000000-0005-0000-0000-000039000000}"/>
    <cellStyle name="20% - Accent1 15 5" xfId="23287" xr:uid="{00000000-0005-0000-0000-00003A000000}"/>
    <cellStyle name="20% - Accent1 15 5 2" xfId="43198" xr:uid="{00000000-0005-0000-0000-00003B000000}"/>
    <cellStyle name="20% - Accent1 15 6" xfId="23598" xr:uid="{00000000-0005-0000-0000-00003C000000}"/>
    <cellStyle name="20% - Accent1 16" xfId="735" xr:uid="{00000000-0005-0000-0000-00003D000000}"/>
    <cellStyle name="20% - Accent1 16 2" xfId="23617" xr:uid="{00000000-0005-0000-0000-00003E000000}"/>
    <cellStyle name="20% - Accent1 17" xfId="22700" xr:uid="{00000000-0005-0000-0000-00003F000000}"/>
    <cellStyle name="20% - Accent1 17 2" xfId="42611" xr:uid="{00000000-0005-0000-0000-000040000000}"/>
    <cellStyle name="20% - Accent1 18" xfId="23003" xr:uid="{00000000-0005-0000-0000-000041000000}"/>
    <cellStyle name="20% - Accent1 18 2" xfId="42914" xr:uid="{00000000-0005-0000-0000-000042000000}"/>
    <cellStyle name="20% - Accent1 19" xfId="23307" xr:uid="{00000000-0005-0000-0000-000043000000}"/>
    <cellStyle name="20% - Accent1 2" xfId="366" xr:uid="{00000000-0005-0000-0000-000044000000}"/>
    <cellStyle name="20% - Accent1 2 10" xfId="23390" xr:uid="{00000000-0005-0000-0000-000045000000}"/>
    <cellStyle name="20% - Accent1 2 2" xfId="811" xr:uid="{00000000-0005-0000-0000-000046000000}"/>
    <cellStyle name="20% - Accent1 2 2 2" xfId="6274" xr:uid="{00000000-0005-0000-0000-000047000000}"/>
    <cellStyle name="20% - Accent1 2 2 2 2" xfId="9360" xr:uid="{00000000-0005-0000-0000-000048000000}"/>
    <cellStyle name="20% - Accent1 2 2 2 2 2" xfId="15553" xr:uid="{00000000-0005-0000-0000-000049000000}"/>
    <cellStyle name="20% - Accent1 2 2 2 2 2 2" xfId="35473" xr:uid="{00000000-0005-0000-0000-00004A000000}"/>
    <cellStyle name="20% - Accent1 2 2 2 2 3" xfId="21705" xr:uid="{00000000-0005-0000-0000-00004B000000}"/>
    <cellStyle name="20% - Accent1 2 2 2 2 3 2" xfId="41625" xr:uid="{00000000-0005-0000-0000-00004C000000}"/>
    <cellStyle name="20% - Accent1 2 2 2 2 4" xfId="29320" xr:uid="{00000000-0005-0000-0000-00004D000000}"/>
    <cellStyle name="20% - Accent1 2 2 2 3" xfId="12487" xr:uid="{00000000-0005-0000-0000-00004E000000}"/>
    <cellStyle name="20% - Accent1 2 2 2 3 2" xfId="32407" xr:uid="{00000000-0005-0000-0000-00004F000000}"/>
    <cellStyle name="20% - Accent1 2 2 2 4" xfId="18639" xr:uid="{00000000-0005-0000-0000-000050000000}"/>
    <cellStyle name="20% - Accent1 2 2 2 4 2" xfId="38559" xr:uid="{00000000-0005-0000-0000-000051000000}"/>
    <cellStyle name="20% - Accent1 2 2 2 5" xfId="26254" xr:uid="{00000000-0005-0000-0000-000052000000}"/>
    <cellStyle name="20% - Accent1 2 2 3" xfId="7825" xr:uid="{00000000-0005-0000-0000-000053000000}"/>
    <cellStyle name="20% - Accent1 2 2 3 2" xfId="14019" xr:uid="{00000000-0005-0000-0000-000054000000}"/>
    <cellStyle name="20% - Accent1 2 2 3 2 2" xfId="33939" xr:uid="{00000000-0005-0000-0000-000055000000}"/>
    <cellStyle name="20% - Accent1 2 2 3 3" xfId="20171" xr:uid="{00000000-0005-0000-0000-000056000000}"/>
    <cellStyle name="20% - Accent1 2 2 3 3 2" xfId="40091" xr:uid="{00000000-0005-0000-0000-000057000000}"/>
    <cellStyle name="20% - Accent1 2 2 3 4" xfId="27786" xr:uid="{00000000-0005-0000-0000-000058000000}"/>
    <cellStyle name="20% - Accent1 2 2 4" xfId="10953" xr:uid="{00000000-0005-0000-0000-000059000000}"/>
    <cellStyle name="20% - Accent1 2 2 4 2" xfId="30873" xr:uid="{00000000-0005-0000-0000-00005A000000}"/>
    <cellStyle name="20% - Accent1 2 2 5" xfId="17105" xr:uid="{00000000-0005-0000-0000-00005B000000}"/>
    <cellStyle name="20% - Accent1 2 2 5 2" xfId="37025" xr:uid="{00000000-0005-0000-0000-00005C000000}"/>
    <cellStyle name="20% - Accent1 2 2 6" xfId="4649" xr:uid="{00000000-0005-0000-0000-00005D000000}"/>
    <cellStyle name="20% - Accent1 2 2 6 2" xfId="24720" xr:uid="{00000000-0005-0000-0000-00005E000000}"/>
    <cellStyle name="20% - Accent1 2 2 7" xfId="23693" xr:uid="{00000000-0005-0000-0000-00005F000000}"/>
    <cellStyle name="20% - Accent1 2 3" xfId="5488" xr:uid="{00000000-0005-0000-0000-000060000000}"/>
    <cellStyle name="20% - Accent1 2 3 2" xfId="8591" xr:uid="{00000000-0005-0000-0000-000061000000}"/>
    <cellStyle name="20% - Accent1 2 3 2 2" xfId="14784" xr:uid="{00000000-0005-0000-0000-000062000000}"/>
    <cellStyle name="20% - Accent1 2 3 2 2 2" xfId="34704" xr:uid="{00000000-0005-0000-0000-000063000000}"/>
    <cellStyle name="20% - Accent1 2 3 2 3" xfId="20936" xr:uid="{00000000-0005-0000-0000-000064000000}"/>
    <cellStyle name="20% - Accent1 2 3 2 3 2" xfId="40856" xr:uid="{00000000-0005-0000-0000-000065000000}"/>
    <cellStyle name="20% - Accent1 2 3 2 4" xfId="28551" xr:uid="{00000000-0005-0000-0000-000066000000}"/>
    <cellStyle name="20% - Accent1 2 3 3" xfId="11718" xr:uid="{00000000-0005-0000-0000-000067000000}"/>
    <cellStyle name="20% - Accent1 2 3 3 2" xfId="31638" xr:uid="{00000000-0005-0000-0000-000068000000}"/>
    <cellStyle name="20% - Accent1 2 3 4" xfId="17870" xr:uid="{00000000-0005-0000-0000-000069000000}"/>
    <cellStyle name="20% - Accent1 2 3 4 2" xfId="37790" xr:uid="{00000000-0005-0000-0000-00006A000000}"/>
    <cellStyle name="20% - Accent1 2 3 5" xfId="25485" xr:uid="{00000000-0005-0000-0000-00006B000000}"/>
    <cellStyle name="20% - Accent1 2 4" xfId="7056" xr:uid="{00000000-0005-0000-0000-00006C000000}"/>
    <cellStyle name="20% - Accent1 2 4 2" xfId="13250" xr:uid="{00000000-0005-0000-0000-00006D000000}"/>
    <cellStyle name="20% - Accent1 2 4 2 2" xfId="33170" xr:uid="{00000000-0005-0000-0000-00006E000000}"/>
    <cellStyle name="20% - Accent1 2 4 3" xfId="19402" xr:uid="{00000000-0005-0000-0000-00006F000000}"/>
    <cellStyle name="20% - Accent1 2 4 3 2" xfId="39322" xr:uid="{00000000-0005-0000-0000-000070000000}"/>
    <cellStyle name="20% - Accent1 2 4 4" xfId="27017" xr:uid="{00000000-0005-0000-0000-000071000000}"/>
    <cellStyle name="20% - Accent1 2 5" xfId="10184" xr:uid="{00000000-0005-0000-0000-000072000000}"/>
    <cellStyle name="20% - Accent1 2 5 2" xfId="30104" xr:uid="{00000000-0005-0000-0000-000073000000}"/>
    <cellStyle name="20% - Accent1 2 6" xfId="16336" xr:uid="{00000000-0005-0000-0000-000074000000}"/>
    <cellStyle name="20% - Accent1 2 6 2" xfId="36256" xr:uid="{00000000-0005-0000-0000-000075000000}"/>
    <cellStyle name="20% - Accent1 2 7" xfId="1208" xr:uid="{00000000-0005-0000-0000-000076000000}"/>
    <cellStyle name="20% - Accent1 2 7 2" xfId="23951" xr:uid="{00000000-0005-0000-0000-000077000000}"/>
    <cellStyle name="20% - Accent1 2 8" xfId="22776" xr:uid="{00000000-0005-0000-0000-000078000000}"/>
    <cellStyle name="20% - Accent1 2 8 2" xfId="42687" xr:uid="{00000000-0005-0000-0000-000079000000}"/>
    <cellStyle name="20% - Accent1 2 9" xfId="23079" xr:uid="{00000000-0005-0000-0000-00007A000000}"/>
    <cellStyle name="20% - Accent1 2 9 2" xfId="42990" xr:uid="{00000000-0005-0000-0000-00007B000000}"/>
    <cellStyle name="20% - Accent1 3" xfId="397" xr:uid="{00000000-0005-0000-0000-00007C000000}"/>
    <cellStyle name="20% - Accent1 3 10" xfId="23406" xr:uid="{00000000-0005-0000-0000-00007D000000}"/>
    <cellStyle name="20% - Accent1 3 2" xfId="827" xr:uid="{00000000-0005-0000-0000-00007E000000}"/>
    <cellStyle name="20% - Accent1 3 2 2" xfId="6275" xr:uid="{00000000-0005-0000-0000-00007F000000}"/>
    <cellStyle name="20% - Accent1 3 2 2 2" xfId="9361" xr:uid="{00000000-0005-0000-0000-000080000000}"/>
    <cellStyle name="20% - Accent1 3 2 2 2 2" xfId="15554" xr:uid="{00000000-0005-0000-0000-000081000000}"/>
    <cellStyle name="20% - Accent1 3 2 2 2 2 2" xfId="35474" xr:uid="{00000000-0005-0000-0000-000082000000}"/>
    <cellStyle name="20% - Accent1 3 2 2 2 3" xfId="21706" xr:uid="{00000000-0005-0000-0000-000083000000}"/>
    <cellStyle name="20% - Accent1 3 2 2 2 3 2" xfId="41626" xr:uid="{00000000-0005-0000-0000-000084000000}"/>
    <cellStyle name="20% - Accent1 3 2 2 2 4" xfId="29321" xr:uid="{00000000-0005-0000-0000-000085000000}"/>
    <cellStyle name="20% - Accent1 3 2 2 3" xfId="12488" xr:uid="{00000000-0005-0000-0000-000086000000}"/>
    <cellStyle name="20% - Accent1 3 2 2 3 2" xfId="32408" xr:uid="{00000000-0005-0000-0000-000087000000}"/>
    <cellStyle name="20% - Accent1 3 2 2 4" xfId="18640" xr:uid="{00000000-0005-0000-0000-000088000000}"/>
    <cellStyle name="20% - Accent1 3 2 2 4 2" xfId="38560" xr:uid="{00000000-0005-0000-0000-000089000000}"/>
    <cellStyle name="20% - Accent1 3 2 2 5" xfId="26255" xr:uid="{00000000-0005-0000-0000-00008A000000}"/>
    <cellStyle name="20% - Accent1 3 2 3" xfId="7826" xr:uid="{00000000-0005-0000-0000-00008B000000}"/>
    <cellStyle name="20% - Accent1 3 2 3 2" xfId="14020" xr:uid="{00000000-0005-0000-0000-00008C000000}"/>
    <cellStyle name="20% - Accent1 3 2 3 2 2" xfId="33940" xr:uid="{00000000-0005-0000-0000-00008D000000}"/>
    <cellStyle name="20% - Accent1 3 2 3 3" xfId="20172" xr:uid="{00000000-0005-0000-0000-00008E000000}"/>
    <cellStyle name="20% - Accent1 3 2 3 3 2" xfId="40092" xr:uid="{00000000-0005-0000-0000-00008F000000}"/>
    <cellStyle name="20% - Accent1 3 2 3 4" xfId="27787" xr:uid="{00000000-0005-0000-0000-000090000000}"/>
    <cellStyle name="20% - Accent1 3 2 4" xfId="10954" xr:uid="{00000000-0005-0000-0000-000091000000}"/>
    <cellStyle name="20% - Accent1 3 2 4 2" xfId="30874" xr:uid="{00000000-0005-0000-0000-000092000000}"/>
    <cellStyle name="20% - Accent1 3 2 5" xfId="17106" xr:uid="{00000000-0005-0000-0000-000093000000}"/>
    <cellStyle name="20% - Accent1 3 2 5 2" xfId="37026" xr:uid="{00000000-0005-0000-0000-000094000000}"/>
    <cellStyle name="20% - Accent1 3 2 6" xfId="4650" xr:uid="{00000000-0005-0000-0000-000095000000}"/>
    <cellStyle name="20% - Accent1 3 2 6 2" xfId="24721" xr:uid="{00000000-0005-0000-0000-000096000000}"/>
    <cellStyle name="20% - Accent1 3 2 7" xfId="23709" xr:uid="{00000000-0005-0000-0000-000097000000}"/>
    <cellStyle name="20% - Accent1 3 3" xfId="5489" xr:uid="{00000000-0005-0000-0000-000098000000}"/>
    <cellStyle name="20% - Accent1 3 3 2" xfId="8592" xr:uid="{00000000-0005-0000-0000-000099000000}"/>
    <cellStyle name="20% - Accent1 3 3 2 2" xfId="14785" xr:uid="{00000000-0005-0000-0000-00009A000000}"/>
    <cellStyle name="20% - Accent1 3 3 2 2 2" xfId="34705" xr:uid="{00000000-0005-0000-0000-00009B000000}"/>
    <cellStyle name="20% - Accent1 3 3 2 3" xfId="20937" xr:uid="{00000000-0005-0000-0000-00009C000000}"/>
    <cellStyle name="20% - Accent1 3 3 2 3 2" xfId="40857" xr:uid="{00000000-0005-0000-0000-00009D000000}"/>
    <cellStyle name="20% - Accent1 3 3 2 4" xfId="28552" xr:uid="{00000000-0005-0000-0000-00009E000000}"/>
    <cellStyle name="20% - Accent1 3 3 3" xfId="11719" xr:uid="{00000000-0005-0000-0000-00009F000000}"/>
    <cellStyle name="20% - Accent1 3 3 3 2" xfId="31639" xr:uid="{00000000-0005-0000-0000-0000A0000000}"/>
    <cellStyle name="20% - Accent1 3 3 4" xfId="17871" xr:uid="{00000000-0005-0000-0000-0000A1000000}"/>
    <cellStyle name="20% - Accent1 3 3 4 2" xfId="37791" xr:uid="{00000000-0005-0000-0000-0000A2000000}"/>
    <cellStyle name="20% - Accent1 3 3 5" xfId="25486" xr:uid="{00000000-0005-0000-0000-0000A3000000}"/>
    <cellStyle name="20% - Accent1 3 4" xfId="7057" xr:uid="{00000000-0005-0000-0000-0000A4000000}"/>
    <cellStyle name="20% - Accent1 3 4 2" xfId="13251" xr:uid="{00000000-0005-0000-0000-0000A5000000}"/>
    <cellStyle name="20% - Accent1 3 4 2 2" xfId="33171" xr:uid="{00000000-0005-0000-0000-0000A6000000}"/>
    <cellStyle name="20% - Accent1 3 4 3" xfId="19403" xr:uid="{00000000-0005-0000-0000-0000A7000000}"/>
    <cellStyle name="20% - Accent1 3 4 3 2" xfId="39323" xr:uid="{00000000-0005-0000-0000-0000A8000000}"/>
    <cellStyle name="20% - Accent1 3 4 4" xfId="27018" xr:uid="{00000000-0005-0000-0000-0000A9000000}"/>
    <cellStyle name="20% - Accent1 3 5" xfId="10185" xr:uid="{00000000-0005-0000-0000-0000AA000000}"/>
    <cellStyle name="20% - Accent1 3 5 2" xfId="30105" xr:uid="{00000000-0005-0000-0000-0000AB000000}"/>
    <cellStyle name="20% - Accent1 3 6" xfId="16337" xr:uid="{00000000-0005-0000-0000-0000AC000000}"/>
    <cellStyle name="20% - Accent1 3 6 2" xfId="36257" xr:uid="{00000000-0005-0000-0000-0000AD000000}"/>
    <cellStyle name="20% - Accent1 3 7" xfId="1209" xr:uid="{00000000-0005-0000-0000-0000AE000000}"/>
    <cellStyle name="20% - Accent1 3 7 2" xfId="23952" xr:uid="{00000000-0005-0000-0000-0000AF000000}"/>
    <cellStyle name="20% - Accent1 3 8" xfId="22792" xr:uid="{00000000-0005-0000-0000-0000B0000000}"/>
    <cellStyle name="20% - Accent1 3 8 2" xfId="42703" xr:uid="{00000000-0005-0000-0000-0000B1000000}"/>
    <cellStyle name="20% - Accent1 3 9" xfId="23095" xr:uid="{00000000-0005-0000-0000-0000B2000000}"/>
    <cellStyle name="20% - Accent1 3 9 2" xfId="43006" xr:uid="{00000000-0005-0000-0000-0000B3000000}"/>
    <cellStyle name="20% - Accent1 4" xfId="425" xr:uid="{00000000-0005-0000-0000-0000B4000000}"/>
    <cellStyle name="20% - Accent1 4 10" xfId="23422" xr:uid="{00000000-0005-0000-0000-0000B5000000}"/>
    <cellStyle name="20% - Accent1 4 2" xfId="843" xr:uid="{00000000-0005-0000-0000-0000B6000000}"/>
    <cellStyle name="20% - Accent1 4 2 2" xfId="6276" xr:uid="{00000000-0005-0000-0000-0000B7000000}"/>
    <cellStyle name="20% - Accent1 4 2 2 2" xfId="9362" xr:uid="{00000000-0005-0000-0000-0000B8000000}"/>
    <cellStyle name="20% - Accent1 4 2 2 2 2" xfId="15555" xr:uid="{00000000-0005-0000-0000-0000B9000000}"/>
    <cellStyle name="20% - Accent1 4 2 2 2 2 2" xfId="35475" xr:uid="{00000000-0005-0000-0000-0000BA000000}"/>
    <cellStyle name="20% - Accent1 4 2 2 2 3" xfId="21707" xr:uid="{00000000-0005-0000-0000-0000BB000000}"/>
    <cellStyle name="20% - Accent1 4 2 2 2 3 2" xfId="41627" xr:uid="{00000000-0005-0000-0000-0000BC000000}"/>
    <cellStyle name="20% - Accent1 4 2 2 2 4" xfId="29322" xr:uid="{00000000-0005-0000-0000-0000BD000000}"/>
    <cellStyle name="20% - Accent1 4 2 2 3" xfId="12489" xr:uid="{00000000-0005-0000-0000-0000BE000000}"/>
    <cellStyle name="20% - Accent1 4 2 2 3 2" xfId="32409" xr:uid="{00000000-0005-0000-0000-0000BF000000}"/>
    <cellStyle name="20% - Accent1 4 2 2 4" xfId="18641" xr:uid="{00000000-0005-0000-0000-0000C0000000}"/>
    <cellStyle name="20% - Accent1 4 2 2 4 2" xfId="38561" xr:uid="{00000000-0005-0000-0000-0000C1000000}"/>
    <cellStyle name="20% - Accent1 4 2 2 5" xfId="26256" xr:uid="{00000000-0005-0000-0000-0000C2000000}"/>
    <cellStyle name="20% - Accent1 4 2 3" xfId="7827" xr:uid="{00000000-0005-0000-0000-0000C3000000}"/>
    <cellStyle name="20% - Accent1 4 2 3 2" xfId="14021" xr:uid="{00000000-0005-0000-0000-0000C4000000}"/>
    <cellStyle name="20% - Accent1 4 2 3 2 2" xfId="33941" xr:uid="{00000000-0005-0000-0000-0000C5000000}"/>
    <cellStyle name="20% - Accent1 4 2 3 3" xfId="20173" xr:uid="{00000000-0005-0000-0000-0000C6000000}"/>
    <cellStyle name="20% - Accent1 4 2 3 3 2" xfId="40093" xr:uid="{00000000-0005-0000-0000-0000C7000000}"/>
    <cellStyle name="20% - Accent1 4 2 3 4" xfId="27788" xr:uid="{00000000-0005-0000-0000-0000C8000000}"/>
    <cellStyle name="20% - Accent1 4 2 4" xfId="10955" xr:uid="{00000000-0005-0000-0000-0000C9000000}"/>
    <cellStyle name="20% - Accent1 4 2 4 2" xfId="30875" xr:uid="{00000000-0005-0000-0000-0000CA000000}"/>
    <cellStyle name="20% - Accent1 4 2 5" xfId="17107" xr:uid="{00000000-0005-0000-0000-0000CB000000}"/>
    <cellStyle name="20% - Accent1 4 2 5 2" xfId="37027" xr:uid="{00000000-0005-0000-0000-0000CC000000}"/>
    <cellStyle name="20% - Accent1 4 2 6" xfId="4651" xr:uid="{00000000-0005-0000-0000-0000CD000000}"/>
    <cellStyle name="20% - Accent1 4 2 6 2" xfId="24722" xr:uid="{00000000-0005-0000-0000-0000CE000000}"/>
    <cellStyle name="20% - Accent1 4 2 7" xfId="23725" xr:uid="{00000000-0005-0000-0000-0000CF000000}"/>
    <cellStyle name="20% - Accent1 4 3" xfId="5490" xr:uid="{00000000-0005-0000-0000-0000D0000000}"/>
    <cellStyle name="20% - Accent1 4 3 2" xfId="8593" xr:uid="{00000000-0005-0000-0000-0000D1000000}"/>
    <cellStyle name="20% - Accent1 4 3 2 2" xfId="14786" xr:uid="{00000000-0005-0000-0000-0000D2000000}"/>
    <cellStyle name="20% - Accent1 4 3 2 2 2" xfId="34706" xr:uid="{00000000-0005-0000-0000-0000D3000000}"/>
    <cellStyle name="20% - Accent1 4 3 2 3" xfId="20938" xr:uid="{00000000-0005-0000-0000-0000D4000000}"/>
    <cellStyle name="20% - Accent1 4 3 2 3 2" xfId="40858" xr:uid="{00000000-0005-0000-0000-0000D5000000}"/>
    <cellStyle name="20% - Accent1 4 3 2 4" xfId="28553" xr:uid="{00000000-0005-0000-0000-0000D6000000}"/>
    <cellStyle name="20% - Accent1 4 3 3" xfId="11720" xr:uid="{00000000-0005-0000-0000-0000D7000000}"/>
    <cellStyle name="20% - Accent1 4 3 3 2" xfId="31640" xr:uid="{00000000-0005-0000-0000-0000D8000000}"/>
    <cellStyle name="20% - Accent1 4 3 4" xfId="17872" xr:uid="{00000000-0005-0000-0000-0000D9000000}"/>
    <cellStyle name="20% - Accent1 4 3 4 2" xfId="37792" xr:uid="{00000000-0005-0000-0000-0000DA000000}"/>
    <cellStyle name="20% - Accent1 4 3 5" xfId="25487" xr:uid="{00000000-0005-0000-0000-0000DB000000}"/>
    <cellStyle name="20% - Accent1 4 4" xfId="7058" xr:uid="{00000000-0005-0000-0000-0000DC000000}"/>
    <cellStyle name="20% - Accent1 4 4 2" xfId="13252" xr:uid="{00000000-0005-0000-0000-0000DD000000}"/>
    <cellStyle name="20% - Accent1 4 4 2 2" xfId="33172" xr:uid="{00000000-0005-0000-0000-0000DE000000}"/>
    <cellStyle name="20% - Accent1 4 4 3" xfId="19404" xr:uid="{00000000-0005-0000-0000-0000DF000000}"/>
    <cellStyle name="20% - Accent1 4 4 3 2" xfId="39324" xr:uid="{00000000-0005-0000-0000-0000E0000000}"/>
    <cellStyle name="20% - Accent1 4 4 4" xfId="27019" xr:uid="{00000000-0005-0000-0000-0000E1000000}"/>
    <cellStyle name="20% - Accent1 4 5" xfId="10186" xr:uid="{00000000-0005-0000-0000-0000E2000000}"/>
    <cellStyle name="20% - Accent1 4 5 2" xfId="30106" xr:uid="{00000000-0005-0000-0000-0000E3000000}"/>
    <cellStyle name="20% - Accent1 4 6" xfId="16338" xr:uid="{00000000-0005-0000-0000-0000E4000000}"/>
    <cellStyle name="20% - Accent1 4 6 2" xfId="36258" xr:uid="{00000000-0005-0000-0000-0000E5000000}"/>
    <cellStyle name="20% - Accent1 4 7" xfId="1210" xr:uid="{00000000-0005-0000-0000-0000E6000000}"/>
    <cellStyle name="20% - Accent1 4 7 2" xfId="23953" xr:uid="{00000000-0005-0000-0000-0000E7000000}"/>
    <cellStyle name="20% - Accent1 4 8" xfId="22808" xr:uid="{00000000-0005-0000-0000-0000E8000000}"/>
    <cellStyle name="20% - Accent1 4 8 2" xfId="42719" xr:uid="{00000000-0005-0000-0000-0000E9000000}"/>
    <cellStyle name="20% - Accent1 4 9" xfId="23111" xr:uid="{00000000-0005-0000-0000-0000EA000000}"/>
    <cellStyle name="20% - Accent1 4 9 2" xfId="43022" xr:uid="{00000000-0005-0000-0000-0000EB000000}"/>
    <cellStyle name="20% - Accent1 5" xfId="452" xr:uid="{00000000-0005-0000-0000-0000EC000000}"/>
    <cellStyle name="20% - Accent1 5 10" xfId="23127" xr:uid="{00000000-0005-0000-0000-0000ED000000}"/>
    <cellStyle name="20% - Accent1 5 10 2" xfId="43038" xr:uid="{00000000-0005-0000-0000-0000EE000000}"/>
    <cellStyle name="20% - Accent1 5 11" xfId="23438" xr:uid="{00000000-0005-0000-0000-0000EF000000}"/>
    <cellStyle name="20% - Accent1 5 2" xfId="859" xr:uid="{00000000-0005-0000-0000-0000F0000000}"/>
    <cellStyle name="20% - Accent1 5 2 2" xfId="6277" xr:uid="{00000000-0005-0000-0000-0000F1000000}"/>
    <cellStyle name="20% - Accent1 5 2 2 2" xfId="9363" xr:uid="{00000000-0005-0000-0000-0000F2000000}"/>
    <cellStyle name="20% - Accent1 5 2 2 2 2" xfId="15556" xr:uid="{00000000-0005-0000-0000-0000F3000000}"/>
    <cellStyle name="20% - Accent1 5 2 2 2 2 2" xfId="35476" xr:uid="{00000000-0005-0000-0000-0000F4000000}"/>
    <cellStyle name="20% - Accent1 5 2 2 2 3" xfId="21708" xr:uid="{00000000-0005-0000-0000-0000F5000000}"/>
    <cellStyle name="20% - Accent1 5 2 2 2 3 2" xfId="41628" xr:uid="{00000000-0005-0000-0000-0000F6000000}"/>
    <cellStyle name="20% - Accent1 5 2 2 2 4" xfId="29323" xr:uid="{00000000-0005-0000-0000-0000F7000000}"/>
    <cellStyle name="20% - Accent1 5 2 2 3" xfId="12490" xr:uid="{00000000-0005-0000-0000-0000F8000000}"/>
    <cellStyle name="20% - Accent1 5 2 2 3 2" xfId="32410" xr:uid="{00000000-0005-0000-0000-0000F9000000}"/>
    <cellStyle name="20% - Accent1 5 2 2 4" xfId="18642" xr:uid="{00000000-0005-0000-0000-0000FA000000}"/>
    <cellStyle name="20% - Accent1 5 2 2 4 2" xfId="38562" xr:uid="{00000000-0005-0000-0000-0000FB000000}"/>
    <cellStyle name="20% - Accent1 5 2 2 5" xfId="26257" xr:uid="{00000000-0005-0000-0000-0000FC000000}"/>
    <cellStyle name="20% - Accent1 5 2 3" xfId="7828" xr:uid="{00000000-0005-0000-0000-0000FD000000}"/>
    <cellStyle name="20% - Accent1 5 2 3 2" xfId="14022" xr:uid="{00000000-0005-0000-0000-0000FE000000}"/>
    <cellStyle name="20% - Accent1 5 2 3 2 2" xfId="33942" xr:uid="{00000000-0005-0000-0000-0000FF000000}"/>
    <cellStyle name="20% - Accent1 5 2 3 3" xfId="20174" xr:uid="{00000000-0005-0000-0000-000000010000}"/>
    <cellStyle name="20% - Accent1 5 2 3 3 2" xfId="40094" xr:uid="{00000000-0005-0000-0000-000001010000}"/>
    <cellStyle name="20% - Accent1 5 2 3 4" xfId="27789" xr:uid="{00000000-0005-0000-0000-000002010000}"/>
    <cellStyle name="20% - Accent1 5 2 4" xfId="10956" xr:uid="{00000000-0005-0000-0000-000003010000}"/>
    <cellStyle name="20% - Accent1 5 2 4 2" xfId="30876" xr:uid="{00000000-0005-0000-0000-000004010000}"/>
    <cellStyle name="20% - Accent1 5 2 5" xfId="17108" xr:uid="{00000000-0005-0000-0000-000005010000}"/>
    <cellStyle name="20% - Accent1 5 2 5 2" xfId="37028" xr:uid="{00000000-0005-0000-0000-000006010000}"/>
    <cellStyle name="20% - Accent1 5 2 6" xfId="4652" xr:uid="{00000000-0005-0000-0000-000007010000}"/>
    <cellStyle name="20% - Accent1 5 2 6 2" xfId="24723" xr:uid="{00000000-0005-0000-0000-000008010000}"/>
    <cellStyle name="20% - Accent1 5 2 7" xfId="23741" xr:uid="{00000000-0005-0000-0000-000009010000}"/>
    <cellStyle name="20% - Accent1 5 3" xfId="5491" xr:uid="{00000000-0005-0000-0000-00000A010000}"/>
    <cellStyle name="20% - Accent1 5 3 2" xfId="8594" xr:uid="{00000000-0005-0000-0000-00000B010000}"/>
    <cellStyle name="20% - Accent1 5 3 2 2" xfId="14787" xr:uid="{00000000-0005-0000-0000-00000C010000}"/>
    <cellStyle name="20% - Accent1 5 3 2 2 2" xfId="34707" xr:uid="{00000000-0005-0000-0000-00000D010000}"/>
    <cellStyle name="20% - Accent1 5 3 2 3" xfId="20939" xr:uid="{00000000-0005-0000-0000-00000E010000}"/>
    <cellStyle name="20% - Accent1 5 3 2 3 2" xfId="40859" xr:uid="{00000000-0005-0000-0000-00000F010000}"/>
    <cellStyle name="20% - Accent1 5 3 2 4" xfId="28554" xr:uid="{00000000-0005-0000-0000-000010010000}"/>
    <cellStyle name="20% - Accent1 5 3 3" xfId="11721" xr:uid="{00000000-0005-0000-0000-000011010000}"/>
    <cellStyle name="20% - Accent1 5 3 3 2" xfId="31641" xr:uid="{00000000-0005-0000-0000-000012010000}"/>
    <cellStyle name="20% - Accent1 5 3 4" xfId="17873" xr:uid="{00000000-0005-0000-0000-000013010000}"/>
    <cellStyle name="20% - Accent1 5 3 4 2" xfId="37793" xr:uid="{00000000-0005-0000-0000-000014010000}"/>
    <cellStyle name="20% - Accent1 5 3 5" xfId="25488" xr:uid="{00000000-0005-0000-0000-000015010000}"/>
    <cellStyle name="20% - Accent1 5 4" xfId="7059" xr:uid="{00000000-0005-0000-0000-000016010000}"/>
    <cellStyle name="20% - Accent1 5 4 2" xfId="13253" xr:uid="{00000000-0005-0000-0000-000017010000}"/>
    <cellStyle name="20% - Accent1 5 4 2 2" xfId="33173" xr:uid="{00000000-0005-0000-0000-000018010000}"/>
    <cellStyle name="20% - Accent1 5 4 3" xfId="19405" xr:uid="{00000000-0005-0000-0000-000019010000}"/>
    <cellStyle name="20% - Accent1 5 4 3 2" xfId="39325" xr:uid="{00000000-0005-0000-0000-00001A010000}"/>
    <cellStyle name="20% - Accent1 5 4 4" xfId="27020" xr:uid="{00000000-0005-0000-0000-00001B010000}"/>
    <cellStyle name="20% - Accent1 5 5" xfId="10187" xr:uid="{00000000-0005-0000-0000-00001C010000}"/>
    <cellStyle name="20% - Accent1 5 5 2" xfId="30107" xr:uid="{00000000-0005-0000-0000-00001D010000}"/>
    <cellStyle name="20% - Accent1 5 6" xfId="16339" xr:uid="{00000000-0005-0000-0000-00001E010000}"/>
    <cellStyle name="20% - Accent1 5 6 2" xfId="36259" xr:uid="{00000000-0005-0000-0000-00001F010000}"/>
    <cellStyle name="20% - Accent1 5 7" xfId="1211" xr:uid="{00000000-0005-0000-0000-000020010000}"/>
    <cellStyle name="20% - Accent1 5 7 2" xfId="23954" xr:uid="{00000000-0005-0000-0000-000021010000}"/>
    <cellStyle name="20% - Accent1 5 8" xfId="22630" xr:uid="{00000000-0005-0000-0000-000022010000}"/>
    <cellStyle name="20% - Accent1 5 8 2" xfId="42541" xr:uid="{00000000-0005-0000-0000-000023010000}"/>
    <cellStyle name="20% - Accent1 5 9" xfId="22824" xr:uid="{00000000-0005-0000-0000-000024010000}"/>
    <cellStyle name="20% - Accent1 5 9 2" xfId="42735" xr:uid="{00000000-0005-0000-0000-000025010000}"/>
    <cellStyle name="20% - Accent1 6" xfId="479" xr:uid="{00000000-0005-0000-0000-000026010000}"/>
    <cellStyle name="20% - Accent1 6 2" xfId="875" xr:uid="{00000000-0005-0000-0000-000027010000}"/>
    <cellStyle name="20% - Accent1 6 2 2" xfId="23757" xr:uid="{00000000-0005-0000-0000-000028010000}"/>
    <cellStyle name="20% - Accent1 6 3" xfId="1212" xr:uid="{00000000-0005-0000-0000-000029010000}"/>
    <cellStyle name="20% - Accent1 6 4" xfId="22647" xr:uid="{00000000-0005-0000-0000-00002A010000}"/>
    <cellStyle name="20% - Accent1 6 4 2" xfId="42558" xr:uid="{00000000-0005-0000-0000-00002B010000}"/>
    <cellStyle name="20% - Accent1 6 5" xfId="22840" xr:uid="{00000000-0005-0000-0000-00002C010000}"/>
    <cellStyle name="20% - Accent1 6 5 2" xfId="42751" xr:uid="{00000000-0005-0000-0000-00002D010000}"/>
    <cellStyle name="20% - Accent1 6 6" xfId="23143" xr:uid="{00000000-0005-0000-0000-00002E010000}"/>
    <cellStyle name="20% - Accent1 6 6 2" xfId="43054" xr:uid="{00000000-0005-0000-0000-00002F010000}"/>
    <cellStyle name="20% - Accent1 6 7" xfId="23454" xr:uid="{00000000-0005-0000-0000-000030010000}"/>
    <cellStyle name="20% - Accent1 7" xfId="503" xr:uid="{00000000-0005-0000-0000-000031010000}"/>
    <cellStyle name="20% - Accent1 7 2" xfId="891" xr:uid="{00000000-0005-0000-0000-000032010000}"/>
    <cellStyle name="20% - Accent1 7 2 2" xfId="23773" xr:uid="{00000000-0005-0000-0000-000033010000}"/>
    <cellStyle name="20% - Accent1 7 3" xfId="22479" xr:uid="{00000000-0005-0000-0000-000034010000}"/>
    <cellStyle name="20% - Accent1 7 3 2" xfId="42390" xr:uid="{00000000-0005-0000-0000-000035010000}"/>
    <cellStyle name="20% - Accent1 7 4" xfId="22856" xr:uid="{00000000-0005-0000-0000-000036010000}"/>
    <cellStyle name="20% - Accent1 7 4 2" xfId="42767" xr:uid="{00000000-0005-0000-0000-000037010000}"/>
    <cellStyle name="20% - Accent1 7 5" xfId="23159" xr:uid="{00000000-0005-0000-0000-000038010000}"/>
    <cellStyle name="20% - Accent1 7 5 2" xfId="43070" xr:uid="{00000000-0005-0000-0000-000039010000}"/>
    <cellStyle name="20% - Accent1 7 6" xfId="23470" xr:uid="{00000000-0005-0000-0000-00003A010000}"/>
    <cellStyle name="20% - Accent1 8" xfId="527" xr:uid="{00000000-0005-0000-0000-00003B010000}"/>
    <cellStyle name="20% - Accent1 8 2" xfId="907" xr:uid="{00000000-0005-0000-0000-00003C010000}"/>
    <cellStyle name="20% - Accent1 8 2 2" xfId="23789" xr:uid="{00000000-0005-0000-0000-00003D010000}"/>
    <cellStyle name="20% - Accent1 8 3" xfId="22695" xr:uid="{00000000-0005-0000-0000-00003E010000}"/>
    <cellStyle name="20% - Accent1 8 3 2" xfId="42606" xr:uid="{00000000-0005-0000-0000-00003F010000}"/>
    <cellStyle name="20% - Accent1 8 4" xfId="22872" xr:uid="{00000000-0005-0000-0000-000040010000}"/>
    <cellStyle name="20% - Accent1 8 4 2" xfId="42783" xr:uid="{00000000-0005-0000-0000-000041010000}"/>
    <cellStyle name="20% - Accent1 8 5" xfId="23175" xr:uid="{00000000-0005-0000-0000-000042010000}"/>
    <cellStyle name="20% - Accent1 8 5 2" xfId="43086" xr:uid="{00000000-0005-0000-0000-000043010000}"/>
    <cellStyle name="20% - Accent1 8 6" xfId="23486" xr:uid="{00000000-0005-0000-0000-000044010000}"/>
    <cellStyle name="20% - Accent1 9" xfId="565" xr:uid="{00000000-0005-0000-0000-000045010000}"/>
    <cellStyle name="20% - Accent1 9 2" xfId="923" xr:uid="{00000000-0005-0000-0000-000046010000}"/>
    <cellStyle name="20% - Accent1 9 2 2" xfId="23805" xr:uid="{00000000-0005-0000-0000-000047010000}"/>
    <cellStyle name="20% - Accent1 9 3" xfId="22655" xr:uid="{00000000-0005-0000-0000-000048010000}"/>
    <cellStyle name="20% - Accent1 9 3 2" xfId="42566" xr:uid="{00000000-0005-0000-0000-000049010000}"/>
    <cellStyle name="20% - Accent1 9 4" xfId="22888" xr:uid="{00000000-0005-0000-0000-00004A010000}"/>
    <cellStyle name="20% - Accent1 9 4 2" xfId="42799" xr:uid="{00000000-0005-0000-0000-00004B010000}"/>
    <cellStyle name="20% - Accent1 9 5" xfId="23191" xr:uid="{00000000-0005-0000-0000-00004C010000}"/>
    <cellStyle name="20% - Accent1 9 5 2" xfId="43102" xr:uid="{00000000-0005-0000-0000-00004D010000}"/>
    <cellStyle name="20% - Accent1 9 6" xfId="23502" xr:uid="{00000000-0005-0000-0000-00004E010000}"/>
    <cellStyle name="20% - Accent2" xfId="66" builtinId="34" customBuiltin="1"/>
    <cellStyle name="20% - Accent2 10" xfId="597" xr:uid="{00000000-0005-0000-0000-000050010000}"/>
    <cellStyle name="20% - Accent2 10 2" xfId="941" xr:uid="{00000000-0005-0000-0000-000051010000}"/>
    <cellStyle name="20% - Accent2 10 2 2" xfId="23823" xr:uid="{00000000-0005-0000-0000-000052010000}"/>
    <cellStyle name="20% - Accent2 10 3" xfId="22522" xr:uid="{00000000-0005-0000-0000-000053010000}"/>
    <cellStyle name="20% - Accent2 10 3 2" xfId="42433" xr:uid="{00000000-0005-0000-0000-000054010000}"/>
    <cellStyle name="20% - Accent2 10 4" xfId="22906" xr:uid="{00000000-0005-0000-0000-000055010000}"/>
    <cellStyle name="20% - Accent2 10 4 2" xfId="42817" xr:uid="{00000000-0005-0000-0000-000056010000}"/>
    <cellStyle name="20% - Accent2 10 5" xfId="23209" xr:uid="{00000000-0005-0000-0000-000057010000}"/>
    <cellStyle name="20% - Accent2 10 5 2" xfId="43120" xr:uid="{00000000-0005-0000-0000-000058010000}"/>
    <cellStyle name="20% - Accent2 10 6" xfId="23520" xr:uid="{00000000-0005-0000-0000-000059010000}"/>
    <cellStyle name="20% - Accent2 11" xfId="625" xr:uid="{00000000-0005-0000-0000-00005A010000}"/>
    <cellStyle name="20% - Accent2 11 2" xfId="957" xr:uid="{00000000-0005-0000-0000-00005B010000}"/>
    <cellStyle name="20% - Accent2 11 2 2" xfId="23839" xr:uid="{00000000-0005-0000-0000-00005C010000}"/>
    <cellStyle name="20% - Accent2 11 3" xfId="22649" xr:uid="{00000000-0005-0000-0000-00005D010000}"/>
    <cellStyle name="20% - Accent2 11 3 2" xfId="42560" xr:uid="{00000000-0005-0000-0000-00005E010000}"/>
    <cellStyle name="20% - Accent2 11 4" xfId="22922" xr:uid="{00000000-0005-0000-0000-00005F010000}"/>
    <cellStyle name="20% - Accent2 11 4 2" xfId="42833" xr:uid="{00000000-0005-0000-0000-000060010000}"/>
    <cellStyle name="20% - Accent2 11 5" xfId="23225" xr:uid="{00000000-0005-0000-0000-000061010000}"/>
    <cellStyle name="20% - Accent2 11 5 2" xfId="43136" xr:uid="{00000000-0005-0000-0000-000062010000}"/>
    <cellStyle name="20% - Accent2 11 6" xfId="23536" xr:uid="{00000000-0005-0000-0000-000063010000}"/>
    <cellStyle name="20% - Accent2 12" xfId="651" xr:uid="{00000000-0005-0000-0000-000064010000}"/>
    <cellStyle name="20% - Accent2 12 2" xfId="973" xr:uid="{00000000-0005-0000-0000-000065010000}"/>
    <cellStyle name="20% - Accent2 12 2 2" xfId="23855" xr:uid="{00000000-0005-0000-0000-000066010000}"/>
    <cellStyle name="20% - Accent2 12 3" xfId="22620" xr:uid="{00000000-0005-0000-0000-000067010000}"/>
    <cellStyle name="20% - Accent2 12 3 2" xfId="42531" xr:uid="{00000000-0005-0000-0000-000068010000}"/>
    <cellStyle name="20% - Accent2 12 4" xfId="22938" xr:uid="{00000000-0005-0000-0000-000069010000}"/>
    <cellStyle name="20% - Accent2 12 4 2" xfId="42849" xr:uid="{00000000-0005-0000-0000-00006A010000}"/>
    <cellStyle name="20% - Accent2 12 5" xfId="23241" xr:uid="{00000000-0005-0000-0000-00006B010000}"/>
    <cellStyle name="20% - Accent2 12 5 2" xfId="43152" xr:uid="{00000000-0005-0000-0000-00006C010000}"/>
    <cellStyle name="20% - Accent2 12 6" xfId="23552" xr:uid="{00000000-0005-0000-0000-00006D010000}"/>
    <cellStyle name="20% - Accent2 13" xfId="675" xr:uid="{00000000-0005-0000-0000-00006E010000}"/>
    <cellStyle name="20% - Accent2 13 2" xfId="989" xr:uid="{00000000-0005-0000-0000-00006F010000}"/>
    <cellStyle name="20% - Accent2 13 2 2" xfId="23871" xr:uid="{00000000-0005-0000-0000-000070010000}"/>
    <cellStyle name="20% - Accent2 13 3" xfId="22651" xr:uid="{00000000-0005-0000-0000-000071010000}"/>
    <cellStyle name="20% - Accent2 13 3 2" xfId="42562" xr:uid="{00000000-0005-0000-0000-000072010000}"/>
    <cellStyle name="20% - Accent2 13 4" xfId="22954" xr:uid="{00000000-0005-0000-0000-000073010000}"/>
    <cellStyle name="20% - Accent2 13 4 2" xfId="42865" xr:uid="{00000000-0005-0000-0000-000074010000}"/>
    <cellStyle name="20% - Accent2 13 5" xfId="23257" xr:uid="{00000000-0005-0000-0000-000075010000}"/>
    <cellStyle name="20% - Accent2 13 5 2" xfId="43168" xr:uid="{00000000-0005-0000-0000-000076010000}"/>
    <cellStyle name="20% - Accent2 13 6" xfId="23568" xr:uid="{00000000-0005-0000-0000-000077010000}"/>
    <cellStyle name="20% - Accent2 14" xfId="697" xr:uid="{00000000-0005-0000-0000-000078010000}"/>
    <cellStyle name="20% - Accent2 14 2" xfId="1005" xr:uid="{00000000-0005-0000-0000-000079010000}"/>
    <cellStyle name="20% - Accent2 14 2 2" xfId="23887" xr:uid="{00000000-0005-0000-0000-00007A010000}"/>
    <cellStyle name="20% - Accent2 14 3" xfId="22482" xr:uid="{00000000-0005-0000-0000-00007B010000}"/>
    <cellStyle name="20% - Accent2 14 3 2" xfId="42393" xr:uid="{00000000-0005-0000-0000-00007C010000}"/>
    <cellStyle name="20% - Accent2 14 4" xfId="22970" xr:uid="{00000000-0005-0000-0000-00007D010000}"/>
    <cellStyle name="20% - Accent2 14 4 2" xfId="42881" xr:uid="{00000000-0005-0000-0000-00007E010000}"/>
    <cellStyle name="20% - Accent2 14 5" xfId="23273" xr:uid="{00000000-0005-0000-0000-00007F010000}"/>
    <cellStyle name="20% - Accent2 14 5 2" xfId="43184" xr:uid="{00000000-0005-0000-0000-000080010000}"/>
    <cellStyle name="20% - Accent2 14 6" xfId="23584" xr:uid="{00000000-0005-0000-0000-000081010000}"/>
    <cellStyle name="20% - Accent2 15" xfId="713" xr:uid="{00000000-0005-0000-0000-000082010000}"/>
    <cellStyle name="20% - Accent2 15 2" xfId="1021" xr:uid="{00000000-0005-0000-0000-000083010000}"/>
    <cellStyle name="20% - Accent2 15 2 2" xfId="23903" xr:uid="{00000000-0005-0000-0000-000084010000}"/>
    <cellStyle name="20% - Accent2 15 3" xfId="22540" xr:uid="{00000000-0005-0000-0000-000085010000}"/>
    <cellStyle name="20% - Accent2 15 3 2" xfId="42451" xr:uid="{00000000-0005-0000-0000-000086010000}"/>
    <cellStyle name="20% - Accent2 15 4" xfId="22986" xr:uid="{00000000-0005-0000-0000-000087010000}"/>
    <cellStyle name="20% - Accent2 15 4 2" xfId="42897" xr:uid="{00000000-0005-0000-0000-000088010000}"/>
    <cellStyle name="20% - Accent2 15 5" xfId="23289" xr:uid="{00000000-0005-0000-0000-000089010000}"/>
    <cellStyle name="20% - Accent2 15 5 2" xfId="43200" xr:uid="{00000000-0005-0000-0000-00008A010000}"/>
    <cellStyle name="20% - Accent2 15 6" xfId="23600" xr:uid="{00000000-0005-0000-0000-00008B010000}"/>
    <cellStyle name="20% - Accent2 16" xfId="737" xr:uid="{00000000-0005-0000-0000-00008C010000}"/>
    <cellStyle name="20% - Accent2 16 2" xfId="23619" xr:uid="{00000000-0005-0000-0000-00008D010000}"/>
    <cellStyle name="20% - Accent2 17" xfId="22702" xr:uid="{00000000-0005-0000-0000-00008E010000}"/>
    <cellStyle name="20% - Accent2 17 2" xfId="42613" xr:uid="{00000000-0005-0000-0000-00008F010000}"/>
    <cellStyle name="20% - Accent2 18" xfId="23005" xr:uid="{00000000-0005-0000-0000-000090010000}"/>
    <cellStyle name="20% - Accent2 18 2" xfId="42916" xr:uid="{00000000-0005-0000-0000-000091010000}"/>
    <cellStyle name="20% - Accent2 19" xfId="23309" xr:uid="{00000000-0005-0000-0000-000092010000}"/>
    <cellStyle name="20% - Accent2 2" xfId="370" xr:uid="{00000000-0005-0000-0000-000093010000}"/>
    <cellStyle name="20% - Accent2 2 10" xfId="23392" xr:uid="{00000000-0005-0000-0000-000094010000}"/>
    <cellStyle name="20% - Accent2 2 2" xfId="813" xr:uid="{00000000-0005-0000-0000-000095010000}"/>
    <cellStyle name="20% - Accent2 2 2 2" xfId="6278" xr:uid="{00000000-0005-0000-0000-000096010000}"/>
    <cellStyle name="20% - Accent2 2 2 2 2" xfId="9364" xr:uid="{00000000-0005-0000-0000-000097010000}"/>
    <cellStyle name="20% - Accent2 2 2 2 2 2" xfId="15557" xr:uid="{00000000-0005-0000-0000-000098010000}"/>
    <cellStyle name="20% - Accent2 2 2 2 2 2 2" xfId="35477" xr:uid="{00000000-0005-0000-0000-000099010000}"/>
    <cellStyle name="20% - Accent2 2 2 2 2 3" xfId="21709" xr:uid="{00000000-0005-0000-0000-00009A010000}"/>
    <cellStyle name="20% - Accent2 2 2 2 2 3 2" xfId="41629" xr:uid="{00000000-0005-0000-0000-00009B010000}"/>
    <cellStyle name="20% - Accent2 2 2 2 2 4" xfId="29324" xr:uid="{00000000-0005-0000-0000-00009C010000}"/>
    <cellStyle name="20% - Accent2 2 2 2 3" xfId="12491" xr:uid="{00000000-0005-0000-0000-00009D010000}"/>
    <cellStyle name="20% - Accent2 2 2 2 3 2" xfId="32411" xr:uid="{00000000-0005-0000-0000-00009E010000}"/>
    <cellStyle name="20% - Accent2 2 2 2 4" xfId="18643" xr:uid="{00000000-0005-0000-0000-00009F010000}"/>
    <cellStyle name="20% - Accent2 2 2 2 4 2" xfId="38563" xr:uid="{00000000-0005-0000-0000-0000A0010000}"/>
    <cellStyle name="20% - Accent2 2 2 2 5" xfId="26258" xr:uid="{00000000-0005-0000-0000-0000A1010000}"/>
    <cellStyle name="20% - Accent2 2 2 3" xfId="7829" xr:uid="{00000000-0005-0000-0000-0000A2010000}"/>
    <cellStyle name="20% - Accent2 2 2 3 2" xfId="14023" xr:uid="{00000000-0005-0000-0000-0000A3010000}"/>
    <cellStyle name="20% - Accent2 2 2 3 2 2" xfId="33943" xr:uid="{00000000-0005-0000-0000-0000A4010000}"/>
    <cellStyle name="20% - Accent2 2 2 3 3" xfId="20175" xr:uid="{00000000-0005-0000-0000-0000A5010000}"/>
    <cellStyle name="20% - Accent2 2 2 3 3 2" xfId="40095" xr:uid="{00000000-0005-0000-0000-0000A6010000}"/>
    <cellStyle name="20% - Accent2 2 2 3 4" xfId="27790" xr:uid="{00000000-0005-0000-0000-0000A7010000}"/>
    <cellStyle name="20% - Accent2 2 2 4" xfId="10957" xr:uid="{00000000-0005-0000-0000-0000A8010000}"/>
    <cellStyle name="20% - Accent2 2 2 4 2" xfId="30877" xr:uid="{00000000-0005-0000-0000-0000A9010000}"/>
    <cellStyle name="20% - Accent2 2 2 5" xfId="17109" xr:uid="{00000000-0005-0000-0000-0000AA010000}"/>
    <cellStyle name="20% - Accent2 2 2 5 2" xfId="37029" xr:uid="{00000000-0005-0000-0000-0000AB010000}"/>
    <cellStyle name="20% - Accent2 2 2 6" xfId="4653" xr:uid="{00000000-0005-0000-0000-0000AC010000}"/>
    <cellStyle name="20% - Accent2 2 2 6 2" xfId="24724" xr:uid="{00000000-0005-0000-0000-0000AD010000}"/>
    <cellStyle name="20% - Accent2 2 2 7" xfId="23695" xr:uid="{00000000-0005-0000-0000-0000AE010000}"/>
    <cellStyle name="20% - Accent2 2 3" xfId="5492" xr:uid="{00000000-0005-0000-0000-0000AF010000}"/>
    <cellStyle name="20% - Accent2 2 3 2" xfId="8595" xr:uid="{00000000-0005-0000-0000-0000B0010000}"/>
    <cellStyle name="20% - Accent2 2 3 2 2" xfId="14788" xr:uid="{00000000-0005-0000-0000-0000B1010000}"/>
    <cellStyle name="20% - Accent2 2 3 2 2 2" xfId="34708" xr:uid="{00000000-0005-0000-0000-0000B2010000}"/>
    <cellStyle name="20% - Accent2 2 3 2 3" xfId="20940" xr:uid="{00000000-0005-0000-0000-0000B3010000}"/>
    <cellStyle name="20% - Accent2 2 3 2 3 2" xfId="40860" xr:uid="{00000000-0005-0000-0000-0000B4010000}"/>
    <cellStyle name="20% - Accent2 2 3 2 4" xfId="28555" xr:uid="{00000000-0005-0000-0000-0000B5010000}"/>
    <cellStyle name="20% - Accent2 2 3 3" xfId="11722" xr:uid="{00000000-0005-0000-0000-0000B6010000}"/>
    <cellStyle name="20% - Accent2 2 3 3 2" xfId="31642" xr:uid="{00000000-0005-0000-0000-0000B7010000}"/>
    <cellStyle name="20% - Accent2 2 3 4" xfId="17874" xr:uid="{00000000-0005-0000-0000-0000B8010000}"/>
    <cellStyle name="20% - Accent2 2 3 4 2" xfId="37794" xr:uid="{00000000-0005-0000-0000-0000B9010000}"/>
    <cellStyle name="20% - Accent2 2 3 5" xfId="25489" xr:uid="{00000000-0005-0000-0000-0000BA010000}"/>
    <cellStyle name="20% - Accent2 2 4" xfId="7060" xr:uid="{00000000-0005-0000-0000-0000BB010000}"/>
    <cellStyle name="20% - Accent2 2 4 2" xfId="13254" xr:uid="{00000000-0005-0000-0000-0000BC010000}"/>
    <cellStyle name="20% - Accent2 2 4 2 2" xfId="33174" xr:uid="{00000000-0005-0000-0000-0000BD010000}"/>
    <cellStyle name="20% - Accent2 2 4 3" xfId="19406" xr:uid="{00000000-0005-0000-0000-0000BE010000}"/>
    <cellStyle name="20% - Accent2 2 4 3 2" xfId="39326" xr:uid="{00000000-0005-0000-0000-0000BF010000}"/>
    <cellStyle name="20% - Accent2 2 4 4" xfId="27021" xr:uid="{00000000-0005-0000-0000-0000C0010000}"/>
    <cellStyle name="20% - Accent2 2 5" xfId="10188" xr:uid="{00000000-0005-0000-0000-0000C1010000}"/>
    <cellStyle name="20% - Accent2 2 5 2" xfId="30108" xr:uid="{00000000-0005-0000-0000-0000C2010000}"/>
    <cellStyle name="20% - Accent2 2 6" xfId="16340" xr:uid="{00000000-0005-0000-0000-0000C3010000}"/>
    <cellStyle name="20% - Accent2 2 6 2" xfId="36260" xr:uid="{00000000-0005-0000-0000-0000C4010000}"/>
    <cellStyle name="20% - Accent2 2 7" xfId="1213" xr:uid="{00000000-0005-0000-0000-0000C5010000}"/>
    <cellStyle name="20% - Accent2 2 7 2" xfId="23955" xr:uid="{00000000-0005-0000-0000-0000C6010000}"/>
    <cellStyle name="20% - Accent2 2 8" xfId="22778" xr:uid="{00000000-0005-0000-0000-0000C7010000}"/>
    <cellStyle name="20% - Accent2 2 8 2" xfId="42689" xr:uid="{00000000-0005-0000-0000-0000C8010000}"/>
    <cellStyle name="20% - Accent2 2 9" xfId="23081" xr:uid="{00000000-0005-0000-0000-0000C9010000}"/>
    <cellStyle name="20% - Accent2 2 9 2" xfId="42992" xr:uid="{00000000-0005-0000-0000-0000CA010000}"/>
    <cellStyle name="20% - Accent2 3" xfId="400" xr:uid="{00000000-0005-0000-0000-0000CB010000}"/>
    <cellStyle name="20% - Accent2 3 10" xfId="23408" xr:uid="{00000000-0005-0000-0000-0000CC010000}"/>
    <cellStyle name="20% - Accent2 3 2" xfId="829" xr:uid="{00000000-0005-0000-0000-0000CD010000}"/>
    <cellStyle name="20% - Accent2 3 2 2" xfId="6279" xr:uid="{00000000-0005-0000-0000-0000CE010000}"/>
    <cellStyle name="20% - Accent2 3 2 2 2" xfId="9365" xr:uid="{00000000-0005-0000-0000-0000CF010000}"/>
    <cellStyle name="20% - Accent2 3 2 2 2 2" xfId="15558" xr:uid="{00000000-0005-0000-0000-0000D0010000}"/>
    <cellStyle name="20% - Accent2 3 2 2 2 2 2" xfId="35478" xr:uid="{00000000-0005-0000-0000-0000D1010000}"/>
    <cellStyle name="20% - Accent2 3 2 2 2 3" xfId="21710" xr:uid="{00000000-0005-0000-0000-0000D2010000}"/>
    <cellStyle name="20% - Accent2 3 2 2 2 3 2" xfId="41630" xr:uid="{00000000-0005-0000-0000-0000D3010000}"/>
    <cellStyle name="20% - Accent2 3 2 2 2 4" xfId="29325" xr:uid="{00000000-0005-0000-0000-0000D4010000}"/>
    <cellStyle name="20% - Accent2 3 2 2 3" xfId="12492" xr:uid="{00000000-0005-0000-0000-0000D5010000}"/>
    <cellStyle name="20% - Accent2 3 2 2 3 2" xfId="32412" xr:uid="{00000000-0005-0000-0000-0000D6010000}"/>
    <cellStyle name="20% - Accent2 3 2 2 4" xfId="18644" xr:uid="{00000000-0005-0000-0000-0000D7010000}"/>
    <cellStyle name="20% - Accent2 3 2 2 4 2" xfId="38564" xr:uid="{00000000-0005-0000-0000-0000D8010000}"/>
    <cellStyle name="20% - Accent2 3 2 2 5" xfId="26259" xr:uid="{00000000-0005-0000-0000-0000D9010000}"/>
    <cellStyle name="20% - Accent2 3 2 3" xfId="7830" xr:uid="{00000000-0005-0000-0000-0000DA010000}"/>
    <cellStyle name="20% - Accent2 3 2 3 2" xfId="14024" xr:uid="{00000000-0005-0000-0000-0000DB010000}"/>
    <cellStyle name="20% - Accent2 3 2 3 2 2" xfId="33944" xr:uid="{00000000-0005-0000-0000-0000DC010000}"/>
    <cellStyle name="20% - Accent2 3 2 3 3" xfId="20176" xr:uid="{00000000-0005-0000-0000-0000DD010000}"/>
    <cellStyle name="20% - Accent2 3 2 3 3 2" xfId="40096" xr:uid="{00000000-0005-0000-0000-0000DE010000}"/>
    <cellStyle name="20% - Accent2 3 2 3 4" xfId="27791" xr:uid="{00000000-0005-0000-0000-0000DF010000}"/>
    <cellStyle name="20% - Accent2 3 2 4" xfId="10958" xr:uid="{00000000-0005-0000-0000-0000E0010000}"/>
    <cellStyle name="20% - Accent2 3 2 4 2" xfId="30878" xr:uid="{00000000-0005-0000-0000-0000E1010000}"/>
    <cellStyle name="20% - Accent2 3 2 5" xfId="17110" xr:uid="{00000000-0005-0000-0000-0000E2010000}"/>
    <cellStyle name="20% - Accent2 3 2 5 2" xfId="37030" xr:uid="{00000000-0005-0000-0000-0000E3010000}"/>
    <cellStyle name="20% - Accent2 3 2 6" xfId="4654" xr:uid="{00000000-0005-0000-0000-0000E4010000}"/>
    <cellStyle name="20% - Accent2 3 2 6 2" xfId="24725" xr:uid="{00000000-0005-0000-0000-0000E5010000}"/>
    <cellStyle name="20% - Accent2 3 2 7" xfId="23711" xr:uid="{00000000-0005-0000-0000-0000E6010000}"/>
    <cellStyle name="20% - Accent2 3 3" xfId="5493" xr:uid="{00000000-0005-0000-0000-0000E7010000}"/>
    <cellStyle name="20% - Accent2 3 3 2" xfId="8596" xr:uid="{00000000-0005-0000-0000-0000E8010000}"/>
    <cellStyle name="20% - Accent2 3 3 2 2" xfId="14789" xr:uid="{00000000-0005-0000-0000-0000E9010000}"/>
    <cellStyle name="20% - Accent2 3 3 2 2 2" xfId="34709" xr:uid="{00000000-0005-0000-0000-0000EA010000}"/>
    <cellStyle name="20% - Accent2 3 3 2 3" xfId="20941" xr:uid="{00000000-0005-0000-0000-0000EB010000}"/>
    <cellStyle name="20% - Accent2 3 3 2 3 2" xfId="40861" xr:uid="{00000000-0005-0000-0000-0000EC010000}"/>
    <cellStyle name="20% - Accent2 3 3 2 4" xfId="28556" xr:uid="{00000000-0005-0000-0000-0000ED010000}"/>
    <cellStyle name="20% - Accent2 3 3 3" xfId="11723" xr:uid="{00000000-0005-0000-0000-0000EE010000}"/>
    <cellStyle name="20% - Accent2 3 3 3 2" xfId="31643" xr:uid="{00000000-0005-0000-0000-0000EF010000}"/>
    <cellStyle name="20% - Accent2 3 3 4" xfId="17875" xr:uid="{00000000-0005-0000-0000-0000F0010000}"/>
    <cellStyle name="20% - Accent2 3 3 4 2" xfId="37795" xr:uid="{00000000-0005-0000-0000-0000F1010000}"/>
    <cellStyle name="20% - Accent2 3 3 5" xfId="25490" xr:uid="{00000000-0005-0000-0000-0000F2010000}"/>
    <cellStyle name="20% - Accent2 3 4" xfId="7061" xr:uid="{00000000-0005-0000-0000-0000F3010000}"/>
    <cellStyle name="20% - Accent2 3 4 2" xfId="13255" xr:uid="{00000000-0005-0000-0000-0000F4010000}"/>
    <cellStyle name="20% - Accent2 3 4 2 2" xfId="33175" xr:uid="{00000000-0005-0000-0000-0000F5010000}"/>
    <cellStyle name="20% - Accent2 3 4 3" xfId="19407" xr:uid="{00000000-0005-0000-0000-0000F6010000}"/>
    <cellStyle name="20% - Accent2 3 4 3 2" xfId="39327" xr:uid="{00000000-0005-0000-0000-0000F7010000}"/>
    <cellStyle name="20% - Accent2 3 4 4" xfId="27022" xr:uid="{00000000-0005-0000-0000-0000F8010000}"/>
    <cellStyle name="20% - Accent2 3 5" xfId="10189" xr:uid="{00000000-0005-0000-0000-0000F9010000}"/>
    <cellStyle name="20% - Accent2 3 5 2" xfId="30109" xr:uid="{00000000-0005-0000-0000-0000FA010000}"/>
    <cellStyle name="20% - Accent2 3 6" xfId="16341" xr:uid="{00000000-0005-0000-0000-0000FB010000}"/>
    <cellStyle name="20% - Accent2 3 6 2" xfId="36261" xr:uid="{00000000-0005-0000-0000-0000FC010000}"/>
    <cellStyle name="20% - Accent2 3 7" xfId="1214" xr:uid="{00000000-0005-0000-0000-0000FD010000}"/>
    <cellStyle name="20% - Accent2 3 7 2" xfId="23956" xr:uid="{00000000-0005-0000-0000-0000FE010000}"/>
    <cellStyle name="20% - Accent2 3 8" xfId="22794" xr:uid="{00000000-0005-0000-0000-0000FF010000}"/>
    <cellStyle name="20% - Accent2 3 8 2" xfId="42705" xr:uid="{00000000-0005-0000-0000-000000020000}"/>
    <cellStyle name="20% - Accent2 3 9" xfId="23097" xr:uid="{00000000-0005-0000-0000-000001020000}"/>
    <cellStyle name="20% - Accent2 3 9 2" xfId="43008" xr:uid="{00000000-0005-0000-0000-000002020000}"/>
    <cellStyle name="20% - Accent2 4" xfId="428" xr:uid="{00000000-0005-0000-0000-000003020000}"/>
    <cellStyle name="20% - Accent2 4 10" xfId="23424" xr:uid="{00000000-0005-0000-0000-000004020000}"/>
    <cellStyle name="20% - Accent2 4 2" xfId="845" xr:uid="{00000000-0005-0000-0000-000005020000}"/>
    <cellStyle name="20% - Accent2 4 2 2" xfId="6280" xr:uid="{00000000-0005-0000-0000-000006020000}"/>
    <cellStyle name="20% - Accent2 4 2 2 2" xfId="9366" xr:uid="{00000000-0005-0000-0000-000007020000}"/>
    <cellStyle name="20% - Accent2 4 2 2 2 2" xfId="15559" xr:uid="{00000000-0005-0000-0000-000008020000}"/>
    <cellStyle name="20% - Accent2 4 2 2 2 2 2" xfId="35479" xr:uid="{00000000-0005-0000-0000-000009020000}"/>
    <cellStyle name="20% - Accent2 4 2 2 2 3" xfId="21711" xr:uid="{00000000-0005-0000-0000-00000A020000}"/>
    <cellStyle name="20% - Accent2 4 2 2 2 3 2" xfId="41631" xr:uid="{00000000-0005-0000-0000-00000B020000}"/>
    <cellStyle name="20% - Accent2 4 2 2 2 4" xfId="29326" xr:uid="{00000000-0005-0000-0000-00000C020000}"/>
    <cellStyle name="20% - Accent2 4 2 2 3" xfId="12493" xr:uid="{00000000-0005-0000-0000-00000D020000}"/>
    <cellStyle name="20% - Accent2 4 2 2 3 2" xfId="32413" xr:uid="{00000000-0005-0000-0000-00000E020000}"/>
    <cellStyle name="20% - Accent2 4 2 2 4" xfId="18645" xr:uid="{00000000-0005-0000-0000-00000F020000}"/>
    <cellStyle name="20% - Accent2 4 2 2 4 2" xfId="38565" xr:uid="{00000000-0005-0000-0000-000010020000}"/>
    <cellStyle name="20% - Accent2 4 2 2 5" xfId="26260" xr:uid="{00000000-0005-0000-0000-000011020000}"/>
    <cellStyle name="20% - Accent2 4 2 3" xfId="7831" xr:uid="{00000000-0005-0000-0000-000012020000}"/>
    <cellStyle name="20% - Accent2 4 2 3 2" xfId="14025" xr:uid="{00000000-0005-0000-0000-000013020000}"/>
    <cellStyle name="20% - Accent2 4 2 3 2 2" xfId="33945" xr:uid="{00000000-0005-0000-0000-000014020000}"/>
    <cellStyle name="20% - Accent2 4 2 3 3" xfId="20177" xr:uid="{00000000-0005-0000-0000-000015020000}"/>
    <cellStyle name="20% - Accent2 4 2 3 3 2" xfId="40097" xr:uid="{00000000-0005-0000-0000-000016020000}"/>
    <cellStyle name="20% - Accent2 4 2 3 4" xfId="27792" xr:uid="{00000000-0005-0000-0000-000017020000}"/>
    <cellStyle name="20% - Accent2 4 2 4" xfId="10959" xr:uid="{00000000-0005-0000-0000-000018020000}"/>
    <cellStyle name="20% - Accent2 4 2 4 2" xfId="30879" xr:uid="{00000000-0005-0000-0000-000019020000}"/>
    <cellStyle name="20% - Accent2 4 2 5" xfId="17111" xr:uid="{00000000-0005-0000-0000-00001A020000}"/>
    <cellStyle name="20% - Accent2 4 2 5 2" xfId="37031" xr:uid="{00000000-0005-0000-0000-00001B020000}"/>
    <cellStyle name="20% - Accent2 4 2 6" xfId="4655" xr:uid="{00000000-0005-0000-0000-00001C020000}"/>
    <cellStyle name="20% - Accent2 4 2 6 2" xfId="24726" xr:uid="{00000000-0005-0000-0000-00001D020000}"/>
    <cellStyle name="20% - Accent2 4 2 7" xfId="23727" xr:uid="{00000000-0005-0000-0000-00001E020000}"/>
    <cellStyle name="20% - Accent2 4 3" xfId="5494" xr:uid="{00000000-0005-0000-0000-00001F020000}"/>
    <cellStyle name="20% - Accent2 4 3 2" xfId="8597" xr:uid="{00000000-0005-0000-0000-000020020000}"/>
    <cellStyle name="20% - Accent2 4 3 2 2" xfId="14790" xr:uid="{00000000-0005-0000-0000-000021020000}"/>
    <cellStyle name="20% - Accent2 4 3 2 2 2" xfId="34710" xr:uid="{00000000-0005-0000-0000-000022020000}"/>
    <cellStyle name="20% - Accent2 4 3 2 3" xfId="20942" xr:uid="{00000000-0005-0000-0000-000023020000}"/>
    <cellStyle name="20% - Accent2 4 3 2 3 2" xfId="40862" xr:uid="{00000000-0005-0000-0000-000024020000}"/>
    <cellStyle name="20% - Accent2 4 3 2 4" xfId="28557" xr:uid="{00000000-0005-0000-0000-000025020000}"/>
    <cellStyle name="20% - Accent2 4 3 3" xfId="11724" xr:uid="{00000000-0005-0000-0000-000026020000}"/>
    <cellStyle name="20% - Accent2 4 3 3 2" xfId="31644" xr:uid="{00000000-0005-0000-0000-000027020000}"/>
    <cellStyle name="20% - Accent2 4 3 4" xfId="17876" xr:uid="{00000000-0005-0000-0000-000028020000}"/>
    <cellStyle name="20% - Accent2 4 3 4 2" xfId="37796" xr:uid="{00000000-0005-0000-0000-000029020000}"/>
    <cellStyle name="20% - Accent2 4 3 5" xfId="25491" xr:uid="{00000000-0005-0000-0000-00002A020000}"/>
    <cellStyle name="20% - Accent2 4 4" xfId="7062" xr:uid="{00000000-0005-0000-0000-00002B020000}"/>
    <cellStyle name="20% - Accent2 4 4 2" xfId="13256" xr:uid="{00000000-0005-0000-0000-00002C020000}"/>
    <cellStyle name="20% - Accent2 4 4 2 2" xfId="33176" xr:uid="{00000000-0005-0000-0000-00002D020000}"/>
    <cellStyle name="20% - Accent2 4 4 3" xfId="19408" xr:uid="{00000000-0005-0000-0000-00002E020000}"/>
    <cellStyle name="20% - Accent2 4 4 3 2" xfId="39328" xr:uid="{00000000-0005-0000-0000-00002F020000}"/>
    <cellStyle name="20% - Accent2 4 4 4" xfId="27023" xr:uid="{00000000-0005-0000-0000-000030020000}"/>
    <cellStyle name="20% - Accent2 4 5" xfId="10190" xr:uid="{00000000-0005-0000-0000-000031020000}"/>
    <cellStyle name="20% - Accent2 4 5 2" xfId="30110" xr:uid="{00000000-0005-0000-0000-000032020000}"/>
    <cellStyle name="20% - Accent2 4 6" xfId="16342" xr:uid="{00000000-0005-0000-0000-000033020000}"/>
    <cellStyle name="20% - Accent2 4 6 2" xfId="36262" xr:uid="{00000000-0005-0000-0000-000034020000}"/>
    <cellStyle name="20% - Accent2 4 7" xfId="1215" xr:uid="{00000000-0005-0000-0000-000035020000}"/>
    <cellStyle name="20% - Accent2 4 7 2" xfId="23957" xr:uid="{00000000-0005-0000-0000-000036020000}"/>
    <cellStyle name="20% - Accent2 4 8" xfId="22810" xr:uid="{00000000-0005-0000-0000-000037020000}"/>
    <cellStyle name="20% - Accent2 4 8 2" xfId="42721" xr:uid="{00000000-0005-0000-0000-000038020000}"/>
    <cellStyle name="20% - Accent2 4 9" xfId="23113" xr:uid="{00000000-0005-0000-0000-000039020000}"/>
    <cellStyle name="20% - Accent2 4 9 2" xfId="43024" xr:uid="{00000000-0005-0000-0000-00003A020000}"/>
    <cellStyle name="20% - Accent2 5" xfId="455" xr:uid="{00000000-0005-0000-0000-00003B020000}"/>
    <cellStyle name="20% - Accent2 5 10" xfId="23129" xr:uid="{00000000-0005-0000-0000-00003C020000}"/>
    <cellStyle name="20% - Accent2 5 10 2" xfId="43040" xr:uid="{00000000-0005-0000-0000-00003D020000}"/>
    <cellStyle name="20% - Accent2 5 11" xfId="23440" xr:uid="{00000000-0005-0000-0000-00003E020000}"/>
    <cellStyle name="20% - Accent2 5 2" xfId="861" xr:uid="{00000000-0005-0000-0000-00003F020000}"/>
    <cellStyle name="20% - Accent2 5 2 2" xfId="6281" xr:uid="{00000000-0005-0000-0000-000040020000}"/>
    <cellStyle name="20% - Accent2 5 2 2 2" xfId="9367" xr:uid="{00000000-0005-0000-0000-000041020000}"/>
    <cellStyle name="20% - Accent2 5 2 2 2 2" xfId="15560" xr:uid="{00000000-0005-0000-0000-000042020000}"/>
    <cellStyle name="20% - Accent2 5 2 2 2 2 2" xfId="35480" xr:uid="{00000000-0005-0000-0000-000043020000}"/>
    <cellStyle name="20% - Accent2 5 2 2 2 3" xfId="21712" xr:uid="{00000000-0005-0000-0000-000044020000}"/>
    <cellStyle name="20% - Accent2 5 2 2 2 3 2" xfId="41632" xr:uid="{00000000-0005-0000-0000-000045020000}"/>
    <cellStyle name="20% - Accent2 5 2 2 2 4" xfId="29327" xr:uid="{00000000-0005-0000-0000-000046020000}"/>
    <cellStyle name="20% - Accent2 5 2 2 3" xfId="12494" xr:uid="{00000000-0005-0000-0000-000047020000}"/>
    <cellStyle name="20% - Accent2 5 2 2 3 2" xfId="32414" xr:uid="{00000000-0005-0000-0000-000048020000}"/>
    <cellStyle name="20% - Accent2 5 2 2 4" xfId="18646" xr:uid="{00000000-0005-0000-0000-000049020000}"/>
    <cellStyle name="20% - Accent2 5 2 2 4 2" xfId="38566" xr:uid="{00000000-0005-0000-0000-00004A020000}"/>
    <cellStyle name="20% - Accent2 5 2 2 5" xfId="26261" xr:uid="{00000000-0005-0000-0000-00004B020000}"/>
    <cellStyle name="20% - Accent2 5 2 3" xfId="7832" xr:uid="{00000000-0005-0000-0000-00004C020000}"/>
    <cellStyle name="20% - Accent2 5 2 3 2" xfId="14026" xr:uid="{00000000-0005-0000-0000-00004D020000}"/>
    <cellStyle name="20% - Accent2 5 2 3 2 2" xfId="33946" xr:uid="{00000000-0005-0000-0000-00004E020000}"/>
    <cellStyle name="20% - Accent2 5 2 3 3" xfId="20178" xr:uid="{00000000-0005-0000-0000-00004F020000}"/>
    <cellStyle name="20% - Accent2 5 2 3 3 2" xfId="40098" xr:uid="{00000000-0005-0000-0000-000050020000}"/>
    <cellStyle name="20% - Accent2 5 2 3 4" xfId="27793" xr:uid="{00000000-0005-0000-0000-000051020000}"/>
    <cellStyle name="20% - Accent2 5 2 4" xfId="10960" xr:uid="{00000000-0005-0000-0000-000052020000}"/>
    <cellStyle name="20% - Accent2 5 2 4 2" xfId="30880" xr:uid="{00000000-0005-0000-0000-000053020000}"/>
    <cellStyle name="20% - Accent2 5 2 5" xfId="17112" xr:uid="{00000000-0005-0000-0000-000054020000}"/>
    <cellStyle name="20% - Accent2 5 2 5 2" xfId="37032" xr:uid="{00000000-0005-0000-0000-000055020000}"/>
    <cellStyle name="20% - Accent2 5 2 6" xfId="4656" xr:uid="{00000000-0005-0000-0000-000056020000}"/>
    <cellStyle name="20% - Accent2 5 2 6 2" xfId="24727" xr:uid="{00000000-0005-0000-0000-000057020000}"/>
    <cellStyle name="20% - Accent2 5 2 7" xfId="23743" xr:uid="{00000000-0005-0000-0000-000058020000}"/>
    <cellStyle name="20% - Accent2 5 3" xfId="5495" xr:uid="{00000000-0005-0000-0000-000059020000}"/>
    <cellStyle name="20% - Accent2 5 3 2" xfId="8598" xr:uid="{00000000-0005-0000-0000-00005A020000}"/>
    <cellStyle name="20% - Accent2 5 3 2 2" xfId="14791" xr:uid="{00000000-0005-0000-0000-00005B020000}"/>
    <cellStyle name="20% - Accent2 5 3 2 2 2" xfId="34711" xr:uid="{00000000-0005-0000-0000-00005C020000}"/>
    <cellStyle name="20% - Accent2 5 3 2 3" xfId="20943" xr:uid="{00000000-0005-0000-0000-00005D020000}"/>
    <cellStyle name="20% - Accent2 5 3 2 3 2" xfId="40863" xr:uid="{00000000-0005-0000-0000-00005E020000}"/>
    <cellStyle name="20% - Accent2 5 3 2 4" xfId="28558" xr:uid="{00000000-0005-0000-0000-00005F020000}"/>
    <cellStyle name="20% - Accent2 5 3 3" xfId="11725" xr:uid="{00000000-0005-0000-0000-000060020000}"/>
    <cellStyle name="20% - Accent2 5 3 3 2" xfId="31645" xr:uid="{00000000-0005-0000-0000-000061020000}"/>
    <cellStyle name="20% - Accent2 5 3 4" xfId="17877" xr:uid="{00000000-0005-0000-0000-000062020000}"/>
    <cellStyle name="20% - Accent2 5 3 4 2" xfId="37797" xr:uid="{00000000-0005-0000-0000-000063020000}"/>
    <cellStyle name="20% - Accent2 5 3 5" xfId="25492" xr:uid="{00000000-0005-0000-0000-000064020000}"/>
    <cellStyle name="20% - Accent2 5 4" xfId="7063" xr:uid="{00000000-0005-0000-0000-000065020000}"/>
    <cellStyle name="20% - Accent2 5 4 2" xfId="13257" xr:uid="{00000000-0005-0000-0000-000066020000}"/>
    <cellStyle name="20% - Accent2 5 4 2 2" xfId="33177" xr:uid="{00000000-0005-0000-0000-000067020000}"/>
    <cellStyle name="20% - Accent2 5 4 3" xfId="19409" xr:uid="{00000000-0005-0000-0000-000068020000}"/>
    <cellStyle name="20% - Accent2 5 4 3 2" xfId="39329" xr:uid="{00000000-0005-0000-0000-000069020000}"/>
    <cellStyle name="20% - Accent2 5 4 4" xfId="27024" xr:uid="{00000000-0005-0000-0000-00006A020000}"/>
    <cellStyle name="20% - Accent2 5 5" xfId="10191" xr:uid="{00000000-0005-0000-0000-00006B020000}"/>
    <cellStyle name="20% - Accent2 5 5 2" xfId="30111" xr:uid="{00000000-0005-0000-0000-00006C020000}"/>
    <cellStyle name="20% - Accent2 5 6" xfId="16343" xr:uid="{00000000-0005-0000-0000-00006D020000}"/>
    <cellStyle name="20% - Accent2 5 6 2" xfId="36263" xr:uid="{00000000-0005-0000-0000-00006E020000}"/>
    <cellStyle name="20% - Accent2 5 7" xfId="1216" xr:uid="{00000000-0005-0000-0000-00006F020000}"/>
    <cellStyle name="20% - Accent2 5 7 2" xfId="23958" xr:uid="{00000000-0005-0000-0000-000070020000}"/>
    <cellStyle name="20% - Accent2 5 8" xfId="22570" xr:uid="{00000000-0005-0000-0000-000071020000}"/>
    <cellStyle name="20% - Accent2 5 8 2" xfId="42481" xr:uid="{00000000-0005-0000-0000-000072020000}"/>
    <cellStyle name="20% - Accent2 5 9" xfId="22826" xr:uid="{00000000-0005-0000-0000-000073020000}"/>
    <cellStyle name="20% - Accent2 5 9 2" xfId="42737" xr:uid="{00000000-0005-0000-0000-000074020000}"/>
    <cellStyle name="20% - Accent2 6" xfId="482" xr:uid="{00000000-0005-0000-0000-000075020000}"/>
    <cellStyle name="20% - Accent2 6 2" xfId="877" xr:uid="{00000000-0005-0000-0000-000076020000}"/>
    <cellStyle name="20% - Accent2 6 2 2" xfId="23759" xr:uid="{00000000-0005-0000-0000-000077020000}"/>
    <cellStyle name="20% - Accent2 6 3" xfId="1217" xr:uid="{00000000-0005-0000-0000-000078020000}"/>
    <cellStyle name="20% - Accent2 6 4" xfId="22662" xr:uid="{00000000-0005-0000-0000-000079020000}"/>
    <cellStyle name="20% - Accent2 6 4 2" xfId="42573" xr:uid="{00000000-0005-0000-0000-00007A020000}"/>
    <cellStyle name="20% - Accent2 6 5" xfId="22842" xr:uid="{00000000-0005-0000-0000-00007B020000}"/>
    <cellStyle name="20% - Accent2 6 5 2" xfId="42753" xr:uid="{00000000-0005-0000-0000-00007C020000}"/>
    <cellStyle name="20% - Accent2 6 6" xfId="23145" xr:uid="{00000000-0005-0000-0000-00007D020000}"/>
    <cellStyle name="20% - Accent2 6 6 2" xfId="43056" xr:uid="{00000000-0005-0000-0000-00007E020000}"/>
    <cellStyle name="20% - Accent2 6 7" xfId="23456" xr:uid="{00000000-0005-0000-0000-00007F020000}"/>
    <cellStyle name="20% - Accent2 7" xfId="506" xr:uid="{00000000-0005-0000-0000-000080020000}"/>
    <cellStyle name="20% - Accent2 7 2" xfId="893" xr:uid="{00000000-0005-0000-0000-000081020000}"/>
    <cellStyle name="20% - Accent2 7 2 2" xfId="23775" xr:uid="{00000000-0005-0000-0000-000082020000}"/>
    <cellStyle name="20% - Accent2 7 3" xfId="22659" xr:uid="{00000000-0005-0000-0000-000083020000}"/>
    <cellStyle name="20% - Accent2 7 3 2" xfId="42570" xr:uid="{00000000-0005-0000-0000-000084020000}"/>
    <cellStyle name="20% - Accent2 7 4" xfId="22858" xr:uid="{00000000-0005-0000-0000-000085020000}"/>
    <cellStyle name="20% - Accent2 7 4 2" xfId="42769" xr:uid="{00000000-0005-0000-0000-000086020000}"/>
    <cellStyle name="20% - Accent2 7 5" xfId="23161" xr:uid="{00000000-0005-0000-0000-000087020000}"/>
    <cellStyle name="20% - Accent2 7 5 2" xfId="43072" xr:uid="{00000000-0005-0000-0000-000088020000}"/>
    <cellStyle name="20% - Accent2 7 6" xfId="23472" xr:uid="{00000000-0005-0000-0000-000089020000}"/>
    <cellStyle name="20% - Accent2 8" xfId="530" xr:uid="{00000000-0005-0000-0000-00008A020000}"/>
    <cellStyle name="20% - Accent2 8 2" xfId="909" xr:uid="{00000000-0005-0000-0000-00008B020000}"/>
    <cellStyle name="20% - Accent2 8 2 2" xfId="23791" xr:uid="{00000000-0005-0000-0000-00008C020000}"/>
    <cellStyle name="20% - Accent2 8 3" xfId="22604" xr:uid="{00000000-0005-0000-0000-00008D020000}"/>
    <cellStyle name="20% - Accent2 8 3 2" xfId="42515" xr:uid="{00000000-0005-0000-0000-00008E020000}"/>
    <cellStyle name="20% - Accent2 8 4" xfId="22874" xr:uid="{00000000-0005-0000-0000-00008F020000}"/>
    <cellStyle name="20% - Accent2 8 4 2" xfId="42785" xr:uid="{00000000-0005-0000-0000-000090020000}"/>
    <cellStyle name="20% - Accent2 8 5" xfId="23177" xr:uid="{00000000-0005-0000-0000-000091020000}"/>
    <cellStyle name="20% - Accent2 8 5 2" xfId="43088" xr:uid="{00000000-0005-0000-0000-000092020000}"/>
    <cellStyle name="20% - Accent2 8 6" xfId="23488" xr:uid="{00000000-0005-0000-0000-000093020000}"/>
    <cellStyle name="20% - Accent2 9" xfId="569" xr:uid="{00000000-0005-0000-0000-000094020000}"/>
    <cellStyle name="20% - Accent2 9 2" xfId="925" xr:uid="{00000000-0005-0000-0000-000095020000}"/>
    <cellStyle name="20% - Accent2 9 2 2" xfId="23807" xr:uid="{00000000-0005-0000-0000-000096020000}"/>
    <cellStyle name="20% - Accent2 9 3" xfId="22559" xr:uid="{00000000-0005-0000-0000-000097020000}"/>
    <cellStyle name="20% - Accent2 9 3 2" xfId="42470" xr:uid="{00000000-0005-0000-0000-000098020000}"/>
    <cellStyle name="20% - Accent2 9 4" xfId="22890" xr:uid="{00000000-0005-0000-0000-000099020000}"/>
    <cellStyle name="20% - Accent2 9 4 2" xfId="42801" xr:uid="{00000000-0005-0000-0000-00009A020000}"/>
    <cellStyle name="20% - Accent2 9 5" xfId="23193" xr:uid="{00000000-0005-0000-0000-00009B020000}"/>
    <cellStyle name="20% - Accent2 9 5 2" xfId="43104" xr:uid="{00000000-0005-0000-0000-00009C020000}"/>
    <cellStyle name="20% - Accent2 9 6" xfId="23504" xr:uid="{00000000-0005-0000-0000-00009D020000}"/>
    <cellStyle name="20% - Accent3" xfId="70" builtinId="38" customBuiltin="1"/>
    <cellStyle name="20% - Accent3 10" xfId="601" xr:uid="{00000000-0005-0000-0000-00009F020000}"/>
    <cellStyle name="20% - Accent3 10 2" xfId="943" xr:uid="{00000000-0005-0000-0000-0000A0020000}"/>
    <cellStyle name="20% - Accent3 10 2 2" xfId="23825" xr:uid="{00000000-0005-0000-0000-0000A1020000}"/>
    <cellStyle name="20% - Accent3 10 3" xfId="22584" xr:uid="{00000000-0005-0000-0000-0000A2020000}"/>
    <cellStyle name="20% - Accent3 10 3 2" xfId="42495" xr:uid="{00000000-0005-0000-0000-0000A3020000}"/>
    <cellStyle name="20% - Accent3 10 4" xfId="22908" xr:uid="{00000000-0005-0000-0000-0000A4020000}"/>
    <cellStyle name="20% - Accent3 10 4 2" xfId="42819" xr:uid="{00000000-0005-0000-0000-0000A5020000}"/>
    <cellStyle name="20% - Accent3 10 5" xfId="23211" xr:uid="{00000000-0005-0000-0000-0000A6020000}"/>
    <cellStyle name="20% - Accent3 10 5 2" xfId="43122" xr:uid="{00000000-0005-0000-0000-0000A7020000}"/>
    <cellStyle name="20% - Accent3 10 6" xfId="23522" xr:uid="{00000000-0005-0000-0000-0000A8020000}"/>
    <cellStyle name="20% - Accent3 11" xfId="628" xr:uid="{00000000-0005-0000-0000-0000A9020000}"/>
    <cellStyle name="20% - Accent3 11 2" xfId="959" xr:uid="{00000000-0005-0000-0000-0000AA020000}"/>
    <cellStyle name="20% - Accent3 11 2 2" xfId="23841" xr:uid="{00000000-0005-0000-0000-0000AB020000}"/>
    <cellStyle name="20% - Accent3 11 3" xfId="22660" xr:uid="{00000000-0005-0000-0000-0000AC020000}"/>
    <cellStyle name="20% - Accent3 11 3 2" xfId="42571" xr:uid="{00000000-0005-0000-0000-0000AD020000}"/>
    <cellStyle name="20% - Accent3 11 4" xfId="22924" xr:uid="{00000000-0005-0000-0000-0000AE020000}"/>
    <cellStyle name="20% - Accent3 11 4 2" xfId="42835" xr:uid="{00000000-0005-0000-0000-0000AF020000}"/>
    <cellStyle name="20% - Accent3 11 5" xfId="23227" xr:uid="{00000000-0005-0000-0000-0000B0020000}"/>
    <cellStyle name="20% - Accent3 11 5 2" xfId="43138" xr:uid="{00000000-0005-0000-0000-0000B1020000}"/>
    <cellStyle name="20% - Accent3 11 6" xfId="23538" xr:uid="{00000000-0005-0000-0000-0000B2020000}"/>
    <cellStyle name="20% - Accent3 12" xfId="654" xr:uid="{00000000-0005-0000-0000-0000B3020000}"/>
    <cellStyle name="20% - Accent3 12 2" xfId="975" xr:uid="{00000000-0005-0000-0000-0000B4020000}"/>
    <cellStyle name="20% - Accent3 12 2 2" xfId="23857" xr:uid="{00000000-0005-0000-0000-0000B5020000}"/>
    <cellStyle name="20% - Accent3 12 3" xfId="22676" xr:uid="{00000000-0005-0000-0000-0000B6020000}"/>
    <cellStyle name="20% - Accent3 12 3 2" xfId="42587" xr:uid="{00000000-0005-0000-0000-0000B7020000}"/>
    <cellStyle name="20% - Accent3 12 4" xfId="22940" xr:uid="{00000000-0005-0000-0000-0000B8020000}"/>
    <cellStyle name="20% - Accent3 12 4 2" xfId="42851" xr:uid="{00000000-0005-0000-0000-0000B9020000}"/>
    <cellStyle name="20% - Accent3 12 5" xfId="23243" xr:uid="{00000000-0005-0000-0000-0000BA020000}"/>
    <cellStyle name="20% - Accent3 12 5 2" xfId="43154" xr:uid="{00000000-0005-0000-0000-0000BB020000}"/>
    <cellStyle name="20% - Accent3 12 6" xfId="23554" xr:uid="{00000000-0005-0000-0000-0000BC020000}"/>
    <cellStyle name="20% - Accent3 13" xfId="678" xr:uid="{00000000-0005-0000-0000-0000BD020000}"/>
    <cellStyle name="20% - Accent3 13 2" xfId="991" xr:uid="{00000000-0005-0000-0000-0000BE020000}"/>
    <cellStyle name="20% - Accent3 13 2 2" xfId="23873" xr:uid="{00000000-0005-0000-0000-0000BF020000}"/>
    <cellStyle name="20% - Accent3 13 3" xfId="22636" xr:uid="{00000000-0005-0000-0000-0000C0020000}"/>
    <cellStyle name="20% - Accent3 13 3 2" xfId="42547" xr:uid="{00000000-0005-0000-0000-0000C1020000}"/>
    <cellStyle name="20% - Accent3 13 4" xfId="22956" xr:uid="{00000000-0005-0000-0000-0000C2020000}"/>
    <cellStyle name="20% - Accent3 13 4 2" xfId="42867" xr:uid="{00000000-0005-0000-0000-0000C3020000}"/>
    <cellStyle name="20% - Accent3 13 5" xfId="23259" xr:uid="{00000000-0005-0000-0000-0000C4020000}"/>
    <cellStyle name="20% - Accent3 13 5 2" xfId="43170" xr:uid="{00000000-0005-0000-0000-0000C5020000}"/>
    <cellStyle name="20% - Accent3 13 6" xfId="23570" xr:uid="{00000000-0005-0000-0000-0000C6020000}"/>
    <cellStyle name="20% - Accent3 14" xfId="699" xr:uid="{00000000-0005-0000-0000-0000C7020000}"/>
    <cellStyle name="20% - Accent3 14 2" xfId="1007" xr:uid="{00000000-0005-0000-0000-0000C8020000}"/>
    <cellStyle name="20% - Accent3 14 2 2" xfId="23889" xr:uid="{00000000-0005-0000-0000-0000C9020000}"/>
    <cellStyle name="20% - Accent3 14 3" xfId="22512" xr:uid="{00000000-0005-0000-0000-0000CA020000}"/>
    <cellStyle name="20% - Accent3 14 3 2" xfId="42423" xr:uid="{00000000-0005-0000-0000-0000CB020000}"/>
    <cellStyle name="20% - Accent3 14 4" xfId="22972" xr:uid="{00000000-0005-0000-0000-0000CC020000}"/>
    <cellStyle name="20% - Accent3 14 4 2" xfId="42883" xr:uid="{00000000-0005-0000-0000-0000CD020000}"/>
    <cellStyle name="20% - Accent3 14 5" xfId="23275" xr:uid="{00000000-0005-0000-0000-0000CE020000}"/>
    <cellStyle name="20% - Accent3 14 5 2" xfId="43186" xr:uid="{00000000-0005-0000-0000-0000CF020000}"/>
    <cellStyle name="20% - Accent3 14 6" xfId="23586" xr:uid="{00000000-0005-0000-0000-0000D0020000}"/>
    <cellStyle name="20% - Accent3 15" xfId="715" xr:uid="{00000000-0005-0000-0000-0000D1020000}"/>
    <cellStyle name="20% - Accent3 15 2" xfId="1023" xr:uid="{00000000-0005-0000-0000-0000D2020000}"/>
    <cellStyle name="20% - Accent3 15 2 2" xfId="23905" xr:uid="{00000000-0005-0000-0000-0000D3020000}"/>
    <cellStyle name="20% - Accent3 15 3" xfId="22679" xr:uid="{00000000-0005-0000-0000-0000D4020000}"/>
    <cellStyle name="20% - Accent3 15 3 2" xfId="42590" xr:uid="{00000000-0005-0000-0000-0000D5020000}"/>
    <cellStyle name="20% - Accent3 15 4" xfId="22988" xr:uid="{00000000-0005-0000-0000-0000D6020000}"/>
    <cellStyle name="20% - Accent3 15 4 2" xfId="42899" xr:uid="{00000000-0005-0000-0000-0000D7020000}"/>
    <cellStyle name="20% - Accent3 15 5" xfId="23291" xr:uid="{00000000-0005-0000-0000-0000D8020000}"/>
    <cellStyle name="20% - Accent3 15 5 2" xfId="43202" xr:uid="{00000000-0005-0000-0000-0000D9020000}"/>
    <cellStyle name="20% - Accent3 15 6" xfId="23602" xr:uid="{00000000-0005-0000-0000-0000DA020000}"/>
    <cellStyle name="20% - Accent3 16" xfId="739" xr:uid="{00000000-0005-0000-0000-0000DB020000}"/>
    <cellStyle name="20% - Accent3 16 2" xfId="23621" xr:uid="{00000000-0005-0000-0000-0000DC020000}"/>
    <cellStyle name="20% - Accent3 17" xfId="22704" xr:uid="{00000000-0005-0000-0000-0000DD020000}"/>
    <cellStyle name="20% - Accent3 17 2" xfId="42615" xr:uid="{00000000-0005-0000-0000-0000DE020000}"/>
    <cellStyle name="20% - Accent3 18" xfId="23007" xr:uid="{00000000-0005-0000-0000-0000DF020000}"/>
    <cellStyle name="20% - Accent3 18 2" xfId="42918" xr:uid="{00000000-0005-0000-0000-0000E0020000}"/>
    <cellStyle name="20% - Accent3 19" xfId="23311" xr:uid="{00000000-0005-0000-0000-0000E1020000}"/>
    <cellStyle name="20% - Accent3 2" xfId="374" xr:uid="{00000000-0005-0000-0000-0000E2020000}"/>
    <cellStyle name="20% - Accent3 2 10" xfId="23394" xr:uid="{00000000-0005-0000-0000-0000E3020000}"/>
    <cellStyle name="20% - Accent3 2 2" xfId="815" xr:uid="{00000000-0005-0000-0000-0000E4020000}"/>
    <cellStyle name="20% - Accent3 2 2 2" xfId="6282" xr:uid="{00000000-0005-0000-0000-0000E5020000}"/>
    <cellStyle name="20% - Accent3 2 2 2 2" xfId="9368" xr:uid="{00000000-0005-0000-0000-0000E6020000}"/>
    <cellStyle name="20% - Accent3 2 2 2 2 2" xfId="15561" xr:uid="{00000000-0005-0000-0000-0000E7020000}"/>
    <cellStyle name="20% - Accent3 2 2 2 2 2 2" xfId="35481" xr:uid="{00000000-0005-0000-0000-0000E8020000}"/>
    <cellStyle name="20% - Accent3 2 2 2 2 3" xfId="21713" xr:uid="{00000000-0005-0000-0000-0000E9020000}"/>
    <cellStyle name="20% - Accent3 2 2 2 2 3 2" xfId="41633" xr:uid="{00000000-0005-0000-0000-0000EA020000}"/>
    <cellStyle name="20% - Accent3 2 2 2 2 4" xfId="29328" xr:uid="{00000000-0005-0000-0000-0000EB020000}"/>
    <cellStyle name="20% - Accent3 2 2 2 3" xfId="12495" xr:uid="{00000000-0005-0000-0000-0000EC020000}"/>
    <cellStyle name="20% - Accent3 2 2 2 3 2" xfId="32415" xr:uid="{00000000-0005-0000-0000-0000ED020000}"/>
    <cellStyle name="20% - Accent3 2 2 2 4" xfId="18647" xr:uid="{00000000-0005-0000-0000-0000EE020000}"/>
    <cellStyle name="20% - Accent3 2 2 2 4 2" xfId="38567" xr:uid="{00000000-0005-0000-0000-0000EF020000}"/>
    <cellStyle name="20% - Accent3 2 2 2 5" xfId="26262" xr:uid="{00000000-0005-0000-0000-0000F0020000}"/>
    <cellStyle name="20% - Accent3 2 2 3" xfId="7833" xr:uid="{00000000-0005-0000-0000-0000F1020000}"/>
    <cellStyle name="20% - Accent3 2 2 3 2" xfId="14027" xr:uid="{00000000-0005-0000-0000-0000F2020000}"/>
    <cellStyle name="20% - Accent3 2 2 3 2 2" xfId="33947" xr:uid="{00000000-0005-0000-0000-0000F3020000}"/>
    <cellStyle name="20% - Accent3 2 2 3 3" xfId="20179" xr:uid="{00000000-0005-0000-0000-0000F4020000}"/>
    <cellStyle name="20% - Accent3 2 2 3 3 2" xfId="40099" xr:uid="{00000000-0005-0000-0000-0000F5020000}"/>
    <cellStyle name="20% - Accent3 2 2 3 4" xfId="27794" xr:uid="{00000000-0005-0000-0000-0000F6020000}"/>
    <cellStyle name="20% - Accent3 2 2 4" xfId="10961" xr:uid="{00000000-0005-0000-0000-0000F7020000}"/>
    <cellStyle name="20% - Accent3 2 2 4 2" xfId="30881" xr:uid="{00000000-0005-0000-0000-0000F8020000}"/>
    <cellStyle name="20% - Accent3 2 2 5" xfId="17113" xr:uid="{00000000-0005-0000-0000-0000F9020000}"/>
    <cellStyle name="20% - Accent3 2 2 5 2" xfId="37033" xr:uid="{00000000-0005-0000-0000-0000FA020000}"/>
    <cellStyle name="20% - Accent3 2 2 6" xfId="4657" xr:uid="{00000000-0005-0000-0000-0000FB020000}"/>
    <cellStyle name="20% - Accent3 2 2 6 2" xfId="24728" xr:uid="{00000000-0005-0000-0000-0000FC020000}"/>
    <cellStyle name="20% - Accent3 2 2 7" xfId="23697" xr:uid="{00000000-0005-0000-0000-0000FD020000}"/>
    <cellStyle name="20% - Accent3 2 3" xfId="5496" xr:uid="{00000000-0005-0000-0000-0000FE020000}"/>
    <cellStyle name="20% - Accent3 2 3 2" xfId="8599" xr:uid="{00000000-0005-0000-0000-0000FF020000}"/>
    <cellStyle name="20% - Accent3 2 3 2 2" xfId="14792" xr:uid="{00000000-0005-0000-0000-000000030000}"/>
    <cellStyle name="20% - Accent3 2 3 2 2 2" xfId="34712" xr:uid="{00000000-0005-0000-0000-000001030000}"/>
    <cellStyle name="20% - Accent3 2 3 2 3" xfId="20944" xr:uid="{00000000-0005-0000-0000-000002030000}"/>
    <cellStyle name="20% - Accent3 2 3 2 3 2" xfId="40864" xr:uid="{00000000-0005-0000-0000-000003030000}"/>
    <cellStyle name="20% - Accent3 2 3 2 4" xfId="28559" xr:uid="{00000000-0005-0000-0000-000004030000}"/>
    <cellStyle name="20% - Accent3 2 3 3" xfId="11726" xr:uid="{00000000-0005-0000-0000-000005030000}"/>
    <cellStyle name="20% - Accent3 2 3 3 2" xfId="31646" xr:uid="{00000000-0005-0000-0000-000006030000}"/>
    <cellStyle name="20% - Accent3 2 3 4" xfId="17878" xr:uid="{00000000-0005-0000-0000-000007030000}"/>
    <cellStyle name="20% - Accent3 2 3 4 2" xfId="37798" xr:uid="{00000000-0005-0000-0000-000008030000}"/>
    <cellStyle name="20% - Accent3 2 3 5" xfId="25493" xr:uid="{00000000-0005-0000-0000-000009030000}"/>
    <cellStyle name="20% - Accent3 2 4" xfId="7064" xr:uid="{00000000-0005-0000-0000-00000A030000}"/>
    <cellStyle name="20% - Accent3 2 4 2" xfId="13258" xr:uid="{00000000-0005-0000-0000-00000B030000}"/>
    <cellStyle name="20% - Accent3 2 4 2 2" xfId="33178" xr:uid="{00000000-0005-0000-0000-00000C030000}"/>
    <cellStyle name="20% - Accent3 2 4 3" xfId="19410" xr:uid="{00000000-0005-0000-0000-00000D030000}"/>
    <cellStyle name="20% - Accent3 2 4 3 2" xfId="39330" xr:uid="{00000000-0005-0000-0000-00000E030000}"/>
    <cellStyle name="20% - Accent3 2 4 4" xfId="27025" xr:uid="{00000000-0005-0000-0000-00000F030000}"/>
    <cellStyle name="20% - Accent3 2 5" xfId="10192" xr:uid="{00000000-0005-0000-0000-000010030000}"/>
    <cellStyle name="20% - Accent3 2 5 2" xfId="30112" xr:uid="{00000000-0005-0000-0000-000011030000}"/>
    <cellStyle name="20% - Accent3 2 6" xfId="16344" xr:uid="{00000000-0005-0000-0000-000012030000}"/>
    <cellStyle name="20% - Accent3 2 6 2" xfId="36264" xr:uid="{00000000-0005-0000-0000-000013030000}"/>
    <cellStyle name="20% - Accent3 2 7" xfId="1218" xr:uid="{00000000-0005-0000-0000-000014030000}"/>
    <cellStyle name="20% - Accent3 2 7 2" xfId="23959" xr:uid="{00000000-0005-0000-0000-000015030000}"/>
    <cellStyle name="20% - Accent3 2 8" xfId="22780" xr:uid="{00000000-0005-0000-0000-000016030000}"/>
    <cellStyle name="20% - Accent3 2 8 2" xfId="42691" xr:uid="{00000000-0005-0000-0000-000017030000}"/>
    <cellStyle name="20% - Accent3 2 9" xfId="23083" xr:uid="{00000000-0005-0000-0000-000018030000}"/>
    <cellStyle name="20% - Accent3 2 9 2" xfId="42994" xr:uid="{00000000-0005-0000-0000-000019030000}"/>
    <cellStyle name="20% - Accent3 3" xfId="404" xr:uid="{00000000-0005-0000-0000-00001A030000}"/>
    <cellStyle name="20% - Accent3 3 10" xfId="23410" xr:uid="{00000000-0005-0000-0000-00001B030000}"/>
    <cellStyle name="20% - Accent3 3 2" xfId="831" xr:uid="{00000000-0005-0000-0000-00001C030000}"/>
    <cellStyle name="20% - Accent3 3 2 2" xfId="6283" xr:uid="{00000000-0005-0000-0000-00001D030000}"/>
    <cellStyle name="20% - Accent3 3 2 2 2" xfId="9369" xr:uid="{00000000-0005-0000-0000-00001E030000}"/>
    <cellStyle name="20% - Accent3 3 2 2 2 2" xfId="15562" xr:uid="{00000000-0005-0000-0000-00001F030000}"/>
    <cellStyle name="20% - Accent3 3 2 2 2 2 2" xfId="35482" xr:uid="{00000000-0005-0000-0000-000020030000}"/>
    <cellStyle name="20% - Accent3 3 2 2 2 3" xfId="21714" xr:uid="{00000000-0005-0000-0000-000021030000}"/>
    <cellStyle name="20% - Accent3 3 2 2 2 3 2" xfId="41634" xr:uid="{00000000-0005-0000-0000-000022030000}"/>
    <cellStyle name="20% - Accent3 3 2 2 2 4" xfId="29329" xr:uid="{00000000-0005-0000-0000-000023030000}"/>
    <cellStyle name="20% - Accent3 3 2 2 3" xfId="12496" xr:uid="{00000000-0005-0000-0000-000024030000}"/>
    <cellStyle name="20% - Accent3 3 2 2 3 2" xfId="32416" xr:uid="{00000000-0005-0000-0000-000025030000}"/>
    <cellStyle name="20% - Accent3 3 2 2 4" xfId="18648" xr:uid="{00000000-0005-0000-0000-000026030000}"/>
    <cellStyle name="20% - Accent3 3 2 2 4 2" xfId="38568" xr:uid="{00000000-0005-0000-0000-000027030000}"/>
    <cellStyle name="20% - Accent3 3 2 2 5" xfId="26263" xr:uid="{00000000-0005-0000-0000-000028030000}"/>
    <cellStyle name="20% - Accent3 3 2 3" xfId="7834" xr:uid="{00000000-0005-0000-0000-000029030000}"/>
    <cellStyle name="20% - Accent3 3 2 3 2" xfId="14028" xr:uid="{00000000-0005-0000-0000-00002A030000}"/>
    <cellStyle name="20% - Accent3 3 2 3 2 2" xfId="33948" xr:uid="{00000000-0005-0000-0000-00002B030000}"/>
    <cellStyle name="20% - Accent3 3 2 3 3" xfId="20180" xr:uid="{00000000-0005-0000-0000-00002C030000}"/>
    <cellStyle name="20% - Accent3 3 2 3 3 2" xfId="40100" xr:uid="{00000000-0005-0000-0000-00002D030000}"/>
    <cellStyle name="20% - Accent3 3 2 3 4" xfId="27795" xr:uid="{00000000-0005-0000-0000-00002E030000}"/>
    <cellStyle name="20% - Accent3 3 2 4" xfId="10962" xr:uid="{00000000-0005-0000-0000-00002F030000}"/>
    <cellStyle name="20% - Accent3 3 2 4 2" xfId="30882" xr:uid="{00000000-0005-0000-0000-000030030000}"/>
    <cellStyle name="20% - Accent3 3 2 5" xfId="17114" xr:uid="{00000000-0005-0000-0000-000031030000}"/>
    <cellStyle name="20% - Accent3 3 2 5 2" xfId="37034" xr:uid="{00000000-0005-0000-0000-000032030000}"/>
    <cellStyle name="20% - Accent3 3 2 6" xfId="4658" xr:uid="{00000000-0005-0000-0000-000033030000}"/>
    <cellStyle name="20% - Accent3 3 2 6 2" xfId="24729" xr:uid="{00000000-0005-0000-0000-000034030000}"/>
    <cellStyle name="20% - Accent3 3 2 7" xfId="23713" xr:uid="{00000000-0005-0000-0000-000035030000}"/>
    <cellStyle name="20% - Accent3 3 3" xfId="5497" xr:uid="{00000000-0005-0000-0000-000036030000}"/>
    <cellStyle name="20% - Accent3 3 3 2" xfId="8600" xr:uid="{00000000-0005-0000-0000-000037030000}"/>
    <cellStyle name="20% - Accent3 3 3 2 2" xfId="14793" xr:uid="{00000000-0005-0000-0000-000038030000}"/>
    <cellStyle name="20% - Accent3 3 3 2 2 2" xfId="34713" xr:uid="{00000000-0005-0000-0000-000039030000}"/>
    <cellStyle name="20% - Accent3 3 3 2 3" xfId="20945" xr:uid="{00000000-0005-0000-0000-00003A030000}"/>
    <cellStyle name="20% - Accent3 3 3 2 3 2" xfId="40865" xr:uid="{00000000-0005-0000-0000-00003B030000}"/>
    <cellStyle name="20% - Accent3 3 3 2 4" xfId="28560" xr:uid="{00000000-0005-0000-0000-00003C030000}"/>
    <cellStyle name="20% - Accent3 3 3 3" xfId="11727" xr:uid="{00000000-0005-0000-0000-00003D030000}"/>
    <cellStyle name="20% - Accent3 3 3 3 2" xfId="31647" xr:uid="{00000000-0005-0000-0000-00003E030000}"/>
    <cellStyle name="20% - Accent3 3 3 4" xfId="17879" xr:uid="{00000000-0005-0000-0000-00003F030000}"/>
    <cellStyle name="20% - Accent3 3 3 4 2" xfId="37799" xr:uid="{00000000-0005-0000-0000-000040030000}"/>
    <cellStyle name="20% - Accent3 3 3 5" xfId="25494" xr:uid="{00000000-0005-0000-0000-000041030000}"/>
    <cellStyle name="20% - Accent3 3 4" xfId="7065" xr:uid="{00000000-0005-0000-0000-000042030000}"/>
    <cellStyle name="20% - Accent3 3 4 2" xfId="13259" xr:uid="{00000000-0005-0000-0000-000043030000}"/>
    <cellStyle name="20% - Accent3 3 4 2 2" xfId="33179" xr:uid="{00000000-0005-0000-0000-000044030000}"/>
    <cellStyle name="20% - Accent3 3 4 3" xfId="19411" xr:uid="{00000000-0005-0000-0000-000045030000}"/>
    <cellStyle name="20% - Accent3 3 4 3 2" xfId="39331" xr:uid="{00000000-0005-0000-0000-000046030000}"/>
    <cellStyle name="20% - Accent3 3 4 4" xfId="27026" xr:uid="{00000000-0005-0000-0000-000047030000}"/>
    <cellStyle name="20% - Accent3 3 5" xfId="10193" xr:uid="{00000000-0005-0000-0000-000048030000}"/>
    <cellStyle name="20% - Accent3 3 5 2" xfId="30113" xr:uid="{00000000-0005-0000-0000-000049030000}"/>
    <cellStyle name="20% - Accent3 3 6" xfId="16345" xr:uid="{00000000-0005-0000-0000-00004A030000}"/>
    <cellStyle name="20% - Accent3 3 6 2" xfId="36265" xr:uid="{00000000-0005-0000-0000-00004B030000}"/>
    <cellStyle name="20% - Accent3 3 7" xfId="1219" xr:uid="{00000000-0005-0000-0000-00004C030000}"/>
    <cellStyle name="20% - Accent3 3 7 2" xfId="23960" xr:uid="{00000000-0005-0000-0000-00004D030000}"/>
    <cellStyle name="20% - Accent3 3 8" xfId="22796" xr:uid="{00000000-0005-0000-0000-00004E030000}"/>
    <cellStyle name="20% - Accent3 3 8 2" xfId="42707" xr:uid="{00000000-0005-0000-0000-00004F030000}"/>
    <cellStyle name="20% - Accent3 3 9" xfId="23099" xr:uid="{00000000-0005-0000-0000-000050030000}"/>
    <cellStyle name="20% - Accent3 3 9 2" xfId="43010" xr:uid="{00000000-0005-0000-0000-000051030000}"/>
    <cellStyle name="20% - Accent3 4" xfId="431" xr:uid="{00000000-0005-0000-0000-000052030000}"/>
    <cellStyle name="20% - Accent3 4 10" xfId="23426" xr:uid="{00000000-0005-0000-0000-000053030000}"/>
    <cellStyle name="20% - Accent3 4 2" xfId="847" xr:uid="{00000000-0005-0000-0000-000054030000}"/>
    <cellStyle name="20% - Accent3 4 2 2" xfId="6284" xr:uid="{00000000-0005-0000-0000-000055030000}"/>
    <cellStyle name="20% - Accent3 4 2 2 2" xfId="9370" xr:uid="{00000000-0005-0000-0000-000056030000}"/>
    <cellStyle name="20% - Accent3 4 2 2 2 2" xfId="15563" xr:uid="{00000000-0005-0000-0000-000057030000}"/>
    <cellStyle name="20% - Accent3 4 2 2 2 2 2" xfId="35483" xr:uid="{00000000-0005-0000-0000-000058030000}"/>
    <cellStyle name="20% - Accent3 4 2 2 2 3" xfId="21715" xr:uid="{00000000-0005-0000-0000-000059030000}"/>
    <cellStyle name="20% - Accent3 4 2 2 2 3 2" xfId="41635" xr:uid="{00000000-0005-0000-0000-00005A030000}"/>
    <cellStyle name="20% - Accent3 4 2 2 2 4" xfId="29330" xr:uid="{00000000-0005-0000-0000-00005B030000}"/>
    <cellStyle name="20% - Accent3 4 2 2 3" xfId="12497" xr:uid="{00000000-0005-0000-0000-00005C030000}"/>
    <cellStyle name="20% - Accent3 4 2 2 3 2" xfId="32417" xr:uid="{00000000-0005-0000-0000-00005D030000}"/>
    <cellStyle name="20% - Accent3 4 2 2 4" xfId="18649" xr:uid="{00000000-0005-0000-0000-00005E030000}"/>
    <cellStyle name="20% - Accent3 4 2 2 4 2" xfId="38569" xr:uid="{00000000-0005-0000-0000-00005F030000}"/>
    <cellStyle name="20% - Accent3 4 2 2 5" xfId="26264" xr:uid="{00000000-0005-0000-0000-000060030000}"/>
    <cellStyle name="20% - Accent3 4 2 3" xfId="7835" xr:uid="{00000000-0005-0000-0000-000061030000}"/>
    <cellStyle name="20% - Accent3 4 2 3 2" xfId="14029" xr:uid="{00000000-0005-0000-0000-000062030000}"/>
    <cellStyle name="20% - Accent3 4 2 3 2 2" xfId="33949" xr:uid="{00000000-0005-0000-0000-000063030000}"/>
    <cellStyle name="20% - Accent3 4 2 3 3" xfId="20181" xr:uid="{00000000-0005-0000-0000-000064030000}"/>
    <cellStyle name="20% - Accent3 4 2 3 3 2" xfId="40101" xr:uid="{00000000-0005-0000-0000-000065030000}"/>
    <cellStyle name="20% - Accent3 4 2 3 4" xfId="27796" xr:uid="{00000000-0005-0000-0000-000066030000}"/>
    <cellStyle name="20% - Accent3 4 2 4" xfId="10963" xr:uid="{00000000-0005-0000-0000-000067030000}"/>
    <cellStyle name="20% - Accent3 4 2 4 2" xfId="30883" xr:uid="{00000000-0005-0000-0000-000068030000}"/>
    <cellStyle name="20% - Accent3 4 2 5" xfId="17115" xr:uid="{00000000-0005-0000-0000-000069030000}"/>
    <cellStyle name="20% - Accent3 4 2 5 2" xfId="37035" xr:uid="{00000000-0005-0000-0000-00006A030000}"/>
    <cellStyle name="20% - Accent3 4 2 6" xfId="4659" xr:uid="{00000000-0005-0000-0000-00006B030000}"/>
    <cellStyle name="20% - Accent3 4 2 6 2" xfId="24730" xr:uid="{00000000-0005-0000-0000-00006C030000}"/>
    <cellStyle name="20% - Accent3 4 2 7" xfId="23729" xr:uid="{00000000-0005-0000-0000-00006D030000}"/>
    <cellStyle name="20% - Accent3 4 3" xfId="5498" xr:uid="{00000000-0005-0000-0000-00006E030000}"/>
    <cellStyle name="20% - Accent3 4 3 2" xfId="8601" xr:uid="{00000000-0005-0000-0000-00006F030000}"/>
    <cellStyle name="20% - Accent3 4 3 2 2" xfId="14794" xr:uid="{00000000-0005-0000-0000-000070030000}"/>
    <cellStyle name="20% - Accent3 4 3 2 2 2" xfId="34714" xr:uid="{00000000-0005-0000-0000-000071030000}"/>
    <cellStyle name="20% - Accent3 4 3 2 3" xfId="20946" xr:uid="{00000000-0005-0000-0000-000072030000}"/>
    <cellStyle name="20% - Accent3 4 3 2 3 2" xfId="40866" xr:uid="{00000000-0005-0000-0000-000073030000}"/>
    <cellStyle name="20% - Accent3 4 3 2 4" xfId="28561" xr:uid="{00000000-0005-0000-0000-000074030000}"/>
    <cellStyle name="20% - Accent3 4 3 3" xfId="11728" xr:uid="{00000000-0005-0000-0000-000075030000}"/>
    <cellStyle name="20% - Accent3 4 3 3 2" xfId="31648" xr:uid="{00000000-0005-0000-0000-000076030000}"/>
    <cellStyle name="20% - Accent3 4 3 4" xfId="17880" xr:uid="{00000000-0005-0000-0000-000077030000}"/>
    <cellStyle name="20% - Accent3 4 3 4 2" xfId="37800" xr:uid="{00000000-0005-0000-0000-000078030000}"/>
    <cellStyle name="20% - Accent3 4 3 5" xfId="25495" xr:uid="{00000000-0005-0000-0000-000079030000}"/>
    <cellStyle name="20% - Accent3 4 4" xfId="7066" xr:uid="{00000000-0005-0000-0000-00007A030000}"/>
    <cellStyle name="20% - Accent3 4 4 2" xfId="13260" xr:uid="{00000000-0005-0000-0000-00007B030000}"/>
    <cellStyle name="20% - Accent3 4 4 2 2" xfId="33180" xr:uid="{00000000-0005-0000-0000-00007C030000}"/>
    <cellStyle name="20% - Accent3 4 4 3" xfId="19412" xr:uid="{00000000-0005-0000-0000-00007D030000}"/>
    <cellStyle name="20% - Accent3 4 4 3 2" xfId="39332" xr:uid="{00000000-0005-0000-0000-00007E030000}"/>
    <cellStyle name="20% - Accent3 4 4 4" xfId="27027" xr:uid="{00000000-0005-0000-0000-00007F030000}"/>
    <cellStyle name="20% - Accent3 4 5" xfId="10194" xr:uid="{00000000-0005-0000-0000-000080030000}"/>
    <cellStyle name="20% - Accent3 4 5 2" xfId="30114" xr:uid="{00000000-0005-0000-0000-000081030000}"/>
    <cellStyle name="20% - Accent3 4 6" xfId="16346" xr:uid="{00000000-0005-0000-0000-000082030000}"/>
    <cellStyle name="20% - Accent3 4 6 2" xfId="36266" xr:uid="{00000000-0005-0000-0000-000083030000}"/>
    <cellStyle name="20% - Accent3 4 7" xfId="1220" xr:uid="{00000000-0005-0000-0000-000084030000}"/>
    <cellStyle name="20% - Accent3 4 7 2" xfId="23961" xr:uid="{00000000-0005-0000-0000-000085030000}"/>
    <cellStyle name="20% - Accent3 4 8" xfId="22812" xr:uid="{00000000-0005-0000-0000-000086030000}"/>
    <cellStyle name="20% - Accent3 4 8 2" xfId="42723" xr:uid="{00000000-0005-0000-0000-000087030000}"/>
    <cellStyle name="20% - Accent3 4 9" xfId="23115" xr:uid="{00000000-0005-0000-0000-000088030000}"/>
    <cellStyle name="20% - Accent3 4 9 2" xfId="43026" xr:uid="{00000000-0005-0000-0000-000089030000}"/>
    <cellStyle name="20% - Accent3 5" xfId="459" xr:uid="{00000000-0005-0000-0000-00008A030000}"/>
    <cellStyle name="20% - Accent3 5 10" xfId="23131" xr:uid="{00000000-0005-0000-0000-00008B030000}"/>
    <cellStyle name="20% - Accent3 5 10 2" xfId="43042" xr:uid="{00000000-0005-0000-0000-00008C030000}"/>
    <cellStyle name="20% - Accent3 5 11" xfId="23442" xr:uid="{00000000-0005-0000-0000-00008D030000}"/>
    <cellStyle name="20% - Accent3 5 2" xfId="863" xr:uid="{00000000-0005-0000-0000-00008E030000}"/>
    <cellStyle name="20% - Accent3 5 2 2" xfId="6285" xr:uid="{00000000-0005-0000-0000-00008F030000}"/>
    <cellStyle name="20% - Accent3 5 2 2 2" xfId="9371" xr:uid="{00000000-0005-0000-0000-000090030000}"/>
    <cellStyle name="20% - Accent3 5 2 2 2 2" xfId="15564" xr:uid="{00000000-0005-0000-0000-000091030000}"/>
    <cellStyle name="20% - Accent3 5 2 2 2 2 2" xfId="35484" xr:uid="{00000000-0005-0000-0000-000092030000}"/>
    <cellStyle name="20% - Accent3 5 2 2 2 3" xfId="21716" xr:uid="{00000000-0005-0000-0000-000093030000}"/>
    <cellStyle name="20% - Accent3 5 2 2 2 3 2" xfId="41636" xr:uid="{00000000-0005-0000-0000-000094030000}"/>
    <cellStyle name="20% - Accent3 5 2 2 2 4" xfId="29331" xr:uid="{00000000-0005-0000-0000-000095030000}"/>
    <cellStyle name="20% - Accent3 5 2 2 3" xfId="12498" xr:uid="{00000000-0005-0000-0000-000096030000}"/>
    <cellStyle name="20% - Accent3 5 2 2 3 2" xfId="32418" xr:uid="{00000000-0005-0000-0000-000097030000}"/>
    <cellStyle name="20% - Accent3 5 2 2 4" xfId="18650" xr:uid="{00000000-0005-0000-0000-000098030000}"/>
    <cellStyle name="20% - Accent3 5 2 2 4 2" xfId="38570" xr:uid="{00000000-0005-0000-0000-000099030000}"/>
    <cellStyle name="20% - Accent3 5 2 2 5" xfId="26265" xr:uid="{00000000-0005-0000-0000-00009A030000}"/>
    <cellStyle name="20% - Accent3 5 2 3" xfId="7836" xr:uid="{00000000-0005-0000-0000-00009B030000}"/>
    <cellStyle name="20% - Accent3 5 2 3 2" xfId="14030" xr:uid="{00000000-0005-0000-0000-00009C030000}"/>
    <cellStyle name="20% - Accent3 5 2 3 2 2" xfId="33950" xr:uid="{00000000-0005-0000-0000-00009D030000}"/>
    <cellStyle name="20% - Accent3 5 2 3 3" xfId="20182" xr:uid="{00000000-0005-0000-0000-00009E030000}"/>
    <cellStyle name="20% - Accent3 5 2 3 3 2" xfId="40102" xr:uid="{00000000-0005-0000-0000-00009F030000}"/>
    <cellStyle name="20% - Accent3 5 2 3 4" xfId="27797" xr:uid="{00000000-0005-0000-0000-0000A0030000}"/>
    <cellStyle name="20% - Accent3 5 2 4" xfId="10964" xr:uid="{00000000-0005-0000-0000-0000A1030000}"/>
    <cellStyle name="20% - Accent3 5 2 4 2" xfId="30884" xr:uid="{00000000-0005-0000-0000-0000A2030000}"/>
    <cellStyle name="20% - Accent3 5 2 5" xfId="17116" xr:uid="{00000000-0005-0000-0000-0000A3030000}"/>
    <cellStyle name="20% - Accent3 5 2 5 2" xfId="37036" xr:uid="{00000000-0005-0000-0000-0000A4030000}"/>
    <cellStyle name="20% - Accent3 5 2 6" xfId="4660" xr:uid="{00000000-0005-0000-0000-0000A5030000}"/>
    <cellStyle name="20% - Accent3 5 2 6 2" xfId="24731" xr:uid="{00000000-0005-0000-0000-0000A6030000}"/>
    <cellStyle name="20% - Accent3 5 2 7" xfId="23745" xr:uid="{00000000-0005-0000-0000-0000A7030000}"/>
    <cellStyle name="20% - Accent3 5 3" xfId="5499" xr:uid="{00000000-0005-0000-0000-0000A8030000}"/>
    <cellStyle name="20% - Accent3 5 3 2" xfId="8602" xr:uid="{00000000-0005-0000-0000-0000A9030000}"/>
    <cellStyle name="20% - Accent3 5 3 2 2" xfId="14795" xr:uid="{00000000-0005-0000-0000-0000AA030000}"/>
    <cellStyle name="20% - Accent3 5 3 2 2 2" xfId="34715" xr:uid="{00000000-0005-0000-0000-0000AB030000}"/>
    <cellStyle name="20% - Accent3 5 3 2 3" xfId="20947" xr:uid="{00000000-0005-0000-0000-0000AC030000}"/>
    <cellStyle name="20% - Accent3 5 3 2 3 2" xfId="40867" xr:uid="{00000000-0005-0000-0000-0000AD030000}"/>
    <cellStyle name="20% - Accent3 5 3 2 4" xfId="28562" xr:uid="{00000000-0005-0000-0000-0000AE030000}"/>
    <cellStyle name="20% - Accent3 5 3 3" xfId="11729" xr:uid="{00000000-0005-0000-0000-0000AF030000}"/>
    <cellStyle name="20% - Accent3 5 3 3 2" xfId="31649" xr:uid="{00000000-0005-0000-0000-0000B0030000}"/>
    <cellStyle name="20% - Accent3 5 3 4" xfId="17881" xr:uid="{00000000-0005-0000-0000-0000B1030000}"/>
    <cellStyle name="20% - Accent3 5 3 4 2" xfId="37801" xr:uid="{00000000-0005-0000-0000-0000B2030000}"/>
    <cellStyle name="20% - Accent3 5 3 5" xfId="25496" xr:uid="{00000000-0005-0000-0000-0000B3030000}"/>
    <cellStyle name="20% - Accent3 5 4" xfId="7067" xr:uid="{00000000-0005-0000-0000-0000B4030000}"/>
    <cellStyle name="20% - Accent3 5 4 2" xfId="13261" xr:uid="{00000000-0005-0000-0000-0000B5030000}"/>
    <cellStyle name="20% - Accent3 5 4 2 2" xfId="33181" xr:uid="{00000000-0005-0000-0000-0000B6030000}"/>
    <cellStyle name="20% - Accent3 5 4 3" xfId="19413" xr:uid="{00000000-0005-0000-0000-0000B7030000}"/>
    <cellStyle name="20% - Accent3 5 4 3 2" xfId="39333" xr:uid="{00000000-0005-0000-0000-0000B8030000}"/>
    <cellStyle name="20% - Accent3 5 4 4" xfId="27028" xr:uid="{00000000-0005-0000-0000-0000B9030000}"/>
    <cellStyle name="20% - Accent3 5 5" xfId="10195" xr:uid="{00000000-0005-0000-0000-0000BA030000}"/>
    <cellStyle name="20% - Accent3 5 5 2" xfId="30115" xr:uid="{00000000-0005-0000-0000-0000BB030000}"/>
    <cellStyle name="20% - Accent3 5 6" xfId="16347" xr:uid="{00000000-0005-0000-0000-0000BC030000}"/>
    <cellStyle name="20% - Accent3 5 6 2" xfId="36267" xr:uid="{00000000-0005-0000-0000-0000BD030000}"/>
    <cellStyle name="20% - Accent3 5 7" xfId="1221" xr:uid="{00000000-0005-0000-0000-0000BE030000}"/>
    <cellStyle name="20% - Accent3 5 7 2" xfId="23962" xr:uid="{00000000-0005-0000-0000-0000BF030000}"/>
    <cellStyle name="20% - Accent3 5 8" xfId="22567" xr:uid="{00000000-0005-0000-0000-0000C0030000}"/>
    <cellStyle name="20% - Accent3 5 8 2" xfId="42478" xr:uid="{00000000-0005-0000-0000-0000C1030000}"/>
    <cellStyle name="20% - Accent3 5 9" xfId="22828" xr:uid="{00000000-0005-0000-0000-0000C2030000}"/>
    <cellStyle name="20% - Accent3 5 9 2" xfId="42739" xr:uid="{00000000-0005-0000-0000-0000C3030000}"/>
    <cellStyle name="20% - Accent3 6" xfId="485" xr:uid="{00000000-0005-0000-0000-0000C4030000}"/>
    <cellStyle name="20% - Accent3 6 2" xfId="879" xr:uid="{00000000-0005-0000-0000-0000C5030000}"/>
    <cellStyle name="20% - Accent3 6 2 2" xfId="23761" xr:uid="{00000000-0005-0000-0000-0000C6030000}"/>
    <cellStyle name="20% - Accent3 6 3" xfId="1222" xr:uid="{00000000-0005-0000-0000-0000C7030000}"/>
    <cellStyle name="20% - Accent3 6 4" xfId="22520" xr:uid="{00000000-0005-0000-0000-0000C8030000}"/>
    <cellStyle name="20% - Accent3 6 4 2" xfId="42431" xr:uid="{00000000-0005-0000-0000-0000C9030000}"/>
    <cellStyle name="20% - Accent3 6 5" xfId="22844" xr:uid="{00000000-0005-0000-0000-0000CA030000}"/>
    <cellStyle name="20% - Accent3 6 5 2" xfId="42755" xr:uid="{00000000-0005-0000-0000-0000CB030000}"/>
    <cellStyle name="20% - Accent3 6 6" xfId="23147" xr:uid="{00000000-0005-0000-0000-0000CC030000}"/>
    <cellStyle name="20% - Accent3 6 6 2" xfId="43058" xr:uid="{00000000-0005-0000-0000-0000CD030000}"/>
    <cellStyle name="20% - Accent3 6 7" xfId="23458" xr:uid="{00000000-0005-0000-0000-0000CE030000}"/>
    <cellStyle name="20% - Accent3 7" xfId="509" xr:uid="{00000000-0005-0000-0000-0000CF030000}"/>
    <cellStyle name="20% - Accent3 7 2" xfId="895" xr:uid="{00000000-0005-0000-0000-0000D0030000}"/>
    <cellStyle name="20% - Accent3 7 2 2" xfId="23777" xr:uid="{00000000-0005-0000-0000-0000D1030000}"/>
    <cellStyle name="20% - Accent3 7 3" xfId="22687" xr:uid="{00000000-0005-0000-0000-0000D2030000}"/>
    <cellStyle name="20% - Accent3 7 3 2" xfId="42598" xr:uid="{00000000-0005-0000-0000-0000D3030000}"/>
    <cellStyle name="20% - Accent3 7 4" xfId="22860" xr:uid="{00000000-0005-0000-0000-0000D4030000}"/>
    <cellStyle name="20% - Accent3 7 4 2" xfId="42771" xr:uid="{00000000-0005-0000-0000-0000D5030000}"/>
    <cellStyle name="20% - Accent3 7 5" xfId="23163" xr:uid="{00000000-0005-0000-0000-0000D6030000}"/>
    <cellStyle name="20% - Accent3 7 5 2" xfId="43074" xr:uid="{00000000-0005-0000-0000-0000D7030000}"/>
    <cellStyle name="20% - Accent3 7 6" xfId="23474" xr:uid="{00000000-0005-0000-0000-0000D8030000}"/>
    <cellStyle name="20% - Accent3 8" xfId="534" xr:uid="{00000000-0005-0000-0000-0000D9030000}"/>
    <cellStyle name="20% - Accent3 8 2" xfId="911" xr:uid="{00000000-0005-0000-0000-0000DA030000}"/>
    <cellStyle name="20% - Accent3 8 2 2" xfId="23793" xr:uid="{00000000-0005-0000-0000-0000DB030000}"/>
    <cellStyle name="20% - Accent3 8 3" xfId="22673" xr:uid="{00000000-0005-0000-0000-0000DC030000}"/>
    <cellStyle name="20% - Accent3 8 3 2" xfId="42584" xr:uid="{00000000-0005-0000-0000-0000DD030000}"/>
    <cellStyle name="20% - Accent3 8 4" xfId="22876" xr:uid="{00000000-0005-0000-0000-0000DE030000}"/>
    <cellStyle name="20% - Accent3 8 4 2" xfId="42787" xr:uid="{00000000-0005-0000-0000-0000DF030000}"/>
    <cellStyle name="20% - Accent3 8 5" xfId="23179" xr:uid="{00000000-0005-0000-0000-0000E0030000}"/>
    <cellStyle name="20% - Accent3 8 5 2" xfId="43090" xr:uid="{00000000-0005-0000-0000-0000E1030000}"/>
    <cellStyle name="20% - Accent3 8 6" xfId="23490" xr:uid="{00000000-0005-0000-0000-0000E2030000}"/>
    <cellStyle name="20% - Accent3 9" xfId="573" xr:uid="{00000000-0005-0000-0000-0000E3030000}"/>
    <cellStyle name="20% - Accent3 9 2" xfId="927" xr:uid="{00000000-0005-0000-0000-0000E4030000}"/>
    <cellStyle name="20% - Accent3 9 2 2" xfId="23809" xr:uid="{00000000-0005-0000-0000-0000E5030000}"/>
    <cellStyle name="20% - Accent3 9 3" xfId="22581" xr:uid="{00000000-0005-0000-0000-0000E6030000}"/>
    <cellStyle name="20% - Accent3 9 3 2" xfId="42492" xr:uid="{00000000-0005-0000-0000-0000E7030000}"/>
    <cellStyle name="20% - Accent3 9 4" xfId="22892" xr:uid="{00000000-0005-0000-0000-0000E8030000}"/>
    <cellStyle name="20% - Accent3 9 4 2" xfId="42803" xr:uid="{00000000-0005-0000-0000-0000E9030000}"/>
    <cellStyle name="20% - Accent3 9 5" xfId="23195" xr:uid="{00000000-0005-0000-0000-0000EA030000}"/>
    <cellStyle name="20% - Accent3 9 5 2" xfId="43106" xr:uid="{00000000-0005-0000-0000-0000EB030000}"/>
    <cellStyle name="20% - Accent3 9 6" xfId="23506" xr:uid="{00000000-0005-0000-0000-0000EC030000}"/>
    <cellStyle name="20% - Accent4" xfId="74" builtinId="42" customBuiltin="1"/>
    <cellStyle name="20% - Accent4 10" xfId="605" xr:uid="{00000000-0005-0000-0000-0000EE030000}"/>
    <cellStyle name="20% - Accent4 10 2" xfId="945" xr:uid="{00000000-0005-0000-0000-0000EF030000}"/>
    <cellStyle name="20% - Accent4 10 2 2" xfId="23827" xr:uid="{00000000-0005-0000-0000-0000F0030000}"/>
    <cellStyle name="20% - Accent4 10 3" xfId="22671" xr:uid="{00000000-0005-0000-0000-0000F1030000}"/>
    <cellStyle name="20% - Accent4 10 3 2" xfId="42582" xr:uid="{00000000-0005-0000-0000-0000F2030000}"/>
    <cellStyle name="20% - Accent4 10 4" xfId="22910" xr:uid="{00000000-0005-0000-0000-0000F3030000}"/>
    <cellStyle name="20% - Accent4 10 4 2" xfId="42821" xr:uid="{00000000-0005-0000-0000-0000F4030000}"/>
    <cellStyle name="20% - Accent4 10 5" xfId="23213" xr:uid="{00000000-0005-0000-0000-0000F5030000}"/>
    <cellStyle name="20% - Accent4 10 5 2" xfId="43124" xr:uid="{00000000-0005-0000-0000-0000F6030000}"/>
    <cellStyle name="20% - Accent4 10 6" xfId="23524" xr:uid="{00000000-0005-0000-0000-0000F7030000}"/>
    <cellStyle name="20% - Accent4 11" xfId="632" xr:uid="{00000000-0005-0000-0000-0000F8030000}"/>
    <cellStyle name="20% - Accent4 11 2" xfId="961" xr:uid="{00000000-0005-0000-0000-0000F9030000}"/>
    <cellStyle name="20% - Accent4 11 2 2" xfId="23843" xr:uid="{00000000-0005-0000-0000-0000FA030000}"/>
    <cellStyle name="20% - Accent4 11 3" xfId="22573" xr:uid="{00000000-0005-0000-0000-0000FB030000}"/>
    <cellStyle name="20% - Accent4 11 3 2" xfId="42484" xr:uid="{00000000-0005-0000-0000-0000FC030000}"/>
    <cellStyle name="20% - Accent4 11 4" xfId="22926" xr:uid="{00000000-0005-0000-0000-0000FD030000}"/>
    <cellStyle name="20% - Accent4 11 4 2" xfId="42837" xr:uid="{00000000-0005-0000-0000-0000FE030000}"/>
    <cellStyle name="20% - Accent4 11 5" xfId="23229" xr:uid="{00000000-0005-0000-0000-0000FF030000}"/>
    <cellStyle name="20% - Accent4 11 5 2" xfId="43140" xr:uid="{00000000-0005-0000-0000-000000040000}"/>
    <cellStyle name="20% - Accent4 11 6" xfId="23540" xr:uid="{00000000-0005-0000-0000-000001040000}"/>
    <cellStyle name="20% - Accent4 12" xfId="658" xr:uid="{00000000-0005-0000-0000-000002040000}"/>
    <cellStyle name="20% - Accent4 12 2" xfId="977" xr:uid="{00000000-0005-0000-0000-000003040000}"/>
    <cellStyle name="20% - Accent4 12 2 2" xfId="23859" xr:uid="{00000000-0005-0000-0000-000004040000}"/>
    <cellStyle name="20% - Accent4 12 3" xfId="22680" xr:uid="{00000000-0005-0000-0000-000005040000}"/>
    <cellStyle name="20% - Accent4 12 3 2" xfId="42591" xr:uid="{00000000-0005-0000-0000-000006040000}"/>
    <cellStyle name="20% - Accent4 12 4" xfId="22942" xr:uid="{00000000-0005-0000-0000-000007040000}"/>
    <cellStyle name="20% - Accent4 12 4 2" xfId="42853" xr:uid="{00000000-0005-0000-0000-000008040000}"/>
    <cellStyle name="20% - Accent4 12 5" xfId="23245" xr:uid="{00000000-0005-0000-0000-000009040000}"/>
    <cellStyle name="20% - Accent4 12 5 2" xfId="43156" xr:uid="{00000000-0005-0000-0000-00000A040000}"/>
    <cellStyle name="20% - Accent4 12 6" xfId="23556" xr:uid="{00000000-0005-0000-0000-00000B040000}"/>
    <cellStyle name="20% - Accent4 13" xfId="682" xr:uid="{00000000-0005-0000-0000-00000C040000}"/>
    <cellStyle name="20% - Accent4 13 2" xfId="993" xr:uid="{00000000-0005-0000-0000-00000D040000}"/>
    <cellStyle name="20% - Accent4 13 2 2" xfId="23875" xr:uid="{00000000-0005-0000-0000-00000E040000}"/>
    <cellStyle name="20% - Accent4 13 3" xfId="22537" xr:uid="{00000000-0005-0000-0000-00000F040000}"/>
    <cellStyle name="20% - Accent4 13 3 2" xfId="42448" xr:uid="{00000000-0005-0000-0000-000010040000}"/>
    <cellStyle name="20% - Accent4 13 4" xfId="22958" xr:uid="{00000000-0005-0000-0000-000011040000}"/>
    <cellStyle name="20% - Accent4 13 4 2" xfId="42869" xr:uid="{00000000-0005-0000-0000-000012040000}"/>
    <cellStyle name="20% - Accent4 13 5" xfId="23261" xr:uid="{00000000-0005-0000-0000-000013040000}"/>
    <cellStyle name="20% - Accent4 13 5 2" xfId="43172" xr:uid="{00000000-0005-0000-0000-000014040000}"/>
    <cellStyle name="20% - Accent4 13 6" xfId="23572" xr:uid="{00000000-0005-0000-0000-000015040000}"/>
    <cellStyle name="20% - Accent4 14" xfId="701" xr:uid="{00000000-0005-0000-0000-000016040000}"/>
    <cellStyle name="20% - Accent4 14 2" xfId="1009" xr:uid="{00000000-0005-0000-0000-000017040000}"/>
    <cellStyle name="20% - Accent4 14 2 2" xfId="23891" xr:uid="{00000000-0005-0000-0000-000018040000}"/>
    <cellStyle name="20% - Accent4 14 3" xfId="22658" xr:uid="{00000000-0005-0000-0000-000019040000}"/>
    <cellStyle name="20% - Accent4 14 3 2" xfId="42569" xr:uid="{00000000-0005-0000-0000-00001A040000}"/>
    <cellStyle name="20% - Accent4 14 4" xfId="22974" xr:uid="{00000000-0005-0000-0000-00001B040000}"/>
    <cellStyle name="20% - Accent4 14 4 2" xfId="42885" xr:uid="{00000000-0005-0000-0000-00001C040000}"/>
    <cellStyle name="20% - Accent4 14 5" xfId="23277" xr:uid="{00000000-0005-0000-0000-00001D040000}"/>
    <cellStyle name="20% - Accent4 14 5 2" xfId="43188" xr:uid="{00000000-0005-0000-0000-00001E040000}"/>
    <cellStyle name="20% - Accent4 14 6" xfId="23588" xr:uid="{00000000-0005-0000-0000-00001F040000}"/>
    <cellStyle name="20% - Accent4 15" xfId="717" xr:uid="{00000000-0005-0000-0000-000020040000}"/>
    <cellStyle name="20% - Accent4 15 2" xfId="1025" xr:uid="{00000000-0005-0000-0000-000021040000}"/>
    <cellStyle name="20% - Accent4 15 2 2" xfId="23907" xr:uid="{00000000-0005-0000-0000-000022040000}"/>
    <cellStyle name="20% - Accent4 15 3" xfId="22550" xr:uid="{00000000-0005-0000-0000-000023040000}"/>
    <cellStyle name="20% - Accent4 15 3 2" xfId="42461" xr:uid="{00000000-0005-0000-0000-000024040000}"/>
    <cellStyle name="20% - Accent4 15 4" xfId="22990" xr:uid="{00000000-0005-0000-0000-000025040000}"/>
    <cellStyle name="20% - Accent4 15 4 2" xfId="42901" xr:uid="{00000000-0005-0000-0000-000026040000}"/>
    <cellStyle name="20% - Accent4 15 5" xfId="23293" xr:uid="{00000000-0005-0000-0000-000027040000}"/>
    <cellStyle name="20% - Accent4 15 5 2" xfId="43204" xr:uid="{00000000-0005-0000-0000-000028040000}"/>
    <cellStyle name="20% - Accent4 15 6" xfId="23604" xr:uid="{00000000-0005-0000-0000-000029040000}"/>
    <cellStyle name="20% - Accent4 16" xfId="741" xr:uid="{00000000-0005-0000-0000-00002A040000}"/>
    <cellStyle name="20% - Accent4 16 2" xfId="23623" xr:uid="{00000000-0005-0000-0000-00002B040000}"/>
    <cellStyle name="20% - Accent4 17" xfId="22706" xr:uid="{00000000-0005-0000-0000-00002C040000}"/>
    <cellStyle name="20% - Accent4 17 2" xfId="42617" xr:uid="{00000000-0005-0000-0000-00002D040000}"/>
    <cellStyle name="20% - Accent4 18" xfId="23009" xr:uid="{00000000-0005-0000-0000-00002E040000}"/>
    <cellStyle name="20% - Accent4 18 2" xfId="42920" xr:uid="{00000000-0005-0000-0000-00002F040000}"/>
    <cellStyle name="20% - Accent4 19" xfId="23313" xr:uid="{00000000-0005-0000-0000-000030040000}"/>
    <cellStyle name="20% - Accent4 2" xfId="378" xr:uid="{00000000-0005-0000-0000-000031040000}"/>
    <cellStyle name="20% - Accent4 2 10" xfId="23396" xr:uid="{00000000-0005-0000-0000-000032040000}"/>
    <cellStyle name="20% - Accent4 2 2" xfId="817" xr:uid="{00000000-0005-0000-0000-000033040000}"/>
    <cellStyle name="20% - Accent4 2 2 2" xfId="6286" xr:uid="{00000000-0005-0000-0000-000034040000}"/>
    <cellStyle name="20% - Accent4 2 2 2 2" xfId="9372" xr:uid="{00000000-0005-0000-0000-000035040000}"/>
    <cellStyle name="20% - Accent4 2 2 2 2 2" xfId="15565" xr:uid="{00000000-0005-0000-0000-000036040000}"/>
    <cellStyle name="20% - Accent4 2 2 2 2 2 2" xfId="35485" xr:uid="{00000000-0005-0000-0000-000037040000}"/>
    <cellStyle name="20% - Accent4 2 2 2 2 3" xfId="21717" xr:uid="{00000000-0005-0000-0000-000038040000}"/>
    <cellStyle name="20% - Accent4 2 2 2 2 3 2" xfId="41637" xr:uid="{00000000-0005-0000-0000-000039040000}"/>
    <cellStyle name="20% - Accent4 2 2 2 2 4" xfId="29332" xr:uid="{00000000-0005-0000-0000-00003A040000}"/>
    <cellStyle name="20% - Accent4 2 2 2 3" xfId="12499" xr:uid="{00000000-0005-0000-0000-00003B040000}"/>
    <cellStyle name="20% - Accent4 2 2 2 3 2" xfId="32419" xr:uid="{00000000-0005-0000-0000-00003C040000}"/>
    <cellStyle name="20% - Accent4 2 2 2 4" xfId="18651" xr:uid="{00000000-0005-0000-0000-00003D040000}"/>
    <cellStyle name="20% - Accent4 2 2 2 4 2" xfId="38571" xr:uid="{00000000-0005-0000-0000-00003E040000}"/>
    <cellStyle name="20% - Accent4 2 2 2 5" xfId="26266" xr:uid="{00000000-0005-0000-0000-00003F040000}"/>
    <cellStyle name="20% - Accent4 2 2 3" xfId="7837" xr:uid="{00000000-0005-0000-0000-000040040000}"/>
    <cellStyle name="20% - Accent4 2 2 3 2" xfId="14031" xr:uid="{00000000-0005-0000-0000-000041040000}"/>
    <cellStyle name="20% - Accent4 2 2 3 2 2" xfId="33951" xr:uid="{00000000-0005-0000-0000-000042040000}"/>
    <cellStyle name="20% - Accent4 2 2 3 3" xfId="20183" xr:uid="{00000000-0005-0000-0000-000043040000}"/>
    <cellStyle name="20% - Accent4 2 2 3 3 2" xfId="40103" xr:uid="{00000000-0005-0000-0000-000044040000}"/>
    <cellStyle name="20% - Accent4 2 2 3 4" xfId="27798" xr:uid="{00000000-0005-0000-0000-000045040000}"/>
    <cellStyle name="20% - Accent4 2 2 4" xfId="10965" xr:uid="{00000000-0005-0000-0000-000046040000}"/>
    <cellStyle name="20% - Accent4 2 2 4 2" xfId="30885" xr:uid="{00000000-0005-0000-0000-000047040000}"/>
    <cellStyle name="20% - Accent4 2 2 5" xfId="17117" xr:uid="{00000000-0005-0000-0000-000048040000}"/>
    <cellStyle name="20% - Accent4 2 2 5 2" xfId="37037" xr:uid="{00000000-0005-0000-0000-000049040000}"/>
    <cellStyle name="20% - Accent4 2 2 6" xfId="4661" xr:uid="{00000000-0005-0000-0000-00004A040000}"/>
    <cellStyle name="20% - Accent4 2 2 6 2" xfId="24732" xr:uid="{00000000-0005-0000-0000-00004B040000}"/>
    <cellStyle name="20% - Accent4 2 2 7" xfId="23699" xr:uid="{00000000-0005-0000-0000-00004C040000}"/>
    <cellStyle name="20% - Accent4 2 3" xfId="5500" xr:uid="{00000000-0005-0000-0000-00004D040000}"/>
    <cellStyle name="20% - Accent4 2 3 2" xfId="8603" xr:uid="{00000000-0005-0000-0000-00004E040000}"/>
    <cellStyle name="20% - Accent4 2 3 2 2" xfId="14796" xr:uid="{00000000-0005-0000-0000-00004F040000}"/>
    <cellStyle name="20% - Accent4 2 3 2 2 2" xfId="34716" xr:uid="{00000000-0005-0000-0000-000050040000}"/>
    <cellStyle name="20% - Accent4 2 3 2 3" xfId="20948" xr:uid="{00000000-0005-0000-0000-000051040000}"/>
    <cellStyle name="20% - Accent4 2 3 2 3 2" xfId="40868" xr:uid="{00000000-0005-0000-0000-000052040000}"/>
    <cellStyle name="20% - Accent4 2 3 2 4" xfId="28563" xr:uid="{00000000-0005-0000-0000-000053040000}"/>
    <cellStyle name="20% - Accent4 2 3 3" xfId="11730" xr:uid="{00000000-0005-0000-0000-000054040000}"/>
    <cellStyle name="20% - Accent4 2 3 3 2" xfId="31650" xr:uid="{00000000-0005-0000-0000-000055040000}"/>
    <cellStyle name="20% - Accent4 2 3 4" xfId="17882" xr:uid="{00000000-0005-0000-0000-000056040000}"/>
    <cellStyle name="20% - Accent4 2 3 4 2" xfId="37802" xr:uid="{00000000-0005-0000-0000-000057040000}"/>
    <cellStyle name="20% - Accent4 2 3 5" xfId="25497" xr:uid="{00000000-0005-0000-0000-000058040000}"/>
    <cellStyle name="20% - Accent4 2 4" xfId="7068" xr:uid="{00000000-0005-0000-0000-000059040000}"/>
    <cellStyle name="20% - Accent4 2 4 2" xfId="13262" xr:uid="{00000000-0005-0000-0000-00005A040000}"/>
    <cellStyle name="20% - Accent4 2 4 2 2" xfId="33182" xr:uid="{00000000-0005-0000-0000-00005B040000}"/>
    <cellStyle name="20% - Accent4 2 4 3" xfId="19414" xr:uid="{00000000-0005-0000-0000-00005C040000}"/>
    <cellStyle name="20% - Accent4 2 4 3 2" xfId="39334" xr:uid="{00000000-0005-0000-0000-00005D040000}"/>
    <cellStyle name="20% - Accent4 2 4 4" xfId="27029" xr:uid="{00000000-0005-0000-0000-00005E040000}"/>
    <cellStyle name="20% - Accent4 2 5" xfId="10196" xr:uid="{00000000-0005-0000-0000-00005F040000}"/>
    <cellStyle name="20% - Accent4 2 5 2" xfId="30116" xr:uid="{00000000-0005-0000-0000-000060040000}"/>
    <cellStyle name="20% - Accent4 2 6" xfId="16348" xr:uid="{00000000-0005-0000-0000-000061040000}"/>
    <cellStyle name="20% - Accent4 2 6 2" xfId="36268" xr:uid="{00000000-0005-0000-0000-000062040000}"/>
    <cellStyle name="20% - Accent4 2 7" xfId="1223" xr:uid="{00000000-0005-0000-0000-000063040000}"/>
    <cellStyle name="20% - Accent4 2 7 2" xfId="23963" xr:uid="{00000000-0005-0000-0000-000064040000}"/>
    <cellStyle name="20% - Accent4 2 8" xfId="22782" xr:uid="{00000000-0005-0000-0000-000065040000}"/>
    <cellStyle name="20% - Accent4 2 8 2" xfId="42693" xr:uid="{00000000-0005-0000-0000-000066040000}"/>
    <cellStyle name="20% - Accent4 2 9" xfId="23085" xr:uid="{00000000-0005-0000-0000-000067040000}"/>
    <cellStyle name="20% - Accent4 2 9 2" xfId="42996" xr:uid="{00000000-0005-0000-0000-000068040000}"/>
    <cellStyle name="20% - Accent4 3" xfId="408" xr:uid="{00000000-0005-0000-0000-000069040000}"/>
    <cellStyle name="20% - Accent4 3 10" xfId="23412" xr:uid="{00000000-0005-0000-0000-00006A040000}"/>
    <cellStyle name="20% - Accent4 3 2" xfId="833" xr:uid="{00000000-0005-0000-0000-00006B040000}"/>
    <cellStyle name="20% - Accent4 3 2 2" xfId="6287" xr:uid="{00000000-0005-0000-0000-00006C040000}"/>
    <cellStyle name="20% - Accent4 3 2 2 2" xfId="9373" xr:uid="{00000000-0005-0000-0000-00006D040000}"/>
    <cellStyle name="20% - Accent4 3 2 2 2 2" xfId="15566" xr:uid="{00000000-0005-0000-0000-00006E040000}"/>
    <cellStyle name="20% - Accent4 3 2 2 2 2 2" xfId="35486" xr:uid="{00000000-0005-0000-0000-00006F040000}"/>
    <cellStyle name="20% - Accent4 3 2 2 2 3" xfId="21718" xr:uid="{00000000-0005-0000-0000-000070040000}"/>
    <cellStyle name="20% - Accent4 3 2 2 2 3 2" xfId="41638" xr:uid="{00000000-0005-0000-0000-000071040000}"/>
    <cellStyle name="20% - Accent4 3 2 2 2 4" xfId="29333" xr:uid="{00000000-0005-0000-0000-000072040000}"/>
    <cellStyle name="20% - Accent4 3 2 2 3" xfId="12500" xr:uid="{00000000-0005-0000-0000-000073040000}"/>
    <cellStyle name="20% - Accent4 3 2 2 3 2" xfId="32420" xr:uid="{00000000-0005-0000-0000-000074040000}"/>
    <cellStyle name="20% - Accent4 3 2 2 4" xfId="18652" xr:uid="{00000000-0005-0000-0000-000075040000}"/>
    <cellStyle name="20% - Accent4 3 2 2 4 2" xfId="38572" xr:uid="{00000000-0005-0000-0000-000076040000}"/>
    <cellStyle name="20% - Accent4 3 2 2 5" xfId="26267" xr:uid="{00000000-0005-0000-0000-000077040000}"/>
    <cellStyle name="20% - Accent4 3 2 3" xfId="7838" xr:uid="{00000000-0005-0000-0000-000078040000}"/>
    <cellStyle name="20% - Accent4 3 2 3 2" xfId="14032" xr:uid="{00000000-0005-0000-0000-000079040000}"/>
    <cellStyle name="20% - Accent4 3 2 3 2 2" xfId="33952" xr:uid="{00000000-0005-0000-0000-00007A040000}"/>
    <cellStyle name="20% - Accent4 3 2 3 3" xfId="20184" xr:uid="{00000000-0005-0000-0000-00007B040000}"/>
    <cellStyle name="20% - Accent4 3 2 3 3 2" xfId="40104" xr:uid="{00000000-0005-0000-0000-00007C040000}"/>
    <cellStyle name="20% - Accent4 3 2 3 4" xfId="27799" xr:uid="{00000000-0005-0000-0000-00007D040000}"/>
    <cellStyle name="20% - Accent4 3 2 4" xfId="10966" xr:uid="{00000000-0005-0000-0000-00007E040000}"/>
    <cellStyle name="20% - Accent4 3 2 4 2" xfId="30886" xr:uid="{00000000-0005-0000-0000-00007F040000}"/>
    <cellStyle name="20% - Accent4 3 2 5" xfId="17118" xr:uid="{00000000-0005-0000-0000-000080040000}"/>
    <cellStyle name="20% - Accent4 3 2 5 2" xfId="37038" xr:uid="{00000000-0005-0000-0000-000081040000}"/>
    <cellStyle name="20% - Accent4 3 2 6" xfId="4662" xr:uid="{00000000-0005-0000-0000-000082040000}"/>
    <cellStyle name="20% - Accent4 3 2 6 2" xfId="24733" xr:uid="{00000000-0005-0000-0000-000083040000}"/>
    <cellStyle name="20% - Accent4 3 2 7" xfId="23715" xr:uid="{00000000-0005-0000-0000-000084040000}"/>
    <cellStyle name="20% - Accent4 3 3" xfId="5501" xr:uid="{00000000-0005-0000-0000-000085040000}"/>
    <cellStyle name="20% - Accent4 3 3 2" xfId="8604" xr:uid="{00000000-0005-0000-0000-000086040000}"/>
    <cellStyle name="20% - Accent4 3 3 2 2" xfId="14797" xr:uid="{00000000-0005-0000-0000-000087040000}"/>
    <cellStyle name="20% - Accent4 3 3 2 2 2" xfId="34717" xr:uid="{00000000-0005-0000-0000-000088040000}"/>
    <cellStyle name="20% - Accent4 3 3 2 3" xfId="20949" xr:uid="{00000000-0005-0000-0000-000089040000}"/>
    <cellStyle name="20% - Accent4 3 3 2 3 2" xfId="40869" xr:uid="{00000000-0005-0000-0000-00008A040000}"/>
    <cellStyle name="20% - Accent4 3 3 2 4" xfId="28564" xr:uid="{00000000-0005-0000-0000-00008B040000}"/>
    <cellStyle name="20% - Accent4 3 3 3" xfId="11731" xr:uid="{00000000-0005-0000-0000-00008C040000}"/>
    <cellStyle name="20% - Accent4 3 3 3 2" xfId="31651" xr:uid="{00000000-0005-0000-0000-00008D040000}"/>
    <cellStyle name="20% - Accent4 3 3 4" xfId="17883" xr:uid="{00000000-0005-0000-0000-00008E040000}"/>
    <cellStyle name="20% - Accent4 3 3 4 2" xfId="37803" xr:uid="{00000000-0005-0000-0000-00008F040000}"/>
    <cellStyle name="20% - Accent4 3 3 5" xfId="25498" xr:uid="{00000000-0005-0000-0000-000090040000}"/>
    <cellStyle name="20% - Accent4 3 4" xfId="7069" xr:uid="{00000000-0005-0000-0000-000091040000}"/>
    <cellStyle name="20% - Accent4 3 4 2" xfId="13263" xr:uid="{00000000-0005-0000-0000-000092040000}"/>
    <cellStyle name="20% - Accent4 3 4 2 2" xfId="33183" xr:uid="{00000000-0005-0000-0000-000093040000}"/>
    <cellStyle name="20% - Accent4 3 4 3" xfId="19415" xr:uid="{00000000-0005-0000-0000-000094040000}"/>
    <cellStyle name="20% - Accent4 3 4 3 2" xfId="39335" xr:uid="{00000000-0005-0000-0000-000095040000}"/>
    <cellStyle name="20% - Accent4 3 4 4" xfId="27030" xr:uid="{00000000-0005-0000-0000-000096040000}"/>
    <cellStyle name="20% - Accent4 3 5" xfId="10197" xr:uid="{00000000-0005-0000-0000-000097040000}"/>
    <cellStyle name="20% - Accent4 3 5 2" xfId="30117" xr:uid="{00000000-0005-0000-0000-000098040000}"/>
    <cellStyle name="20% - Accent4 3 6" xfId="16349" xr:uid="{00000000-0005-0000-0000-000099040000}"/>
    <cellStyle name="20% - Accent4 3 6 2" xfId="36269" xr:uid="{00000000-0005-0000-0000-00009A040000}"/>
    <cellStyle name="20% - Accent4 3 7" xfId="1224" xr:uid="{00000000-0005-0000-0000-00009B040000}"/>
    <cellStyle name="20% - Accent4 3 7 2" xfId="23964" xr:uid="{00000000-0005-0000-0000-00009C040000}"/>
    <cellStyle name="20% - Accent4 3 8" xfId="22798" xr:uid="{00000000-0005-0000-0000-00009D040000}"/>
    <cellStyle name="20% - Accent4 3 8 2" xfId="42709" xr:uid="{00000000-0005-0000-0000-00009E040000}"/>
    <cellStyle name="20% - Accent4 3 9" xfId="23101" xr:uid="{00000000-0005-0000-0000-00009F040000}"/>
    <cellStyle name="20% - Accent4 3 9 2" xfId="43012" xr:uid="{00000000-0005-0000-0000-0000A0040000}"/>
    <cellStyle name="20% - Accent4 4" xfId="435" xr:uid="{00000000-0005-0000-0000-0000A1040000}"/>
    <cellStyle name="20% - Accent4 4 10" xfId="23428" xr:uid="{00000000-0005-0000-0000-0000A2040000}"/>
    <cellStyle name="20% - Accent4 4 2" xfId="849" xr:uid="{00000000-0005-0000-0000-0000A3040000}"/>
    <cellStyle name="20% - Accent4 4 2 2" xfId="6288" xr:uid="{00000000-0005-0000-0000-0000A4040000}"/>
    <cellStyle name="20% - Accent4 4 2 2 2" xfId="9374" xr:uid="{00000000-0005-0000-0000-0000A5040000}"/>
    <cellStyle name="20% - Accent4 4 2 2 2 2" xfId="15567" xr:uid="{00000000-0005-0000-0000-0000A6040000}"/>
    <cellStyle name="20% - Accent4 4 2 2 2 2 2" xfId="35487" xr:uid="{00000000-0005-0000-0000-0000A7040000}"/>
    <cellStyle name="20% - Accent4 4 2 2 2 3" xfId="21719" xr:uid="{00000000-0005-0000-0000-0000A8040000}"/>
    <cellStyle name="20% - Accent4 4 2 2 2 3 2" xfId="41639" xr:uid="{00000000-0005-0000-0000-0000A9040000}"/>
    <cellStyle name="20% - Accent4 4 2 2 2 4" xfId="29334" xr:uid="{00000000-0005-0000-0000-0000AA040000}"/>
    <cellStyle name="20% - Accent4 4 2 2 3" xfId="12501" xr:uid="{00000000-0005-0000-0000-0000AB040000}"/>
    <cellStyle name="20% - Accent4 4 2 2 3 2" xfId="32421" xr:uid="{00000000-0005-0000-0000-0000AC040000}"/>
    <cellStyle name="20% - Accent4 4 2 2 4" xfId="18653" xr:uid="{00000000-0005-0000-0000-0000AD040000}"/>
    <cellStyle name="20% - Accent4 4 2 2 4 2" xfId="38573" xr:uid="{00000000-0005-0000-0000-0000AE040000}"/>
    <cellStyle name="20% - Accent4 4 2 2 5" xfId="26268" xr:uid="{00000000-0005-0000-0000-0000AF040000}"/>
    <cellStyle name="20% - Accent4 4 2 3" xfId="7839" xr:uid="{00000000-0005-0000-0000-0000B0040000}"/>
    <cellStyle name="20% - Accent4 4 2 3 2" xfId="14033" xr:uid="{00000000-0005-0000-0000-0000B1040000}"/>
    <cellStyle name="20% - Accent4 4 2 3 2 2" xfId="33953" xr:uid="{00000000-0005-0000-0000-0000B2040000}"/>
    <cellStyle name="20% - Accent4 4 2 3 3" xfId="20185" xr:uid="{00000000-0005-0000-0000-0000B3040000}"/>
    <cellStyle name="20% - Accent4 4 2 3 3 2" xfId="40105" xr:uid="{00000000-0005-0000-0000-0000B4040000}"/>
    <cellStyle name="20% - Accent4 4 2 3 4" xfId="27800" xr:uid="{00000000-0005-0000-0000-0000B5040000}"/>
    <cellStyle name="20% - Accent4 4 2 4" xfId="10967" xr:uid="{00000000-0005-0000-0000-0000B6040000}"/>
    <cellStyle name="20% - Accent4 4 2 4 2" xfId="30887" xr:uid="{00000000-0005-0000-0000-0000B7040000}"/>
    <cellStyle name="20% - Accent4 4 2 5" xfId="17119" xr:uid="{00000000-0005-0000-0000-0000B8040000}"/>
    <cellStyle name="20% - Accent4 4 2 5 2" xfId="37039" xr:uid="{00000000-0005-0000-0000-0000B9040000}"/>
    <cellStyle name="20% - Accent4 4 2 6" xfId="4663" xr:uid="{00000000-0005-0000-0000-0000BA040000}"/>
    <cellStyle name="20% - Accent4 4 2 6 2" xfId="24734" xr:uid="{00000000-0005-0000-0000-0000BB040000}"/>
    <cellStyle name="20% - Accent4 4 2 7" xfId="23731" xr:uid="{00000000-0005-0000-0000-0000BC040000}"/>
    <cellStyle name="20% - Accent4 4 3" xfId="5502" xr:uid="{00000000-0005-0000-0000-0000BD040000}"/>
    <cellStyle name="20% - Accent4 4 3 2" xfId="8605" xr:uid="{00000000-0005-0000-0000-0000BE040000}"/>
    <cellStyle name="20% - Accent4 4 3 2 2" xfId="14798" xr:uid="{00000000-0005-0000-0000-0000BF040000}"/>
    <cellStyle name="20% - Accent4 4 3 2 2 2" xfId="34718" xr:uid="{00000000-0005-0000-0000-0000C0040000}"/>
    <cellStyle name="20% - Accent4 4 3 2 3" xfId="20950" xr:uid="{00000000-0005-0000-0000-0000C1040000}"/>
    <cellStyle name="20% - Accent4 4 3 2 3 2" xfId="40870" xr:uid="{00000000-0005-0000-0000-0000C2040000}"/>
    <cellStyle name="20% - Accent4 4 3 2 4" xfId="28565" xr:uid="{00000000-0005-0000-0000-0000C3040000}"/>
    <cellStyle name="20% - Accent4 4 3 3" xfId="11732" xr:uid="{00000000-0005-0000-0000-0000C4040000}"/>
    <cellStyle name="20% - Accent4 4 3 3 2" xfId="31652" xr:uid="{00000000-0005-0000-0000-0000C5040000}"/>
    <cellStyle name="20% - Accent4 4 3 4" xfId="17884" xr:uid="{00000000-0005-0000-0000-0000C6040000}"/>
    <cellStyle name="20% - Accent4 4 3 4 2" xfId="37804" xr:uid="{00000000-0005-0000-0000-0000C7040000}"/>
    <cellStyle name="20% - Accent4 4 3 5" xfId="25499" xr:uid="{00000000-0005-0000-0000-0000C8040000}"/>
    <cellStyle name="20% - Accent4 4 4" xfId="7070" xr:uid="{00000000-0005-0000-0000-0000C9040000}"/>
    <cellStyle name="20% - Accent4 4 4 2" xfId="13264" xr:uid="{00000000-0005-0000-0000-0000CA040000}"/>
    <cellStyle name="20% - Accent4 4 4 2 2" xfId="33184" xr:uid="{00000000-0005-0000-0000-0000CB040000}"/>
    <cellStyle name="20% - Accent4 4 4 3" xfId="19416" xr:uid="{00000000-0005-0000-0000-0000CC040000}"/>
    <cellStyle name="20% - Accent4 4 4 3 2" xfId="39336" xr:uid="{00000000-0005-0000-0000-0000CD040000}"/>
    <cellStyle name="20% - Accent4 4 4 4" xfId="27031" xr:uid="{00000000-0005-0000-0000-0000CE040000}"/>
    <cellStyle name="20% - Accent4 4 5" xfId="10198" xr:uid="{00000000-0005-0000-0000-0000CF040000}"/>
    <cellStyle name="20% - Accent4 4 5 2" xfId="30118" xr:uid="{00000000-0005-0000-0000-0000D0040000}"/>
    <cellStyle name="20% - Accent4 4 6" xfId="16350" xr:uid="{00000000-0005-0000-0000-0000D1040000}"/>
    <cellStyle name="20% - Accent4 4 6 2" xfId="36270" xr:uid="{00000000-0005-0000-0000-0000D2040000}"/>
    <cellStyle name="20% - Accent4 4 7" xfId="1225" xr:uid="{00000000-0005-0000-0000-0000D3040000}"/>
    <cellStyle name="20% - Accent4 4 7 2" xfId="23965" xr:uid="{00000000-0005-0000-0000-0000D4040000}"/>
    <cellStyle name="20% - Accent4 4 8" xfId="22814" xr:uid="{00000000-0005-0000-0000-0000D5040000}"/>
    <cellStyle name="20% - Accent4 4 8 2" xfId="42725" xr:uid="{00000000-0005-0000-0000-0000D6040000}"/>
    <cellStyle name="20% - Accent4 4 9" xfId="23117" xr:uid="{00000000-0005-0000-0000-0000D7040000}"/>
    <cellStyle name="20% - Accent4 4 9 2" xfId="43028" xr:uid="{00000000-0005-0000-0000-0000D8040000}"/>
    <cellStyle name="20% - Accent4 5" xfId="463" xr:uid="{00000000-0005-0000-0000-0000D9040000}"/>
    <cellStyle name="20% - Accent4 5 10" xfId="23133" xr:uid="{00000000-0005-0000-0000-0000DA040000}"/>
    <cellStyle name="20% - Accent4 5 10 2" xfId="43044" xr:uid="{00000000-0005-0000-0000-0000DB040000}"/>
    <cellStyle name="20% - Accent4 5 11" xfId="23444" xr:uid="{00000000-0005-0000-0000-0000DC040000}"/>
    <cellStyle name="20% - Accent4 5 2" xfId="865" xr:uid="{00000000-0005-0000-0000-0000DD040000}"/>
    <cellStyle name="20% - Accent4 5 2 2" xfId="6289" xr:uid="{00000000-0005-0000-0000-0000DE040000}"/>
    <cellStyle name="20% - Accent4 5 2 2 2" xfId="9375" xr:uid="{00000000-0005-0000-0000-0000DF040000}"/>
    <cellStyle name="20% - Accent4 5 2 2 2 2" xfId="15568" xr:uid="{00000000-0005-0000-0000-0000E0040000}"/>
    <cellStyle name="20% - Accent4 5 2 2 2 2 2" xfId="35488" xr:uid="{00000000-0005-0000-0000-0000E1040000}"/>
    <cellStyle name="20% - Accent4 5 2 2 2 3" xfId="21720" xr:uid="{00000000-0005-0000-0000-0000E2040000}"/>
    <cellStyle name="20% - Accent4 5 2 2 2 3 2" xfId="41640" xr:uid="{00000000-0005-0000-0000-0000E3040000}"/>
    <cellStyle name="20% - Accent4 5 2 2 2 4" xfId="29335" xr:uid="{00000000-0005-0000-0000-0000E4040000}"/>
    <cellStyle name="20% - Accent4 5 2 2 3" xfId="12502" xr:uid="{00000000-0005-0000-0000-0000E5040000}"/>
    <cellStyle name="20% - Accent4 5 2 2 3 2" xfId="32422" xr:uid="{00000000-0005-0000-0000-0000E6040000}"/>
    <cellStyle name="20% - Accent4 5 2 2 4" xfId="18654" xr:uid="{00000000-0005-0000-0000-0000E7040000}"/>
    <cellStyle name="20% - Accent4 5 2 2 4 2" xfId="38574" xr:uid="{00000000-0005-0000-0000-0000E8040000}"/>
    <cellStyle name="20% - Accent4 5 2 2 5" xfId="26269" xr:uid="{00000000-0005-0000-0000-0000E9040000}"/>
    <cellStyle name="20% - Accent4 5 2 3" xfId="7840" xr:uid="{00000000-0005-0000-0000-0000EA040000}"/>
    <cellStyle name="20% - Accent4 5 2 3 2" xfId="14034" xr:uid="{00000000-0005-0000-0000-0000EB040000}"/>
    <cellStyle name="20% - Accent4 5 2 3 2 2" xfId="33954" xr:uid="{00000000-0005-0000-0000-0000EC040000}"/>
    <cellStyle name="20% - Accent4 5 2 3 3" xfId="20186" xr:uid="{00000000-0005-0000-0000-0000ED040000}"/>
    <cellStyle name="20% - Accent4 5 2 3 3 2" xfId="40106" xr:uid="{00000000-0005-0000-0000-0000EE040000}"/>
    <cellStyle name="20% - Accent4 5 2 3 4" xfId="27801" xr:uid="{00000000-0005-0000-0000-0000EF040000}"/>
    <cellStyle name="20% - Accent4 5 2 4" xfId="10968" xr:uid="{00000000-0005-0000-0000-0000F0040000}"/>
    <cellStyle name="20% - Accent4 5 2 4 2" xfId="30888" xr:uid="{00000000-0005-0000-0000-0000F1040000}"/>
    <cellStyle name="20% - Accent4 5 2 5" xfId="17120" xr:uid="{00000000-0005-0000-0000-0000F2040000}"/>
    <cellStyle name="20% - Accent4 5 2 5 2" xfId="37040" xr:uid="{00000000-0005-0000-0000-0000F3040000}"/>
    <cellStyle name="20% - Accent4 5 2 6" xfId="4664" xr:uid="{00000000-0005-0000-0000-0000F4040000}"/>
    <cellStyle name="20% - Accent4 5 2 6 2" xfId="24735" xr:uid="{00000000-0005-0000-0000-0000F5040000}"/>
    <cellStyle name="20% - Accent4 5 2 7" xfId="23747" xr:uid="{00000000-0005-0000-0000-0000F6040000}"/>
    <cellStyle name="20% - Accent4 5 3" xfId="5503" xr:uid="{00000000-0005-0000-0000-0000F7040000}"/>
    <cellStyle name="20% - Accent4 5 3 2" xfId="8606" xr:uid="{00000000-0005-0000-0000-0000F8040000}"/>
    <cellStyle name="20% - Accent4 5 3 2 2" xfId="14799" xr:uid="{00000000-0005-0000-0000-0000F9040000}"/>
    <cellStyle name="20% - Accent4 5 3 2 2 2" xfId="34719" xr:uid="{00000000-0005-0000-0000-0000FA040000}"/>
    <cellStyle name="20% - Accent4 5 3 2 3" xfId="20951" xr:uid="{00000000-0005-0000-0000-0000FB040000}"/>
    <cellStyle name="20% - Accent4 5 3 2 3 2" xfId="40871" xr:uid="{00000000-0005-0000-0000-0000FC040000}"/>
    <cellStyle name="20% - Accent4 5 3 2 4" xfId="28566" xr:uid="{00000000-0005-0000-0000-0000FD040000}"/>
    <cellStyle name="20% - Accent4 5 3 3" xfId="11733" xr:uid="{00000000-0005-0000-0000-0000FE040000}"/>
    <cellStyle name="20% - Accent4 5 3 3 2" xfId="31653" xr:uid="{00000000-0005-0000-0000-0000FF040000}"/>
    <cellStyle name="20% - Accent4 5 3 4" xfId="17885" xr:uid="{00000000-0005-0000-0000-000000050000}"/>
    <cellStyle name="20% - Accent4 5 3 4 2" xfId="37805" xr:uid="{00000000-0005-0000-0000-000001050000}"/>
    <cellStyle name="20% - Accent4 5 3 5" xfId="25500" xr:uid="{00000000-0005-0000-0000-000002050000}"/>
    <cellStyle name="20% - Accent4 5 4" xfId="7071" xr:uid="{00000000-0005-0000-0000-000003050000}"/>
    <cellStyle name="20% - Accent4 5 4 2" xfId="13265" xr:uid="{00000000-0005-0000-0000-000004050000}"/>
    <cellStyle name="20% - Accent4 5 4 2 2" xfId="33185" xr:uid="{00000000-0005-0000-0000-000005050000}"/>
    <cellStyle name="20% - Accent4 5 4 3" xfId="19417" xr:uid="{00000000-0005-0000-0000-000006050000}"/>
    <cellStyle name="20% - Accent4 5 4 3 2" xfId="39337" xr:uid="{00000000-0005-0000-0000-000007050000}"/>
    <cellStyle name="20% - Accent4 5 4 4" xfId="27032" xr:uid="{00000000-0005-0000-0000-000008050000}"/>
    <cellStyle name="20% - Accent4 5 5" xfId="10199" xr:uid="{00000000-0005-0000-0000-000009050000}"/>
    <cellStyle name="20% - Accent4 5 5 2" xfId="30119" xr:uid="{00000000-0005-0000-0000-00000A050000}"/>
    <cellStyle name="20% - Accent4 5 6" xfId="16351" xr:uid="{00000000-0005-0000-0000-00000B050000}"/>
    <cellStyle name="20% - Accent4 5 6 2" xfId="36271" xr:uid="{00000000-0005-0000-0000-00000C050000}"/>
    <cellStyle name="20% - Accent4 5 7" xfId="1226" xr:uid="{00000000-0005-0000-0000-00000D050000}"/>
    <cellStyle name="20% - Accent4 5 7 2" xfId="23966" xr:uid="{00000000-0005-0000-0000-00000E050000}"/>
    <cellStyle name="20% - Accent4 5 8" xfId="22491" xr:uid="{00000000-0005-0000-0000-00000F050000}"/>
    <cellStyle name="20% - Accent4 5 8 2" xfId="42402" xr:uid="{00000000-0005-0000-0000-000010050000}"/>
    <cellStyle name="20% - Accent4 5 9" xfId="22830" xr:uid="{00000000-0005-0000-0000-000011050000}"/>
    <cellStyle name="20% - Accent4 5 9 2" xfId="42741" xr:uid="{00000000-0005-0000-0000-000012050000}"/>
    <cellStyle name="20% - Accent4 6" xfId="488" xr:uid="{00000000-0005-0000-0000-000013050000}"/>
    <cellStyle name="20% - Accent4 6 2" xfId="881" xr:uid="{00000000-0005-0000-0000-000014050000}"/>
    <cellStyle name="20% - Accent4 6 2 2" xfId="23763" xr:uid="{00000000-0005-0000-0000-000015050000}"/>
    <cellStyle name="20% - Accent4 6 3" xfId="1227" xr:uid="{00000000-0005-0000-0000-000016050000}"/>
    <cellStyle name="20% - Accent4 6 4" xfId="22654" xr:uid="{00000000-0005-0000-0000-000017050000}"/>
    <cellStyle name="20% - Accent4 6 4 2" xfId="42565" xr:uid="{00000000-0005-0000-0000-000018050000}"/>
    <cellStyle name="20% - Accent4 6 5" xfId="22846" xr:uid="{00000000-0005-0000-0000-000019050000}"/>
    <cellStyle name="20% - Accent4 6 5 2" xfId="42757" xr:uid="{00000000-0005-0000-0000-00001A050000}"/>
    <cellStyle name="20% - Accent4 6 6" xfId="23149" xr:uid="{00000000-0005-0000-0000-00001B050000}"/>
    <cellStyle name="20% - Accent4 6 6 2" xfId="43060" xr:uid="{00000000-0005-0000-0000-00001C050000}"/>
    <cellStyle name="20% - Accent4 6 7" xfId="23460" xr:uid="{00000000-0005-0000-0000-00001D050000}"/>
    <cellStyle name="20% - Accent4 7" xfId="513" xr:uid="{00000000-0005-0000-0000-00001E050000}"/>
    <cellStyle name="20% - Accent4 7 2" xfId="897" xr:uid="{00000000-0005-0000-0000-00001F050000}"/>
    <cellStyle name="20% - Accent4 7 2 2" xfId="23779" xr:uid="{00000000-0005-0000-0000-000020050000}"/>
    <cellStyle name="20% - Accent4 7 3" xfId="22669" xr:uid="{00000000-0005-0000-0000-000021050000}"/>
    <cellStyle name="20% - Accent4 7 3 2" xfId="42580" xr:uid="{00000000-0005-0000-0000-000022050000}"/>
    <cellStyle name="20% - Accent4 7 4" xfId="22862" xr:uid="{00000000-0005-0000-0000-000023050000}"/>
    <cellStyle name="20% - Accent4 7 4 2" xfId="42773" xr:uid="{00000000-0005-0000-0000-000024050000}"/>
    <cellStyle name="20% - Accent4 7 5" xfId="23165" xr:uid="{00000000-0005-0000-0000-000025050000}"/>
    <cellStyle name="20% - Accent4 7 5 2" xfId="43076" xr:uid="{00000000-0005-0000-0000-000026050000}"/>
    <cellStyle name="20% - Accent4 7 6" xfId="23476" xr:uid="{00000000-0005-0000-0000-000027050000}"/>
    <cellStyle name="20% - Accent4 8" xfId="538" xr:uid="{00000000-0005-0000-0000-000028050000}"/>
    <cellStyle name="20% - Accent4 8 2" xfId="913" xr:uid="{00000000-0005-0000-0000-000029050000}"/>
    <cellStyle name="20% - Accent4 8 2 2" xfId="23795" xr:uid="{00000000-0005-0000-0000-00002A050000}"/>
    <cellStyle name="20% - Accent4 8 3" xfId="22693" xr:uid="{00000000-0005-0000-0000-00002B050000}"/>
    <cellStyle name="20% - Accent4 8 3 2" xfId="42604" xr:uid="{00000000-0005-0000-0000-00002C050000}"/>
    <cellStyle name="20% - Accent4 8 4" xfId="22878" xr:uid="{00000000-0005-0000-0000-00002D050000}"/>
    <cellStyle name="20% - Accent4 8 4 2" xfId="42789" xr:uid="{00000000-0005-0000-0000-00002E050000}"/>
    <cellStyle name="20% - Accent4 8 5" xfId="23181" xr:uid="{00000000-0005-0000-0000-00002F050000}"/>
    <cellStyle name="20% - Accent4 8 5 2" xfId="43092" xr:uid="{00000000-0005-0000-0000-000030050000}"/>
    <cellStyle name="20% - Accent4 8 6" xfId="23492" xr:uid="{00000000-0005-0000-0000-000031050000}"/>
    <cellStyle name="20% - Accent4 9" xfId="577" xr:uid="{00000000-0005-0000-0000-000032050000}"/>
    <cellStyle name="20% - Accent4 9 2" xfId="929" xr:uid="{00000000-0005-0000-0000-000033050000}"/>
    <cellStyle name="20% - Accent4 9 2 2" xfId="23811" xr:uid="{00000000-0005-0000-0000-000034050000}"/>
    <cellStyle name="20% - Accent4 9 3" xfId="22528" xr:uid="{00000000-0005-0000-0000-000035050000}"/>
    <cellStyle name="20% - Accent4 9 3 2" xfId="42439" xr:uid="{00000000-0005-0000-0000-000036050000}"/>
    <cellStyle name="20% - Accent4 9 4" xfId="22894" xr:uid="{00000000-0005-0000-0000-000037050000}"/>
    <cellStyle name="20% - Accent4 9 4 2" xfId="42805" xr:uid="{00000000-0005-0000-0000-000038050000}"/>
    <cellStyle name="20% - Accent4 9 5" xfId="23197" xr:uid="{00000000-0005-0000-0000-000039050000}"/>
    <cellStyle name="20% - Accent4 9 5 2" xfId="43108" xr:uid="{00000000-0005-0000-0000-00003A050000}"/>
    <cellStyle name="20% - Accent4 9 6" xfId="23508" xr:uid="{00000000-0005-0000-0000-00003B050000}"/>
    <cellStyle name="20% - Accent5" xfId="78" builtinId="46" customBuiltin="1"/>
    <cellStyle name="20% - Accent5 10" xfId="609" xr:uid="{00000000-0005-0000-0000-00003D050000}"/>
    <cellStyle name="20% - Accent5 10 2" xfId="947" xr:uid="{00000000-0005-0000-0000-00003E050000}"/>
    <cellStyle name="20% - Accent5 10 2 2" xfId="23829" xr:uid="{00000000-0005-0000-0000-00003F050000}"/>
    <cellStyle name="20% - Accent5 10 3" xfId="22641" xr:uid="{00000000-0005-0000-0000-000040050000}"/>
    <cellStyle name="20% - Accent5 10 3 2" xfId="42552" xr:uid="{00000000-0005-0000-0000-000041050000}"/>
    <cellStyle name="20% - Accent5 10 4" xfId="22912" xr:uid="{00000000-0005-0000-0000-000042050000}"/>
    <cellStyle name="20% - Accent5 10 4 2" xfId="42823" xr:uid="{00000000-0005-0000-0000-000043050000}"/>
    <cellStyle name="20% - Accent5 10 5" xfId="23215" xr:uid="{00000000-0005-0000-0000-000044050000}"/>
    <cellStyle name="20% - Accent5 10 5 2" xfId="43126" xr:uid="{00000000-0005-0000-0000-000045050000}"/>
    <cellStyle name="20% - Accent5 10 6" xfId="23526" xr:uid="{00000000-0005-0000-0000-000046050000}"/>
    <cellStyle name="20% - Accent5 11" xfId="635" xr:uid="{00000000-0005-0000-0000-000047050000}"/>
    <cellStyle name="20% - Accent5 11 2" xfId="963" xr:uid="{00000000-0005-0000-0000-000048050000}"/>
    <cellStyle name="20% - Accent5 11 2 2" xfId="23845" xr:uid="{00000000-0005-0000-0000-000049050000}"/>
    <cellStyle name="20% - Accent5 11 3" xfId="22606" xr:uid="{00000000-0005-0000-0000-00004A050000}"/>
    <cellStyle name="20% - Accent5 11 3 2" xfId="42517" xr:uid="{00000000-0005-0000-0000-00004B050000}"/>
    <cellStyle name="20% - Accent5 11 4" xfId="22928" xr:uid="{00000000-0005-0000-0000-00004C050000}"/>
    <cellStyle name="20% - Accent5 11 4 2" xfId="42839" xr:uid="{00000000-0005-0000-0000-00004D050000}"/>
    <cellStyle name="20% - Accent5 11 5" xfId="23231" xr:uid="{00000000-0005-0000-0000-00004E050000}"/>
    <cellStyle name="20% - Accent5 11 5 2" xfId="43142" xr:uid="{00000000-0005-0000-0000-00004F050000}"/>
    <cellStyle name="20% - Accent5 11 6" xfId="23542" xr:uid="{00000000-0005-0000-0000-000050050000}"/>
    <cellStyle name="20% - Accent5 12" xfId="661" xr:uid="{00000000-0005-0000-0000-000051050000}"/>
    <cellStyle name="20% - Accent5 12 2" xfId="979" xr:uid="{00000000-0005-0000-0000-000052050000}"/>
    <cellStyle name="20% - Accent5 12 2 2" xfId="23861" xr:uid="{00000000-0005-0000-0000-000053050000}"/>
    <cellStyle name="20% - Accent5 12 3" xfId="22566" xr:uid="{00000000-0005-0000-0000-000054050000}"/>
    <cellStyle name="20% - Accent5 12 3 2" xfId="42477" xr:uid="{00000000-0005-0000-0000-000055050000}"/>
    <cellStyle name="20% - Accent5 12 4" xfId="22944" xr:uid="{00000000-0005-0000-0000-000056050000}"/>
    <cellStyle name="20% - Accent5 12 4 2" xfId="42855" xr:uid="{00000000-0005-0000-0000-000057050000}"/>
    <cellStyle name="20% - Accent5 12 5" xfId="23247" xr:uid="{00000000-0005-0000-0000-000058050000}"/>
    <cellStyle name="20% - Accent5 12 5 2" xfId="43158" xr:uid="{00000000-0005-0000-0000-000059050000}"/>
    <cellStyle name="20% - Accent5 12 6" xfId="23558" xr:uid="{00000000-0005-0000-0000-00005A050000}"/>
    <cellStyle name="20% - Accent5 13" xfId="685" xr:uid="{00000000-0005-0000-0000-00005B050000}"/>
    <cellStyle name="20% - Accent5 13 2" xfId="995" xr:uid="{00000000-0005-0000-0000-00005C050000}"/>
    <cellStyle name="20% - Accent5 13 2 2" xfId="23877" xr:uid="{00000000-0005-0000-0000-00005D050000}"/>
    <cellStyle name="20% - Accent5 13 3" xfId="22544" xr:uid="{00000000-0005-0000-0000-00005E050000}"/>
    <cellStyle name="20% - Accent5 13 3 2" xfId="42455" xr:uid="{00000000-0005-0000-0000-00005F050000}"/>
    <cellStyle name="20% - Accent5 13 4" xfId="22960" xr:uid="{00000000-0005-0000-0000-000060050000}"/>
    <cellStyle name="20% - Accent5 13 4 2" xfId="42871" xr:uid="{00000000-0005-0000-0000-000061050000}"/>
    <cellStyle name="20% - Accent5 13 5" xfId="23263" xr:uid="{00000000-0005-0000-0000-000062050000}"/>
    <cellStyle name="20% - Accent5 13 5 2" xfId="43174" xr:uid="{00000000-0005-0000-0000-000063050000}"/>
    <cellStyle name="20% - Accent5 13 6" xfId="23574" xr:uid="{00000000-0005-0000-0000-000064050000}"/>
    <cellStyle name="20% - Accent5 14" xfId="703" xr:uid="{00000000-0005-0000-0000-000065050000}"/>
    <cellStyle name="20% - Accent5 14 2" xfId="1011" xr:uid="{00000000-0005-0000-0000-000066050000}"/>
    <cellStyle name="20% - Accent5 14 2 2" xfId="23893" xr:uid="{00000000-0005-0000-0000-000067050000}"/>
    <cellStyle name="20% - Accent5 14 3" xfId="22597" xr:uid="{00000000-0005-0000-0000-000068050000}"/>
    <cellStyle name="20% - Accent5 14 3 2" xfId="42508" xr:uid="{00000000-0005-0000-0000-000069050000}"/>
    <cellStyle name="20% - Accent5 14 4" xfId="22976" xr:uid="{00000000-0005-0000-0000-00006A050000}"/>
    <cellStyle name="20% - Accent5 14 4 2" xfId="42887" xr:uid="{00000000-0005-0000-0000-00006B050000}"/>
    <cellStyle name="20% - Accent5 14 5" xfId="23279" xr:uid="{00000000-0005-0000-0000-00006C050000}"/>
    <cellStyle name="20% - Accent5 14 5 2" xfId="43190" xr:uid="{00000000-0005-0000-0000-00006D050000}"/>
    <cellStyle name="20% - Accent5 14 6" xfId="23590" xr:uid="{00000000-0005-0000-0000-00006E050000}"/>
    <cellStyle name="20% - Accent5 15" xfId="719" xr:uid="{00000000-0005-0000-0000-00006F050000}"/>
    <cellStyle name="20% - Accent5 15 2" xfId="1027" xr:uid="{00000000-0005-0000-0000-000070050000}"/>
    <cellStyle name="20% - Accent5 15 2 2" xfId="23909" xr:uid="{00000000-0005-0000-0000-000071050000}"/>
    <cellStyle name="20% - Accent5 15 3" xfId="22560" xr:uid="{00000000-0005-0000-0000-000072050000}"/>
    <cellStyle name="20% - Accent5 15 3 2" xfId="42471" xr:uid="{00000000-0005-0000-0000-000073050000}"/>
    <cellStyle name="20% - Accent5 15 4" xfId="22992" xr:uid="{00000000-0005-0000-0000-000074050000}"/>
    <cellStyle name="20% - Accent5 15 4 2" xfId="42903" xr:uid="{00000000-0005-0000-0000-000075050000}"/>
    <cellStyle name="20% - Accent5 15 5" xfId="23295" xr:uid="{00000000-0005-0000-0000-000076050000}"/>
    <cellStyle name="20% - Accent5 15 5 2" xfId="43206" xr:uid="{00000000-0005-0000-0000-000077050000}"/>
    <cellStyle name="20% - Accent5 15 6" xfId="23606" xr:uid="{00000000-0005-0000-0000-000078050000}"/>
    <cellStyle name="20% - Accent5 16" xfId="743" xr:uid="{00000000-0005-0000-0000-000079050000}"/>
    <cellStyle name="20% - Accent5 16 2" xfId="23625" xr:uid="{00000000-0005-0000-0000-00007A050000}"/>
    <cellStyle name="20% - Accent5 17" xfId="22708" xr:uid="{00000000-0005-0000-0000-00007B050000}"/>
    <cellStyle name="20% - Accent5 17 2" xfId="42619" xr:uid="{00000000-0005-0000-0000-00007C050000}"/>
    <cellStyle name="20% - Accent5 18" xfId="23011" xr:uid="{00000000-0005-0000-0000-00007D050000}"/>
    <cellStyle name="20% - Accent5 18 2" xfId="42922" xr:uid="{00000000-0005-0000-0000-00007E050000}"/>
    <cellStyle name="20% - Accent5 19" xfId="23315" xr:uid="{00000000-0005-0000-0000-00007F050000}"/>
    <cellStyle name="20% - Accent5 2" xfId="382" xr:uid="{00000000-0005-0000-0000-000080050000}"/>
    <cellStyle name="20% - Accent5 2 10" xfId="23398" xr:uid="{00000000-0005-0000-0000-000081050000}"/>
    <cellStyle name="20% - Accent5 2 2" xfId="819" xr:uid="{00000000-0005-0000-0000-000082050000}"/>
    <cellStyle name="20% - Accent5 2 2 2" xfId="6290" xr:uid="{00000000-0005-0000-0000-000083050000}"/>
    <cellStyle name="20% - Accent5 2 2 2 2" xfId="9376" xr:uid="{00000000-0005-0000-0000-000084050000}"/>
    <cellStyle name="20% - Accent5 2 2 2 2 2" xfId="15569" xr:uid="{00000000-0005-0000-0000-000085050000}"/>
    <cellStyle name="20% - Accent5 2 2 2 2 2 2" xfId="35489" xr:uid="{00000000-0005-0000-0000-000086050000}"/>
    <cellStyle name="20% - Accent5 2 2 2 2 3" xfId="21721" xr:uid="{00000000-0005-0000-0000-000087050000}"/>
    <cellStyle name="20% - Accent5 2 2 2 2 3 2" xfId="41641" xr:uid="{00000000-0005-0000-0000-000088050000}"/>
    <cellStyle name="20% - Accent5 2 2 2 2 4" xfId="29336" xr:uid="{00000000-0005-0000-0000-000089050000}"/>
    <cellStyle name="20% - Accent5 2 2 2 3" xfId="12503" xr:uid="{00000000-0005-0000-0000-00008A050000}"/>
    <cellStyle name="20% - Accent5 2 2 2 3 2" xfId="32423" xr:uid="{00000000-0005-0000-0000-00008B050000}"/>
    <cellStyle name="20% - Accent5 2 2 2 4" xfId="18655" xr:uid="{00000000-0005-0000-0000-00008C050000}"/>
    <cellStyle name="20% - Accent5 2 2 2 4 2" xfId="38575" xr:uid="{00000000-0005-0000-0000-00008D050000}"/>
    <cellStyle name="20% - Accent5 2 2 2 5" xfId="26270" xr:uid="{00000000-0005-0000-0000-00008E050000}"/>
    <cellStyle name="20% - Accent5 2 2 3" xfId="7841" xr:uid="{00000000-0005-0000-0000-00008F050000}"/>
    <cellStyle name="20% - Accent5 2 2 3 2" xfId="14035" xr:uid="{00000000-0005-0000-0000-000090050000}"/>
    <cellStyle name="20% - Accent5 2 2 3 2 2" xfId="33955" xr:uid="{00000000-0005-0000-0000-000091050000}"/>
    <cellStyle name="20% - Accent5 2 2 3 3" xfId="20187" xr:uid="{00000000-0005-0000-0000-000092050000}"/>
    <cellStyle name="20% - Accent5 2 2 3 3 2" xfId="40107" xr:uid="{00000000-0005-0000-0000-000093050000}"/>
    <cellStyle name="20% - Accent5 2 2 3 4" xfId="27802" xr:uid="{00000000-0005-0000-0000-000094050000}"/>
    <cellStyle name="20% - Accent5 2 2 4" xfId="10969" xr:uid="{00000000-0005-0000-0000-000095050000}"/>
    <cellStyle name="20% - Accent5 2 2 4 2" xfId="30889" xr:uid="{00000000-0005-0000-0000-000096050000}"/>
    <cellStyle name="20% - Accent5 2 2 5" xfId="17121" xr:uid="{00000000-0005-0000-0000-000097050000}"/>
    <cellStyle name="20% - Accent5 2 2 5 2" xfId="37041" xr:uid="{00000000-0005-0000-0000-000098050000}"/>
    <cellStyle name="20% - Accent5 2 2 6" xfId="4665" xr:uid="{00000000-0005-0000-0000-000099050000}"/>
    <cellStyle name="20% - Accent5 2 2 6 2" xfId="24736" xr:uid="{00000000-0005-0000-0000-00009A050000}"/>
    <cellStyle name="20% - Accent5 2 2 7" xfId="23701" xr:uid="{00000000-0005-0000-0000-00009B050000}"/>
    <cellStyle name="20% - Accent5 2 3" xfId="5504" xr:uid="{00000000-0005-0000-0000-00009C050000}"/>
    <cellStyle name="20% - Accent5 2 3 2" xfId="8607" xr:uid="{00000000-0005-0000-0000-00009D050000}"/>
    <cellStyle name="20% - Accent5 2 3 2 2" xfId="14800" xr:uid="{00000000-0005-0000-0000-00009E050000}"/>
    <cellStyle name="20% - Accent5 2 3 2 2 2" xfId="34720" xr:uid="{00000000-0005-0000-0000-00009F050000}"/>
    <cellStyle name="20% - Accent5 2 3 2 3" xfId="20952" xr:uid="{00000000-0005-0000-0000-0000A0050000}"/>
    <cellStyle name="20% - Accent5 2 3 2 3 2" xfId="40872" xr:uid="{00000000-0005-0000-0000-0000A1050000}"/>
    <cellStyle name="20% - Accent5 2 3 2 4" xfId="28567" xr:uid="{00000000-0005-0000-0000-0000A2050000}"/>
    <cellStyle name="20% - Accent5 2 3 3" xfId="11734" xr:uid="{00000000-0005-0000-0000-0000A3050000}"/>
    <cellStyle name="20% - Accent5 2 3 3 2" xfId="31654" xr:uid="{00000000-0005-0000-0000-0000A4050000}"/>
    <cellStyle name="20% - Accent5 2 3 4" xfId="17886" xr:uid="{00000000-0005-0000-0000-0000A5050000}"/>
    <cellStyle name="20% - Accent5 2 3 4 2" xfId="37806" xr:uid="{00000000-0005-0000-0000-0000A6050000}"/>
    <cellStyle name="20% - Accent5 2 3 5" xfId="25501" xr:uid="{00000000-0005-0000-0000-0000A7050000}"/>
    <cellStyle name="20% - Accent5 2 4" xfId="7072" xr:uid="{00000000-0005-0000-0000-0000A8050000}"/>
    <cellStyle name="20% - Accent5 2 4 2" xfId="13266" xr:uid="{00000000-0005-0000-0000-0000A9050000}"/>
    <cellStyle name="20% - Accent5 2 4 2 2" xfId="33186" xr:uid="{00000000-0005-0000-0000-0000AA050000}"/>
    <cellStyle name="20% - Accent5 2 4 3" xfId="19418" xr:uid="{00000000-0005-0000-0000-0000AB050000}"/>
    <cellStyle name="20% - Accent5 2 4 3 2" xfId="39338" xr:uid="{00000000-0005-0000-0000-0000AC050000}"/>
    <cellStyle name="20% - Accent5 2 4 4" xfId="27033" xr:uid="{00000000-0005-0000-0000-0000AD050000}"/>
    <cellStyle name="20% - Accent5 2 5" xfId="10200" xr:uid="{00000000-0005-0000-0000-0000AE050000}"/>
    <cellStyle name="20% - Accent5 2 5 2" xfId="30120" xr:uid="{00000000-0005-0000-0000-0000AF050000}"/>
    <cellStyle name="20% - Accent5 2 6" xfId="16352" xr:uid="{00000000-0005-0000-0000-0000B0050000}"/>
    <cellStyle name="20% - Accent5 2 6 2" xfId="36272" xr:uid="{00000000-0005-0000-0000-0000B1050000}"/>
    <cellStyle name="20% - Accent5 2 7" xfId="1228" xr:uid="{00000000-0005-0000-0000-0000B2050000}"/>
    <cellStyle name="20% - Accent5 2 7 2" xfId="23967" xr:uid="{00000000-0005-0000-0000-0000B3050000}"/>
    <cellStyle name="20% - Accent5 2 8" xfId="22784" xr:uid="{00000000-0005-0000-0000-0000B4050000}"/>
    <cellStyle name="20% - Accent5 2 8 2" xfId="42695" xr:uid="{00000000-0005-0000-0000-0000B5050000}"/>
    <cellStyle name="20% - Accent5 2 9" xfId="23087" xr:uid="{00000000-0005-0000-0000-0000B6050000}"/>
    <cellStyle name="20% - Accent5 2 9 2" xfId="42998" xr:uid="{00000000-0005-0000-0000-0000B7050000}"/>
    <cellStyle name="20% - Accent5 3" xfId="412" xr:uid="{00000000-0005-0000-0000-0000B8050000}"/>
    <cellStyle name="20% - Accent5 3 10" xfId="23414" xr:uid="{00000000-0005-0000-0000-0000B9050000}"/>
    <cellStyle name="20% - Accent5 3 2" xfId="835" xr:uid="{00000000-0005-0000-0000-0000BA050000}"/>
    <cellStyle name="20% - Accent5 3 2 2" xfId="6291" xr:uid="{00000000-0005-0000-0000-0000BB050000}"/>
    <cellStyle name="20% - Accent5 3 2 2 2" xfId="9377" xr:uid="{00000000-0005-0000-0000-0000BC050000}"/>
    <cellStyle name="20% - Accent5 3 2 2 2 2" xfId="15570" xr:uid="{00000000-0005-0000-0000-0000BD050000}"/>
    <cellStyle name="20% - Accent5 3 2 2 2 2 2" xfId="35490" xr:uid="{00000000-0005-0000-0000-0000BE050000}"/>
    <cellStyle name="20% - Accent5 3 2 2 2 3" xfId="21722" xr:uid="{00000000-0005-0000-0000-0000BF050000}"/>
    <cellStyle name="20% - Accent5 3 2 2 2 3 2" xfId="41642" xr:uid="{00000000-0005-0000-0000-0000C0050000}"/>
    <cellStyle name="20% - Accent5 3 2 2 2 4" xfId="29337" xr:uid="{00000000-0005-0000-0000-0000C1050000}"/>
    <cellStyle name="20% - Accent5 3 2 2 3" xfId="12504" xr:uid="{00000000-0005-0000-0000-0000C2050000}"/>
    <cellStyle name="20% - Accent5 3 2 2 3 2" xfId="32424" xr:uid="{00000000-0005-0000-0000-0000C3050000}"/>
    <cellStyle name="20% - Accent5 3 2 2 4" xfId="18656" xr:uid="{00000000-0005-0000-0000-0000C4050000}"/>
    <cellStyle name="20% - Accent5 3 2 2 4 2" xfId="38576" xr:uid="{00000000-0005-0000-0000-0000C5050000}"/>
    <cellStyle name="20% - Accent5 3 2 2 5" xfId="26271" xr:uid="{00000000-0005-0000-0000-0000C6050000}"/>
    <cellStyle name="20% - Accent5 3 2 3" xfId="7842" xr:uid="{00000000-0005-0000-0000-0000C7050000}"/>
    <cellStyle name="20% - Accent5 3 2 3 2" xfId="14036" xr:uid="{00000000-0005-0000-0000-0000C8050000}"/>
    <cellStyle name="20% - Accent5 3 2 3 2 2" xfId="33956" xr:uid="{00000000-0005-0000-0000-0000C9050000}"/>
    <cellStyle name="20% - Accent5 3 2 3 3" xfId="20188" xr:uid="{00000000-0005-0000-0000-0000CA050000}"/>
    <cellStyle name="20% - Accent5 3 2 3 3 2" xfId="40108" xr:uid="{00000000-0005-0000-0000-0000CB050000}"/>
    <cellStyle name="20% - Accent5 3 2 3 4" xfId="27803" xr:uid="{00000000-0005-0000-0000-0000CC050000}"/>
    <cellStyle name="20% - Accent5 3 2 4" xfId="10970" xr:uid="{00000000-0005-0000-0000-0000CD050000}"/>
    <cellStyle name="20% - Accent5 3 2 4 2" xfId="30890" xr:uid="{00000000-0005-0000-0000-0000CE050000}"/>
    <cellStyle name="20% - Accent5 3 2 5" xfId="17122" xr:uid="{00000000-0005-0000-0000-0000CF050000}"/>
    <cellStyle name="20% - Accent5 3 2 5 2" xfId="37042" xr:uid="{00000000-0005-0000-0000-0000D0050000}"/>
    <cellStyle name="20% - Accent5 3 2 6" xfId="4666" xr:uid="{00000000-0005-0000-0000-0000D1050000}"/>
    <cellStyle name="20% - Accent5 3 2 6 2" xfId="24737" xr:uid="{00000000-0005-0000-0000-0000D2050000}"/>
    <cellStyle name="20% - Accent5 3 2 7" xfId="23717" xr:uid="{00000000-0005-0000-0000-0000D3050000}"/>
    <cellStyle name="20% - Accent5 3 3" xfId="5505" xr:uid="{00000000-0005-0000-0000-0000D4050000}"/>
    <cellStyle name="20% - Accent5 3 3 2" xfId="8608" xr:uid="{00000000-0005-0000-0000-0000D5050000}"/>
    <cellStyle name="20% - Accent5 3 3 2 2" xfId="14801" xr:uid="{00000000-0005-0000-0000-0000D6050000}"/>
    <cellStyle name="20% - Accent5 3 3 2 2 2" xfId="34721" xr:uid="{00000000-0005-0000-0000-0000D7050000}"/>
    <cellStyle name="20% - Accent5 3 3 2 3" xfId="20953" xr:uid="{00000000-0005-0000-0000-0000D8050000}"/>
    <cellStyle name="20% - Accent5 3 3 2 3 2" xfId="40873" xr:uid="{00000000-0005-0000-0000-0000D9050000}"/>
    <cellStyle name="20% - Accent5 3 3 2 4" xfId="28568" xr:uid="{00000000-0005-0000-0000-0000DA050000}"/>
    <cellStyle name="20% - Accent5 3 3 3" xfId="11735" xr:uid="{00000000-0005-0000-0000-0000DB050000}"/>
    <cellStyle name="20% - Accent5 3 3 3 2" xfId="31655" xr:uid="{00000000-0005-0000-0000-0000DC050000}"/>
    <cellStyle name="20% - Accent5 3 3 4" xfId="17887" xr:uid="{00000000-0005-0000-0000-0000DD050000}"/>
    <cellStyle name="20% - Accent5 3 3 4 2" xfId="37807" xr:uid="{00000000-0005-0000-0000-0000DE050000}"/>
    <cellStyle name="20% - Accent5 3 3 5" xfId="25502" xr:uid="{00000000-0005-0000-0000-0000DF050000}"/>
    <cellStyle name="20% - Accent5 3 4" xfId="7073" xr:uid="{00000000-0005-0000-0000-0000E0050000}"/>
    <cellStyle name="20% - Accent5 3 4 2" xfId="13267" xr:uid="{00000000-0005-0000-0000-0000E1050000}"/>
    <cellStyle name="20% - Accent5 3 4 2 2" xfId="33187" xr:uid="{00000000-0005-0000-0000-0000E2050000}"/>
    <cellStyle name="20% - Accent5 3 4 3" xfId="19419" xr:uid="{00000000-0005-0000-0000-0000E3050000}"/>
    <cellStyle name="20% - Accent5 3 4 3 2" xfId="39339" xr:uid="{00000000-0005-0000-0000-0000E4050000}"/>
    <cellStyle name="20% - Accent5 3 4 4" xfId="27034" xr:uid="{00000000-0005-0000-0000-0000E5050000}"/>
    <cellStyle name="20% - Accent5 3 5" xfId="10201" xr:uid="{00000000-0005-0000-0000-0000E6050000}"/>
    <cellStyle name="20% - Accent5 3 5 2" xfId="30121" xr:uid="{00000000-0005-0000-0000-0000E7050000}"/>
    <cellStyle name="20% - Accent5 3 6" xfId="16353" xr:uid="{00000000-0005-0000-0000-0000E8050000}"/>
    <cellStyle name="20% - Accent5 3 6 2" xfId="36273" xr:uid="{00000000-0005-0000-0000-0000E9050000}"/>
    <cellStyle name="20% - Accent5 3 7" xfId="1229" xr:uid="{00000000-0005-0000-0000-0000EA050000}"/>
    <cellStyle name="20% - Accent5 3 7 2" xfId="23968" xr:uid="{00000000-0005-0000-0000-0000EB050000}"/>
    <cellStyle name="20% - Accent5 3 8" xfId="22800" xr:uid="{00000000-0005-0000-0000-0000EC050000}"/>
    <cellStyle name="20% - Accent5 3 8 2" xfId="42711" xr:uid="{00000000-0005-0000-0000-0000ED050000}"/>
    <cellStyle name="20% - Accent5 3 9" xfId="23103" xr:uid="{00000000-0005-0000-0000-0000EE050000}"/>
    <cellStyle name="20% - Accent5 3 9 2" xfId="43014" xr:uid="{00000000-0005-0000-0000-0000EF050000}"/>
    <cellStyle name="20% - Accent5 4" xfId="439" xr:uid="{00000000-0005-0000-0000-0000F0050000}"/>
    <cellStyle name="20% - Accent5 4 10" xfId="23430" xr:uid="{00000000-0005-0000-0000-0000F1050000}"/>
    <cellStyle name="20% - Accent5 4 2" xfId="851" xr:uid="{00000000-0005-0000-0000-0000F2050000}"/>
    <cellStyle name="20% - Accent5 4 2 2" xfId="6292" xr:uid="{00000000-0005-0000-0000-0000F3050000}"/>
    <cellStyle name="20% - Accent5 4 2 2 2" xfId="9378" xr:uid="{00000000-0005-0000-0000-0000F4050000}"/>
    <cellStyle name="20% - Accent5 4 2 2 2 2" xfId="15571" xr:uid="{00000000-0005-0000-0000-0000F5050000}"/>
    <cellStyle name="20% - Accent5 4 2 2 2 2 2" xfId="35491" xr:uid="{00000000-0005-0000-0000-0000F6050000}"/>
    <cellStyle name="20% - Accent5 4 2 2 2 3" xfId="21723" xr:uid="{00000000-0005-0000-0000-0000F7050000}"/>
    <cellStyle name="20% - Accent5 4 2 2 2 3 2" xfId="41643" xr:uid="{00000000-0005-0000-0000-0000F8050000}"/>
    <cellStyle name="20% - Accent5 4 2 2 2 4" xfId="29338" xr:uid="{00000000-0005-0000-0000-0000F9050000}"/>
    <cellStyle name="20% - Accent5 4 2 2 3" xfId="12505" xr:uid="{00000000-0005-0000-0000-0000FA050000}"/>
    <cellStyle name="20% - Accent5 4 2 2 3 2" xfId="32425" xr:uid="{00000000-0005-0000-0000-0000FB050000}"/>
    <cellStyle name="20% - Accent5 4 2 2 4" xfId="18657" xr:uid="{00000000-0005-0000-0000-0000FC050000}"/>
    <cellStyle name="20% - Accent5 4 2 2 4 2" xfId="38577" xr:uid="{00000000-0005-0000-0000-0000FD050000}"/>
    <cellStyle name="20% - Accent5 4 2 2 5" xfId="26272" xr:uid="{00000000-0005-0000-0000-0000FE050000}"/>
    <cellStyle name="20% - Accent5 4 2 3" xfId="7843" xr:uid="{00000000-0005-0000-0000-0000FF050000}"/>
    <cellStyle name="20% - Accent5 4 2 3 2" xfId="14037" xr:uid="{00000000-0005-0000-0000-000000060000}"/>
    <cellStyle name="20% - Accent5 4 2 3 2 2" xfId="33957" xr:uid="{00000000-0005-0000-0000-000001060000}"/>
    <cellStyle name="20% - Accent5 4 2 3 3" xfId="20189" xr:uid="{00000000-0005-0000-0000-000002060000}"/>
    <cellStyle name="20% - Accent5 4 2 3 3 2" xfId="40109" xr:uid="{00000000-0005-0000-0000-000003060000}"/>
    <cellStyle name="20% - Accent5 4 2 3 4" xfId="27804" xr:uid="{00000000-0005-0000-0000-000004060000}"/>
    <cellStyle name="20% - Accent5 4 2 4" xfId="10971" xr:uid="{00000000-0005-0000-0000-000005060000}"/>
    <cellStyle name="20% - Accent5 4 2 4 2" xfId="30891" xr:uid="{00000000-0005-0000-0000-000006060000}"/>
    <cellStyle name="20% - Accent5 4 2 5" xfId="17123" xr:uid="{00000000-0005-0000-0000-000007060000}"/>
    <cellStyle name="20% - Accent5 4 2 5 2" xfId="37043" xr:uid="{00000000-0005-0000-0000-000008060000}"/>
    <cellStyle name="20% - Accent5 4 2 6" xfId="4667" xr:uid="{00000000-0005-0000-0000-000009060000}"/>
    <cellStyle name="20% - Accent5 4 2 6 2" xfId="24738" xr:uid="{00000000-0005-0000-0000-00000A060000}"/>
    <cellStyle name="20% - Accent5 4 2 7" xfId="23733" xr:uid="{00000000-0005-0000-0000-00000B060000}"/>
    <cellStyle name="20% - Accent5 4 3" xfId="5506" xr:uid="{00000000-0005-0000-0000-00000C060000}"/>
    <cellStyle name="20% - Accent5 4 3 2" xfId="8609" xr:uid="{00000000-0005-0000-0000-00000D060000}"/>
    <cellStyle name="20% - Accent5 4 3 2 2" xfId="14802" xr:uid="{00000000-0005-0000-0000-00000E060000}"/>
    <cellStyle name="20% - Accent5 4 3 2 2 2" xfId="34722" xr:uid="{00000000-0005-0000-0000-00000F060000}"/>
    <cellStyle name="20% - Accent5 4 3 2 3" xfId="20954" xr:uid="{00000000-0005-0000-0000-000010060000}"/>
    <cellStyle name="20% - Accent5 4 3 2 3 2" xfId="40874" xr:uid="{00000000-0005-0000-0000-000011060000}"/>
    <cellStyle name="20% - Accent5 4 3 2 4" xfId="28569" xr:uid="{00000000-0005-0000-0000-000012060000}"/>
    <cellStyle name="20% - Accent5 4 3 3" xfId="11736" xr:uid="{00000000-0005-0000-0000-000013060000}"/>
    <cellStyle name="20% - Accent5 4 3 3 2" xfId="31656" xr:uid="{00000000-0005-0000-0000-000014060000}"/>
    <cellStyle name="20% - Accent5 4 3 4" xfId="17888" xr:uid="{00000000-0005-0000-0000-000015060000}"/>
    <cellStyle name="20% - Accent5 4 3 4 2" xfId="37808" xr:uid="{00000000-0005-0000-0000-000016060000}"/>
    <cellStyle name="20% - Accent5 4 3 5" xfId="25503" xr:uid="{00000000-0005-0000-0000-000017060000}"/>
    <cellStyle name="20% - Accent5 4 4" xfId="7074" xr:uid="{00000000-0005-0000-0000-000018060000}"/>
    <cellStyle name="20% - Accent5 4 4 2" xfId="13268" xr:uid="{00000000-0005-0000-0000-000019060000}"/>
    <cellStyle name="20% - Accent5 4 4 2 2" xfId="33188" xr:uid="{00000000-0005-0000-0000-00001A060000}"/>
    <cellStyle name="20% - Accent5 4 4 3" xfId="19420" xr:uid="{00000000-0005-0000-0000-00001B060000}"/>
    <cellStyle name="20% - Accent5 4 4 3 2" xfId="39340" xr:uid="{00000000-0005-0000-0000-00001C060000}"/>
    <cellStyle name="20% - Accent5 4 4 4" xfId="27035" xr:uid="{00000000-0005-0000-0000-00001D060000}"/>
    <cellStyle name="20% - Accent5 4 5" xfId="10202" xr:uid="{00000000-0005-0000-0000-00001E060000}"/>
    <cellStyle name="20% - Accent5 4 5 2" xfId="30122" xr:uid="{00000000-0005-0000-0000-00001F060000}"/>
    <cellStyle name="20% - Accent5 4 6" xfId="16354" xr:uid="{00000000-0005-0000-0000-000020060000}"/>
    <cellStyle name="20% - Accent5 4 6 2" xfId="36274" xr:uid="{00000000-0005-0000-0000-000021060000}"/>
    <cellStyle name="20% - Accent5 4 7" xfId="1230" xr:uid="{00000000-0005-0000-0000-000022060000}"/>
    <cellStyle name="20% - Accent5 4 7 2" xfId="23969" xr:uid="{00000000-0005-0000-0000-000023060000}"/>
    <cellStyle name="20% - Accent5 4 8" xfId="22816" xr:uid="{00000000-0005-0000-0000-000024060000}"/>
    <cellStyle name="20% - Accent5 4 8 2" xfId="42727" xr:uid="{00000000-0005-0000-0000-000025060000}"/>
    <cellStyle name="20% - Accent5 4 9" xfId="23119" xr:uid="{00000000-0005-0000-0000-000026060000}"/>
    <cellStyle name="20% - Accent5 4 9 2" xfId="43030" xr:uid="{00000000-0005-0000-0000-000027060000}"/>
    <cellStyle name="20% - Accent5 5" xfId="466" xr:uid="{00000000-0005-0000-0000-000028060000}"/>
    <cellStyle name="20% - Accent5 5 2" xfId="867" xr:uid="{00000000-0005-0000-0000-000029060000}"/>
    <cellStyle name="20% - Accent5 5 2 2" xfId="23749" xr:uid="{00000000-0005-0000-0000-00002A060000}"/>
    <cellStyle name="20% - Accent5 5 3" xfId="1231" xr:uid="{00000000-0005-0000-0000-00002B060000}"/>
    <cellStyle name="20% - Accent5 5 4" xfId="22477" xr:uid="{00000000-0005-0000-0000-00002C060000}"/>
    <cellStyle name="20% - Accent5 5 4 2" xfId="42388" xr:uid="{00000000-0005-0000-0000-00002D060000}"/>
    <cellStyle name="20% - Accent5 5 5" xfId="22832" xr:uid="{00000000-0005-0000-0000-00002E060000}"/>
    <cellStyle name="20% - Accent5 5 5 2" xfId="42743" xr:uid="{00000000-0005-0000-0000-00002F060000}"/>
    <cellStyle name="20% - Accent5 5 6" xfId="23135" xr:uid="{00000000-0005-0000-0000-000030060000}"/>
    <cellStyle name="20% - Accent5 5 6 2" xfId="43046" xr:uid="{00000000-0005-0000-0000-000031060000}"/>
    <cellStyle name="20% - Accent5 5 7" xfId="23446" xr:uid="{00000000-0005-0000-0000-000032060000}"/>
    <cellStyle name="20% - Accent5 6" xfId="492" xr:uid="{00000000-0005-0000-0000-000033060000}"/>
    <cellStyle name="20% - Accent5 6 2" xfId="883" xr:uid="{00000000-0005-0000-0000-000034060000}"/>
    <cellStyle name="20% - Accent5 6 2 2" xfId="23765" xr:uid="{00000000-0005-0000-0000-000035060000}"/>
    <cellStyle name="20% - Accent5 6 3" xfId="22638" xr:uid="{00000000-0005-0000-0000-000036060000}"/>
    <cellStyle name="20% - Accent5 6 3 2" xfId="42549" xr:uid="{00000000-0005-0000-0000-000037060000}"/>
    <cellStyle name="20% - Accent5 6 4" xfId="22848" xr:uid="{00000000-0005-0000-0000-000038060000}"/>
    <cellStyle name="20% - Accent5 6 4 2" xfId="42759" xr:uid="{00000000-0005-0000-0000-000039060000}"/>
    <cellStyle name="20% - Accent5 6 5" xfId="23151" xr:uid="{00000000-0005-0000-0000-00003A060000}"/>
    <cellStyle name="20% - Accent5 6 5 2" xfId="43062" xr:uid="{00000000-0005-0000-0000-00003B060000}"/>
    <cellStyle name="20% - Accent5 6 6" xfId="23462" xr:uid="{00000000-0005-0000-0000-00003C060000}"/>
    <cellStyle name="20% - Accent5 7" xfId="516" xr:uid="{00000000-0005-0000-0000-00003D060000}"/>
    <cellStyle name="20% - Accent5 7 2" xfId="899" xr:uid="{00000000-0005-0000-0000-00003E060000}"/>
    <cellStyle name="20% - Accent5 7 2 2" xfId="23781" xr:uid="{00000000-0005-0000-0000-00003F060000}"/>
    <cellStyle name="20% - Accent5 7 3" xfId="22653" xr:uid="{00000000-0005-0000-0000-000040060000}"/>
    <cellStyle name="20% - Accent5 7 3 2" xfId="42564" xr:uid="{00000000-0005-0000-0000-000041060000}"/>
    <cellStyle name="20% - Accent5 7 4" xfId="22864" xr:uid="{00000000-0005-0000-0000-000042060000}"/>
    <cellStyle name="20% - Accent5 7 4 2" xfId="42775" xr:uid="{00000000-0005-0000-0000-000043060000}"/>
    <cellStyle name="20% - Accent5 7 5" xfId="23167" xr:uid="{00000000-0005-0000-0000-000044060000}"/>
    <cellStyle name="20% - Accent5 7 5 2" xfId="43078" xr:uid="{00000000-0005-0000-0000-000045060000}"/>
    <cellStyle name="20% - Accent5 7 6" xfId="23478" xr:uid="{00000000-0005-0000-0000-000046060000}"/>
    <cellStyle name="20% - Accent5 8" xfId="541" xr:uid="{00000000-0005-0000-0000-000047060000}"/>
    <cellStyle name="20% - Accent5 8 2" xfId="915" xr:uid="{00000000-0005-0000-0000-000048060000}"/>
    <cellStyle name="20% - Accent5 8 2 2" xfId="23797" xr:uid="{00000000-0005-0000-0000-000049060000}"/>
    <cellStyle name="20% - Accent5 8 3" xfId="22682" xr:uid="{00000000-0005-0000-0000-00004A060000}"/>
    <cellStyle name="20% - Accent5 8 3 2" xfId="42593" xr:uid="{00000000-0005-0000-0000-00004B060000}"/>
    <cellStyle name="20% - Accent5 8 4" xfId="22880" xr:uid="{00000000-0005-0000-0000-00004C060000}"/>
    <cellStyle name="20% - Accent5 8 4 2" xfId="42791" xr:uid="{00000000-0005-0000-0000-00004D060000}"/>
    <cellStyle name="20% - Accent5 8 5" xfId="23183" xr:uid="{00000000-0005-0000-0000-00004E060000}"/>
    <cellStyle name="20% - Accent5 8 5 2" xfId="43094" xr:uid="{00000000-0005-0000-0000-00004F060000}"/>
    <cellStyle name="20% - Accent5 8 6" xfId="23494" xr:uid="{00000000-0005-0000-0000-000050060000}"/>
    <cellStyle name="20% - Accent5 9" xfId="581" xr:uid="{00000000-0005-0000-0000-000051060000}"/>
    <cellStyle name="20% - Accent5 9 2" xfId="931" xr:uid="{00000000-0005-0000-0000-000052060000}"/>
    <cellStyle name="20% - Accent5 9 2 2" xfId="23813" xr:uid="{00000000-0005-0000-0000-000053060000}"/>
    <cellStyle name="20% - Accent5 9 3" xfId="22577" xr:uid="{00000000-0005-0000-0000-000054060000}"/>
    <cellStyle name="20% - Accent5 9 3 2" xfId="42488" xr:uid="{00000000-0005-0000-0000-000055060000}"/>
    <cellStyle name="20% - Accent5 9 4" xfId="22896" xr:uid="{00000000-0005-0000-0000-000056060000}"/>
    <cellStyle name="20% - Accent5 9 4 2" xfId="42807" xr:uid="{00000000-0005-0000-0000-000057060000}"/>
    <cellStyle name="20% - Accent5 9 5" xfId="23199" xr:uid="{00000000-0005-0000-0000-000058060000}"/>
    <cellStyle name="20% - Accent5 9 5 2" xfId="43110" xr:uid="{00000000-0005-0000-0000-000059060000}"/>
    <cellStyle name="20% - Accent5 9 6" xfId="23510" xr:uid="{00000000-0005-0000-0000-00005A060000}"/>
    <cellStyle name="20% - Accent6" xfId="82" builtinId="50" customBuiltin="1"/>
    <cellStyle name="20% - Accent6 10" xfId="613" xr:uid="{00000000-0005-0000-0000-00005C060000}"/>
    <cellStyle name="20% - Accent6 10 2" xfId="949" xr:uid="{00000000-0005-0000-0000-00005D060000}"/>
    <cellStyle name="20% - Accent6 10 2 2" xfId="23831" xr:uid="{00000000-0005-0000-0000-00005E060000}"/>
    <cellStyle name="20% - Accent6 10 3" xfId="22572" xr:uid="{00000000-0005-0000-0000-00005F060000}"/>
    <cellStyle name="20% - Accent6 10 3 2" xfId="42483" xr:uid="{00000000-0005-0000-0000-000060060000}"/>
    <cellStyle name="20% - Accent6 10 4" xfId="22914" xr:uid="{00000000-0005-0000-0000-000061060000}"/>
    <cellStyle name="20% - Accent6 10 4 2" xfId="42825" xr:uid="{00000000-0005-0000-0000-000062060000}"/>
    <cellStyle name="20% - Accent6 10 5" xfId="23217" xr:uid="{00000000-0005-0000-0000-000063060000}"/>
    <cellStyle name="20% - Accent6 10 5 2" xfId="43128" xr:uid="{00000000-0005-0000-0000-000064060000}"/>
    <cellStyle name="20% - Accent6 10 6" xfId="23528" xr:uid="{00000000-0005-0000-0000-000065060000}"/>
    <cellStyle name="20% - Accent6 11" xfId="639" xr:uid="{00000000-0005-0000-0000-000066060000}"/>
    <cellStyle name="20% - Accent6 11 2" xfId="965" xr:uid="{00000000-0005-0000-0000-000067060000}"/>
    <cellStyle name="20% - Accent6 11 2 2" xfId="23847" xr:uid="{00000000-0005-0000-0000-000068060000}"/>
    <cellStyle name="20% - Accent6 11 3" xfId="22547" xr:uid="{00000000-0005-0000-0000-000069060000}"/>
    <cellStyle name="20% - Accent6 11 3 2" xfId="42458" xr:uid="{00000000-0005-0000-0000-00006A060000}"/>
    <cellStyle name="20% - Accent6 11 4" xfId="22930" xr:uid="{00000000-0005-0000-0000-00006B060000}"/>
    <cellStyle name="20% - Accent6 11 4 2" xfId="42841" xr:uid="{00000000-0005-0000-0000-00006C060000}"/>
    <cellStyle name="20% - Accent6 11 5" xfId="23233" xr:uid="{00000000-0005-0000-0000-00006D060000}"/>
    <cellStyle name="20% - Accent6 11 5 2" xfId="43144" xr:uid="{00000000-0005-0000-0000-00006E060000}"/>
    <cellStyle name="20% - Accent6 11 6" xfId="23544" xr:uid="{00000000-0005-0000-0000-00006F060000}"/>
    <cellStyle name="20% - Accent6 12" xfId="664" xr:uid="{00000000-0005-0000-0000-000070060000}"/>
    <cellStyle name="20% - Accent6 12 2" xfId="981" xr:uid="{00000000-0005-0000-0000-000071060000}"/>
    <cellStyle name="20% - Accent6 12 2 2" xfId="23863" xr:uid="{00000000-0005-0000-0000-000072060000}"/>
    <cellStyle name="20% - Accent6 12 3" xfId="22569" xr:uid="{00000000-0005-0000-0000-000073060000}"/>
    <cellStyle name="20% - Accent6 12 3 2" xfId="42480" xr:uid="{00000000-0005-0000-0000-000074060000}"/>
    <cellStyle name="20% - Accent6 12 4" xfId="22946" xr:uid="{00000000-0005-0000-0000-000075060000}"/>
    <cellStyle name="20% - Accent6 12 4 2" xfId="42857" xr:uid="{00000000-0005-0000-0000-000076060000}"/>
    <cellStyle name="20% - Accent6 12 5" xfId="23249" xr:uid="{00000000-0005-0000-0000-000077060000}"/>
    <cellStyle name="20% - Accent6 12 5 2" xfId="43160" xr:uid="{00000000-0005-0000-0000-000078060000}"/>
    <cellStyle name="20% - Accent6 12 6" xfId="23560" xr:uid="{00000000-0005-0000-0000-000079060000}"/>
    <cellStyle name="20% - Accent6 13" xfId="688" xr:uid="{00000000-0005-0000-0000-00007A060000}"/>
    <cellStyle name="20% - Accent6 13 2" xfId="997" xr:uid="{00000000-0005-0000-0000-00007B060000}"/>
    <cellStyle name="20% - Accent6 13 2 2" xfId="23879" xr:uid="{00000000-0005-0000-0000-00007C060000}"/>
    <cellStyle name="20% - Accent6 13 3" xfId="22611" xr:uid="{00000000-0005-0000-0000-00007D060000}"/>
    <cellStyle name="20% - Accent6 13 3 2" xfId="42522" xr:uid="{00000000-0005-0000-0000-00007E060000}"/>
    <cellStyle name="20% - Accent6 13 4" xfId="22962" xr:uid="{00000000-0005-0000-0000-00007F060000}"/>
    <cellStyle name="20% - Accent6 13 4 2" xfId="42873" xr:uid="{00000000-0005-0000-0000-000080060000}"/>
    <cellStyle name="20% - Accent6 13 5" xfId="23265" xr:uid="{00000000-0005-0000-0000-000081060000}"/>
    <cellStyle name="20% - Accent6 13 5 2" xfId="43176" xr:uid="{00000000-0005-0000-0000-000082060000}"/>
    <cellStyle name="20% - Accent6 13 6" xfId="23576" xr:uid="{00000000-0005-0000-0000-000083060000}"/>
    <cellStyle name="20% - Accent6 14" xfId="705" xr:uid="{00000000-0005-0000-0000-000084060000}"/>
    <cellStyle name="20% - Accent6 14 2" xfId="1013" xr:uid="{00000000-0005-0000-0000-000085060000}"/>
    <cellStyle name="20% - Accent6 14 2 2" xfId="23895" xr:uid="{00000000-0005-0000-0000-000086060000}"/>
    <cellStyle name="20% - Accent6 14 3" xfId="22492" xr:uid="{00000000-0005-0000-0000-000087060000}"/>
    <cellStyle name="20% - Accent6 14 3 2" xfId="42403" xr:uid="{00000000-0005-0000-0000-000088060000}"/>
    <cellStyle name="20% - Accent6 14 4" xfId="22978" xr:uid="{00000000-0005-0000-0000-000089060000}"/>
    <cellStyle name="20% - Accent6 14 4 2" xfId="42889" xr:uid="{00000000-0005-0000-0000-00008A060000}"/>
    <cellStyle name="20% - Accent6 14 5" xfId="23281" xr:uid="{00000000-0005-0000-0000-00008B060000}"/>
    <cellStyle name="20% - Accent6 14 5 2" xfId="43192" xr:uid="{00000000-0005-0000-0000-00008C060000}"/>
    <cellStyle name="20% - Accent6 14 6" xfId="23592" xr:uid="{00000000-0005-0000-0000-00008D060000}"/>
    <cellStyle name="20% - Accent6 15" xfId="721" xr:uid="{00000000-0005-0000-0000-00008E060000}"/>
    <cellStyle name="20% - Accent6 15 2" xfId="1029" xr:uid="{00000000-0005-0000-0000-00008F060000}"/>
    <cellStyle name="20% - Accent6 15 2 2" xfId="23911" xr:uid="{00000000-0005-0000-0000-000090060000}"/>
    <cellStyle name="20% - Accent6 15 3" xfId="22472" xr:uid="{00000000-0005-0000-0000-000091060000}"/>
    <cellStyle name="20% - Accent6 15 3 2" xfId="42383" xr:uid="{00000000-0005-0000-0000-000092060000}"/>
    <cellStyle name="20% - Accent6 15 4" xfId="22994" xr:uid="{00000000-0005-0000-0000-000093060000}"/>
    <cellStyle name="20% - Accent6 15 4 2" xfId="42905" xr:uid="{00000000-0005-0000-0000-000094060000}"/>
    <cellStyle name="20% - Accent6 15 5" xfId="23297" xr:uid="{00000000-0005-0000-0000-000095060000}"/>
    <cellStyle name="20% - Accent6 15 5 2" xfId="43208" xr:uid="{00000000-0005-0000-0000-000096060000}"/>
    <cellStyle name="20% - Accent6 15 6" xfId="23608" xr:uid="{00000000-0005-0000-0000-000097060000}"/>
    <cellStyle name="20% - Accent6 16" xfId="745" xr:uid="{00000000-0005-0000-0000-000098060000}"/>
    <cellStyle name="20% - Accent6 16 2" xfId="23627" xr:uid="{00000000-0005-0000-0000-000099060000}"/>
    <cellStyle name="20% - Accent6 17" xfId="22710" xr:uid="{00000000-0005-0000-0000-00009A060000}"/>
    <cellStyle name="20% - Accent6 17 2" xfId="42621" xr:uid="{00000000-0005-0000-0000-00009B060000}"/>
    <cellStyle name="20% - Accent6 18" xfId="23013" xr:uid="{00000000-0005-0000-0000-00009C060000}"/>
    <cellStyle name="20% - Accent6 18 2" xfId="42924" xr:uid="{00000000-0005-0000-0000-00009D060000}"/>
    <cellStyle name="20% - Accent6 19" xfId="23317" xr:uid="{00000000-0005-0000-0000-00009E060000}"/>
    <cellStyle name="20% - Accent6 2" xfId="386" xr:uid="{00000000-0005-0000-0000-00009F060000}"/>
    <cellStyle name="20% - Accent6 2 10" xfId="23400" xr:uid="{00000000-0005-0000-0000-0000A0060000}"/>
    <cellStyle name="20% - Accent6 2 2" xfId="821" xr:uid="{00000000-0005-0000-0000-0000A1060000}"/>
    <cellStyle name="20% - Accent6 2 2 2" xfId="6293" xr:uid="{00000000-0005-0000-0000-0000A2060000}"/>
    <cellStyle name="20% - Accent6 2 2 2 2" xfId="9379" xr:uid="{00000000-0005-0000-0000-0000A3060000}"/>
    <cellStyle name="20% - Accent6 2 2 2 2 2" xfId="15572" xr:uid="{00000000-0005-0000-0000-0000A4060000}"/>
    <cellStyle name="20% - Accent6 2 2 2 2 2 2" xfId="35492" xr:uid="{00000000-0005-0000-0000-0000A5060000}"/>
    <cellStyle name="20% - Accent6 2 2 2 2 3" xfId="21724" xr:uid="{00000000-0005-0000-0000-0000A6060000}"/>
    <cellStyle name="20% - Accent6 2 2 2 2 3 2" xfId="41644" xr:uid="{00000000-0005-0000-0000-0000A7060000}"/>
    <cellStyle name="20% - Accent6 2 2 2 2 4" xfId="29339" xr:uid="{00000000-0005-0000-0000-0000A8060000}"/>
    <cellStyle name="20% - Accent6 2 2 2 3" xfId="12506" xr:uid="{00000000-0005-0000-0000-0000A9060000}"/>
    <cellStyle name="20% - Accent6 2 2 2 3 2" xfId="32426" xr:uid="{00000000-0005-0000-0000-0000AA060000}"/>
    <cellStyle name="20% - Accent6 2 2 2 4" xfId="18658" xr:uid="{00000000-0005-0000-0000-0000AB060000}"/>
    <cellStyle name="20% - Accent6 2 2 2 4 2" xfId="38578" xr:uid="{00000000-0005-0000-0000-0000AC060000}"/>
    <cellStyle name="20% - Accent6 2 2 2 5" xfId="26273" xr:uid="{00000000-0005-0000-0000-0000AD060000}"/>
    <cellStyle name="20% - Accent6 2 2 3" xfId="7844" xr:uid="{00000000-0005-0000-0000-0000AE060000}"/>
    <cellStyle name="20% - Accent6 2 2 3 2" xfId="14038" xr:uid="{00000000-0005-0000-0000-0000AF060000}"/>
    <cellStyle name="20% - Accent6 2 2 3 2 2" xfId="33958" xr:uid="{00000000-0005-0000-0000-0000B0060000}"/>
    <cellStyle name="20% - Accent6 2 2 3 3" xfId="20190" xr:uid="{00000000-0005-0000-0000-0000B1060000}"/>
    <cellStyle name="20% - Accent6 2 2 3 3 2" xfId="40110" xr:uid="{00000000-0005-0000-0000-0000B2060000}"/>
    <cellStyle name="20% - Accent6 2 2 3 4" xfId="27805" xr:uid="{00000000-0005-0000-0000-0000B3060000}"/>
    <cellStyle name="20% - Accent6 2 2 4" xfId="10972" xr:uid="{00000000-0005-0000-0000-0000B4060000}"/>
    <cellStyle name="20% - Accent6 2 2 4 2" xfId="30892" xr:uid="{00000000-0005-0000-0000-0000B5060000}"/>
    <cellStyle name="20% - Accent6 2 2 5" xfId="17124" xr:uid="{00000000-0005-0000-0000-0000B6060000}"/>
    <cellStyle name="20% - Accent6 2 2 5 2" xfId="37044" xr:uid="{00000000-0005-0000-0000-0000B7060000}"/>
    <cellStyle name="20% - Accent6 2 2 6" xfId="4668" xr:uid="{00000000-0005-0000-0000-0000B8060000}"/>
    <cellStyle name="20% - Accent6 2 2 6 2" xfId="24739" xr:uid="{00000000-0005-0000-0000-0000B9060000}"/>
    <cellStyle name="20% - Accent6 2 2 7" xfId="23703" xr:uid="{00000000-0005-0000-0000-0000BA060000}"/>
    <cellStyle name="20% - Accent6 2 3" xfId="5507" xr:uid="{00000000-0005-0000-0000-0000BB060000}"/>
    <cellStyle name="20% - Accent6 2 3 2" xfId="8610" xr:uid="{00000000-0005-0000-0000-0000BC060000}"/>
    <cellStyle name="20% - Accent6 2 3 2 2" xfId="14803" xr:uid="{00000000-0005-0000-0000-0000BD060000}"/>
    <cellStyle name="20% - Accent6 2 3 2 2 2" xfId="34723" xr:uid="{00000000-0005-0000-0000-0000BE060000}"/>
    <cellStyle name="20% - Accent6 2 3 2 3" xfId="20955" xr:uid="{00000000-0005-0000-0000-0000BF060000}"/>
    <cellStyle name="20% - Accent6 2 3 2 3 2" xfId="40875" xr:uid="{00000000-0005-0000-0000-0000C0060000}"/>
    <cellStyle name="20% - Accent6 2 3 2 4" xfId="28570" xr:uid="{00000000-0005-0000-0000-0000C1060000}"/>
    <cellStyle name="20% - Accent6 2 3 3" xfId="11737" xr:uid="{00000000-0005-0000-0000-0000C2060000}"/>
    <cellStyle name="20% - Accent6 2 3 3 2" xfId="31657" xr:uid="{00000000-0005-0000-0000-0000C3060000}"/>
    <cellStyle name="20% - Accent6 2 3 4" xfId="17889" xr:uid="{00000000-0005-0000-0000-0000C4060000}"/>
    <cellStyle name="20% - Accent6 2 3 4 2" xfId="37809" xr:uid="{00000000-0005-0000-0000-0000C5060000}"/>
    <cellStyle name="20% - Accent6 2 3 5" xfId="25504" xr:uid="{00000000-0005-0000-0000-0000C6060000}"/>
    <cellStyle name="20% - Accent6 2 4" xfId="7075" xr:uid="{00000000-0005-0000-0000-0000C7060000}"/>
    <cellStyle name="20% - Accent6 2 4 2" xfId="13269" xr:uid="{00000000-0005-0000-0000-0000C8060000}"/>
    <cellStyle name="20% - Accent6 2 4 2 2" xfId="33189" xr:uid="{00000000-0005-0000-0000-0000C9060000}"/>
    <cellStyle name="20% - Accent6 2 4 3" xfId="19421" xr:uid="{00000000-0005-0000-0000-0000CA060000}"/>
    <cellStyle name="20% - Accent6 2 4 3 2" xfId="39341" xr:uid="{00000000-0005-0000-0000-0000CB060000}"/>
    <cellStyle name="20% - Accent6 2 4 4" xfId="27036" xr:uid="{00000000-0005-0000-0000-0000CC060000}"/>
    <cellStyle name="20% - Accent6 2 5" xfId="10203" xr:uid="{00000000-0005-0000-0000-0000CD060000}"/>
    <cellStyle name="20% - Accent6 2 5 2" xfId="30123" xr:uid="{00000000-0005-0000-0000-0000CE060000}"/>
    <cellStyle name="20% - Accent6 2 6" xfId="16355" xr:uid="{00000000-0005-0000-0000-0000CF060000}"/>
    <cellStyle name="20% - Accent6 2 6 2" xfId="36275" xr:uid="{00000000-0005-0000-0000-0000D0060000}"/>
    <cellStyle name="20% - Accent6 2 7" xfId="1232" xr:uid="{00000000-0005-0000-0000-0000D1060000}"/>
    <cellStyle name="20% - Accent6 2 7 2" xfId="23970" xr:uid="{00000000-0005-0000-0000-0000D2060000}"/>
    <cellStyle name="20% - Accent6 2 8" xfId="22786" xr:uid="{00000000-0005-0000-0000-0000D3060000}"/>
    <cellStyle name="20% - Accent6 2 8 2" xfId="42697" xr:uid="{00000000-0005-0000-0000-0000D4060000}"/>
    <cellStyle name="20% - Accent6 2 9" xfId="23089" xr:uid="{00000000-0005-0000-0000-0000D5060000}"/>
    <cellStyle name="20% - Accent6 2 9 2" xfId="43000" xr:uid="{00000000-0005-0000-0000-0000D6060000}"/>
    <cellStyle name="20% - Accent6 3" xfId="416" xr:uid="{00000000-0005-0000-0000-0000D7060000}"/>
    <cellStyle name="20% - Accent6 3 10" xfId="23416" xr:uid="{00000000-0005-0000-0000-0000D8060000}"/>
    <cellStyle name="20% - Accent6 3 2" xfId="837" xr:uid="{00000000-0005-0000-0000-0000D9060000}"/>
    <cellStyle name="20% - Accent6 3 2 2" xfId="6294" xr:uid="{00000000-0005-0000-0000-0000DA060000}"/>
    <cellStyle name="20% - Accent6 3 2 2 2" xfId="9380" xr:uid="{00000000-0005-0000-0000-0000DB060000}"/>
    <cellStyle name="20% - Accent6 3 2 2 2 2" xfId="15573" xr:uid="{00000000-0005-0000-0000-0000DC060000}"/>
    <cellStyle name="20% - Accent6 3 2 2 2 2 2" xfId="35493" xr:uid="{00000000-0005-0000-0000-0000DD060000}"/>
    <cellStyle name="20% - Accent6 3 2 2 2 3" xfId="21725" xr:uid="{00000000-0005-0000-0000-0000DE060000}"/>
    <cellStyle name="20% - Accent6 3 2 2 2 3 2" xfId="41645" xr:uid="{00000000-0005-0000-0000-0000DF060000}"/>
    <cellStyle name="20% - Accent6 3 2 2 2 4" xfId="29340" xr:uid="{00000000-0005-0000-0000-0000E0060000}"/>
    <cellStyle name="20% - Accent6 3 2 2 3" xfId="12507" xr:uid="{00000000-0005-0000-0000-0000E1060000}"/>
    <cellStyle name="20% - Accent6 3 2 2 3 2" xfId="32427" xr:uid="{00000000-0005-0000-0000-0000E2060000}"/>
    <cellStyle name="20% - Accent6 3 2 2 4" xfId="18659" xr:uid="{00000000-0005-0000-0000-0000E3060000}"/>
    <cellStyle name="20% - Accent6 3 2 2 4 2" xfId="38579" xr:uid="{00000000-0005-0000-0000-0000E4060000}"/>
    <cellStyle name="20% - Accent6 3 2 2 5" xfId="26274" xr:uid="{00000000-0005-0000-0000-0000E5060000}"/>
    <cellStyle name="20% - Accent6 3 2 3" xfId="7845" xr:uid="{00000000-0005-0000-0000-0000E6060000}"/>
    <cellStyle name="20% - Accent6 3 2 3 2" xfId="14039" xr:uid="{00000000-0005-0000-0000-0000E7060000}"/>
    <cellStyle name="20% - Accent6 3 2 3 2 2" xfId="33959" xr:uid="{00000000-0005-0000-0000-0000E8060000}"/>
    <cellStyle name="20% - Accent6 3 2 3 3" xfId="20191" xr:uid="{00000000-0005-0000-0000-0000E9060000}"/>
    <cellStyle name="20% - Accent6 3 2 3 3 2" xfId="40111" xr:uid="{00000000-0005-0000-0000-0000EA060000}"/>
    <cellStyle name="20% - Accent6 3 2 3 4" xfId="27806" xr:uid="{00000000-0005-0000-0000-0000EB060000}"/>
    <cellStyle name="20% - Accent6 3 2 4" xfId="10973" xr:uid="{00000000-0005-0000-0000-0000EC060000}"/>
    <cellStyle name="20% - Accent6 3 2 4 2" xfId="30893" xr:uid="{00000000-0005-0000-0000-0000ED060000}"/>
    <cellStyle name="20% - Accent6 3 2 5" xfId="17125" xr:uid="{00000000-0005-0000-0000-0000EE060000}"/>
    <cellStyle name="20% - Accent6 3 2 5 2" xfId="37045" xr:uid="{00000000-0005-0000-0000-0000EF060000}"/>
    <cellStyle name="20% - Accent6 3 2 6" xfId="4669" xr:uid="{00000000-0005-0000-0000-0000F0060000}"/>
    <cellStyle name="20% - Accent6 3 2 6 2" xfId="24740" xr:uid="{00000000-0005-0000-0000-0000F1060000}"/>
    <cellStyle name="20% - Accent6 3 2 7" xfId="23719" xr:uid="{00000000-0005-0000-0000-0000F2060000}"/>
    <cellStyle name="20% - Accent6 3 3" xfId="5508" xr:uid="{00000000-0005-0000-0000-0000F3060000}"/>
    <cellStyle name="20% - Accent6 3 3 2" xfId="8611" xr:uid="{00000000-0005-0000-0000-0000F4060000}"/>
    <cellStyle name="20% - Accent6 3 3 2 2" xfId="14804" xr:uid="{00000000-0005-0000-0000-0000F5060000}"/>
    <cellStyle name="20% - Accent6 3 3 2 2 2" xfId="34724" xr:uid="{00000000-0005-0000-0000-0000F6060000}"/>
    <cellStyle name="20% - Accent6 3 3 2 3" xfId="20956" xr:uid="{00000000-0005-0000-0000-0000F7060000}"/>
    <cellStyle name="20% - Accent6 3 3 2 3 2" xfId="40876" xr:uid="{00000000-0005-0000-0000-0000F8060000}"/>
    <cellStyle name="20% - Accent6 3 3 2 4" xfId="28571" xr:uid="{00000000-0005-0000-0000-0000F9060000}"/>
    <cellStyle name="20% - Accent6 3 3 3" xfId="11738" xr:uid="{00000000-0005-0000-0000-0000FA060000}"/>
    <cellStyle name="20% - Accent6 3 3 3 2" xfId="31658" xr:uid="{00000000-0005-0000-0000-0000FB060000}"/>
    <cellStyle name="20% - Accent6 3 3 4" xfId="17890" xr:uid="{00000000-0005-0000-0000-0000FC060000}"/>
    <cellStyle name="20% - Accent6 3 3 4 2" xfId="37810" xr:uid="{00000000-0005-0000-0000-0000FD060000}"/>
    <cellStyle name="20% - Accent6 3 3 5" xfId="25505" xr:uid="{00000000-0005-0000-0000-0000FE060000}"/>
    <cellStyle name="20% - Accent6 3 4" xfId="7076" xr:uid="{00000000-0005-0000-0000-0000FF060000}"/>
    <cellStyle name="20% - Accent6 3 4 2" xfId="13270" xr:uid="{00000000-0005-0000-0000-000000070000}"/>
    <cellStyle name="20% - Accent6 3 4 2 2" xfId="33190" xr:uid="{00000000-0005-0000-0000-000001070000}"/>
    <cellStyle name="20% - Accent6 3 4 3" xfId="19422" xr:uid="{00000000-0005-0000-0000-000002070000}"/>
    <cellStyle name="20% - Accent6 3 4 3 2" xfId="39342" xr:uid="{00000000-0005-0000-0000-000003070000}"/>
    <cellStyle name="20% - Accent6 3 4 4" xfId="27037" xr:uid="{00000000-0005-0000-0000-000004070000}"/>
    <cellStyle name="20% - Accent6 3 5" xfId="10204" xr:uid="{00000000-0005-0000-0000-000005070000}"/>
    <cellStyle name="20% - Accent6 3 5 2" xfId="30124" xr:uid="{00000000-0005-0000-0000-000006070000}"/>
    <cellStyle name="20% - Accent6 3 6" xfId="16356" xr:uid="{00000000-0005-0000-0000-000007070000}"/>
    <cellStyle name="20% - Accent6 3 6 2" xfId="36276" xr:uid="{00000000-0005-0000-0000-000008070000}"/>
    <cellStyle name="20% - Accent6 3 7" xfId="1233" xr:uid="{00000000-0005-0000-0000-000009070000}"/>
    <cellStyle name="20% - Accent6 3 7 2" xfId="23971" xr:uid="{00000000-0005-0000-0000-00000A070000}"/>
    <cellStyle name="20% - Accent6 3 8" xfId="22802" xr:uid="{00000000-0005-0000-0000-00000B070000}"/>
    <cellStyle name="20% - Accent6 3 8 2" xfId="42713" xr:uid="{00000000-0005-0000-0000-00000C070000}"/>
    <cellStyle name="20% - Accent6 3 9" xfId="23105" xr:uid="{00000000-0005-0000-0000-00000D070000}"/>
    <cellStyle name="20% - Accent6 3 9 2" xfId="43016" xr:uid="{00000000-0005-0000-0000-00000E070000}"/>
    <cellStyle name="20% - Accent6 4" xfId="443" xr:uid="{00000000-0005-0000-0000-00000F070000}"/>
    <cellStyle name="20% - Accent6 4 10" xfId="23432" xr:uid="{00000000-0005-0000-0000-000010070000}"/>
    <cellStyle name="20% - Accent6 4 2" xfId="853" xr:uid="{00000000-0005-0000-0000-000011070000}"/>
    <cellStyle name="20% - Accent6 4 2 2" xfId="6295" xr:uid="{00000000-0005-0000-0000-000012070000}"/>
    <cellStyle name="20% - Accent6 4 2 2 2" xfId="9381" xr:uid="{00000000-0005-0000-0000-000013070000}"/>
    <cellStyle name="20% - Accent6 4 2 2 2 2" xfId="15574" xr:uid="{00000000-0005-0000-0000-000014070000}"/>
    <cellStyle name="20% - Accent6 4 2 2 2 2 2" xfId="35494" xr:uid="{00000000-0005-0000-0000-000015070000}"/>
    <cellStyle name="20% - Accent6 4 2 2 2 3" xfId="21726" xr:uid="{00000000-0005-0000-0000-000016070000}"/>
    <cellStyle name="20% - Accent6 4 2 2 2 3 2" xfId="41646" xr:uid="{00000000-0005-0000-0000-000017070000}"/>
    <cellStyle name="20% - Accent6 4 2 2 2 4" xfId="29341" xr:uid="{00000000-0005-0000-0000-000018070000}"/>
    <cellStyle name="20% - Accent6 4 2 2 3" xfId="12508" xr:uid="{00000000-0005-0000-0000-000019070000}"/>
    <cellStyle name="20% - Accent6 4 2 2 3 2" xfId="32428" xr:uid="{00000000-0005-0000-0000-00001A070000}"/>
    <cellStyle name="20% - Accent6 4 2 2 4" xfId="18660" xr:uid="{00000000-0005-0000-0000-00001B070000}"/>
    <cellStyle name="20% - Accent6 4 2 2 4 2" xfId="38580" xr:uid="{00000000-0005-0000-0000-00001C070000}"/>
    <cellStyle name="20% - Accent6 4 2 2 5" xfId="26275" xr:uid="{00000000-0005-0000-0000-00001D070000}"/>
    <cellStyle name="20% - Accent6 4 2 3" xfId="7846" xr:uid="{00000000-0005-0000-0000-00001E070000}"/>
    <cellStyle name="20% - Accent6 4 2 3 2" xfId="14040" xr:uid="{00000000-0005-0000-0000-00001F070000}"/>
    <cellStyle name="20% - Accent6 4 2 3 2 2" xfId="33960" xr:uid="{00000000-0005-0000-0000-000020070000}"/>
    <cellStyle name="20% - Accent6 4 2 3 3" xfId="20192" xr:uid="{00000000-0005-0000-0000-000021070000}"/>
    <cellStyle name="20% - Accent6 4 2 3 3 2" xfId="40112" xr:uid="{00000000-0005-0000-0000-000022070000}"/>
    <cellStyle name="20% - Accent6 4 2 3 4" xfId="27807" xr:uid="{00000000-0005-0000-0000-000023070000}"/>
    <cellStyle name="20% - Accent6 4 2 4" xfId="10974" xr:uid="{00000000-0005-0000-0000-000024070000}"/>
    <cellStyle name="20% - Accent6 4 2 4 2" xfId="30894" xr:uid="{00000000-0005-0000-0000-000025070000}"/>
    <cellStyle name="20% - Accent6 4 2 5" xfId="17126" xr:uid="{00000000-0005-0000-0000-000026070000}"/>
    <cellStyle name="20% - Accent6 4 2 5 2" xfId="37046" xr:uid="{00000000-0005-0000-0000-000027070000}"/>
    <cellStyle name="20% - Accent6 4 2 6" xfId="4670" xr:uid="{00000000-0005-0000-0000-000028070000}"/>
    <cellStyle name="20% - Accent6 4 2 6 2" xfId="24741" xr:uid="{00000000-0005-0000-0000-000029070000}"/>
    <cellStyle name="20% - Accent6 4 2 7" xfId="23735" xr:uid="{00000000-0005-0000-0000-00002A070000}"/>
    <cellStyle name="20% - Accent6 4 3" xfId="5509" xr:uid="{00000000-0005-0000-0000-00002B070000}"/>
    <cellStyle name="20% - Accent6 4 3 2" xfId="8612" xr:uid="{00000000-0005-0000-0000-00002C070000}"/>
    <cellStyle name="20% - Accent6 4 3 2 2" xfId="14805" xr:uid="{00000000-0005-0000-0000-00002D070000}"/>
    <cellStyle name="20% - Accent6 4 3 2 2 2" xfId="34725" xr:uid="{00000000-0005-0000-0000-00002E070000}"/>
    <cellStyle name="20% - Accent6 4 3 2 3" xfId="20957" xr:uid="{00000000-0005-0000-0000-00002F070000}"/>
    <cellStyle name="20% - Accent6 4 3 2 3 2" xfId="40877" xr:uid="{00000000-0005-0000-0000-000030070000}"/>
    <cellStyle name="20% - Accent6 4 3 2 4" xfId="28572" xr:uid="{00000000-0005-0000-0000-000031070000}"/>
    <cellStyle name="20% - Accent6 4 3 3" xfId="11739" xr:uid="{00000000-0005-0000-0000-000032070000}"/>
    <cellStyle name="20% - Accent6 4 3 3 2" xfId="31659" xr:uid="{00000000-0005-0000-0000-000033070000}"/>
    <cellStyle name="20% - Accent6 4 3 4" xfId="17891" xr:uid="{00000000-0005-0000-0000-000034070000}"/>
    <cellStyle name="20% - Accent6 4 3 4 2" xfId="37811" xr:uid="{00000000-0005-0000-0000-000035070000}"/>
    <cellStyle name="20% - Accent6 4 3 5" xfId="25506" xr:uid="{00000000-0005-0000-0000-000036070000}"/>
    <cellStyle name="20% - Accent6 4 4" xfId="7077" xr:uid="{00000000-0005-0000-0000-000037070000}"/>
    <cellStyle name="20% - Accent6 4 4 2" xfId="13271" xr:uid="{00000000-0005-0000-0000-000038070000}"/>
    <cellStyle name="20% - Accent6 4 4 2 2" xfId="33191" xr:uid="{00000000-0005-0000-0000-000039070000}"/>
    <cellStyle name="20% - Accent6 4 4 3" xfId="19423" xr:uid="{00000000-0005-0000-0000-00003A070000}"/>
    <cellStyle name="20% - Accent6 4 4 3 2" xfId="39343" xr:uid="{00000000-0005-0000-0000-00003B070000}"/>
    <cellStyle name="20% - Accent6 4 4 4" xfId="27038" xr:uid="{00000000-0005-0000-0000-00003C070000}"/>
    <cellStyle name="20% - Accent6 4 5" xfId="10205" xr:uid="{00000000-0005-0000-0000-00003D070000}"/>
    <cellStyle name="20% - Accent6 4 5 2" xfId="30125" xr:uid="{00000000-0005-0000-0000-00003E070000}"/>
    <cellStyle name="20% - Accent6 4 6" xfId="16357" xr:uid="{00000000-0005-0000-0000-00003F070000}"/>
    <cellStyle name="20% - Accent6 4 6 2" xfId="36277" xr:uid="{00000000-0005-0000-0000-000040070000}"/>
    <cellStyle name="20% - Accent6 4 7" xfId="1234" xr:uid="{00000000-0005-0000-0000-000041070000}"/>
    <cellStyle name="20% - Accent6 4 7 2" xfId="23972" xr:uid="{00000000-0005-0000-0000-000042070000}"/>
    <cellStyle name="20% - Accent6 4 8" xfId="22818" xr:uid="{00000000-0005-0000-0000-000043070000}"/>
    <cellStyle name="20% - Accent6 4 8 2" xfId="42729" xr:uid="{00000000-0005-0000-0000-000044070000}"/>
    <cellStyle name="20% - Accent6 4 9" xfId="23121" xr:uid="{00000000-0005-0000-0000-000045070000}"/>
    <cellStyle name="20% - Accent6 4 9 2" xfId="43032" xr:uid="{00000000-0005-0000-0000-000046070000}"/>
    <cellStyle name="20% - Accent6 5" xfId="469" xr:uid="{00000000-0005-0000-0000-000047070000}"/>
    <cellStyle name="20% - Accent6 5 2" xfId="869" xr:uid="{00000000-0005-0000-0000-000048070000}"/>
    <cellStyle name="20% - Accent6 5 2 2" xfId="23751" xr:uid="{00000000-0005-0000-0000-000049070000}"/>
    <cellStyle name="20% - Accent6 5 3" xfId="1235" xr:uid="{00000000-0005-0000-0000-00004A070000}"/>
    <cellStyle name="20% - Accent6 5 4" xfId="22471" xr:uid="{00000000-0005-0000-0000-00004B070000}"/>
    <cellStyle name="20% - Accent6 5 4 2" xfId="42382" xr:uid="{00000000-0005-0000-0000-00004C070000}"/>
    <cellStyle name="20% - Accent6 5 5" xfId="22834" xr:uid="{00000000-0005-0000-0000-00004D070000}"/>
    <cellStyle name="20% - Accent6 5 5 2" xfId="42745" xr:uid="{00000000-0005-0000-0000-00004E070000}"/>
    <cellStyle name="20% - Accent6 5 6" xfId="23137" xr:uid="{00000000-0005-0000-0000-00004F070000}"/>
    <cellStyle name="20% - Accent6 5 6 2" xfId="43048" xr:uid="{00000000-0005-0000-0000-000050070000}"/>
    <cellStyle name="20% - Accent6 5 7" xfId="23448" xr:uid="{00000000-0005-0000-0000-000051070000}"/>
    <cellStyle name="20% - Accent6 6" xfId="496" xr:uid="{00000000-0005-0000-0000-000052070000}"/>
    <cellStyle name="20% - Accent6 6 2" xfId="885" xr:uid="{00000000-0005-0000-0000-000053070000}"/>
    <cellStyle name="20% - Accent6 6 2 2" xfId="23767" xr:uid="{00000000-0005-0000-0000-000054070000}"/>
    <cellStyle name="20% - Accent6 6 3" xfId="22621" xr:uid="{00000000-0005-0000-0000-000055070000}"/>
    <cellStyle name="20% - Accent6 6 3 2" xfId="42532" xr:uid="{00000000-0005-0000-0000-000056070000}"/>
    <cellStyle name="20% - Accent6 6 4" xfId="22850" xr:uid="{00000000-0005-0000-0000-000057070000}"/>
    <cellStyle name="20% - Accent6 6 4 2" xfId="42761" xr:uid="{00000000-0005-0000-0000-000058070000}"/>
    <cellStyle name="20% - Accent6 6 5" xfId="23153" xr:uid="{00000000-0005-0000-0000-000059070000}"/>
    <cellStyle name="20% - Accent6 6 5 2" xfId="43064" xr:uid="{00000000-0005-0000-0000-00005A070000}"/>
    <cellStyle name="20% - Accent6 6 6" xfId="23464" xr:uid="{00000000-0005-0000-0000-00005B070000}"/>
    <cellStyle name="20% - Accent6 7" xfId="520" xr:uid="{00000000-0005-0000-0000-00005C070000}"/>
    <cellStyle name="20% - Accent6 7 2" xfId="901" xr:uid="{00000000-0005-0000-0000-00005D070000}"/>
    <cellStyle name="20% - Accent6 7 2 2" xfId="23783" xr:uid="{00000000-0005-0000-0000-00005E070000}"/>
    <cellStyle name="20% - Accent6 7 3" xfId="22546" xr:uid="{00000000-0005-0000-0000-00005F070000}"/>
    <cellStyle name="20% - Accent6 7 3 2" xfId="42457" xr:uid="{00000000-0005-0000-0000-000060070000}"/>
    <cellStyle name="20% - Accent6 7 4" xfId="22866" xr:uid="{00000000-0005-0000-0000-000061070000}"/>
    <cellStyle name="20% - Accent6 7 4 2" xfId="42777" xr:uid="{00000000-0005-0000-0000-000062070000}"/>
    <cellStyle name="20% - Accent6 7 5" xfId="23169" xr:uid="{00000000-0005-0000-0000-000063070000}"/>
    <cellStyle name="20% - Accent6 7 5 2" xfId="43080" xr:uid="{00000000-0005-0000-0000-000064070000}"/>
    <cellStyle name="20% - Accent6 7 6" xfId="23480" xr:uid="{00000000-0005-0000-0000-000065070000}"/>
    <cellStyle name="20% - Accent6 8" xfId="545" xr:uid="{00000000-0005-0000-0000-000066070000}"/>
    <cellStyle name="20% - Accent6 8 2" xfId="917" xr:uid="{00000000-0005-0000-0000-000067070000}"/>
    <cellStyle name="20% - Accent6 8 2 2" xfId="23799" xr:uid="{00000000-0005-0000-0000-000068070000}"/>
    <cellStyle name="20% - Accent6 8 3" xfId="22543" xr:uid="{00000000-0005-0000-0000-000069070000}"/>
    <cellStyle name="20% - Accent6 8 3 2" xfId="42454" xr:uid="{00000000-0005-0000-0000-00006A070000}"/>
    <cellStyle name="20% - Accent6 8 4" xfId="22882" xr:uid="{00000000-0005-0000-0000-00006B070000}"/>
    <cellStyle name="20% - Accent6 8 4 2" xfId="42793" xr:uid="{00000000-0005-0000-0000-00006C070000}"/>
    <cellStyle name="20% - Accent6 8 5" xfId="23185" xr:uid="{00000000-0005-0000-0000-00006D070000}"/>
    <cellStyle name="20% - Accent6 8 5 2" xfId="43096" xr:uid="{00000000-0005-0000-0000-00006E070000}"/>
    <cellStyle name="20% - Accent6 8 6" xfId="23496" xr:uid="{00000000-0005-0000-0000-00006F070000}"/>
    <cellStyle name="20% - Accent6 9" xfId="585" xr:uid="{00000000-0005-0000-0000-000070070000}"/>
    <cellStyle name="20% - Accent6 9 2" xfId="933" xr:uid="{00000000-0005-0000-0000-000071070000}"/>
    <cellStyle name="20% - Accent6 9 2 2" xfId="23815" xr:uid="{00000000-0005-0000-0000-000072070000}"/>
    <cellStyle name="20% - Accent6 9 3" xfId="22498" xr:uid="{00000000-0005-0000-0000-000073070000}"/>
    <cellStyle name="20% - Accent6 9 3 2" xfId="42409" xr:uid="{00000000-0005-0000-0000-000074070000}"/>
    <cellStyle name="20% - Accent6 9 4" xfId="22898" xr:uid="{00000000-0005-0000-0000-000075070000}"/>
    <cellStyle name="20% - Accent6 9 4 2" xfId="42809" xr:uid="{00000000-0005-0000-0000-000076070000}"/>
    <cellStyle name="20% - Accent6 9 5" xfId="23201" xr:uid="{00000000-0005-0000-0000-000077070000}"/>
    <cellStyle name="20% - Accent6 9 5 2" xfId="43112" xr:uid="{00000000-0005-0000-0000-000078070000}"/>
    <cellStyle name="20% - Accent6 9 6" xfId="23512" xr:uid="{00000000-0005-0000-0000-000079070000}"/>
    <cellStyle name="40% - Accent1" xfId="63" builtinId="31" customBuiltin="1"/>
    <cellStyle name="40% - Accent1 10" xfId="595" xr:uid="{00000000-0005-0000-0000-00007B070000}"/>
    <cellStyle name="40% - Accent1 10 2" xfId="940" xr:uid="{00000000-0005-0000-0000-00007C070000}"/>
    <cellStyle name="40% - Accent1 10 2 2" xfId="23822" xr:uid="{00000000-0005-0000-0000-00007D070000}"/>
    <cellStyle name="40% - Accent1 10 3" xfId="22508" xr:uid="{00000000-0005-0000-0000-00007E070000}"/>
    <cellStyle name="40% - Accent1 10 3 2" xfId="42419" xr:uid="{00000000-0005-0000-0000-00007F070000}"/>
    <cellStyle name="40% - Accent1 10 4" xfId="22905" xr:uid="{00000000-0005-0000-0000-000080070000}"/>
    <cellStyle name="40% - Accent1 10 4 2" xfId="42816" xr:uid="{00000000-0005-0000-0000-000081070000}"/>
    <cellStyle name="40% - Accent1 10 5" xfId="23208" xr:uid="{00000000-0005-0000-0000-000082070000}"/>
    <cellStyle name="40% - Accent1 10 5 2" xfId="43119" xr:uid="{00000000-0005-0000-0000-000083070000}"/>
    <cellStyle name="40% - Accent1 10 6" xfId="23519" xr:uid="{00000000-0005-0000-0000-000084070000}"/>
    <cellStyle name="40% - Accent1 11" xfId="623" xr:uid="{00000000-0005-0000-0000-000085070000}"/>
    <cellStyle name="40% - Accent1 11 2" xfId="956" xr:uid="{00000000-0005-0000-0000-000086070000}"/>
    <cellStyle name="40% - Accent1 11 2 2" xfId="23838" xr:uid="{00000000-0005-0000-0000-000087070000}"/>
    <cellStyle name="40% - Accent1 11 3" xfId="22690" xr:uid="{00000000-0005-0000-0000-000088070000}"/>
    <cellStyle name="40% - Accent1 11 3 2" xfId="42601" xr:uid="{00000000-0005-0000-0000-000089070000}"/>
    <cellStyle name="40% - Accent1 11 4" xfId="22921" xr:uid="{00000000-0005-0000-0000-00008A070000}"/>
    <cellStyle name="40% - Accent1 11 4 2" xfId="42832" xr:uid="{00000000-0005-0000-0000-00008B070000}"/>
    <cellStyle name="40% - Accent1 11 5" xfId="23224" xr:uid="{00000000-0005-0000-0000-00008C070000}"/>
    <cellStyle name="40% - Accent1 11 5 2" xfId="43135" xr:uid="{00000000-0005-0000-0000-00008D070000}"/>
    <cellStyle name="40% - Accent1 11 6" xfId="23535" xr:uid="{00000000-0005-0000-0000-00008E070000}"/>
    <cellStyle name="40% - Accent1 12" xfId="649" xr:uid="{00000000-0005-0000-0000-00008F070000}"/>
    <cellStyle name="40% - Accent1 12 2" xfId="972" xr:uid="{00000000-0005-0000-0000-000090070000}"/>
    <cellStyle name="40% - Accent1 12 2 2" xfId="23854" xr:uid="{00000000-0005-0000-0000-000091070000}"/>
    <cellStyle name="40% - Accent1 12 3" xfId="22639" xr:uid="{00000000-0005-0000-0000-000092070000}"/>
    <cellStyle name="40% - Accent1 12 3 2" xfId="42550" xr:uid="{00000000-0005-0000-0000-000093070000}"/>
    <cellStyle name="40% - Accent1 12 4" xfId="22937" xr:uid="{00000000-0005-0000-0000-000094070000}"/>
    <cellStyle name="40% - Accent1 12 4 2" xfId="42848" xr:uid="{00000000-0005-0000-0000-000095070000}"/>
    <cellStyle name="40% - Accent1 12 5" xfId="23240" xr:uid="{00000000-0005-0000-0000-000096070000}"/>
    <cellStyle name="40% - Accent1 12 5 2" xfId="43151" xr:uid="{00000000-0005-0000-0000-000097070000}"/>
    <cellStyle name="40% - Accent1 12 6" xfId="23551" xr:uid="{00000000-0005-0000-0000-000098070000}"/>
    <cellStyle name="40% - Accent1 13" xfId="674" xr:uid="{00000000-0005-0000-0000-000099070000}"/>
    <cellStyle name="40% - Accent1 13 2" xfId="988" xr:uid="{00000000-0005-0000-0000-00009A070000}"/>
    <cellStyle name="40% - Accent1 13 2 2" xfId="23870" xr:uid="{00000000-0005-0000-0000-00009B070000}"/>
    <cellStyle name="40% - Accent1 13 3" xfId="22595" xr:uid="{00000000-0005-0000-0000-00009C070000}"/>
    <cellStyle name="40% - Accent1 13 3 2" xfId="42506" xr:uid="{00000000-0005-0000-0000-00009D070000}"/>
    <cellStyle name="40% - Accent1 13 4" xfId="22953" xr:uid="{00000000-0005-0000-0000-00009E070000}"/>
    <cellStyle name="40% - Accent1 13 4 2" xfId="42864" xr:uid="{00000000-0005-0000-0000-00009F070000}"/>
    <cellStyle name="40% - Accent1 13 5" xfId="23256" xr:uid="{00000000-0005-0000-0000-0000A0070000}"/>
    <cellStyle name="40% - Accent1 13 5 2" xfId="43167" xr:uid="{00000000-0005-0000-0000-0000A1070000}"/>
    <cellStyle name="40% - Accent1 13 6" xfId="23567" xr:uid="{00000000-0005-0000-0000-0000A2070000}"/>
    <cellStyle name="40% - Accent1 14" xfId="696" xr:uid="{00000000-0005-0000-0000-0000A3070000}"/>
    <cellStyle name="40% - Accent1 14 2" xfId="1004" xr:uid="{00000000-0005-0000-0000-0000A4070000}"/>
    <cellStyle name="40% - Accent1 14 2 2" xfId="23886" xr:uid="{00000000-0005-0000-0000-0000A5070000}"/>
    <cellStyle name="40% - Accent1 14 3" xfId="22667" xr:uid="{00000000-0005-0000-0000-0000A6070000}"/>
    <cellStyle name="40% - Accent1 14 3 2" xfId="42578" xr:uid="{00000000-0005-0000-0000-0000A7070000}"/>
    <cellStyle name="40% - Accent1 14 4" xfId="22969" xr:uid="{00000000-0005-0000-0000-0000A8070000}"/>
    <cellStyle name="40% - Accent1 14 4 2" xfId="42880" xr:uid="{00000000-0005-0000-0000-0000A9070000}"/>
    <cellStyle name="40% - Accent1 14 5" xfId="23272" xr:uid="{00000000-0005-0000-0000-0000AA070000}"/>
    <cellStyle name="40% - Accent1 14 5 2" xfId="43183" xr:uid="{00000000-0005-0000-0000-0000AB070000}"/>
    <cellStyle name="40% - Accent1 14 6" xfId="23583" xr:uid="{00000000-0005-0000-0000-0000AC070000}"/>
    <cellStyle name="40% - Accent1 15" xfId="712" xr:uid="{00000000-0005-0000-0000-0000AD070000}"/>
    <cellStyle name="40% - Accent1 15 2" xfId="1020" xr:uid="{00000000-0005-0000-0000-0000AE070000}"/>
    <cellStyle name="40% - Accent1 15 2 2" xfId="23902" xr:uid="{00000000-0005-0000-0000-0000AF070000}"/>
    <cellStyle name="40% - Accent1 15 3" xfId="22558" xr:uid="{00000000-0005-0000-0000-0000B0070000}"/>
    <cellStyle name="40% - Accent1 15 3 2" xfId="42469" xr:uid="{00000000-0005-0000-0000-0000B1070000}"/>
    <cellStyle name="40% - Accent1 15 4" xfId="22985" xr:uid="{00000000-0005-0000-0000-0000B2070000}"/>
    <cellStyle name="40% - Accent1 15 4 2" xfId="42896" xr:uid="{00000000-0005-0000-0000-0000B3070000}"/>
    <cellStyle name="40% - Accent1 15 5" xfId="23288" xr:uid="{00000000-0005-0000-0000-0000B4070000}"/>
    <cellStyle name="40% - Accent1 15 5 2" xfId="43199" xr:uid="{00000000-0005-0000-0000-0000B5070000}"/>
    <cellStyle name="40% - Accent1 15 6" xfId="23599" xr:uid="{00000000-0005-0000-0000-0000B6070000}"/>
    <cellStyle name="40% - Accent1 16" xfId="736" xr:uid="{00000000-0005-0000-0000-0000B7070000}"/>
    <cellStyle name="40% - Accent1 16 2" xfId="23618" xr:uid="{00000000-0005-0000-0000-0000B8070000}"/>
    <cellStyle name="40% - Accent1 17" xfId="22701" xr:uid="{00000000-0005-0000-0000-0000B9070000}"/>
    <cellStyle name="40% - Accent1 17 2" xfId="42612" xr:uid="{00000000-0005-0000-0000-0000BA070000}"/>
    <cellStyle name="40% - Accent1 18" xfId="23004" xr:uid="{00000000-0005-0000-0000-0000BB070000}"/>
    <cellStyle name="40% - Accent1 18 2" xfId="42915" xr:uid="{00000000-0005-0000-0000-0000BC070000}"/>
    <cellStyle name="40% - Accent1 19" xfId="23308" xr:uid="{00000000-0005-0000-0000-0000BD070000}"/>
    <cellStyle name="40% - Accent1 2" xfId="367" xr:uid="{00000000-0005-0000-0000-0000BE070000}"/>
    <cellStyle name="40% - Accent1 2 10" xfId="23391" xr:uid="{00000000-0005-0000-0000-0000BF070000}"/>
    <cellStyle name="40% - Accent1 2 2" xfId="812" xr:uid="{00000000-0005-0000-0000-0000C0070000}"/>
    <cellStyle name="40% - Accent1 2 2 2" xfId="6296" xr:uid="{00000000-0005-0000-0000-0000C1070000}"/>
    <cellStyle name="40% - Accent1 2 2 2 2" xfId="9382" xr:uid="{00000000-0005-0000-0000-0000C2070000}"/>
    <cellStyle name="40% - Accent1 2 2 2 2 2" xfId="15575" xr:uid="{00000000-0005-0000-0000-0000C3070000}"/>
    <cellStyle name="40% - Accent1 2 2 2 2 2 2" xfId="35495" xr:uid="{00000000-0005-0000-0000-0000C4070000}"/>
    <cellStyle name="40% - Accent1 2 2 2 2 3" xfId="21727" xr:uid="{00000000-0005-0000-0000-0000C5070000}"/>
    <cellStyle name="40% - Accent1 2 2 2 2 3 2" xfId="41647" xr:uid="{00000000-0005-0000-0000-0000C6070000}"/>
    <cellStyle name="40% - Accent1 2 2 2 2 4" xfId="29342" xr:uid="{00000000-0005-0000-0000-0000C7070000}"/>
    <cellStyle name="40% - Accent1 2 2 2 3" xfId="12509" xr:uid="{00000000-0005-0000-0000-0000C8070000}"/>
    <cellStyle name="40% - Accent1 2 2 2 3 2" xfId="32429" xr:uid="{00000000-0005-0000-0000-0000C9070000}"/>
    <cellStyle name="40% - Accent1 2 2 2 4" xfId="18661" xr:uid="{00000000-0005-0000-0000-0000CA070000}"/>
    <cellStyle name="40% - Accent1 2 2 2 4 2" xfId="38581" xr:uid="{00000000-0005-0000-0000-0000CB070000}"/>
    <cellStyle name="40% - Accent1 2 2 2 5" xfId="26276" xr:uid="{00000000-0005-0000-0000-0000CC070000}"/>
    <cellStyle name="40% - Accent1 2 2 3" xfId="7847" xr:uid="{00000000-0005-0000-0000-0000CD070000}"/>
    <cellStyle name="40% - Accent1 2 2 3 2" xfId="14041" xr:uid="{00000000-0005-0000-0000-0000CE070000}"/>
    <cellStyle name="40% - Accent1 2 2 3 2 2" xfId="33961" xr:uid="{00000000-0005-0000-0000-0000CF070000}"/>
    <cellStyle name="40% - Accent1 2 2 3 3" xfId="20193" xr:uid="{00000000-0005-0000-0000-0000D0070000}"/>
    <cellStyle name="40% - Accent1 2 2 3 3 2" xfId="40113" xr:uid="{00000000-0005-0000-0000-0000D1070000}"/>
    <cellStyle name="40% - Accent1 2 2 3 4" xfId="27808" xr:uid="{00000000-0005-0000-0000-0000D2070000}"/>
    <cellStyle name="40% - Accent1 2 2 4" xfId="10975" xr:uid="{00000000-0005-0000-0000-0000D3070000}"/>
    <cellStyle name="40% - Accent1 2 2 4 2" xfId="30895" xr:uid="{00000000-0005-0000-0000-0000D4070000}"/>
    <cellStyle name="40% - Accent1 2 2 5" xfId="17127" xr:uid="{00000000-0005-0000-0000-0000D5070000}"/>
    <cellStyle name="40% - Accent1 2 2 5 2" xfId="37047" xr:uid="{00000000-0005-0000-0000-0000D6070000}"/>
    <cellStyle name="40% - Accent1 2 2 6" xfId="4671" xr:uid="{00000000-0005-0000-0000-0000D7070000}"/>
    <cellStyle name="40% - Accent1 2 2 6 2" xfId="24742" xr:uid="{00000000-0005-0000-0000-0000D8070000}"/>
    <cellStyle name="40% - Accent1 2 2 7" xfId="23694" xr:uid="{00000000-0005-0000-0000-0000D9070000}"/>
    <cellStyle name="40% - Accent1 2 3" xfId="5510" xr:uid="{00000000-0005-0000-0000-0000DA070000}"/>
    <cellStyle name="40% - Accent1 2 3 2" xfId="8613" xr:uid="{00000000-0005-0000-0000-0000DB070000}"/>
    <cellStyle name="40% - Accent1 2 3 2 2" xfId="14806" xr:uid="{00000000-0005-0000-0000-0000DC070000}"/>
    <cellStyle name="40% - Accent1 2 3 2 2 2" xfId="34726" xr:uid="{00000000-0005-0000-0000-0000DD070000}"/>
    <cellStyle name="40% - Accent1 2 3 2 3" xfId="20958" xr:uid="{00000000-0005-0000-0000-0000DE070000}"/>
    <cellStyle name="40% - Accent1 2 3 2 3 2" xfId="40878" xr:uid="{00000000-0005-0000-0000-0000DF070000}"/>
    <cellStyle name="40% - Accent1 2 3 2 4" xfId="28573" xr:uid="{00000000-0005-0000-0000-0000E0070000}"/>
    <cellStyle name="40% - Accent1 2 3 3" xfId="11740" xr:uid="{00000000-0005-0000-0000-0000E1070000}"/>
    <cellStyle name="40% - Accent1 2 3 3 2" xfId="31660" xr:uid="{00000000-0005-0000-0000-0000E2070000}"/>
    <cellStyle name="40% - Accent1 2 3 4" xfId="17892" xr:uid="{00000000-0005-0000-0000-0000E3070000}"/>
    <cellStyle name="40% - Accent1 2 3 4 2" xfId="37812" xr:uid="{00000000-0005-0000-0000-0000E4070000}"/>
    <cellStyle name="40% - Accent1 2 3 5" xfId="25507" xr:uid="{00000000-0005-0000-0000-0000E5070000}"/>
    <cellStyle name="40% - Accent1 2 4" xfId="7078" xr:uid="{00000000-0005-0000-0000-0000E6070000}"/>
    <cellStyle name="40% - Accent1 2 4 2" xfId="13272" xr:uid="{00000000-0005-0000-0000-0000E7070000}"/>
    <cellStyle name="40% - Accent1 2 4 2 2" xfId="33192" xr:uid="{00000000-0005-0000-0000-0000E8070000}"/>
    <cellStyle name="40% - Accent1 2 4 3" xfId="19424" xr:uid="{00000000-0005-0000-0000-0000E9070000}"/>
    <cellStyle name="40% - Accent1 2 4 3 2" xfId="39344" xr:uid="{00000000-0005-0000-0000-0000EA070000}"/>
    <cellStyle name="40% - Accent1 2 4 4" xfId="27039" xr:uid="{00000000-0005-0000-0000-0000EB070000}"/>
    <cellStyle name="40% - Accent1 2 5" xfId="10206" xr:uid="{00000000-0005-0000-0000-0000EC070000}"/>
    <cellStyle name="40% - Accent1 2 5 2" xfId="30126" xr:uid="{00000000-0005-0000-0000-0000ED070000}"/>
    <cellStyle name="40% - Accent1 2 6" xfId="16358" xr:uid="{00000000-0005-0000-0000-0000EE070000}"/>
    <cellStyle name="40% - Accent1 2 6 2" xfId="36278" xr:uid="{00000000-0005-0000-0000-0000EF070000}"/>
    <cellStyle name="40% - Accent1 2 7" xfId="1236" xr:uid="{00000000-0005-0000-0000-0000F0070000}"/>
    <cellStyle name="40% - Accent1 2 7 2" xfId="23973" xr:uid="{00000000-0005-0000-0000-0000F1070000}"/>
    <cellStyle name="40% - Accent1 2 8" xfId="22777" xr:uid="{00000000-0005-0000-0000-0000F2070000}"/>
    <cellStyle name="40% - Accent1 2 8 2" xfId="42688" xr:uid="{00000000-0005-0000-0000-0000F3070000}"/>
    <cellStyle name="40% - Accent1 2 9" xfId="23080" xr:uid="{00000000-0005-0000-0000-0000F4070000}"/>
    <cellStyle name="40% - Accent1 2 9 2" xfId="42991" xr:uid="{00000000-0005-0000-0000-0000F5070000}"/>
    <cellStyle name="40% - Accent1 3" xfId="398" xr:uid="{00000000-0005-0000-0000-0000F6070000}"/>
    <cellStyle name="40% - Accent1 3 10" xfId="23407" xr:uid="{00000000-0005-0000-0000-0000F7070000}"/>
    <cellStyle name="40% - Accent1 3 2" xfId="828" xr:uid="{00000000-0005-0000-0000-0000F8070000}"/>
    <cellStyle name="40% - Accent1 3 2 2" xfId="6297" xr:uid="{00000000-0005-0000-0000-0000F9070000}"/>
    <cellStyle name="40% - Accent1 3 2 2 2" xfId="9383" xr:uid="{00000000-0005-0000-0000-0000FA070000}"/>
    <cellStyle name="40% - Accent1 3 2 2 2 2" xfId="15576" xr:uid="{00000000-0005-0000-0000-0000FB070000}"/>
    <cellStyle name="40% - Accent1 3 2 2 2 2 2" xfId="35496" xr:uid="{00000000-0005-0000-0000-0000FC070000}"/>
    <cellStyle name="40% - Accent1 3 2 2 2 3" xfId="21728" xr:uid="{00000000-0005-0000-0000-0000FD070000}"/>
    <cellStyle name="40% - Accent1 3 2 2 2 3 2" xfId="41648" xr:uid="{00000000-0005-0000-0000-0000FE070000}"/>
    <cellStyle name="40% - Accent1 3 2 2 2 4" xfId="29343" xr:uid="{00000000-0005-0000-0000-0000FF070000}"/>
    <cellStyle name="40% - Accent1 3 2 2 3" xfId="12510" xr:uid="{00000000-0005-0000-0000-000000080000}"/>
    <cellStyle name="40% - Accent1 3 2 2 3 2" xfId="32430" xr:uid="{00000000-0005-0000-0000-000001080000}"/>
    <cellStyle name="40% - Accent1 3 2 2 4" xfId="18662" xr:uid="{00000000-0005-0000-0000-000002080000}"/>
    <cellStyle name="40% - Accent1 3 2 2 4 2" xfId="38582" xr:uid="{00000000-0005-0000-0000-000003080000}"/>
    <cellStyle name="40% - Accent1 3 2 2 5" xfId="26277" xr:uid="{00000000-0005-0000-0000-000004080000}"/>
    <cellStyle name="40% - Accent1 3 2 3" xfId="7848" xr:uid="{00000000-0005-0000-0000-000005080000}"/>
    <cellStyle name="40% - Accent1 3 2 3 2" xfId="14042" xr:uid="{00000000-0005-0000-0000-000006080000}"/>
    <cellStyle name="40% - Accent1 3 2 3 2 2" xfId="33962" xr:uid="{00000000-0005-0000-0000-000007080000}"/>
    <cellStyle name="40% - Accent1 3 2 3 3" xfId="20194" xr:uid="{00000000-0005-0000-0000-000008080000}"/>
    <cellStyle name="40% - Accent1 3 2 3 3 2" xfId="40114" xr:uid="{00000000-0005-0000-0000-000009080000}"/>
    <cellStyle name="40% - Accent1 3 2 3 4" xfId="27809" xr:uid="{00000000-0005-0000-0000-00000A080000}"/>
    <cellStyle name="40% - Accent1 3 2 4" xfId="10976" xr:uid="{00000000-0005-0000-0000-00000B080000}"/>
    <cellStyle name="40% - Accent1 3 2 4 2" xfId="30896" xr:uid="{00000000-0005-0000-0000-00000C080000}"/>
    <cellStyle name="40% - Accent1 3 2 5" xfId="17128" xr:uid="{00000000-0005-0000-0000-00000D080000}"/>
    <cellStyle name="40% - Accent1 3 2 5 2" xfId="37048" xr:uid="{00000000-0005-0000-0000-00000E080000}"/>
    <cellStyle name="40% - Accent1 3 2 6" xfId="4672" xr:uid="{00000000-0005-0000-0000-00000F080000}"/>
    <cellStyle name="40% - Accent1 3 2 6 2" xfId="24743" xr:uid="{00000000-0005-0000-0000-000010080000}"/>
    <cellStyle name="40% - Accent1 3 2 7" xfId="23710" xr:uid="{00000000-0005-0000-0000-000011080000}"/>
    <cellStyle name="40% - Accent1 3 3" xfId="5511" xr:uid="{00000000-0005-0000-0000-000012080000}"/>
    <cellStyle name="40% - Accent1 3 3 2" xfId="8614" xr:uid="{00000000-0005-0000-0000-000013080000}"/>
    <cellStyle name="40% - Accent1 3 3 2 2" xfId="14807" xr:uid="{00000000-0005-0000-0000-000014080000}"/>
    <cellStyle name="40% - Accent1 3 3 2 2 2" xfId="34727" xr:uid="{00000000-0005-0000-0000-000015080000}"/>
    <cellStyle name="40% - Accent1 3 3 2 3" xfId="20959" xr:uid="{00000000-0005-0000-0000-000016080000}"/>
    <cellStyle name="40% - Accent1 3 3 2 3 2" xfId="40879" xr:uid="{00000000-0005-0000-0000-000017080000}"/>
    <cellStyle name="40% - Accent1 3 3 2 4" xfId="28574" xr:uid="{00000000-0005-0000-0000-000018080000}"/>
    <cellStyle name="40% - Accent1 3 3 3" xfId="11741" xr:uid="{00000000-0005-0000-0000-000019080000}"/>
    <cellStyle name="40% - Accent1 3 3 3 2" xfId="31661" xr:uid="{00000000-0005-0000-0000-00001A080000}"/>
    <cellStyle name="40% - Accent1 3 3 4" xfId="17893" xr:uid="{00000000-0005-0000-0000-00001B080000}"/>
    <cellStyle name="40% - Accent1 3 3 4 2" xfId="37813" xr:uid="{00000000-0005-0000-0000-00001C080000}"/>
    <cellStyle name="40% - Accent1 3 3 5" xfId="25508" xr:uid="{00000000-0005-0000-0000-00001D080000}"/>
    <cellStyle name="40% - Accent1 3 4" xfId="7079" xr:uid="{00000000-0005-0000-0000-00001E080000}"/>
    <cellStyle name="40% - Accent1 3 4 2" xfId="13273" xr:uid="{00000000-0005-0000-0000-00001F080000}"/>
    <cellStyle name="40% - Accent1 3 4 2 2" xfId="33193" xr:uid="{00000000-0005-0000-0000-000020080000}"/>
    <cellStyle name="40% - Accent1 3 4 3" xfId="19425" xr:uid="{00000000-0005-0000-0000-000021080000}"/>
    <cellStyle name="40% - Accent1 3 4 3 2" xfId="39345" xr:uid="{00000000-0005-0000-0000-000022080000}"/>
    <cellStyle name="40% - Accent1 3 4 4" xfId="27040" xr:uid="{00000000-0005-0000-0000-000023080000}"/>
    <cellStyle name="40% - Accent1 3 5" xfId="10207" xr:uid="{00000000-0005-0000-0000-000024080000}"/>
    <cellStyle name="40% - Accent1 3 5 2" xfId="30127" xr:uid="{00000000-0005-0000-0000-000025080000}"/>
    <cellStyle name="40% - Accent1 3 6" xfId="16359" xr:uid="{00000000-0005-0000-0000-000026080000}"/>
    <cellStyle name="40% - Accent1 3 6 2" xfId="36279" xr:uid="{00000000-0005-0000-0000-000027080000}"/>
    <cellStyle name="40% - Accent1 3 7" xfId="1237" xr:uid="{00000000-0005-0000-0000-000028080000}"/>
    <cellStyle name="40% - Accent1 3 7 2" xfId="23974" xr:uid="{00000000-0005-0000-0000-000029080000}"/>
    <cellStyle name="40% - Accent1 3 8" xfId="22793" xr:uid="{00000000-0005-0000-0000-00002A080000}"/>
    <cellStyle name="40% - Accent1 3 8 2" xfId="42704" xr:uid="{00000000-0005-0000-0000-00002B080000}"/>
    <cellStyle name="40% - Accent1 3 9" xfId="23096" xr:uid="{00000000-0005-0000-0000-00002C080000}"/>
    <cellStyle name="40% - Accent1 3 9 2" xfId="43007" xr:uid="{00000000-0005-0000-0000-00002D080000}"/>
    <cellStyle name="40% - Accent1 4" xfId="426" xr:uid="{00000000-0005-0000-0000-00002E080000}"/>
    <cellStyle name="40% - Accent1 4 10" xfId="23423" xr:uid="{00000000-0005-0000-0000-00002F080000}"/>
    <cellStyle name="40% - Accent1 4 2" xfId="844" xr:uid="{00000000-0005-0000-0000-000030080000}"/>
    <cellStyle name="40% - Accent1 4 2 2" xfId="6298" xr:uid="{00000000-0005-0000-0000-000031080000}"/>
    <cellStyle name="40% - Accent1 4 2 2 2" xfId="9384" xr:uid="{00000000-0005-0000-0000-000032080000}"/>
    <cellStyle name="40% - Accent1 4 2 2 2 2" xfId="15577" xr:uid="{00000000-0005-0000-0000-000033080000}"/>
    <cellStyle name="40% - Accent1 4 2 2 2 2 2" xfId="35497" xr:uid="{00000000-0005-0000-0000-000034080000}"/>
    <cellStyle name="40% - Accent1 4 2 2 2 3" xfId="21729" xr:uid="{00000000-0005-0000-0000-000035080000}"/>
    <cellStyle name="40% - Accent1 4 2 2 2 3 2" xfId="41649" xr:uid="{00000000-0005-0000-0000-000036080000}"/>
    <cellStyle name="40% - Accent1 4 2 2 2 4" xfId="29344" xr:uid="{00000000-0005-0000-0000-000037080000}"/>
    <cellStyle name="40% - Accent1 4 2 2 3" xfId="12511" xr:uid="{00000000-0005-0000-0000-000038080000}"/>
    <cellStyle name="40% - Accent1 4 2 2 3 2" xfId="32431" xr:uid="{00000000-0005-0000-0000-000039080000}"/>
    <cellStyle name="40% - Accent1 4 2 2 4" xfId="18663" xr:uid="{00000000-0005-0000-0000-00003A080000}"/>
    <cellStyle name="40% - Accent1 4 2 2 4 2" xfId="38583" xr:uid="{00000000-0005-0000-0000-00003B080000}"/>
    <cellStyle name="40% - Accent1 4 2 2 5" xfId="26278" xr:uid="{00000000-0005-0000-0000-00003C080000}"/>
    <cellStyle name="40% - Accent1 4 2 3" xfId="7849" xr:uid="{00000000-0005-0000-0000-00003D080000}"/>
    <cellStyle name="40% - Accent1 4 2 3 2" xfId="14043" xr:uid="{00000000-0005-0000-0000-00003E080000}"/>
    <cellStyle name="40% - Accent1 4 2 3 2 2" xfId="33963" xr:uid="{00000000-0005-0000-0000-00003F080000}"/>
    <cellStyle name="40% - Accent1 4 2 3 3" xfId="20195" xr:uid="{00000000-0005-0000-0000-000040080000}"/>
    <cellStyle name="40% - Accent1 4 2 3 3 2" xfId="40115" xr:uid="{00000000-0005-0000-0000-000041080000}"/>
    <cellStyle name="40% - Accent1 4 2 3 4" xfId="27810" xr:uid="{00000000-0005-0000-0000-000042080000}"/>
    <cellStyle name="40% - Accent1 4 2 4" xfId="10977" xr:uid="{00000000-0005-0000-0000-000043080000}"/>
    <cellStyle name="40% - Accent1 4 2 4 2" xfId="30897" xr:uid="{00000000-0005-0000-0000-000044080000}"/>
    <cellStyle name="40% - Accent1 4 2 5" xfId="17129" xr:uid="{00000000-0005-0000-0000-000045080000}"/>
    <cellStyle name="40% - Accent1 4 2 5 2" xfId="37049" xr:uid="{00000000-0005-0000-0000-000046080000}"/>
    <cellStyle name="40% - Accent1 4 2 6" xfId="4673" xr:uid="{00000000-0005-0000-0000-000047080000}"/>
    <cellStyle name="40% - Accent1 4 2 6 2" xfId="24744" xr:uid="{00000000-0005-0000-0000-000048080000}"/>
    <cellStyle name="40% - Accent1 4 2 7" xfId="23726" xr:uid="{00000000-0005-0000-0000-000049080000}"/>
    <cellStyle name="40% - Accent1 4 3" xfId="5512" xr:uid="{00000000-0005-0000-0000-00004A080000}"/>
    <cellStyle name="40% - Accent1 4 3 2" xfId="8615" xr:uid="{00000000-0005-0000-0000-00004B080000}"/>
    <cellStyle name="40% - Accent1 4 3 2 2" xfId="14808" xr:uid="{00000000-0005-0000-0000-00004C080000}"/>
    <cellStyle name="40% - Accent1 4 3 2 2 2" xfId="34728" xr:uid="{00000000-0005-0000-0000-00004D080000}"/>
    <cellStyle name="40% - Accent1 4 3 2 3" xfId="20960" xr:uid="{00000000-0005-0000-0000-00004E080000}"/>
    <cellStyle name="40% - Accent1 4 3 2 3 2" xfId="40880" xr:uid="{00000000-0005-0000-0000-00004F080000}"/>
    <cellStyle name="40% - Accent1 4 3 2 4" xfId="28575" xr:uid="{00000000-0005-0000-0000-000050080000}"/>
    <cellStyle name="40% - Accent1 4 3 3" xfId="11742" xr:uid="{00000000-0005-0000-0000-000051080000}"/>
    <cellStyle name="40% - Accent1 4 3 3 2" xfId="31662" xr:uid="{00000000-0005-0000-0000-000052080000}"/>
    <cellStyle name="40% - Accent1 4 3 4" xfId="17894" xr:uid="{00000000-0005-0000-0000-000053080000}"/>
    <cellStyle name="40% - Accent1 4 3 4 2" xfId="37814" xr:uid="{00000000-0005-0000-0000-000054080000}"/>
    <cellStyle name="40% - Accent1 4 3 5" xfId="25509" xr:uid="{00000000-0005-0000-0000-000055080000}"/>
    <cellStyle name="40% - Accent1 4 4" xfId="7080" xr:uid="{00000000-0005-0000-0000-000056080000}"/>
    <cellStyle name="40% - Accent1 4 4 2" xfId="13274" xr:uid="{00000000-0005-0000-0000-000057080000}"/>
    <cellStyle name="40% - Accent1 4 4 2 2" xfId="33194" xr:uid="{00000000-0005-0000-0000-000058080000}"/>
    <cellStyle name="40% - Accent1 4 4 3" xfId="19426" xr:uid="{00000000-0005-0000-0000-000059080000}"/>
    <cellStyle name="40% - Accent1 4 4 3 2" xfId="39346" xr:uid="{00000000-0005-0000-0000-00005A080000}"/>
    <cellStyle name="40% - Accent1 4 4 4" xfId="27041" xr:uid="{00000000-0005-0000-0000-00005B080000}"/>
    <cellStyle name="40% - Accent1 4 5" xfId="10208" xr:uid="{00000000-0005-0000-0000-00005C080000}"/>
    <cellStyle name="40% - Accent1 4 5 2" xfId="30128" xr:uid="{00000000-0005-0000-0000-00005D080000}"/>
    <cellStyle name="40% - Accent1 4 6" xfId="16360" xr:uid="{00000000-0005-0000-0000-00005E080000}"/>
    <cellStyle name="40% - Accent1 4 6 2" xfId="36280" xr:uid="{00000000-0005-0000-0000-00005F080000}"/>
    <cellStyle name="40% - Accent1 4 7" xfId="1238" xr:uid="{00000000-0005-0000-0000-000060080000}"/>
    <cellStyle name="40% - Accent1 4 7 2" xfId="23975" xr:uid="{00000000-0005-0000-0000-000061080000}"/>
    <cellStyle name="40% - Accent1 4 8" xfId="22809" xr:uid="{00000000-0005-0000-0000-000062080000}"/>
    <cellStyle name="40% - Accent1 4 8 2" xfId="42720" xr:uid="{00000000-0005-0000-0000-000063080000}"/>
    <cellStyle name="40% - Accent1 4 9" xfId="23112" xr:uid="{00000000-0005-0000-0000-000064080000}"/>
    <cellStyle name="40% - Accent1 4 9 2" xfId="43023" xr:uid="{00000000-0005-0000-0000-000065080000}"/>
    <cellStyle name="40% - Accent1 5" xfId="453" xr:uid="{00000000-0005-0000-0000-000066080000}"/>
    <cellStyle name="40% - Accent1 5 10" xfId="23128" xr:uid="{00000000-0005-0000-0000-000067080000}"/>
    <cellStyle name="40% - Accent1 5 10 2" xfId="43039" xr:uid="{00000000-0005-0000-0000-000068080000}"/>
    <cellStyle name="40% - Accent1 5 11" xfId="23439" xr:uid="{00000000-0005-0000-0000-000069080000}"/>
    <cellStyle name="40% - Accent1 5 2" xfId="860" xr:uid="{00000000-0005-0000-0000-00006A080000}"/>
    <cellStyle name="40% - Accent1 5 2 2" xfId="6299" xr:uid="{00000000-0005-0000-0000-00006B080000}"/>
    <cellStyle name="40% - Accent1 5 2 2 2" xfId="9385" xr:uid="{00000000-0005-0000-0000-00006C080000}"/>
    <cellStyle name="40% - Accent1 5 2 2 2 2" xfId="15578" xr:uid="{00000000-0005-0000-0000-00006D080000}"/>
    <cellStyle name="40% - Accent1 5 2 2 2 2 2" xfId="35498" xr:uid="{00000000-0005-0000-0000-00006E080000}"/>
    <cellStyle name="40% - Accent1 5 2 2 2 3" xfId="21730" xr:uid="{00000000-0005-0000-0000-00006F080000}"/>
    <cellStyle name="40% - Accent1 5 2 2 2 3 2" xfId="41650" xr:uid="{00000000-0005-0000-0000-000070080000}"/>
    <cellStyle name="40% - Accent1 5 2 2 2 4" xfId="29345" xr:uid="{00000000-0005-0000-0000-000071080000}"/>
    <cellStyle name="40% - Accent1 5 2 2 3" xfId="12512" xr:uid="{00000000-0005-0000-0000-000072080000}"/>
    <cellStyle name="40% - Accent1 5 2 2 3 2" xfId="32432" xr:uid="{00000000-0005-0000-0000-000073080000}"/>
    <cellStyle name="40% - Accent1 5 2 2 4" xfId="18664" xr:uid="{00000000-0005-0000-0000-000074080000}"/>
    <cellStyle name="40% - Accent1 5 2 2 4 2" xfId="38584" xr:uid="{00000000-0005-0000-0000-000075080000}"/>
    <cellStyle name="40% - Accent1 5 2 2 5" xfId="26279" xr:uid="{00000000-0005-0000-0000-000076080000}"/>
    <cellStyle name="40% - Accent1 5 2 3" xfId="7850" xr:uid="{00000000-0005-0000-0000-000077080000}"/>
    <cellStyle name="40% - Accent1 5 2 3 2" xfId="14044" xr:uid="{00000000-0005-0000-0000-000078080000}"/>
    <cellStyle name="40% - Accent1 5 2 3 2 2" xfId="33964" xr:uid="{00000000-0005-0000-0000-000079080000}"/>
    <cellStyle name="40% - Accent1 5 2 3 3" xfId="20196" xr:uid="{00000000-0005-0000-0000-00007A080000}"/>
    <cellStyle name="40% - Accent1 5 2 3 3 2" xfId="40116" xr:uid="{00000000-0005-0000-0000-00007B080000}"/>
    <cellStyle name="40% - Accent1 5 2 3 4" xfId="27811" xr:uid="{00000000-0005-0000-0000-00007C080000}"/>
    <cellStyle name="40% - Accent1 5 2 4" xfId="10978" xr:uid="{00000000-0005-0000-0000-00007D080000}"/>
    <cellStyle name="40% - Accent1 5 2 4 2" xfId="30898" xr:uid="{00000000-0005-0000-0000-00007E080000}"/>
    <cellStyle name="40% - Accent1 5 2 5" xfId="17130" xr:uid="{00000000-0005-0000-0000-00007F080000}"/>
    <cellStyle name="40% - Accent1 5 2 5 2" xfId="37050" xr:uid="{00000000-0005-0000-0000-000080080000}"/>
    <cellStyle name="40% - Accent1 5 2 6" xfId="4674" xr:uid="{00000000-0005-0000-0000-000081080000}"/>
    <cellStyle name="40% - Accent1 5 2 6 2" xfId="24745" xr:uid="{00000000-0005-0000-0000-000082080000}"/>
    <cellStyle name="40% - Accent1 5 2 7" xfId="23742" xr:uid="{00000000-0005-0000-0000-000083080000}"/>
    <cellStyle name="40% - Accent1 5 3" xfId="5513" xr:uid="{00000000-0005-0000-0000-000084080000}"/>
    <cellStyle name="40% - Accent1 5 3 2" xfId="8616" xr:uid="{00000000-0005-0000-0000-000085080000}"/>
    <cellStyle name="40% - Accent1 5 3 2 2" xfId="14809" xr:uid="{00000000-0005-0000-0000-000086080000}"/>
    <cellStyle name="40% - Accent1 5 3 2 2 2" xfId="34729" xr:uid="{00000000-0005-0000-0000-000087080000}"/>
    <cellStyle name="40% - Accent1 5 3 2 3" xfId="20961" xr:uid="{00000000-0005-0000-0000-000088080000}"/>
    <cellStyle name="40% - Accent1 5 3 2 3 2" xfId="40881" xr:uid="{00000000-0005-0000-0000-000089080000}"/>
    <cellStyle name="40% - Accent1 5 3 2 4" xfId="28576" xr:uid="{00000000-0005-0000-0000-00008A080000}"/>
    <cellStyle name="40% - Accent1 5 3 3" xfId="11743" xr:uid="{00000000-0005-0000-0000-00008B080000}"/>
    <cellStyle name="40% - Accent1 5 3 3 2" xfId="31663" xr:uid="{00000000-0005-0000-0000-00008C080000}"/>
    <cellStyle name="40% - Accent1 5 3 4" xfId="17895" xr:uid="{00000000-0005-0000-0000-00008D080000}"/>
    <cellStyle name="40% - Accent1 5 3 4 2" xfId="37815" xr:uid="{00000000-0005-0000-0000-00008E080000}"/>
    <cellStyle name="40% - Accent1 5 3 5" xfId="25510" xr:uid="{00000000-0005-0000-0000-00008F080000}"/>
    <cellStyle name="40% - Accent1 5 4" xfId="7081" xr:uid="{00000000-0005-0000-0000-000090080000}"/>
    <cellStyle name="40% - Accent1 5 4 2" xfId="13275" xr:uid="{00000000-0005-0000-0000-000091080000}"/>
    <cellStyle name="40% - Accent1 5 4 2 2" xfId="33195" xr:uid="{00000000-0005-0000-0000-000092080000}"/>
    <cellStyle name="40% - Accent1 5 4 3" xfId="19427" xr:uid="{00000000-0005-0000-0000-000093080000}"/>
    <cellStyle name="40% - Accent1 5 4 3 2" xfId="39347" xr:uid="{00000000-0005-0000-0000-000094080000}"/>
    <cellStyle name="40% - Accent1 5 4 4" xfId="27042" xr:uid="{00000000-0005-0000-0000-000095080000}"/>
    <cellStyle name="40% - Accent1 5 5" xfId="10209" xr:uid="{00000000-0005-0000-0000-000096080000}"/>
    <cellStyle name="40% - Accent1 5 5 2" xfId="30129" xr:uid="{00000000-0005-0000-0000-000097080000}"/>
    <cellStyle name="40% - Accent1 5 6" xfId="16361" xr:uid="{00000000-0005-0000-0000-000098080000}"/>
    <cellStyle name="40% - Accent1 5 6 2" xfId="36281" xr:uid="{00000000-0005-0000-0000-000099080000}"/>
    <cellStyle name="40% - Accent1 5 7" xfId="1239" xr:uid="{00000000-0005-0000-0000-00009A080000}"/>
    <cellStyle name="40% - Accent1 5 7 2" xfId="23976" xr:uid="{00000000-0005-0000-0000-00009B080000}"/>
    <cellStyle name="40% - Accent1 5 8" xfId="22475" xr:uid="{00000000-0005-0000-0000-00009C080000}"/>
    <cellStyle name="40% - Accent1 5 8 2" xfId="42386" xr:uid="{00000000-0005-0000-0000-00009D080000}"/>
    <cellStyle name="40% - Accent1 5 9" xfId="22825" xr:uid="{00000000-0005-0000-0000-00009E080000}"/>
    <cellStyle name="40% - Accent1 5 9 2" xfId="42736" xr:uid="{00000000-0005-0000-0000-00009F080000}"/>
    <cellStyle name="40% - Accent1 6" xfId="480" xr:uid="{00000000-0005-0000-0000-0000A0080000}"/>
    <cellStyle name="40% - Accent1 6 2" xfId="876" xr:uid="{00000000-0005-0000-0000-0000A1080000}"/>
    <cellStyle name="40% - Accent1 6 2 2" xfId="23758" xr:uid="{00000000-0005-0000-0000-0000A2080000}"/>
    <cellStyle name="40% - Accent1 6 3" xfId="1240" xr:uid="{00000000-0005-0000-0000-0000A3080000}"/>
    <cellStyle name="40% - Accent1 6 4" xfId="22493" xr:uid="{00000000-0005-0000-0000-0000A4080000}"/>
    <cellStyle name="40% - Accent1 6 4 2" xfId="42404" xr:uid="{00000000-0005-0000-0000-0000A5080000}"/>
    <cellStyle name="40% - Accent1 6 5" xfId="22841" xr:uid="{00000000-0005-0000-0000-0000A6080000}"/>
    <cellStyle name="40% - Accent1 6 5 2" xfId="42752" xr:uid="{00000000-0005-0000-0000-0000A7080000}"/>
    <cellStyle name="40% - Accent1 6 6" xfId="23144" xr:uid="{00000000-0005-0000-0000-0000A8080000}"/>
    <cellStyle name="40% - Accent1 6 6 2" xfId="43055" xr:uid="{00000000-0005-0000-0000-0000A9080000}"/>
    <cellStyle name="40% - Accent1 6 7" xfId="23455" xr:uid="{00000000-0005-0000-0000-0000AA080000}"/>
    <cellStyle name="40% - Accent1 7" xfId="504" xr:uid="{00000000-0005-0000-0000-0000AB080000}"/>
    <cellStyle name="40% - Accent1 7 2" xfId="892" xr:uid="{00000000-0005-0000-0000-0000AC080000}"/>
    <cellStyle name="40% - Accent1 7 2 2" xfId="23774" xr:uid="{00000000-0005-0000-0000-0000AD080000}"/>
    <cellStyle name="40% - Accent1 7 3" xfId="22585" xr:uid="{00000000-0005-0000-0000-0000AE080000}"/>
    <cellStyle name="40% - Accent1 7 3 2" xfId="42496" xr:uid="{00000000-0005-0000-0000-0000AF080000}"/>
    <cellStyle name="40% - Accent1 7 4" xfId="22857" xr:uid="{00000000-0005-0000-0000-0000B0080000}"/>
    <cellStyle name="40% - Accent1 7 4 2" xfId="42768" xr:uid="{00000000-0005-0000-0000-0000B1080000}"/>
    <cellStyle name="40% - Accent1 7 5" xfId="23160" xr:uid="{00000000-0005-0000-0000-0000B2080000}"/>
    <cellStyle name="40% - Accent1 7 5 2" xfId="43071" xr:uid="{00000000-0005-0000-0000-0000B3080000}"/>
    <cellStyle name="40% - Accent1 7 6" xfId="23471" xr:uid="{00000000-0005-0000-0000-0000B4080000}"/>
    <cellStyle name="40% - Accent1 8" xfId="528" xr:uid="{00000000-0005-0000-0000-0000B5080000}"/>
    <cellStyle name="40% - Accent1 8 2" xfId="908" xr:uid="{00000000-0005-0000-0000-0000B6080000}"/>
    <cellStyle name="40% - Accent1 8 2 2" xfId="23790" xr:uid="{00000000-0005-0000-0000-0000B7080000}"/>
    <cellStyle name="40% - Accent1 8 3" xfId="22600" xr:uid="{00000000-0005-0000-0000-0000B8080000}"/>
    <cellStyle name="40% - Accent1 8 3 2" xfId="42511" xr:uid="{00000000-0005-0000-0000-0000B9080000}"/>
    <cellStyle name="40% - Accent1 8 4" xfId="22873" xr:uid="{00000000-0005-0000-0000-0000BA080000}"/>
    <cellStyle name="40% - Accent1 8 4 2" xfId="42784" xr:uid="{00000000-0005-0000-0000-0000BB080000}"/>
    <cellStyle name="40% - Accent1 8 5" xfId="23176" xr:uid="{00000000-0005-0000-0000-0000BC080000}"/>
    <cellStyle name="40% - Accent1 8 5 2" xfId="43087" xr:uid="{00000000-0005-0000-0000-0000BD080000}"/>
    <cellStyle name="40% - Accent1 8 6" xfId="23487" xr:uid="{00000000-0005-0000-0000-0000BE080000}"/>
    <cellStyle name="40% - Accent1 9" xfId="566" xr:uid="{00000000-0005-0000-0000-0000BF080000}"/>
    <cellStyle name="40% - Accent1 9 2" xfId="924" xr:uid="{00000000-0005-0000-0000-0000C0080000}"/>
    <cellStyle name="40% - Accent1 9 2 2" xfId="23806" xr:uid="{00000000-0005-0000-0000-0000C1080000}"/>
    <cellStyle name="40% - Accent1 9 3" xfId="22487" xr:uid="{00000000-0005-0000-0000-0000C2080000}"/>
    <cellStyle name="40% - Accent1 9 3 2" xfId="42398" xr:uid="{00000000-0005-0000-0000-0000C3080000}"/>
    <cellStyle name="40% - Accent1 9 4" xfId="22889" xr:uid="{00000000-0005-0000-0000-0000C4080000}"/>
    <cellStyle name="40% - Accent1 9 4 2" xfId="42800" xr:uid="{00000000-0005-0000-0000-0000C5080000}"/>
    <cellStyle name="40% - Accent1 9 5" xfId="23192" xr:uid="{00000000-0005-0000-0000-0000C6080000}"/>
    <cellStyle name="40% - Accent1 9 5 2" xfId="43103" xr:uid="{00000000-0005-0000-0000-0000C7080000}"/>
    <cellStyle name="40% - Accent1 9 6" xfId="23503" xr:uid="{00000000-0005-0000-0000-0000C8080000}"/>
    <cellStyle name="40% - Accent2" xfId="67" builtinId="35" customBuiltin="1"/>
    <cellStyle name="40% - Accent2 10" xfId="598" xr:uid="{00000000-0005-0000-0000-0000CA080000}"/>
    <cellStyle name="40% - Accent2 10 2" xfId="942" xr:uid="{00000000-0005-0000-0000-0000CB080000}"/>
    <cellStyle name="40% - Accent2 10 2 2" xfId="23824" xr:uid="{00000000-0005-0000-0000-0000CC080000}"/>
    <cellStyle name="40% - Accent2 10 3" xfId="22683" xr:uid="{00000000-0005-0000-0000-0000CD080000}"/>
    <cellStyle name="40% - Accent2 10 3 2" xfId="42594" xr:uid="{00000000-0005-0000-0000-0000CE080000}"/>
    <cellStyle name="40% - Accent2 10 4" xfId="22907" xr:uid="{00000000-0005-0000-0000-0000CF080000}"/>
    <cellStyle name="40% - Accent2 10 4 2" xfId="42818" xr:uid="{00000000-0005-0000-0000-0000D0080000}"/>
    <cellStyle name="40% - Accent2 10 5" xfId="23210" xr:uid="{00000000-0005-0000-0000-0000D1080000}"/>
    <cellStyle name="40% - Accent2 10 5 2" xfId="43121" xr:uid="{00000000-0005-0000-0000-0000D2080000}"/>
    <cellStyle name="40% - Accent2 10 6" xfId="23521" xr:uid="{00000000-0005-0000-0000-0000D3080000}"/>
    <cellStyle name="40% - Accent2 11" xfId="626" xr:uid="{00000000-0005-0000-0000-0000D4080000}"/>
    <cellStyle name="40% - Accent2 11 2" xfId="958" xr:uid="{00000000-0005-0000-0000-0000D5080000}"/>
    <cellStyle name="40% - Accent2 11 2 2" xfId="23840" xr:uid="{00000000-0005-0000-0000-0000D6080000}"/>
    <cellStyle name="40% - Accent2 11 3" xfId="1099" xr:uid="{00000000-0005-0000-0000-0000D7080000}"/>
    <cellStyle name="40% - Accent2 11 3 2" xfId="23924" xr:uid="{00000000-0005-0000-0000-0000D8080000}"/>
    <cellStyle name="40% - Accent2 11 4" xfId="22923" xr:uid="{00000000-0005-0000-0000-0000D9080000}"/>
    <cellStyle name="40% - Accent2 11 4 2" xfId="42834" xr:uid="{00000000-0005-0000-0000-0000DA080000}"/>
    <cellStyle name="40% - Accent2 11 5" xfId="23226" xr:uid="{00000000-0005-0000-0000-0000DB080000}"/>
    <cellStyle name="40% - Accent2 11 5 2" xfId="43137" xr:uid="{00000000-0005-0000-0000-0000DC080000}"/>
    <cellStyle name="40% - Accent2 11 6" xfId="23537" xr:uid="{00000000-0005-0000-0000-0000DD080000}"/>
    <cellStyle name="40% - Accent2 12" xfId="652" xr:uid="{00000000-0005-0000-0000-0000DE080000}"/>
    <cellStyle name="40% - Accent2 12 2" xfId="974" xr:uid="{00000000-0005-0000-0000-0000DF080000}"/>
    <cellStyle name="40% - Accent2 12 2 2" xfId="23856" xr:uid="{00000000-0005-0000-0000-0000E0080000}"/>
    <cellStyle name="40% - Accent2 12 3" xfId="22503" xr:uid="{00000000-0005-0000-0000-0000E1080000}"/>
    <cellStyle name="40% - Accent2 12 3 2" xfId="42414" xr:uid="{00000000-0005-0000-0000-0000E2080000}"/>
    <cellStyle name="40% - Accent2 12 4" xfId="22939" xr:uid="{00000000-0005-0000-0000-0000E3080000}"/>
    <cellStyle name="40% - Accent2 12 4 2" xfId="42850" xr:uid="{00000000-0005-0000-0000-0000E4080000}"/>
    <cellStyle name="40% - Accent2 12 5" xfId="23242" xr:uid="{00000000-0005-0000-0000-0000E5080000}"/>
    <cellStyle name="40% - Accent2 12 5 2" xfId="43153" xr:uid="{00000000-0005-0000-0000-0000E6080000}"/>
    <cellStyle name="40% - Accent2 12 6" xfId="23553" xr:uid="{00000000-0005-0000-0000-0000E7080000}"/>
    <cellStyle name="40% - Accent2 13" xfId="676" xr:uid="{00000000-0005-0000-0000-0000E8080000}"/>
    <cellStyle name="40% - Accent2 13 2" xfId="990" xr:uid="{00000000-0005-0000-0000-0000E9080000}"/>
    <cellStyle name="40% - Accent2 13 2 2" xfId="23872" xr:uid="{00000000-0005-0000-0000-0000EA080000}"/>
    <cellStyle name="40% - Accent2 13 3" xfId="22484" xr:uid="{00000000-0005-0000-0000-0000EB080000}"/>
    <cellStyle name="40% - Accent2 13 3 2" xfId="42395" xr:uid="{00000000-0005-0000-0000-0000EC080000}"/>
    <cellStyle name="40% - Accent2 13 4" xfId="22955" xr:uid="{00000000-0005-0000-0000-0000ED080000}"/>
    <cellStyle name="40% - Accent2 13 4 2" xfId="42866" xr:uid="{00000000-0005-0000-0000-0000EE080000}"/>
    <cellStyle name="40% - Accent2 13 5" xfId="23258" xr:uid="{00000000-0005-0000-0000-0000EF080000}"/>
    <cellStyle name="40% - Accent2 13 5 2" xfId="43169" xr:uid="{00000000-0005-0000-0000-0000F0080000}"/>
    <cellStyle name="40% - Accent2 13 6" xfId="23569" xr:uid="{00000000-0005-0000-0000-0000F1080000}"/>
    <cellStyle name="40% - Accent2 14" xfId="698" xr:uid="{00000000-0005-0000-0000-0000F2080000}"/>
    <cellStyle name="40% - Accent2 14 2" xfId="1006" xr:uid="{00000000-0005-0000-0000-0000F3080000}"/>
    <cellStyle name="40% - Accent2 14 2 2" xfId="23888" xr:uid="{00000000-0005-0000-0000-0000F4080000}"/>
    <cellStyle name="40% - Accent2 14 3" xfId="22631" xr:uid="{00000000-0005-0000-0000-0000F5080000}"/>
    <cellStyle name="40% - Accent2 14 3 2" xfId="42542" xr:uid="{00000000-0005-0000-0000-0000F6080000}"/>
    <cellStyle name="40% - Accent2 14 4" xfId="22971" xr:uid="{00000000-0005-0000-0000-0000F7080000}"/>
    <cellStyle name="40% - Accent2 14 4 2" xfId="42882" xr:uid="{00000000-0005-0000-0000-0000F8080000}"/>
    <cellStyle name="40% - Accent2 14 5" xfId="23274" xr:uid="{00000000-0005-0000-0000-0000F9080000}"/>
    <cellStyle name="40% - Accent2 14 5 2" xfId="43185" xr:uid="{00000000-0005-0000-0000-0000FA080000}"/>
    <cellStyle name="40% - Accent2 14 6" xfId="23585" xr:uid="{00000000-0005-0000-0000-0000FB080000}"/>
    <cellStyle name="40% - Accent2 15" xfId="714" xr:uid="{00000000-0005-0000-0000-0000FC080000}"/>
    <cellStyle name="40% - Accent2 15 2" xfId="1022" xr:uid="{00000000-0005-0000-0000-0000FD080000}"/>
    <cellStyle name="40% - Accent2 15 2 2" xfId="23904" xr:uid="{00000000-0005-0000-0000-0000FE080000}"/>
    <cellStyle name="40% - Accent2 15 3" xfId="22613" xr:uid="{00000000-0005-0000-0000-0000FF080000}"/>
    <cellStyle name="40% - Accent2 15 3 2" xfId="42524" xr:uid="{00000000-0005-0000-0000-000000090000}"/>
    <cellStyle name="40% - Accent2 15 4" xfId="22987" xr:uid="{00000000-0005-0000-0000-000001090000}"/>
    <cellStyle name="40% - Accent2 15 4 2" xfId="42898" xr:uid="{00000000-0005-0000-0000-000002090000}"/>
    <cellStyle name="40% - Accent2 15 5" xfId="23290" xr:uid="{00000000-0005-0000-0000-000003090000}"/>
    <cellStyle name="40% - Accent2 15 5 2" xfId="43201" xr:uid="{00000000-0005-0000-0000-000004090000}"/>
    <cellStyle name="40% - Accent2 15 6" xfId="23601" xr:uid="{00000000-0005-0000-0000-000005090000}"/>
    <cellStyle name="40% - Accent2 16" xfId="738" xr:uid="{00000000-0005-0000-0000-000006090000}"/>
    <cellStyle name="40% - Accent2 16 2" xfId="23620" xr:uid="{00000000-0005-0000-0000-000007090000}"/>
    <cellStyle name="40% - Accent2 17" xfId="22703" xr:uid="{00000000-0005-0000-0000-000008090000}"/>
    <cellStyle name="40% - Accent2 17 2" xfId="42614" xr:uid="{00000000-0005-0000-0000-000009090000}"/>
    <cellStyle name="40% - Accent2 18" xfId="23006" xr:uid="{00000000-0005-0000-0000-00000A090000}"/>
    <cellStyle name="40% - Accent2 18 2" xfId="42917" xr:uid="{00000000-0005-0000-0000-00000B090000}"/>
    <cellStyle name="40% - Accent2 19" xfId="23310" xr:uid="{00000000-0005-0000-0000-00000C090000}"/>
    <cellStyle name="40% - Accent2 2" xfId="371" xr:uid="{00000000-0005-0000-0000-00000D090000}"/>
    <cellStyle name="40% - Accent2 2 10" xfId="23393" xr:uid="{00000000-0005-0000-0000-00000E090000}"/>
    <cellStyle name="40% - Accent2 2 2" xfId="814" xr:uid="{00000000-0005-0000-0000-00000F090000}"/>
    <cellStyle name="40% - Accent2 2 2 2" xfId="6300" xr:uid="{00000000-0005-0000-0000-000010090000}"/>
    <cellStyle name="40% - Accent2 2 2 2 2" xfId="9386" xr:uid="{00000000-0005-0000-0000-000011090000}"/>
    <cellStyle name="40% - Accent2 2 2 2 2 2" xfId="15579" xr:uid="{00000000-0005-0000-0000-000012090000}"/>
    <cellStyle name="40% - Accent2 2 2 2 2 2 2" xfId="35499" xr:uid="{00000000-0005-0000-0000-000013090000}"/>
    <cellStyle name="40% - Accent2 2 2 2 2 3" xfId="21731" xr:uid="{00000000-0005-0000-0000-000014090000}"/>
    <cellStyle name="40% - Accent2 2 2 2 2 3 2" xfId="41651" xr:uid="{00000000-0005-0000-0000-000015090000}"/>
    <cellStyle name="40% - Accent2 2 2 2 2 4" xfId="29346" xr:uid="{00000000-0005-0000-0000-000016090000}"/>
    <cellStyle name="40% - Accent2 2 2 2 3" xfId="12513" xr:uid="{00000000-0005-0000-0000-000017090000}"/>
    <cellStyle name="40% - Accent2 2 2 2 3 2" xfId="32433" xr:uid="{00000000-0005-0000-0000-000018090000}"/>
    <cellStyle name="40% - Accent2 2 2 2 4" xfId="18665" xr:uid="{00000000-0005-0000-0000-000019090000}"/>
    <cellStyle name="40% - Accent2 2 2 2 4 2" xfId="38585" xr:uid="{00000000-0005-0000-0000-00001A090000}"/>
    <cellStyle name="40% - Accent2 2 2 2 5" xfId="26280" xr:uid="{00000000-0005-0000-0000-00001B090000}"/>
    <cellStyle name="40% - Accent2 2 2 3" xfId="7851" xr:uid="{00000000-0005-0000-0000-00001C090000}"/>
    <cellStyle name="40% - Accent2 2 2 3 2" xfId="14045" xr:uid="{00000000-0005-0000-0000-00001D090000}"/>
    <cellStyle name="40% - Accent2 2 2 3 2 2" xfId="33965" xr:uid="{00000000-0005-0000-0000-00001E090000}"/>
    <cellStyle name="40% - Accent2 2 2 3 3" xfId="20197" xr:uid="{00000000-0005-0000-0000-00001F090000}"/>
    <cellStyle name="40% - Accent2 2 2 3 3 2" xfId="40117" xr:uid="{00000000-0005-0000-0000-000020090000}"/>
    <cellStyle name="40% - Accent2 2 2 3 4" xfId="27812" xr:uid="{00000000-0005-0000-0000-000021090000}"/>
    <cellStyle name="40% - Accent2 2 2 4" xfId="10979" xr:uid="{00000000-0005-0000-0000-000022090000}"/>
    <cellStyle name="40% - Accent2 2 2 4 2" xfId="30899" xr:uid="{00000000-0005-0000-0000-000023090000}"/>
    <cellStyle name="40% - Accent2 2 2 5" xfId="17131" xr:uid="{00000000-0005-0000-0000-000024090000}"/>
    <cellStyle name="40% - Accent2 2 2 5 2" xfId="37051" xr:uid="{00000000-0005-0000-0000-000025090000}"/>
    <cellStyle name="40% - Accent2 2 2 6" xfId="4675" xr:uid="{00000000-0005-0000-0000-000026090000}"/>
    <cellStyle name="40% - Accent2 2 2 6 2" xfId="24746" xr:uid="{00000000-0005-0000-0000-000027090000}"/>
    <cellStyle name="40% - Accent2 2 2 7" xfId="23696" xr:uid="{00000000-0005-0000-0000-000028090000}"/>
    <cellStyle name="40% - Accent2 2 3" xfId="5514" xr:uid="{00000000-0005-0000-0000-000029090000}"/>
    <cellStyle name="40% - Accent2 2 3 2" xfId="8617" xr:uid="{00000000-0005-0000-0000-00002A090000}"/>
    <cellStyle name="40% - Accent2 2 3 2 2" xfId="14810" xr:uid="{00000000-0005-0000-0000-00002B090000}"/>
    <cellStyle name="40% - Accent2 2 3 2 2 2" xfId="34730" xr:uid="{00000000-0005-0000-0000-00002C090000}"/>
    <cellStyle name="40% - Accent2 2 3 2 3" xfId="20962" xr:uid="{00000000-0005-0000-0000-00002D090000}"/>
    <cellStyle name="40% - Accent2 2 3 2 3 2" xfId="40882" xr:uid="{00000000-0005-0000-0000-00002E090000}"/>
    <cellStyle name="40% - Accent2 2 3 2 4" xfId="28577" xr:uid="{00000000-0005-0000-0000-00002F090000}"/>
    <cellStyle name="40% - Accent2 2 3 3" xfId="11744" xr:uid="{00000000-0005-0000-0000-000030090000}"/>
    <cellStyle name="40% - Accent2 2 3 3 2" xfId="31664" xr:uid="{00000000-0005-0000-0000-000031090000}"/>
    <cellStyle name="40% - Accent2 2 3 4" xfId="17896" xr:uid="{00000000-0005-0000-0000-000032090000}"/>
    <cellStyle name="40% - Accent2 2 3 4 2" xfId="37816" xr:uid="{00000000-0005-0000-0000-000033090000}"/>
    <cellStyle name="40% - Accent2 2 3 5" xfId="25511" xr:uid="{00000000-0005-0000-0000-000034090000}"/>
    <cellStyle name="40% - Accent2 2 4" xfId="7082" xr:uid="{00000000-0005-0000-0000-000035090000}"/>
    <cellStyle name="40% - Accent2 2 4 2" xfId="13276" xr:uid="{00000000-0005-0000-0000-000036090000}"/>
    <cellStyle name="40% - Accent2 2 4 2 2" xfId="33196" xr:uid="{00000000-0005-0000-0000-000037090000}"/>
    <cellStyle name="40% - Accent2 2 4 3" xfId="19428" xr:uid="{00000000-0005-0000-0000-000038090000}"/>
    <cellStyle name="40% - Accent2 2 4 3 2" xfId="39348" xr:uid="{00000000-0005-0000-0000-000039090000}"/>
    <cellStyle name="40% - Accent2 2 4 4" xfId="27043" xr:uid="{00000000-0005-0000-0000-00003A090000}"/>
    <cellStyle name="40% - Accent2 2 5" xfId="10210" xr:uid="{00000000-0005-0000-0000-00003B090000}"/>
    <cellStyle name="40% - Accent2 2 5 2" xfId="30130" xr:uid="{00000000-0005-0000-0000-00003C090000}"/>
    <cellStyle name="40% - Accent2 2 6" xfId="16362" xr:uid="{00000000-0005-0000-0000-00003D090000}"/>
    <cellStyle name="40% - Accent2 2 6 2" xfId="36282" xr:uid="{00000000-0005-0000-0000-00003E090000}"/>
    <cellStyle name="40% - Accent2 2 7" xfId="1241" xr:uid="{00000000-0005-0000-0000-00003F090000}"/>
    <cellStyle name="40% - Accent2 2 7 2" xfId="23977" xr:uid="{00000000-0005-0000-0000-000040090000}"/>
    <cellStyle name="40% - Accent2 2 8" xfId="22779" xr:uid="{00000000-0005-0000-0000-000041090000}"/>
    <cellStyle name="40% - Accent2 2 8 2" xfId="42690" xr:uid="{00000000-0005-0000-0000-000042090000}"/>
    <cellStyle name="40% - Accent2 2 9" xfId="23082" xr:uid="{00000000-0005-0000-0000-000043090000}"/>
    <cellStyle name="40% - Accent2 2 9 2" xfId="42993" xr:uid="{00000000-0005-0000-0000-000044090000}"/>
    <cellStyle name="40% - Accent2 3" xfId="401" xr:uid="{00000000-0005-0000-0000-000045090000}"/>
    <cellStyle name="40% - Accent2 3 10" xfId="23409" xr:uid="{00000000-0005-0000-0000-000046090000}"/>
    <cellStyle name="40% - Accent2 3 2" xfId="830" xr:uid="{00000000-0005-0000-0000-000047090000}"/>
    <cellStyle name="40% - Accent2 3 2 2" xfId="6301" xr:uid="{00000000-0005-0000-0000-000048090000}"/>
    <cellStyle name="40% - Accent2 3 2 2 2" xfId="9387" xr:uid="{00000000-0005-0000-0000-000049090000}"/>
    <cellStyle name="40% - Accent2 3 2 2 2 2" xfId="15580" xr:uid="{00000000-0005-0000-0000-00004A090000}"/>
    <cellStyle name="40% - Accent2 3 2 2 2 2 2" xfId="35500" xr:uid="{00000000-0005-0000-0000-00004B090000}"/>
    <cellStyle name="40% - Accent2 3 2 2 2 3" xfId="21732" xr:uid="{00000000-0005-0000-0000-00004C090000}"/>
    <cellStyle name="40% - Accent2 3 2 2 2 3 2" xfId="41652" xr:uid="{00000000-0005-0000-0000-00004D090000}"/>
    <cellStyle name="40% - Accent2 3 2 2 2 4" xfId="29347" xr:uid="{00000000-0005-0000-0000-00004E090000}"/>
    <cellStyle name="40% - Accent2 3 2 2 3" xfId="12514" xr:uid="{00000000-0005-0000-0000-00004F090000}"/>
    <cellStyle name="40% - Accent2 3 2 2 3 2" xfId="32434" xr:uid="{00000000-0005-0000-0000-000050090000}"/>
    <cellStyle name="40% - Accent2 3 2 2 4" xfId="18666" xr:uid="{00000000-0005-0000-0000-000051090000}"/>
    <cellStyle name="40% - Accent2 3 2 2 4 2" xfId="38586" xr:uid="{00000000-0005-0000-0000-000052090000}"/>
    <cellStyle name="40% - Accent2 3 2 2 5" xfId="26281" xr:uid="{00000000-0005-0000-0000-000053090000}"/>
    <cellStyle name="40% - Accent2 3 2 3" xfId="7852" xr:uid="{00000000-0005-0000-0000-000054090000}"/>
    <cellStyle name="40% - Accent2 3 2 3 2" xfId="14046" xr:uid="{00000000-0005-0000-0000-000055090000}"/>
    <cellStyle name="40% - Accent2 3 2 3 2 2" xfId="33966" xr:uid="{00000000-0005-0000-0000-000056090000}"/>
    <cellStyle name="40% - Accent2 3 2 3 3" xfId="20198" xr:uid="{00000000-0005-0000-0000-000057090000}"/>
    <cellStyle name="40% - Accent2 3 2 3 3 2" xfId="40118" xr:uid="{00000000-0005-0000-0000-000058090000}"/>
    <cellStyle name="40% - Accent2 3 2 3 4" xfId="27813" xr:uid="{00000000-0005-0000-0000-000059090000}"/>
    <cellStyle name="40% - Accent2 3 2 4" xfId="10980" xr:uid="{00000000-0005-0000-0000-00005A090000}"/>
    <cellStyle name="40% - Accent2 3 2 4 2" xfId="30900" xr:uid="{00000000-0005-0000-0000-00005B090000}"/>
    <cellStyle name="40% - Accent2 3 2 5" xfId="17132" xr:uid="{00000000-0005-0000-0000-00005C090000}"/>
    <cellStyle name="40% - Accent2 3 2 5 2" xfId="37052" xr:uid="{00000000-0005-0000-0000-00005D090000}"/>
    <cellStyle name="40% - Accent2 3 2 6" xfId="4676" xr:uid="{00000000-0005-0000-0000-00005E090000}"/>
    <cellStyle name="40% - Accent2 3 2 6 2" xfId="24747" xr:uid="{00000000-0005-0000-0000-00005F090000}"/>
    <cellStyle name="40% - Accent2 3 2 7" xfId="23712" xr:uid="{00000000-0005-0000-0000-000060090000}"/>
    <cellStyle name="40% - Accent2 3 3" xfId="5515" xr:uid="{00000000-0005-0000-0000-000061090000}"/>
    <cellStyle name="40% - Accent2 3 3 2" xfId="8618" xr:uid="{00000000-0005-0000-0000-000062090000}"/>
    <cellStyle name="40% - Accent2 3 3 2 2" xfId="14811" xr:uid="{00000000-0005-0000-0000-000063090000}"/>
    <cellStyle name="40% - Accent2 3 3 2 2 2" xfId="34731" xr:uid="{00000000-0005-0000-0000-000064090000}"/>
    <cellStyle name="40% - Accent2 3 3 2 3" xfId="20963" xr:uid="{00000000-0005-0000-0000-000065090000}"/>
    <cellStyle name="40% - Accent2 3 3 2 3 2" xfId="40883" xr:uid="{00000000-0005-0000-0000-000066090000}"/>
    <cellStyle name="40% - Accent2 3 3 2 4" xfId="28578" xr:uid="{00000000-0005-0000-0000-000067090000}"/>
    <cellStyle name="40% - Accent2 3 3 3" xfId="11745" xr:uid="{00000000-0005-0000-0000-000068090000}"/>
    <cellStyle name="40% - Accent2 3 3 3 2" xfId="31665" xr:uid="{00000000-0005-0000-0000-000069090000}"/>
    <cellStyle name="40% - Accent2 3 3 4" xfId="17897" xr:uid="{00000000-0005-0000-0000-00006A090000}"/>
    <cellStyle name="40% - Accent2 3 3 4 2" xfId="37817" xr:uid="{00000000-0005-0000-0000-00006B090000}"/>
    <cellStyle name="40% - Accent2 3 3 5" xfId="25512" xr:uid="{00000000-0005-0000-0000-00006C090000}"/>
    <cellStyle name="40% - Accent2 3 4" xfId="7083" xr:uid="{00000000-0005-0000-0000-00006D090000}"/>
    <cellStyle name="40% - Accent2 3 4 2" xfId="13277" xr:uid="{00000000-0005-0000-0000-00006E090000}"/>
    <cellStyle name="40% - Accent2 3 4 2 2" xfId="33197" xr:uid="{00000000-0005-0000-0000-00006F090000}"/>
    <cellStyle name="40% - Accent2 3 4 3" xfId="19429" xr:uid="{00000000-0005-0000-0000-000070090000}"/>
    <cellStyle name="40% - Accent2 3 4 3 2" xfId="39349" xr:uid="{00000000-0005-0000-0000-000071090000}"/>
    <cellStyle name="40% - Accent2 3 4 4" xfId="27044" xr:uid="{00000000-0005-0000-0000-000072090000}"/>
    <cellStyle name="40% - Accent2 3 5" xfId="10211" xr:uid="{00000000-0005-0000-0000-000073090000}"/>
    <cellStyle name="40% - Accent2 3 5 2" xfId="30131" xr:uid="{00000000-0005-0000-0000-000074090000}"/>
    <cellStyle name="40% - Accent2 3 6" xfId="16363" xr:uid="{00000000-0005-0000-0000-000075090000}"/>
    <cellStyle name="40% - Accent2 3 6 2" xfId="36283" xr:uid="{00000000-0005-0000-0000-000076090000}"/>
    <cellStyle name="40% - Accent2 3 7" xfId="1242" xr:uid="{00000000-0005-0000-0000-000077090000}"/>
    <cellStyle name="40% - Accent2 3 7 2" xfId="23978" xr:uid="{00000000-0005-0000-0000-000078090000}"/>
    <cellStyle name="40% - Accent2 3 8" xfId="22795" xr:uid="{00000000-0005-0000-0000-000079090000}"/>
    <cellStyle name="40% - Accent2 3 8 2" xfId="42706" xr:uid="{00000000-0005-0000-0000-00007A090000}"/>
    <cellStyle name="40% - Accent2 3 9" xfId="23098" xr:uid="{00000000-0005-0000-0000-00007B090000}"/>
    <cellStyle name="40% - Accent2 3 9 2" xfId="43009" xr:uid="{00000000-0005-0000-0000-00007C090000}"/>
    <cellStyle name="40% - Accent2 4" xfId="429" xr:uid="{00000000-0005-0000-0000-00007D090000}"/>
    <cellStyle name="40% - Accent2 4 10" xfId="23425" xr:uid="{00000000-0005-0000-0000-00007E090000}"/>
    <cellStyle name="40% - Accent2 4 2" xfId="846" xr:uid="{00000000-0005-0000-0000-00007F090000}"/>
    <cellStyle name="40% - Accent2 4 2 2" xfId="6302" xr:uid="{00000000-0005-0000-0000-000080090000}"/>
    <cellStyle name="40% - Accent2 4 2 2 2" xfId="9388" xr:uid="{00000000-0005-0000-0000-000081090000}"/>
    <cellStyle name="40% - Accent2 4 2 2 2 2" xfId="15581" xr:uid="{00000000-0005-0000-0000-000082090000}"/>
    <cellStyle name="40% - Accent2 4 2 2 2 2 2" xfId="35501" xr:uid="{00000000-0005-0000-0000-000083090000}"/>
    <cellStyle name="40% - Accent2 4 2 2 2 3" xfId="21733" xr:uid="{00000000-0005-0000-0000-000084090000}"/>
    <cellStyle name="40% - Accent2 4 2 2 2 3 2" xfId="41653" xr:uid="{00000000-0005-0000-0000-000085090000}"/>
    <cellStyle name="40% - Accent2 4 2 2 2 4" xfId="29348" xr:uid="{00000000-0005-0000-0000-000086090000}"/>
    <cellStyle name="40% - Accent2 4 2 2 3" xfId="12515" xr:uid="{00000000-0005-0000-0000-000087090000}"/>
    <cellStyle name="40% - Accent2 4 2 2 3 2" xfId="32435" xr:uid="{00000000-0005-0000-0000-000088090000}"/>
    <cellStyle name="40% - Accent2 4 2 2 4" xfId="18667" xr:uid="{00000000-0005-0000-0000-000089090000}"/>
    <cellStyle name="40% - Accent2 4 2 2 4 2" xfId="38587" xr:uid="{00000000-0005-0000-0000-00008A090000}"/>
    <cellStyle name="40% - Accent2 4 2 2 5" xfId="26282" xr:uid="{00000000-0005-0000-0000-00008B090000}"/>
    <cellStyle name="40% - Accent2 4 2 3" xfId="7853" xr:uid="{00000000-0005-0000-0000-00008C090000}"/>
    <cellStyle name="40% - Accent2 4 2 3 2" xfId="14047" xr:uid="{00000000-0005-0000-0000-00008D090000}"/>
    <cellStyle name="40% - Accent2 4 2 3 2 2" xfId="33967" xr:uid="{00000000-0005-0000-0000-00008E090000}"/>
    <cellStyle name="40% - Accent2 4 2 3 3" xfId="20199" xr:uid="{00000000-0005-0000-0000-00008F090000}"/>
    <cellStyle name="40% - Accent2 4 2 3 3 2" xfId="40119" xr:uid="{00000000-0005-0000-0000-000090090000}"/>
    <cellStyle name="40% - Accent2 4 2 3 4" xfId="27814" xr:uid="{00000000-0005-0000-0000-000091090000}"/>
    <cellStyle name="40% - Accent2 4 2 4" xfId="10981" xr:uid="{00000000-0005-0000-0000-000092090000}"/>
    <cellStyle name="40% - Accent2 4 2 4 2" xfId="30901" xr:uid="{00000000-0005-0000-0000-000093090000}"/>
    <cellStyle name="40% - Accent2 4 2 5" xfId="17133" xr:uid="{00000000-0005-0000-0000-000094090000}"/>
    <cellStyle name="40% - Accent2 4 2 5 2" xfId="37053" xr:uid="{00000000-0005-0000-0000-000095090000}"/>
    <cellStyle name="40% - Accent2 4 2 6" xfId="4677" xr:uid="{00000000-0005-0000-0000-000096090000}"/>
    <cellStyle name="40% - Accent2 4 2 6 2" xfId="24748" xr:uid="{00000000-0005-0000-0000-000097090000}"/>
    <cellStyle name="40% - Accent2 4 2 7" xfId="23728" xr:uid="{00000000-0005-0000-0000-000098090000}"/>
    <cellStyle name="40% - Accent2 4 3" xfId="5516" xr:uid="{00000000-0005-0000-0000-000099090000}"/>
    <cellStyle name="40% - Accent2 4 3 2" xfId="8619" xr:uid="{00000000-0005-0000-0000-00009A090000}"/>
    <cellStyle name="40% - Accent2 4 3 2 2" xfId="14812" xr:uid="{00000000-0005-0000-0000-00009B090000}"/>
    <cellStyle name="40% - Accent2 4 3 2 2 2" xfId="34732" xr:uid="{00000000-0005-0000-0000-00009C090000}"/>
    <cellStyle name="40% - Accent2 4 3 2 3" xfId="20964" xr:uid="{00000000-0005-0000-0000-00009D090000}"/>
    <cellStyle name="40% - Accent2 4 3 2 3 2" xfId="40884" xr:uid="{00000000-0005-0000-0000-00009E090000}"/>
    <cellStyle name="40% - Accent2 4 3 2 4" xfId="28579" xr:uid="{00000000-0005-0000-0000-00009F090000}"/>
    <cellStyle name="40% - Accent2 4 3 3" xfId="11746" xr:uid="{00000000-0005-0000-0000-0000A0090000}"/>
    <cellStyle name="40% - Accent2 4 3 3 2" xfId="31666" xr:uid="{00000000-0005-0000-0000-0000A1090000}"/>
    <cellStyle name="40% - Accent2 4 3 4" xfId="17898" xr:uid="{00000000-0005-0000-0000-0000A2090000}"/>
    <cellStyle name="40% - Accent2 4 3 4 2" xfId="37818" xr:uid="{00000000-0005-0000-0000-0000A3090000}"/>
    <cellStyle name="40% - Accent2 4 3 5" xfId="25513" xr:uid="{00000000-0005-0000-0000-0000A4090000}"/>
    <cellStyle name="40% - Accent2 4 4" xfId="7084" xr:uid="{00000000-0005-0000-0000-0000A5090000}"/>
    <cellStyle name="40% - Accent2 4 4 2" xfId="13278" xr:uid="{00000000-0005-0000-0000-0000A6090000}"/>
    <cellStyle name="40% - Accent2 4 4 2 2" xfId="33198" xr:uid="{00000000-0005-0000-0000-0000A7090000}"/>
    <cellStyle name="40% - Accent2 4 4 3" xfId="19430" xr:uid="{00000000-0005-0000-0000-0000A8090000}"/>
    <cellStyle name="40% - Accent2 4 4 3 2" xfId="39350" xr:uid="{00000000-0005-0000-0000-0000A9090000}"/>
    <cellStyle name="40% - Accent2 4 4 4" xfId="27045" xr:uid="{00000000-0005-0000-0000-0000AA090000}"/>
    <cellStyle name="40% - Accent2 4 5" xfId="10212" xr:uid="{00000000-0005-0000-0000-0000AB090000}"/>
    <cellStyle name="40% - Accent2 4 5 2" xfId="30132" xr:uid="{00000000-0005-0000-0000-0000AC090000}"/>
    <cellStyle name="40% - Accent2 4 6" xfId="16364" xr:uid="{00000000-0005-0000-0000-0000AD090000}"/>
    <cellStyle name="40% - Accent2 4 6 2" xfId="36284" xr:uid="{00000000-0005-0000-0000-0000AE090000}"/>
    <cellStyle name="40% - Accent2 4 7" xfId="1243" xr:uid="{00000000-0005-0000-0000-0000AF090000}"/>
    <cellStyle name="40% - Accent2 4 7 2" xfId="23979" xr:uid="{00000000-0005-0000-0000-0000B0090000}"/>
    <cellStyle name="40% - Accent2 4 8" xfId="22811" xr:uid="{00000000-0005-0000-0000-0000B1090000}"/>
    <cellStyle name="40% - Accent2 4 8 2" xfId="42722" xr:uid="{00000000-0005-0000-0000-0000B2090000}"/>
    <cellStyle name="40% - Accent2 4 9" xfId="23114" xr:uid="{00000000-0005-0000-0000-0000B3090000}"/>
    <cellStyle name="40% - Accent2 4 9 2" xfId="43025" xr:uid="{00000000-0005-0000-0000-0000B4090000}"/>
    <cellStyle name="40% - Accent2 5" xfId="456" xr:uid="{00000000-0005-0000-0000-0000B5090000}"/>
    <cellStyle name="40% - Accent2 5 2" xfId="862" xr:uid="{00000000-0005-0000-0000-0000B6090000}"/>
    <cellStyle name="40% - Accent2 5 2 2" xfId="23744" xr:uid="{00000000-0005-0000-0000-0000B7090000}"/>
    <cellStyle name="40% - Accent2 5 3" xfId="1244" xr:uid="{00000000-0005-0000-0000-0000B8090000}"/>
    <cellStyle name="40% - Accent2 5 4" xfId="22563" xr:uid="{00000000-0005-0000-0000-0000B9090000}"/>
    <cellStyle name="40% - Accent2 5 4 2" xfId="42474" xr:uid="{00000000-0005-0000-0000-0000BA090000}"/>
    <cellStyle name="40% - Accent2 5 5" xfId="22827" xr:uid="{00000000-0005-0000-0000-0000BB090000}"/>
    <cellStyle name="40% - Accent2 5 5 2" xfId="42738" xr:uid="{00000000-0005-0000-0000-0000BC090000}"/>
    <cellStyle name="40% - Accent2 5 6" xfId="23130" xr:uid="{00000000-0005-0000-0000-0000BD090000}"/>
    <cellStyle name="40% - Accent2 5 6 2" xfId="43041" xr:uid="{00000000-0005-0000-0000-0000BE090000}"/>
    <cellStyle name="40% - Accent2 5 7" xfId="23441" xr:uid="{00000000-0005-0000-0000-0000BF090000}"/>
    <cellStyle name="40% - Accent2 6" xfId="483" xr:uid="{00000000-0005-0000-0000-0000C0090000}"/>
    <cellStyle name="40% - Accent2 6 2" xfId="878" xr:uid="{00000000-0005-0000-0000-0000C1090000}"/>
    <cellStyle name="40% - Accent2 6 2 2" xfId="23760" xr:uid="{00000000-0005-0000-0000-0000C2090000}"/>
    <cellStyle name="40% - Accent2 6 3" xfId="22599" xr:uid="{00000000-0005-0000-0000-0000C3090000}"/>
    <cellStyle name="40% - Accent2 6 3 2" xfId="42510" xr:uid="{00000000-0005-0000-0000-0000C4090000}"/>
    <cellStyle name="40% - Accent2 6 4" xfId="22843" xr:uid="{00000000-0005-0000-0000-0000C5090000}"/>
    <cellStyle name="40% - Accent2 6 4 2" xfId="42754" xr:uid="{00000000-0005-0000-0000-0000C6090000}"/>
    <cellStyle name="40% - Accent2 6 5" xfId="23146" xr:uid="{00000000-0005-0000-0000-0000C7090000}"/>
    <cellStyle name="40% - Accent2 6 5 2" xfId="43057" xr:uid="{00000000-0005-0000-0000-0000C8090000}"/>
    <cellStyle name="40% - Accent2 6 6" xfId="23457" xr:uid="{00000000-0005-0000-0000-0000C9090000}"/>
    <cellStyle name="40% - Accent2 7" xfId="507" xr:uid="{00000000-0005-0000-0000-0000CA090000}"/>
    <cellStyle name="40% - Accent2 7 2" xfId="894" xr:uid="{00000000-0005-0000-0000-0000CB090000}"/>
    <cellStyle name="40% - Accent2 7 2 2" xfId="23776" xr:uid="{00000000-0005-0000-0000-0000CC090000}"/>
    <cellStyle name="40% - Accent2 7 3" xfId="22603" xr:uid="{00000000-0005-0000-0000-0000CD090000}"/>
    <cellStyle name="40% - Accent2 7 3 2" xfId="42514" xr:uid="{00000000-0005-0000-0000-0000CE090000}"/>
    <cellStyle name="40% - Accent2 7 4" xfId="22859" xr:uid="{00000000-0005-0000-0000-0000CF090000}"/>
    <cellStyle name="40% - Accent2 7 4 2" xfId="42770" xr:uid="{00000000-0005-0000-0000-0000D0090000}"/>
    <cellStyle name="40% - Accent2 7 5" xfId="23162" xr:uid="{00000000-0005-0000-0000-0000D1090000}"/>
    <cellStyle name="40% - Accent2 7 5 2" xfId="43073" xr:uid="{00000000-0005-0000-0000-0000D2090000}"/>
    <cellStyle name="40% - Accent2 7 6" xfId="23473" xr:uid="{00000000-0005-0000-0000-0000D3090000}"/>
    <cellStyle name="40% - Accent2 8" xfId="531" xr:uid="{00000000-0005-0000-0000-0000D4090000}"/>
    <cellStyle name="40% - Accent2 8 2" xfId="910" xr:uid="{00000000-0005-0000-0000-0000D5090000}"/>
    <cellStyle name="40% - Accent2 8 2 2" xfId="23792" xr:uid="{00000000-0005-0000-0000-0000D6090000}"/>
    <cellStyle name="40% - Accent2 8 3" xfId="22665" xr:uid="{00000000-0005-0000-0000-0000D7090000}"/>
    <cellStyle name="40% - Accent2 8 3 2" xfId="42576" xr:uid="{00000000-0005-0000-0000-0000D8090000}"/>
    <cellStyle name="40% - Accent2 8 4" xfId="22875" xr:uid="{00000000-0005-0000-0000-0000D9090000}"/>
    <cellStyle name="40% - Accent2 8 4 2" xfId="42786" xr:uid="{00000000-0005-0000-0000-0000DA090000}"/>
    <cellStyle name="40% - Accent2 8 5" xfId="23178" xr:uid="{00000000-0005-0000-0000-0000DB090000}"/>
    <cellStyle name="40% - Accent2 8 5 2" xfId="43089" xr:uid="{00000000-0005-0000-0000-0000DC090000}"/>
    <cellStyle name="40% - Accent2 8 6" xfId="23489" xr:uid="{00000000-0005-0000-0000-0000DD090000}"/>
    <cellStyle name="40% - Accent2 9" xfId="570" xr:uid="{00000000-0005-0000-0000-0000DE090000}"/>
    <cellStyle name="40% - Accent2 9 2" xfId="926" xr:uid="{00000000-0005-0000-0000-0000DF090000}"/>
    <cellStyle name="40% - Accent2 9 2 2" xfId="23808" xr:uid="{00000000-0005-0000-0000-0000E0090000}"/>
    <cellStyle name="40% - Accent2 9 3" xfId="22500" xr:uid="{00000000-0005-0000-0000-0000E1090000}"/>
    <cellStyle name="40% - Accent2 9 3 2" xfId="42411" xr:uid="{00000000-0005-0000-0000-0000E2090000}"/>
    <cellStyle name="40% - Accent2 9 4" xfId="22891" xr:uid="{00000000-0005-0000-0000-0000E3090000}"/>
    <cellStyle name="40% - Accent2 9 4 2" xfId="42802" xr:uid="{00000000-0005-0000-0000-0000E4090000}"/>
    <cellStyle name="40% - Accent2 9 5" xfId="23194" xr:uid="{00000000-0005-0000-0000-0000E5090000}"/>
    <cellStyle name="40% - Accent2 9 5 2" xfId="43105" xr:uid="{00000000-0005-0000-0000-0000E6090000}"/>
    <cellStyle name="40% - Accent2 9 6" xfId="23505" xr:uid="{00000000-0005-0000-0000-0000E7090000}"/>
    <cellStyle name="40% - Accent3" xfId="71" builtinId="39" customBuiltin="1"/>
    <cellStyle name="40% - Accent3 10" xfId="602" xr:uid="{00000000-0005-0000-0000-0000E9090000}"/>
    <cellStyle name="40% - Accent3 10 2" xfId="944" xr:uid="{00000000-0005-0000-0000-0000EA090000}"/>
    <cellStyle name="40% - Accent3 10 2 2" xfId="23826" xr:uid="{00000000-0005-0000-0000-0000EB090000}"/>
    <cellStyle name="40% - Accent3 10 3" xfId="22507" xr:uid="{00000000-0005-0000-0000-0000EC090000}"/>
    <cellStyle name="40% - Accent3 10 3 2" xfId="42418" xr:uid="{00000000-0005-0000-0000-0000ED090000}"/>
    <cellStyle name="40% - Accent3 10 4" xfId="22909" xr:uid="{00000000-0005-0000-0000-0000EE090000}"/>
    <cellStyle name="40% - Accent3 10 4 2" xfId="42820" xr:uid="{00000000-0005-0000-0000-0000EF090000}"/>
    <cellStyle name="40% - Accent3 10 5" xfId="23212" xr:uid="{00000000-0005-0000-0000-0000F0090000}"/>
    <cellStyle name="40% - Accent3 10 5 2" xfId="43123" xr:uid="{00000000-0005-0000-0000-0000F1090000}"/>
    <cellStyle name="40% - Accent3 10 6" xfId="23523" xr:uid="{00000000-0005-0000-0000-0000F2090000}"/>
    <cellStyle name="40% - Accent3 11" xfId="629" xr:uid="{00000000-0005-0000-0000-0000F3090000}"/>
    <cellStyle name="40% - Accent3 11 2" xfId="960" xr:uid="{00000000-0005-0000-0000-0000F4090000}"/>
    <cellStyle name="40% - Accent3 11 2 2" xfId="23842" xr:uid="{00000000-0005-0000-0000-0000F5090000}"/>
    <cellStyle name="40% - Accent3 11 3" xfId="22605" xr:uid="{00000000-0005-0000-0000-0000F6090000}"/>
    <cellStyle name="40% - Accent3 11 3 2" xfId="42516" xr:uid="{00000000-0005-0000-0000-0000F7090000}"/>
    <cellStyle name="40% - Accent3 11 4" xfId="22925" xr:uid="{00000000-0005-0000-0000-0000F8090000}"/>
    <cellStyle name="40% - Accent3 11 4 2" xfId="42836" xr:uid="{00000000-0005-0000-0000-0000F9090000}"/>
    <cellStyle name="40% - Accent3 11 5" xfId="23228" xr:uid="{00000000-0005-0000-0000-0000FA090000}"/>
    <cellStyle name="40% - Accent3 11 5 2" xfId="43139" xr:uid="{00000000-0005-0000-0000-0000FB090000}"/>
    <cellStyle name="40% - Accent3 11 6" xfId="23539" xr:uid="{00000000-0005-0000-0000-0000FC090000}"/>
    <cellStyle name="40% - Accent3 12" xfId="655" xr:uid="{00000000-0005-0000-0000-0000FD090000}"/>
    <cellStyle name="40% - Accent3 12 2" xfId="976" xr:uid="{00000000-0005-0000-0000-0000FE090000}"/>
    <cellStyle name="40% - Accent3 12 2 2" xfId="23858" xr:uid="{00000000-0005-0000-0000-0000FF090000}"/>
    <cellStyle name="40% - Accent3 12 3" xfId="22593" xr:uid="{00000000-0005-0000-0000-0000000A0000}"/>
    <cellStyle name="40% - Accent3 12 3 2" xfId="42504" xr:uid="{00000000-0005-0000-0000-0000010A0000}"/>
    <cellStyle name="40% - Accent3 12 4" xfId="22941" xr:uid="{00000000-0005-0000-0000-0000020A0000}"/>
    <cellStyle name="40% - Accent3 12 4 2" xfId="42852" xr:uid="{00000000-0005-0000-0000-0000030A0000}"/>
    <cellStyle name="40% - Accent3 12 5" xfId="23244" xr:uid="{00000000-0005-0000-0000-0000040A0000}"/>
    <cellStyle name="40% - Accent3 12 5 2" xfId="43155" xr:uid="{00000000-0005-0000-0000-0000050A0000}"/>
    <cellStyle name="40% - Accent3 12 6" xfId="23555" xr:uid="{00000000-0005-0000-0000-0000060A0000}"/>
    <cellStyle name="40% - Accent3 13" xfId="679" xr:uid="{00000000-0005-0000-0000-0000070A0000}"/>
    <cellStyle name="40% - Accent3 13 2" xfId="992" xr:uid="{00000000-0005-0000-0000-0000080A0000}"/>
    <cellStyle name="40% - Accent3 13 2 2" xfId="23874" xr:uid="{00000000-0005-0000-0000-0000090A0000}"/>
    <cellStyle name="40% - Accent3 13 3" xfId="22668" xr:uid="{00000000-0005-0000-0000-00000A0A0000}"/>
    <cellStyle name="40% - Accent3 13 3 2" xfId="42579" xr:uid="{00000000-0005-0000-0000-00000B0A0000}"/>
    <cellStyle name="40% - Accent3 13 4" xfId="22957" xr:uid="{00000000-0005-0000-0000-00000C0A0000}"/>
    <cellStyle name="40% - Accent3 13 4 2" xfId="42868" xr:uid="{00000000-0005-0000-0000-00000D0A0000}"/>
    <cellStyle name="40% - Accent3 13 5" xfId="23260" xr:uid="{00000000-0005-0000-0000-00000E0A0000}"/>
    <cellStyle name="40% - Accent3 13 5 2" xfId="43171" xr:uid="{00000000-0005-0000-0000-00000F0A0000}"/>
    <cellStyle name="40% - Accent3 13 6" xfId="23571" xr:uid="{00000000-0005-0000-0000-0000100A0000}"/>
    <cellStyle name="40% - Accent3 14" xfId="700" xr:uid="{00000000-0005-0000-0000-0000110A0000}"/>
    <cellStyle name="40% - Accent3 14 2" xfId="1008" xr:uid="{00000000-0005-0000-0000-0000120A0000}"/>
    <cellStyle name="40% - Accent3 14 2 2" xfId="23890" xr:uid="{00000000-0005-0000-0000-0000130A0000}"/>
    <cellStyle name="40% - Accent3 14 3" xfId="22539" xr:uid="{00000000-0005-0000-0000-0000140A0000}"/>
    <cellStyle name="40% - Accent3 14 3 2" xfId="42450" xr:uid="{00000000-0005-0000-0000-0000150A0000}"/>
    <cellStyle name="40% - Accent3 14 4" xfId="22973" xr:uid="{00000000-0005-0000-0000-0000160A0000}"/>
    <cellStyle name="40% - Accent3 14 4 2" xfId="42884" xr:uid="{00000000-0005-0000-0000-0000170A0000}"/>
    <cellStyle name="40% - Accent3 14 5" xfId="23276" xr:uid="{00000000-0005-0000-0000-0000180A0000}"/>
    <cellStyle name="40% - Accent3 14 5 2" xfId="43187" xr:uid="{00000000-0005-0000-0000-0000190A0000}"/>
    <cellStyle name="40% - Accent3 14 6" xfId="23587" xr:uid="{00000000-0005-0000-0000-00001A0A0000}"/>
    <cellStyle name="40% - Accent3 15" xfId="716" xr:uid="{00000000-0005-0000-0000-00001B0A0000}"/>
    <cellStyle name="40% - Accent3 15 2" xfId="1024" xr:uid="{00000000-0005-0000-0000-00001C0A0000}"/>
    <cellStyle name="40% - Accent3 15 2 2" xfId="23906" xr:uid="{00000000-0005-0000-0000-00001D0A0000}"/>
    <cellStyle name="40% - Accent3 15 3" xfId="22549" xr:uid="{00000000-0005-0000-0000-00001E0A0000}"/>
    <cellStyle name="40% - Accent3 15 3 2" xfId="42460" xr:uid="{00000000-0005-0000-0000-00001F0A0000}"/>
    <cellStyle name="40% - Accent3 15 4" xfId="22989" xr:uid="{00000000-0005-0000-0000-0000200A0000}"/>
    <cellStyle name="40% - Accent3 15 4 2" xfId="42900" xr:uid="{00000000-0005-0000-0000-0000210A0000}"/>
    <cellStyle name="40% - Accent3 15 5" xfId="23292" xr:uid="{00000000-0005-0000-0000-0000220A0000}"/>
    <cellStyle name="40% - Accent3 15 5 2" xfId="43203" xr:uid="{00000000-0005-0000-0000-0000230A0000}"/>
    <cellStyle name="40% - Accent3 15 6" xfId="23603" xr:uid="{00000000-0005-0000-0000-0000240A0000}"/>
    <cellStyle name="40% - Accent3 16" xfId="740" xr:uid="{00000000-0005-0000-0000-0000250A0000}"/>
    <cellStyle name="40% - Accent3 16 2" xfId="23622" xr:uid="{00000000-0005-0000-0000-0000260A0000}"/>
    <cellStyle name="40% - Accent3 17" xfId="22705" xr:uid="{00000000-0005-0000-0000-0000270A0000}"/>
    <cellStyle name="40% - Accent3 17 2" xfId="42616" xr:uid="{00000000-0005-0000-0000-0000280A0000}"/>
    <cellStyle name="40% - Accent3 18" xfId="23008" xr:uid="{00000000-0005-0000-0000-0000290A0000}"/>
    <cellStyle name="40% - Accent3 18 2" xfId="42919" xr:uid="{00000000-0005-0000-0000-00002A0A0000}"/>
    <cellStyle name="40% - Accent3 19" xfId="23312" xr:uid="{00000000-0005-0000-0000-00002B0A0000}"/>
    <cellStyle name="40% - Accent3 2" xfId="375" xr:uid="{00000000-0005-0000-0000-00002C0A0000}"/>
    <cellStyle name="40% - Accent3 2 10" xfId="23395" xr:uid="{00000000-0005-0000-0000-00002D0A0000}"/>
    <cellStyle name="40% - Accent3 2 2" xfId="816" xr:uid="{00000000-0005-0000-0000-00002E0A0000}"/>
    <cellStyle name="40% - Accent3 2 2 2" xfId="6303" xr:uid="{00000000-0005-0000-0000-00002F0A0000}"/>
    <cellStyle name="40% - Accent3 2 2 2 2" xfId="9389" xr:uid="{00000000-0005-0000-0000-0000300A0000}"/>
    <cellStyle name="40% - Accent3 2 2 2 2 2" xfId="15582" xr:uid="{00000000-0005-0000-0000-0000310A0000}"/>
    <cellStyle name="40% - Accent3 2 2 2 2 2 2" xfId="35502" xr:uid="{00000000-0005-0000-0000-0000320A0000}"/>
    <cellStyle name="40% - Accent3 2 2 2 2 3" xfId="21734" xr:uid="{00000000-0005-0000-0000-0000330A0000}"/>
    <cellStyle name="40% - Accent3 2 2 2 2 3 2" xfId="41654" xr:uid="{00000000-0005-0000-0000-0000340A0000}"/>
    <cellStyle name="40% - Accent3 2 2 2 2 4" xfId="29349" xr:uid="{00000000-0005-0000-0000-0000350A0000}"/>
    <cellStyle name="40% - Accent3 2 2 2 3" xfId="12516" xr:uid="{00000000-0005-0000-0000-0000360A0000}"/>
    <cellStyle name="40% - Accent3 2 2 2 3 2" xfId="32436" xr:uid="{00000000-0005-0000-0000-0000370A0000}"/>
    <cellStyle name="40% - Accent3 2 2 2 4" xfId="18668" xr:uid="{00000000-0005-0000-0000-0000380A0000}"/>
    <cellStyle name="40% - Accent3 2 2 2 4 2" xfId="38588" xr:uid="{00000000-0005-0000-0000-0000390A0000}"/>
    <cellStyle name="40% - Accent3 2 2 2 5" xfId="26283" xr:uid="{00000000-0005-0000-0000-00003A0A0000}"/>
    <cellStyle name="40% - Accent3 2 2 3" xfId="7854" xr:uid="{00000000-0005-0000-0000-00003B0A0000}"/>
    <cellStyle name="40% - Accent3 2 2 3 2" xfId="14048" xr:uid="{00000000-0005-0000-0000-00003C0A0000}"/>
    <cellStyle name="40% - Accent3 2 2 3 2 2" xfId="33968" xr:uid="{00000000-0005-0000-0000-00003D0A0000}"/>
    <cellStyle name="40% - Accent3 2 2 3 3" xfId="20200" xr:uid="{00000000-0005-0000-0000-00003E0A0000}"/>
    <cellStyle name="40% - Accent3 2 2 3 3 2" xfId="40120" xr:uid="{00000000-0005-0000-0000-00003F0A0000}"/>
    <cellStyle name="40% - Accent3 2 2 3 4" xfId="27815" xr:uid="{00000000-0005-0000-0000-0000400A0000}"/>
    <cellStyle name="40% - Accent3 2 2 4" xfId="10982" xr:uid="{00000000-0005-0000-0000-0000410A0000}"/>
    <cellStyle name="40% - Accent3 2 2 4 2" xfId="30902" xr:uid="{00000000-0005-0000-0000-0000420A0000}"/>
    <cellStyle name="40% - Accent3 2 2 5" xfId="17134" xr:uid="{00000000-0005-0000-0000-0000430A0000}"/>
    <cellStyle name="40% - Accent3 2 2 5 2" xfId="37054" xr:uid="{00000000-0005-0000-0000-0000440A0000}"/>
    <cellStyle name="40% - Accent3 2 2 6" xfId="4678" xr:uid="{00000000-0005-0000-0000-0000450A0000}"/>
    <cellStyle name="40% - Accent3 2 2 6 2" xfId="24749" xr:uid="{00000000-0005-0000-0000-0000460A0000}"/>
    <cellStyle name="40% - Accent3 2 2 7" xfId="23698" xr:uid="{00000000-0005-0000-0000-0000470A0000}"/>
    <cellStyle name="40% - Accent3 2 3" xfId="5517" xr:uid="{00000000-0005-0000-0000-0000480A0000}"/>
    <cellStyle name="40% - Accent3 2 3 2" xfId="8620" xr:uid="{00000000-0005-0000-0000-0000490A0000}"/>
    <cellStyle name="40% - Accent3 2 3 2 2" xfId="14813" xr:uid="{00000000-0005-0000-0000-00004A0A0000}"/>
    <cellStyle name="40% - Accent3 2 3 2 2 2" xfId="34733" xr:uid="{00000000-0005-0000-0000-00004B0A0000}"/>
    <cellStyle name="40% - Accent3 2 3 2 3" xfId="20965" xr:uid="{00000000-0005-0000-0000-00004C0A0000}"/>
    <cellStyle name="40% - Accent3 2 3 2 3 2" xfId="40885" xr:uid="{00000000-0005-0000-0000-00004D0A0000}"/>
    <cellStyle name="40% - Accent3 2 3 2 4" xfId="28580" xr:uid="{00000000-0005-0000-0000-00004E0A0000}"/>
    <cellStyle name="40% - Accent3 2 3 3" xfId="11747" xr:uid="{00000000-0005-0000-0000-00004F0A0000}"/>
    <cellStyle name="40% - Accent3 2 3 3 2" xfId="31667" xr:uid="{00000000-0005-0000-0000-0000500A0000}"/>
    <cellStyle name="40% - Accent3 2 3 4" xfId="17899" xr:uid="{00000000-0005-0000-0000-0000510A0000}"/>
    <cellStyle name="40% - Accent3 2 3 4 2" xfId="37819" xr:uid="{00000000-0005-0000-0000-0000520A0000}"/>
    <cellStyle name="40% - Accent3 2 3 5" xfId="25514" xr:uid="{00000000-0005-0000-0000-0000530A0000}"/>
    <cellStyle name="40% - Accent3 2 4" xfId="7085" xr:uid="{00000000-0005-0000-0000-0000540A0000}"/>
    <cellStyle name="40% - Accent3 2 4 2" xfId="13279" xr:uid="{00000000-0005-0000-0000-0000550A0000}"/>
    <cellStyle name="40% - Accent3 2 4 2 2" xfId="33199" xr:uid="{00000000-0005-0000-0000-0000560A0000}"/>
    <cellStyle name="40% - Accent3 2 4 3" xfId="19431" xr:uid="{00000000-0005-0000-0000-0000570A0000}"/>
    <cellStyle name="40% - Accent3 2 4 3 2" xfId="39351" xr:uid="{00000000-0005-0000-0000-0000580A0000}"/>
    <cellStyle name="40% - Accent3 2 4 4" xfId="27046" xr:uid="{00000000-0005-0000-0000-0000590A0000}"/>
    <cellStyle name="40% - Accent3 2 5" xfId="10213" xr:uid="{00000000-0005-0000-0000-00005A0A0000}"/>
    <cellStyle name="40% - Accent3 2 5 2" xfId="30133" xr:uid="{00000000-0005-0000-0000-00005B0A0000}"/>
    <cellStyle name="40% - Accent3 2 6" xfId="16365" xr:uid="{00000000-0005-0000-0000-00005C0A0000}"/>
    <cellStyle name="40% - Accent3 2 6 2" xfId="36285" xr:uid="{00000000-0005-0000-0000-00005D0A0000}"/>
    <cellStyle name="40% - Accent3 2 7" xfId="1245" xr:uid="{00000000-0005-0000-0000-00005E0A0000}"/>
    <cellStyle name="40% - Accent3 2 7 2" xfId="23980" xr:uid="{00000000-0005-0000-0000-00005F0A0000}"/>
    <cellStyle name="40% - Accent3 2 8" xfId="22781" xr:uid="{00000000-0005-0000-0000-0000600A0000}"/>
    <cellStyle name="40% - Accent3 2 8 2" xfId="42692" xr:uid="{00000000-0005-0000-0000-0000610A0000}"/>
    <cellStyle name="40% - Accent3 2 9" xfId="23084" xr:uid="{00000000-0005-0000-0000-0000620A0000}"/>
    <cellStyle name="40% - Accent3 2 9 2" xfId="42995" xr:uid="{00000000-0005-0000-0000-0000630A0000}"/>
    <cellStyle name="40% - Accent3 3" xfId="405" xr:uid="{00000000-0005-0000-0000-0000640A0000}"/>
    <cellStyle name="40% - Accent3 3 10" xfId="23411" xr:uid="{00000000-0005-0000-0000-0000650A0000}"/>
    <cellStyle name="40% - Accent3 3 2" xfId="832" xr:uid="{00000000-0005-0000-0000-0000660A0000}"/>
    <cellStyle name="40% - Accent3 3 2 2" xfId="6304" xr:uid="{00000000-0005-0000-0000-0000670A0000}"/>
    <cellStyle name="40% - Accent3 3 2 2 2" xfId="9390" xr:uid="{00000000-0005-0000-0000-0000680A0000}"/>
    <cellStyle name="40% - Accent3 3 2 2 2 2" xfId="15583" xr:uid="{00000000-0005-0000-0000-0000690A0000}"/>
    <cellStyle name="40% - Accent3 3 2 2 2 2 2" xfId="35503" xr:uid="{00000000-0005-0000-0000-00006A0A0000}"/>
    <cellStyle name="40% - Accent3 3 2 2 2 3" xfId="21735" xr:uid="{00000000-0005-0000-0000-00006B0A0000}"/>
    <cellStyle name="40% - Accent3 3 2 2 2 3 2" xfId="41655" xr:uid="{00000000-0005-0000-0000-00006C0A0000}"/>
    <cellStyle name="40% - Accent3 3 2 2 2 4" xfId="29350" xr:uid="{00000000-0005-0000-0000-00006D0A0000}"/>
    <cellStyle name="40% - Accent3 3 2 2 3" xfId="12517" xr:uid="{00000000-0005-0000-0000-00006E0A0000}"/>
    <cellStyle name="40% - Accent3 3 2 2 3 2" xfId="32437" xr:uid="{00000000-0005-0000-0000-00006F0A0000}"/>
    <cellStyle name="40% - Accent3 3 2 2 4" xfId="18669" xr:uid="{00000000-0005-0000-0000-0000700A0000}"/>
    <cellStyle name="40% - Accent3 3 2 2 4 2" xfId="38589" xr:uid="{00000000-0005-0000-0000-0000710A0000}"/>
    <cellStyle name="40% - Accent3 3 2 2 5" xfId="26284" xr:uid="{00000000-0005-0000-0000-0000720A0000}"/>
    <cellStyle name="40% - Accent3 3 2 3" xfId="7855" xr:uid="{00000000-0005-0000-0000-0000730A0000}"/>
    <cellStyle name="40% - Accent3 3 2 3 2" xfId="14049" xr:uid="{00000000-0005-0000-0000-0000740A0000}"/>
    <cellStyle name="40% - Accent3 3 2 3 2 2" xfId="33969" xr:uid="{00000000-0005-0000-0000-0000750A0000}"/>
    <cellStyle name="40% - Accent3 3 2 3 3" xfId="20201" xr:uid="{00000000-0005-0000-0000-0000760A0000}"/>
    <cellStyle name="40% - Accent3 3 2 3 3 2" xfId="40121" xr:uid="{00000000-0005-0000-0000-0000770A0000}"/>
    <cellStyle name="40% - Accent3 3 2 3 4" xfId="27816" xr:uid="{00000000-0005-0000-0000-0000780A0000}"/>
    <cellStyle name="40% - Accent3 3 2 4" xfId="10983" xr:uid="{00000000-0005-0000-0000-0000790A0000}"/>
    <cellStyle name="40% - Accent3 3 2 4 2" xfId="30903" xr:uid="{00000000-0005-0000-0000-00007A0A0000}"/>
    <cellStyle name="40% - Accent3 3 2 5" xfId="17135" xr:uid="{00000000-0005-0000-0000-00007B0A0000}"/>
    <cellStyle name="40% - Accent3 3 2 5 2" xfId="37055" xr:uid="{00000000-0005-0000-0000-00007C0A0000}"/>
    <cellStyle name="40% - Accent3 3 2 6" xfId="4679" xr:uid="{00000000-0005-0000-0000-00007D0A0000}"/>
    <cellStyle name="40% - Accent3 3 2 6 2" xfId="24750" xr:uid="{00000000-0005-0000-0000-00007E0A0000}"/>
    <cellStyle name="40% - Accent3 3 2 7" xfId="23714" xr:uid="{00000000-0005-0000-0000-00007F0A0000}"/>
    <cellStyle name="40% - Accent3 3 3" xfId="5518" xr:uid="{00000000-0005-0000-0000-0000800A0000}"/>
    <cellStyle name="40% - Accent3 3 3 2" xfId="8621" xr:uid="{00000000-0005-0000-0000-0000810A0000}"/>
    <cellStyle name="40% - Accent3 3 3 2 2" xfId="14814" xr:uid="{00000000-0005-0000-0000-0000820A0000}"/>
    <cellStyle name="40% - Accent3 3 3 2 2 2" xfId="34734" xr:uid="{00000000-0005-0000-0000-0000830A0000}"/>
    <cellStyle name="40% - Accent3 3 3 2 3" xfId="20966" xr:uid="{00000000-0005-0000-0000-0000840A0000}"/>
    <cellStyle name="40% - Accent3 3 3 2 3 2" xfId="40886" xr:uid="{00000000-0005-0000-0000-0000850A0000}"/>
    <cellStyle name="40% - Accent3 3 3 2 4" xfId="28581" xr:uid="{00000000-0005-0000-0000-0000860A0000}"/>
    <cellStyle name="40% - Accent3 3 3 3" xfId="11748" xr:uid="{00000000-0005-0000-0000-0000870A0000}"/>
    <cellStyle name="40% - Accent3 3 3 3 2" xfId="31668" xr:uid="{00000000-0005-0000-0000-0000880A0000}"/>
    <cellStyle name="40% - Accent3 3 3 4" xfId="17900" xr:uid="{00000000-0005-0000-0000-0000890A0000}"/>
    <cellStyle name="40% - Accent3 3 3 4 2" xfId="37820" xr:uid="{00000000-0005-0000-0000-00008A0A0000}"/>
    <cellStyle name="40% - Accent3 3 3 5" xfId="25515" xr:uid="{00000000-0005-0000-0000-00008B0A0000}"/>
    <cellStyle name="40% - Accent3 3 4" xfId="7086" xr:uid="{00000000-0005-0000-0000-00008C0A0000}"/>
    <cellStyle name="40% - Accent3 3 4 2" xfId="13280" xr:uid="{00000000-0005-0000-0000-00008D0A0000}"/>
    <cellStyle name="40% - Accent3 3 4 2 2" xfId="33200" xr:uid="{00000000-0005-0000-0000-00008E0A0000}"/>
    <cellStyle name="40% - Accent3 3 4 3" xfId="19432" xr:uid="{00000000-0005-0000-0000-00008F0A0000}"/>
    <cellStyle name="40% - Accent3 3 4 3 2" xfId="39352" xr:uid="{00000000-0005-0000-0000-0000900A0000}"/>
    <cellStyle name="40% - Accent3 3 4 4" xfId="27047" xr:uid="{00000000-0005-0000-0000-0000910A0000}"/>
    <cellStyle name="40% - Accent3 3 5" xfId="10214" xr:uid="{00000000-0005-0000-0000-0000920A0000}"/>
    <cellStyle name="40% - Accent3 3 5 2" xfId="30134" xr:uid="{00000000-0005-0000-0000-0000930A0000}"/>
    <cellStyle name="40% - Accent3 3 6" xfId="16366" xr:uid="{00000000-0005-0000-0000-0000940A0000}"/>
    <cellStyle name="40% - Accent3 3 6 2" xfId="36286" xr:uid="{00000000-0005-0000-0000-0000950A0000}"/>
    <cellStyle name="40% - Accent3 3 7" xfId="1246" xr:uid="{00000000-0005-0000-0000-0000960A0000}"/>
    <cellStyle name="40% - Accent3 3 7 2" xfId="23981" xr:uid="{00000000-0005-0000-0000-0000970A0000}"/>
    <cellStyle name="40% - Accent3 3 8" xfId="22797" xr:uid="{00000000-0005-0000-0000-0000980A0000}"/>
    <cellStyle name="40% - Accent3 3 8 2" xfId="42708" xr:uid="{00000000-0005-0000-0000-0000990A0000}"/>
    <cellStyle name="40% - Accent3 3 9" xfId="23100" xr:uid="{00000000-0005-0000-0000-00009A0A0000}"/>
    <cellStyle name="40% - Accent3 3 9 2" xfId="43011" xr:uid="{00000000-0005-0000-0000-00009B0A0000}"/>
    <cellStyle name="40% - Accent3 4" xfId="432" xr:uid="{00000000-0005-0000-0000-00009C0A0000}"/>
    <cellStyle name="40% - Accent3 4 10" xfId="23427" xr:uid="{00000000-0005-0000-0000-00009D0A0000}"/>
    <cellStyle name="40% - Accent3 4 2" xfId="848" xr:uid="{00000000-0005-0000-0000-00009E0A0000}"/>
    <cellStyle name="40% - Accent3 4 2 2" xfId="6305" xr:uid="{00000000-0005-0000-0000-00009F0A0000}"/>
    <cellStyle name="40% - Accent3 4 2 2 2" xfId="9391" xr:uid="{00000000-0005-0000-0000-0000A00A0000}"/>
    <cellStyle name="40% - Accent3 4 2 2 2 2" xfId="15584" xr:uid="{00000000-0005-0000-0000-0000A10A0000}"/>
    <cellStyle name="40% - Accent3 4 2 2 2 2 2" xfId="35504" xr:uid="{00000000-0005-0000-0000-0000A20A0000}"/>
    <cellStyle name="40% - Accent3 4 2 2 2 3" xfId="21736" xr:uid="{00000000-0005-0000-0000-0000A30A0000}"/>
    <cellStyle name="40% - Accent3 4 2 2 2 3 2" xfId="41656" xr:uid="{00000000-0005-0000-0000-0000A40A0000}"/>
    <cellStyle name="40% - Accent3 4 2 2 2 4" xfId="29351" xr:uid="{00000000-0005-0000-0000-0000A50A0000}"/>
    <cellStyle name="40% - Accent3 4 2 2 3" xfId="12518" xr:uid="{00000000-0005-0000-0000-0000A60A0000}"/>
    <cellStyle name="40% - Accent3 4 2 2 3 2" xfId="32438" xr:uid="{00000000-0005-0000-0000-0000A70A0000}"/>
    <cellStyle name="40% - Accent3 4 2 2 4" xfId="18670" xr:uid="{00000000-0005-0000-0000-0000A80A0000}"/>
    <cellStyle name="40% - Accent3 4 2 2 4 2" xfId="38590" xr:uid="{00000000-0005-0000-0000-0000A90A0000}"/>
    <cellStyle name="40% - Accent3 4 2 2 5" xfId="26285" xr:uid="{00000000-0005-0000-0000-0000AA0A0000}"/>
    <cellStyle name="40% - Accent3 4 2 3" xfId="7856" xr:uid="{00000000-0005-0000-0000-0000AB0A0000}"/>
    <cellStyle name="40% - Accent3 4 2 3 2" xfId="14050" xr:uid="{00000000-0005-0000-0000-0000AC0A0000}"/>
    <cellStyle name="40% - Accent3 4 2 3 2 2" xfId="33970" xr:uid="{00000000-0005-0000-0000-0000AD0A0000}"/>
    <cellStyle name="40% - Accent3 4 2 3 3" xfId="20202" xr:uid="{00000000-0005-0000-0000-0000AE0A0000}"/>
    <cellStyle name="40% - Accent3 4 2 3 3 2" xfId="40122" xr:uid="{00000000-0005-0000-0000-0000AF0A0000}"/>
    <cellStyle name="40% - Accent3 4 2 3 4" xfId="27817" xr:uid="{00000000-0005-0000-0000-0000B00A0000}"/>
    <cellStyle name="40% - Accent3 4 2 4" xfId="10984" xr:uid="{00000000-0005-0000-0000-0000B10A0000}"/>
    <cellStyle name="40% - Accent3 4 2 4 2" xfId="30904" xr:uid="{00000000-0005-0000-0000-0000B20A0000}"/>
    <cellStyle name="40% - Accent3 4 2 5" xfId="17136" xr:uid="{00000000-0005-0000-0000-0000B30A0000}"/>
    <cellStyle name="40% - Accent3 4 2 5 2" xfId="37056" xr:uid="{00000000-0005-0000-0000-0000B40A0000}"/>
    <cellStyle name="40% - Accent3 4 2 6" xfId="4680" xr:uid="{00000000-0005-0000-0000-0000B50A0000}"/>
    <cellStyle name="40% - Accent3 4 2 6 2" xfId="24751" xr:uid="{00000000-0005-0000-0000-0000B60A0000}"/>
    <cellStyle name="40% - Accent3 4 2 7" xfId="23730" xr:uid="{00000000-0005-0000-0000-0000B70A0000}"/>
    <cellStyle name="40% - Accent3 4 3" xfId="5519" xr:uid="{00000000-0005-0000-0000-0000B80A0000}"/>
    <cellStyle name="40% - Accent3 4 3 2" xfId="8622" xr:uid="{00000000-0005-0000-0000-0000B90A0000}"/>
    <cellStyle name="40% - Accent3 4 3 2 2" xfId="14815" xr:uid="{00000000-0005-0000-0000-0000BA0A0000}"/>
    <cellStyle name="40% - Accent3 4 3 2 2 2" xfId="34735" xr:uid="{00000000-0005-0000-0000-0000BB0A0000}"/>
    <cellStyle name="40% - Accent3 4 3 2 3" xfId="20967" xr:uid="{00000000-0005-0000-0000-0000BC0A0000}"/>
    <cellStyle name="40% - Accent3 4 3 2 3 2" xfId="40887" xr:uid="{00000000-0005-0000-0000-0000BD0A0000}"/>
    <cellStyle name="40% - Accent3 4 3 2 4" xfId="28582" xr:uid="{00000000-0005-0000-0000-0000BE0A0000}"/>
    <cellStyle name="40% - Accent3 4 3 3" xfId="11749" xr:uid="{00000000-0005-0000-0000-0000BF0A0000}"/>
    <cellStyle name="40% - Accent3 4 3 3 2" xfId="31669" xr:uid="{00000000-0005-0000-0000-0000C00A0000}"/>
    <cellStyle name="40% - Accent3 4 3 4" xfId="17901" xr:uid="{00000000-0005-0000-0000-0000C10A0000}"/>
    <cellStyle name="40% - Accent3 4 3 4 2" xfId="37821" xr:uid="{00000000-0005-0000-0000-0000C20A0000}"/>
    <cellStyle name="40% - Accent3 4 3 5" xfId="25516" xr:uid="{00000000-0005-0000-0000-0000C30A0000}"/>
    <cellStyle name="40% - Accent3 4 4" xfId="7087" xr:uid="{00000000-0005-0000-0000-0000C40A0000}"/>
    <cellStyle name="40% - Accent3 4 4 2" xfId="13281" xr:uid="{00000000-0005-0000-0000-0000C50A0000}"/>
    <cellStyle name="40% - Accent3 4 4 2 2" xfId="33201" xr:uid="{00000000-0005-0000-0000-0000C60A0000}"/>
    <cellStyle name="40% - Accent3 4 4 3" xfId="19433" xr:uid="{00000000-0005-0000-0000-0000C70A0000}"/>
    <cellStyle name="40% - Accent3 4 4 3 2" xfId="39353" xr:uid="{00000000-0005-0000-0000-0000C80A0000}"/>
    <cellStyle name="40% - Accent3 4 4 4" xfId="27048" xr:uid="{00000000-0005-0000-0000-0000C90A0000}"/>
    <cellStyle name="40% - Accent3 4 5" xfId="10215" xr:uid="{00000000-0005-0000-0000-0000CA0A0000}"/>
    <cellStyle name="40% - Accent3 4 5 2" xfId="30135" xr:uid="{00000000-0005-0000-0000-0000CB0A0000}"/>
    <cellStyle name="40% - Accent3 4 6" xfId="16367" xr:uid="{00000000-0005-0000-0000-0000CC0A0000}"/>
    <cellStyle name="40% - Accent3 4 6 2" xfId="36287" xr:uid="{00000000-0005-0000-0000-0000CD0A0000}"/>
    <cellStyle name="40% - Accent3 4 7" xfId="1247" xr:uid="{00000000-0005-0000-0000-0000CE0A0000}"/>
    <cellStyle name="40% - Accent3 4 7 2" xfId="23982" xr:uid="{00000000-0005-0000-0000-0000CF0A0000}"/>
    <cellStyle name="40% - Accent3 4 8" xfId="22813" xr:uid="{00000000-0005-0000-0000-0000D00A0000}"/>
    <cellStyle name="40% - Accent3 4 8 2" xfId="42724" xr:uid="{00000000-0005-0000-0000-0000D10A0000}"/>
    <cellStyle name="40% - Accent3 4 9" xfId="23116" xr:uid="{00000000-0005-0000-0000-0000D20A0000}"/>
    <cellStyle name="40% - Accent3 4 9 2" xfId="43027" xr:uid="{00000000-0005-0000-0000-0000D30A0000}"/>
    <cellStyle name="40% - Accent3 5" xfId="460" xr:uid="{00000000-0005-0000-0000-0000D40A0000}"/>
    <cellStyle name="40% - Accent3 5 10" xfId="23132" xr:uid="{00000000-0005-0000-0000-0000D50A0000}"/>
    <cellStyle name="40% - Accent3 5 10 2" xfId="43043" xr:uid="{00000000-0005-0000-0000-0000D60A0000}"/>
    <cellStyle name="40% - Accent3 5 11" xfId="23443" xr:uid="{00000000-0005-0000-0000-0000D70A0000}"/>
    <cellStyle name="40% - Accent3 5 2" xfId="864" xr:uid="{00000000-0005-0000-0000-0000D80A0000}"/>
    <cellStyle name="40% - Accent3 5 2 2" xfId="6306" xr:uid="{00000000-0005-0000-0000-0000D90A0000}"/>
    <cellStyle name="40% - Accent3 5 2 2 2" xfId="9392" xr:uid="{00000000-0005-0000-0000-0000DA0A0000}"/>
    <cellStyle name="40% - Accent3 5 2 2 2 2" xfId="15585" xr:uid="{00000000-0005-0000-0000-0000DB0A0000}"/>
    <cellStyle name="40% - Accent3 5 2 2 2 2 2" xfId="35505" xr:uid="{00000000-0005-0000-0000-0000DC0A0000}"/>
    <cellStyle name="40% - Accent3 5 2 2 2 3" xfId="21737" xr:uid="{00000000-0005-0000-0000-0000DD0A0000}"/>
    <cellStyle name="40% - Accent3 5 2 2 2 3 2" xfId="41657" xr:uid="{00000000-0005-0000-0000-0000DE0A0000}"/>
    <cellStyle name="40% - Accent3 5 2 2 2 4" xfId="29352" xr:uid="{00000000-0005-0000-0000-0000DF0A0000}"/>
    <cellStyle name="40% - Accent3 5 2 2 3" xfId="12519" xr:uid="{00000000-0005-0000-0000-0000E00A0000}"/>
    <cellStyle name="40% - Accent3 5 2 2 3 2" xfId="32439" xr:uid="{00000000-0005-0000-0000-0000E10A0000}"/>
    <cellStyle name="40% - Accent3 5 2 2 4" xfId="18671" xr:uid="{00000000-0005-0000-0000-0000E20A0000}"/>
    <cellStyle name="40% - Accent3 5 2 2 4 2" xfId="38591" xr:uid="{00000000-0005-0000-0000-0000E30A0000}"/>
    <cellStyle name="40% - Accent3 5 2 2 5" xfId="26286" xr:uid="{00000000-0005-0000-0000-0000E40A0000}"/>
    <cellStyle name="40% - Accent3 5 2 3" xfId="7857" xr:uid="{00000000-0005-0000-0000-0000E50A0000}"/>
    <cellStyle name="40% - Accent3 5 2 3 2" xfId="14051" xr:uid="{00000000-0005-0000-0000-0000E60A0000}"/>
    <cellStyle name="40% - Accent3 5 2 3 2 2" xfId="33971" xr:uid="{00000000-0005-0000-0000-0000E70A0000}"/>
    <cellStyle name="40% - Accent3 5 2 3 3" xfId="20203" xr:uid="{00000000-0005-0000-0000-0000E80A0000}"/>
    <cellStyle name="40% - Accent3 5 2 3 3 2" xfId="40123" xr:uid="{00000000-0005-0000-0000-0000E90A0000}"/>
    <cellStyle name="40% - Accent3 5 2 3 4" xfId="27818" xr:uid="{00000000-0005-0000-0000-0000EA0A0000}"/>
    <cellStyle name="40% - Accent3 5 2 4" xfId="10985" xr:uid="{00000000-0005-0000-0000-0000EB0A0000}"/>
    <cellStyle name="40% - Accent3 5 2 4 2" xfId="30905" xr:uid="{00000000-0005-0000-0000-0000EC0A0000}"/>
    <cellStyle name="40% - Accent3 5 2 5" xfId="17137" xr:uid="{00000000-0005-0000-0000-0000ED0A0000}"/>
    <cellStyle name="40% - Accent3 5 2 5 2" xfId="37057" xr:uid="{00000000-0005-0000-0000-0000EE0A0000}"/>
    <cellStyle name="40% - Accent3 5 2 6" xfId="4681" xr:uid="{00000000-0005-0000-0000-0000EF0A0000}"/>
    <cellStyle name="40% - Accent3 5 2 6 2" xfId="24752" xr:uid="{00000000-0005-0000-0000-0000F00A0000}"/>
    <cellStyle name="40% - Accent3 5 2 7" xfId="23746" xr:uid="{00000000-0005-0000-0000-0000F10A0000}"/>
    <cellStyle name="40% - Accent3 5 3" xfId="5520" xr:uid="{00000000-0005-0000-0000-0000F20A0000}"/>
    <cellStyle name="40% - Accent3 5 3 2" xfId="8623" xr:uid="{00000000-0005-0000-0000-0000F30A0000}"/>
    <cellStyle name="40% - Accent3 5 3 2 2" xfId="14816" xr:uid="{00000000-0005-0000-0000-0000F40A0000}"/>
    <cellStyle name="40% - Accent3 5 3 2 2 2" xfId="34736" xr:uid="{00000000-0005-0000-0000-0000F50A0000}"/>
    <cellStyle name="40% - Accent3 5 3 2 3" xfId="20968" xr:uid="{00000000-0005-0000-0000-0000F60A0000}"/>
    <cellStyle name="40% - Accent3 5 3 2 3 2" xfId="40888" xr:uid="{00000000-0005-0000-0000-0000F70A0000}"/>
    <cellStyle name="40% - Accent3 5 3 2 4" xfId="28583" xr:uid="{00000000-0005-0000-0000-0000F80A0000}"/>
    <cellStyle name="40% - Accent3 5 3 3" xfId="11750" xr:uid="{00000000-0005-0000-0000-0000F90A0000}"/>
    <cellStyle name="40% - Accent3 5 3 3 2" xfId="31670" xr:uid="{00000000-0005-0000-0000-0000FA0A0000}"/>
    <cellStyle name="40% - Accent3 5 3 4" xfId="17902" xr:uid="{00000000-0005-0000-0000-0000FB0A0000}"/>
    <cellStyle name="40% - Accent3 5 3 4 2" xfId="37822" xr:uid="{00000000-0005-0000-0000-0000FC0A0000}"/>
    <cellStyle name="40% - Accent3 5 3 5" xfId="25517" xr:uid="{00000000-0005-0000-0000-0000FD0A0000}"/>
    <cellStyle name="40% - Accent3 5 4" xfId="7088" xr:uid="{00000000-0005-0000-0000-0000FE0A0000}"/>
    <cellStyle name="40% - Accent3 5 4 2" xfId="13282" xr:uid="{00000000-0005-0000-0000-0000FF0A0000}"/>
    <cellStyle name="40% - Accent3 5 4 2 2" xfId="33202" xr:uid="{00000000-0005-0000-0000-0000000B0000}"/>
    <cellStyle name="40% - Accent3 5 4 3" xfId="19434" xr:uid="{00000000-0005-0000-0000-0000010B0000}"/>
    <cellStyle name="40% - Accent3 5 4 3 2" xfId="39354" xr:uid="{00000000-0005-0000-0000-0000020B0000}"/>
    <cellStyle name="40% - Accent3 5 4 4" xfId="27049" xr:uid="{00000000-0005-0000-0000-0000030B0000}"/>
    <cellStyle name="40% - Accent3 5 5" xfId="10216" xr:uid="{00000000-0005-0000-0000-0000040B0000}"/>
    <cellStyle name="40% - Accent3 5 5 2" xfId="30136" xr:uid="{00000000-0005-0000-0000-0000050B0000}"/>
    <cellStyle name="40% - Accent3 5 6" xfId="16368" xr:uid="{00000000-0005-0000-0000-0000060B0000}"/>
    <cellStyle name="40% - Accent3 5 6 2" xfId="36288" xr:uid="{00000000-0005-0000-0000-0000070B0000}"/>
    <cellStyle name="40% - Accent3 5 7" xfId="1248" xr:uid="{00000000-0005-0000-0000-0000080B0000}"/>
    <cellStyle name="40% - Accent3 5 7 2" xfId="23983" xr:uid="{00000000-0005-0000-0000-0000090B0000}"/>
    <cellStyle name="40% - Accent3 5 8" xfId="22511" xr:uid="{00000000-0005-0000-0000-00000A0B0000}"/>
    <cellStyle name="40% - Accent3 5 8 2" xfId="42422" xr:uid="{00000000-0005-0000-0000-00000B0B0000}"/>
    <cellStyle name="40% - Accent3 5 9" xfId="22829" xr:uid="{00000000-0005-0000-0000-00000C0B0000}"/>
    <cellStyle name="40% - Accent3 5 9 2" xfId="42740" xr:uid="{00000000-0005-0000-0000-00000D0B0000}"/>
    <cellStyle name="40% - Accent3 6" xfId="486" xr:uid="{00000000-0005-0000-0000-00000E0B0000}"/>
    <cellStyle name="40% - Accent3 6 2" xfId="880" xr:uid="{00000000-0005-0000-0000-00000F0B0000}"/>
    <cellStyle name="40% - Accent3 6 2 2" xfId="23762" xr:uid="{00000000-0005-0000-0000-0000100B0000}"/>
    <cellStyle name="40% - Accent3 6 3" xfId="1249" xr:uid="{00000000-0005-0000-0000-0000110B0000}"/>
    <cellStyle name="40% - Accent3 6 4" xfId="22686" xr:uid="{00000000-0005-0000-0000-0000120B0000}"/>
    <cellStyle name="40% - Accent3 6 4 2" xfId="42597" xr:uid="{00000000-0005-0000-0000-0000130B0000}"/>
    <cellStyle name="40% - Accent3 6 5" xfId="22845" xr:uid="{00000000-0005-0000-0000-0000140B0000}"/>
    <cellStyle name="40% - Accent3 6 5 2" xfId="42756" xr:uid="{00000000-0005-0000-0000-0000150B0000}"/>
    <cellStyle name="40% - Accent3 6 6" xfId="23148" xr:uid="{00000000-0005-0000-0000-0000160B0000}"/>
    <cellStyle name="40% - Accent3 6 6 2" xfId="43059" xr:uid="{00000000-0005-0000-0000-0000170B0000}"/>
    <cellStyle name="40% - Accent3 6 7" xfId="23459" xr:uid="{00000000-0005-0000-0000-0000180B0000}"/>
    <cellStyle name="40% - Accent3 7" xfId="510" xr:uid="{00000000-0005-0000-0000-0000190B0000}"/>
    <cellStyle name="40% - Accent3 7 2" xfId="896" xr:uid="{00000000-0005-0000-0000-00001A0B0000}"/>
    <cellStyle name="40% - Accent3 7 2 2" xfId="23778" xr:uid="{00000000-0005-0000-0000-00001B0B0000}"/>
    <cellStyle name="40% - Accent3 7 3" xfId="22480" xr:uid="{00000000-0005-0000-0000-00001C0B0000}"/>
    <cellStyle name="40% - Accent3 7 3 2" xfId="42391" xr:uid="{00000000-0005-0000-0000-00001D0B0000}"/>
    <cellStyle name="40% - Accent3 7 4" xfId="22861" xr:uid="{00000000-0005-0000-0000-00001E0B0000}"/>
    <cellStyle name="40% - Accent3 7 4 2" xfId="42772" xr:uid="{00000000-0005-0000-0000-00001F0B0000}"/>
    <cellStyle name="40% - Accent3 7 5" xfId="23164" xr:uid="{00000000-0005-0000-0000-0000200B0000}"/>
    <cellStyle name="40% - Accent3 7 5 2" xfId="43075" xr:uid="{00000000-0005-0000-0000-0000210B0000}"/>
    <cellStyle name="40% - Accent3 7 6" xfId="23475" xr:uid="{00000000-0005-0000-0000-0000220B0000}"/>
    <cellStyle name="40% - Accent3 8" xfId="535" xr:uid="{00000000-0005-0000-0000-0000230B0000}"/>
    <cellStyle name="40% - Accent3 8 2" xfId="912" xr:uid="{00000000-0005-0000-0000-0000240B0000}"/>
    <cellStyle name="40% - Accent3 8 2 2" xfId="23794" xr:uid="{00000000-0005-0000-0000-0000250B0000}"/>
    <cellStyle name="40% - Accent3 8 3" xfId="22602" xr:uid="{00000000-0005-0000-0000-0000260B0000}"/>
    <cellStyle name="40% - Accent3 8 3 2" xfId="42513" xr:uid="{00000000-0005-0000-0000-0000270B0000}"/>
    <cellStyle name="40% - Accent3 8 4" xfId="22877" xr:uid="{00000000-0005-0000-0000-0000280B0000}"/>
    <cellStyle name="40% - Accent3 8 4 2" xfId="42788" xr:uid="{00000000-0005-0000-0000-0000290B0000}"/>
    <cellStyle name="40% - Accent3 8 5" xfId="23180" xr:uid="{00000000-0005-0000-0000-00002A0B0000}"/>
    <cellStyle name="40% - Accent3 8 5 2" xfId="43091" xr:uid="{00000000-0005-0000-0000-00002B0B0000}"/>
    <cellStyle name="40% - Accent3 8 6" xfId="23491" xr:uid="{00000000-0005-0000-0000-00002C0B0000}"/>
    <cellStyle name="40% - Accent3 9" xfId="574" xr:uid="{00000000-0005-0000-0000-00002D0B0000}"/>
    <cellStyle name="40% - Accent3 9 2" xfId="928" xr:uid="{00000000-0005-0000-0000-00002E0B0000}"/>
    <cellStyle name="40% - Accent3 9 2 2" xfId="23810" xr:uid="{00000000-0005-0000-0000-00002F0B0000}"/>
    <cellStyle name="40% - Accent3 9 3" xfId="22598" xr:uid="{00000000-0005-0000-0000-0000300B0000}"/>
    <cellStyle name="40% - Accent3 9 3 2" xfId="42509" xr:uid="{00000000-0005-0000-0000-0000310B0000}"/>
    <cellStyle name="40% - Accent3 9 4" xfId="22893" xr:uid="{00000000-0005-0000-0000-0000320B0000}"/>
    <cellStyle name="40% - Accent3 9 4 2" xfId="42804" xr:uid="{00000000-0005-0000-0000-0000330B0000}"/>
    <cellStyle name="40% - Accent3 9 5" xfId="23196" xr:uid="{00000000-0005-0000-0000-0000340B0000}"/>
    <cellStyle name="40% - Accent3 9 5 2" xfId="43107" xr:uid="{00000000-0005-0000-0000-0000350B0000}"/>
    <cellStyle name="40% - Accent3 9 6" xfId="23507" xr:uid="{00000000-0005-0000-0000-0000360B0000}"/>
    <cellStyle name="40% - Accent4" xfId="75" builtinId="43" customBuiltin="1"/>
    <cellStyle name="40% - Accent4 10" xfId="606" xr:uid="{00000000-0005-0000-0000-0000380B0000}"/>
    <cellStyle name="40% - Accent4 10 2" xfId="946" xr:uid="{00000000-0005-0000-0000-0000390B0000}"/>
    <cellStyle name="40% - Accent4 10 2 2" xfId="23828" xr:uid="{00000000-0005-0000-0000-00003A0B0000}"/>
    <cellStyle name="40% - Accent4 10 3" xfId="22530" xr:uid="{00000000-0005-0000-0000-00003B0B0000}"/>
    <cellStyle name="40% - Accent4 10 3 2" xfId="42441" xr:uid="{00000000-0005-0000-0000-00003C0B0000}"/>
    <cellStyle name="40% - Accent4 10 4" xfId="22911" xr:uid="{00000000-0005-0000-0000-00003D0B0000}"/>
    <cellStyle name="40% - Accent4 10 4 2" xfId="42822" xr:uid="{00000000-0005-0000-0000-00003E0B0000}"/>
    <cellStyle name="40% - Accent4 10 5" xfId="23214" xr:uid="{00000000-0005-0000-0000-00003F0B0000}"/>
    <cellStyle name="40% - Accent4 10 5 2" xfId="43125" xr:uid="{00000000-0005-0000-0000-0000400B0000}"/>
    <cellStyle name="40% - Accent4 10 6" xfId="23525" xr:uid="{00000000-0005-0000-0000-0000410B0000}"/>
    <cellStyle name="40% - Accent4 11" xfId="633" xr:uid="{00000000-0005-0000-0000-0000420B0000}"/>
    <cellStyle name="40% - Accent4 11 2" xfId="962" xr:uid="{00000000-0005-0000-0000-0000430B0000}"/>
    <cellStyle name="40% - Accent4 11 2 2" xfId="23844" xr:uid="{00000000-0005-0000-0000-0000440B0000}"/>
    <cellStyle name="40% - Accent4 11 3" xfId="22483" xr:uid="{00000000-0005-0000-0000-0000450B0000}"/>
    <cellStyle name="40% - Accent4 11 3 2" xfId="42394" xr:uid="{00000000-0005-0000-0000-0000460B0000}"/>
    <cellStyle name="40% - Accent4 11 4" xfId="22927" xr:uid="{00000000-0005-0000-0000-0000470B0000}"/>
    <cellStyle name="40% - Accent4 11 4 2" xfId="42838" xr:uid="{00000000-0005-0000-0000-0000480B0000}"/>
    <cellStyle name="40% - Accent4 11 5" xfId="23230" xr:uid="{00000000-0005-0000-0000-0000490B0000}"/>
    <cellStyle name="40% - Accent4 11 5 2" xfId="43141" xr:uid="{00000000-0005-0000-0000-00004A0B0000}"/>
    <cellStyle name="40% - Accent4 11 6" xfId="23541" xr:uid="{00000000-0005-0000-0000-00004B0B0000}"/>
    <cellStyle name="40% - Accent4 12" xfId="659" xr:uid="{00000000-0005-0000-0000-00004C0B0000}"/>
    <cellStyle name="40% - Accent4 12 2" xfId="978" xr:uid="{00000000-0005-0000-0000-00004D0B0000}"/>
    <cellStyle name="40% - Accent4 12 2 2" xfId="23860" xr:uid="{00000000-0005-0000-0000-00004E0B0000}"/>
    <cellStyle name="40% - Accent4 12 3" xfId="22542" xr:uid="{00000000-0005-0000-0000-00004F0B0000}"/>
    <cellStyle name="40% - Accent4 12 3 2" xfId="42453" xr:uid="{00000000-0005-0000-0000-0000500B0000}"/>
    <cellStyle name="40% - Accent4 12 4" xfId="22943" xr:uid="{00000000-0005-0000-0000-0000510B0000}"/>
    <cellStyle name="40% - Accent4 12 4 2" xfId="42854" xr:uid="{00000000-0005-0000-0000-0000520B0000}"/>
    <cellStyle name="40% - Accent4 12 5" xfId="23246" xr:uid="{00000000-0005-0000-0000-0000530B0000}"/>
    <cellStyle name="40% - Accent4 12 5 2" xfId="43157" xr:uid="{00000000-0005-0000-0000-0000540B0000}"/>
    <cellStyle name="40% - Accent4 12 6" xfId="23557" xr:uid="{00000000-0005-0000-0000-0000550B0000}"/>
    <cellStyle name="40% - Accent4 13" xfId="683" xr:uid="{00000000-0005-0000-0000-0000560B0000}"/>
    <cellStyle name="40% - Accent4 13 2" xfId="994" xr:uid="{00000000-0005-0000-0000-0000570B0000}"/>
    <cellStyle name="40% - Accent4 13 2 2" xfId="23876" xr:uid="{00000000-0005-0000-0000-0000580B0000}"/>
    <cellStyle name="40% - Accent4 13 3" xfId="22564" xr:uid="{00000000-0005-0000-0000-0000590B0000}"/>
    <cellStyle name="40% - Accent4 13 3 2" xfId="42475" xr:uid="{00000000-0005-0000-0000-00005A0B0000}"/>
    <cellStyle name="40% - Accent4 13 4" xfId="22959" xr:uid="{00000000-0005-0000-0000-00005B0B0000}"/>
    <cellStyle name="40% - Accent4 13 4 2" xfId="42870" xr:uid="{00000000-0005-0000-0000-00005C0B0000}"/>
    <cellStyle name="40% - Accent4 13 5" xfId="23262" xr:uid="{00000000-0005-0000-0000-00005D0B0000}"/>
    <cellStyle name="40% - Accent4 13 5 2" xfId="43173" xr:uid="{00000000-0005-0000-0000-00005E0B0000}"/>
    <cellStyle name="40% - Accent4 13 6" xfId="23573" xr:uid="{00000000-0005-0000-0000-00005F0B0000}"/>
    <cellStyle name="40% - Accent4 14" xfId="702" xr:uid="{00000000-0005-0000-0000-0000600B0000}"/>
    <cellStyle name="40% - Accent4 14 2" xfId="1010" xr:uid="{00000000-0005-0000-0000-0000610B0000}"/>
    <cellStyle name="40% - Accent4 14 2 2" xfId="23892" xr:uid="{00000000-0005-0000-0000-0000620B0000}"/>
    <cellStyle name="40% - Accent4 14 3" xfId="22652" xr:uid="{00000000-0005-0000-0000-0000630B0000}"/>
    <cellStyle name="40% - Accent4 14 3 2" xfId="42563" xr:uid="{00000000-0005-0000-0000-0000640B0000}"/>
    <cellStyle name="40% - Accent4 14 4" xfId="22975" xr:uid="{00000000-0005-0000-0000-0000650B0000}"/>
    <cellStyle name="40% - Accent4 14 4 2" xfId="42886" xr:uid="{00000000-0005-0000-0000-0000660B0000}"/>
    <cellStyle name="40% - Accent4 14 5" xfId="23278" xr:uid="{00000000-0005-0000-0000-0000670B0000}"/>
    <cellStyle name="40% - Accent4 14 5 2" xfId="43189" xr:uid="{00000000-0005-0000-0000-0000680B0000}"/>
    <cellStyle name="40% - Accent4 14 6" xfId="23589" xr:uid="{00000000-0005-0000-0000-0000690B0000}"/>
    <cellStyle name="40% - Accent4 15" xfId="718" xr:uid="{00000000-0005-0000-0000-00006A0B0000}"/>
    <cellStyle name="40% - Accent4 15 2" xfId="1026" xr:uid="{00000000-0005-0000-0000-00006B0B0000}"/>
    <cellStyle name="40% - Accent4 15 2 2" xfId="23908" xr:uid="{00000000-0005-0000-0000-00006C0B0000}"/>
    <cellStyle name="40% - Accent4 15 3" xfId="22524" xr:uid="{00000000-0005-0000-0000-00006D0B0000}"/>
    <cellStyle name="40% - Accent4 15 3 2" xfId="42435" xr:uid="{00000000-0005-0000-0000-00006E0B0000}"/>
    <cellStyle name="40% - Accent4 15 4" xfId="22991" xr:uid="{00000000-0005-0000-0000-00006F0B0000}"/>
    <cellStyle name="40% - Accent4 15 4 2" xfId="42902" xr:uid="{00000000-0005-0000-0000-0000700B0000}"/>
    <cellStyle name="40% - Accent4 15 5" xfId="23294" xr:uid="{00000000-0005-0000-0000-0000710B0000}"/>
    <cellStyle name="40% - Accent4 15 5 2" xfId="43205" xr:uid="{00000000-0005-0000-0000-0000720B0000}"/>
    <cellStyle name="40% - Accent4 15 6" xfId="23605" xr:uid="{00000000-0005-0000-0000-0000730B0000}"/>
    <cellStyle name="40% - Accent4 16" xfId="742" xr:uid="{00000000-0005-0000-0000-0000740B0000}"/>
    <cellStyle name="40% - Accent4 16 2" xfId="23624" xr:uid="{00000000-0005-0000-0000-0000750B0000}"/>
    <cellStyle name="40% - Accent4 17" xfId="22707" xr:uid="{00000000-0005-0000-0000-0000760B0000}"/>
    <cellStyle name="40% - Accent4 17 2" xfId="42618" xr:uid="{00000000-0005-0000-0000-0000770B0000}"/>
    <cellStyle name="40% - Accent4 18" xfId="23010" xr:uid="{00000000-0005-0000-0000-0000780B0000}"/>
    <cellStyle name="40% - Accent4 18 2" xfId="42921" xr:uid="{00000000-0005-0000-0000-0000790B0000}"/>
    <cellStyle name="40% - Accent4 19" xfId="23314" xr:uid="{00000000-0005-0000-0000-00007A0B0000}"/>
    <cellStyle name="40% - Accent4 2" xfId="379" xr:uid="{00000000-0005-0000-0000-00007B0B0000}"/>
    <cellStyle name="40% - Accent4 2 10" xfId="23397" xr:uid="{00000000-0005-0000-0000-00007C0B0000}"/>
    <cellStyle name="40% - Accent4 2 2" xfId="818" xr:uid="{00000000-0005-0000-0000-00007D0B0000}"/>
    <cellStyle name="40% - Accent4 2 2 2" xfId="6307" xr:uid="{00000000-0005-0000-0000-00007E0B0000}"/>
    <cellStyle name="40% - Accent4 2 2 2 2" xfId="9393" xr:uid="{00000000-0005-0000-0000-00007F0B0000}"/>
    <cellStyle name="40% - Accent4 2 2 2 2 2" xfId="15586" xr:uid="{00000000-0005-0000-0000-0000800B0000}"/>
    <cellStyle name="40% - Accent4 2 2 2 2 2 2" xfId="35506" xr:uid="{00000000-0005-0000-0000-0000810B0000}"/>
    <cellStyle name="40% - Accent4 2 2 2 2 3" xfId="21738" xr:uid="{00000000-0005-0000-0000-0000820B0000}"/>
    <cellStyle name="40% - Accent4 2 2 2 2 3 2" xfId="41658" xr:uid="{00000000-0005-0000-0000-0000830B0000}"/>
    <cellStyle name="40% - Accent4 2 2 2 2 4" xfId="29353" xr:uid="{00000000-0005-0000-0000-0000840B0000}"/>
    <cellStyle name="40% - Accent4 2 2 2 3" xfId="12520" xr:uid="{00000000-0005-0000-0000-0000850B0000}"/>
    <cellStyle name="40% - Accent4 2 2 2 3 2" xfId="32440" xr:uid="{00000000-0005-0000-0000-0000860B0000}"/>
    <cellStyle name="40% - Accent4 2 2 2 4" xfId="18672" xr:uid="{00000000-0005-0000-0000-0000870B0000}"/>
    <cellStyle name="40% - Accent4 2 2 2 4 2" xfId="38592" xr:uid="{00000000-0005-0000-0000-0000880B0000}"/>
    <cellStyle name="40% - Accent4 2 2 2 5" xfId="26287" xr:uid="{00000000-0005-0000-0000-0000890B0000}"/>
    <cellStyle name="40% - Accent4 2 2 3" xfId="7858" xr:uid="{00000000-0005-0000-0000-00008A0B0000}"/>
    <cellStyle name="40% - Accent4 2 2 3 2" xfId="14052" xr:uid="{00000000-0005-0000-0000-00008B0B0000}"/>
    <cellStyle name="40% - Accent4 2 2 3 2 2" xfId="33972" xr:uid="{00000000-0005-0000-0000-00008C0B0000}"/>
    <cellStyle name="40% - Accent4 2 2 3 3" xfId="20204" xr:uid="{00000000-0005-0000-0000-00008D0B0000}"/>
    <cellStyle name="40% - Accent4 2 2 3 3 2" xfId="40124" xr:uid="{00000000-0005-0000-0000-00008E0B0000}"/>
    <cellStyle name="40% - Accent4 2 2 3 4" xfId="27819" xr:uid="{00000000-0005-0000-0000-00008F0B0000}"/>
    <cellStyle name="40% - Accent4 2 2 4" xfId="10986" xr:uid="{00000000-0005-0000-0000-0000900B0000}"/>
    <cellStyle name="40% - Accent4 2 2 4 2" xfId="30906" xr:uid="{00000000-0005-0000-0000-0000910B0000}"/>
    <cellStyle name="40% - Accent4 2 2 5" xfId="17138" xr:uid="{00000000-0005-0000-0000-0000920B0000}"/>
    <cellStyle name="40% - Accent4 2 2 5 2" xfId="37058" xr:uid="{00000000-0005-0000-0000-0000930B0000}"/>
    <cellStyle name="40% - Accent4 2 2 6" xfId="4682" xr:uid="{00000000-0005-0000-0000-0000940B0000}"/>
    <cellStyle name="40% - Accent4 2 2 6 2" xfId="24753" xr:uid="{00000000-0005-0000-0000-0000950B0000}"/>
    <cellStyle name="40% - Accent4 2 2 7" xfId="23700" xr:uid="{00000000-0005-0000-0000-0000960B0000}"/>
    <cellStyle name="40% - Accent4 2 3" xfId="5521" xr:uid="{00000000-0005-0000-0000-0000970B0000}"/>
    <cellStyle name="40% - Accent4 2 3 2" xfId="8624" xr:uid="{00000000-0005-0000-0000-0000980B0000}"/>
    <cellStyle name="40% - Accent4 2 3 2 2" xfId="14817" xr:uid="{00000000-0005-0000-0000-0000990B0000}"/>
    <cellStyle name="40% - Accent4 2 3 2 2 2" xfId="34737" xr:uid="{00000000-0005-0000-0000-00009A0B0000}"/>
    <cellStyle name="40% - Accent4 2 3 2 3" xfId="20969" xr:uid="{00000000-0005-0000-0000-00009B0B0000}"/>
    <cellStyle name="40% - Accent4 2 3 2 3 2" xfId="40889" xr:uid="{00000000-0005-0000-0000-00009C0B0000}"/>
    <cellStyle name="40% - Accent4 2 3 2 4" xfId="28584" xr:uid="{00000000-0005-0000-0000-00009D0B0000}"/>
    <cellStyle name="40% - Accent4 2 3 3" xfId="11751" xr:uid="{00000000-0005-0000-0000-00009E0B0000}"/>
    <cellStyle name="40% - Accent4 2 3 3 2" xfId="31671" xr:uid="{00000000-0005-0000-0000-00009F0B0000}"/>
    <cellStyle name="40% - Accent4 2 3 4" xfId="17903" xr:uid="{00000000-0005-0000-0000-0000A00B0000}"/>
    <cellStyle name="40% - Accent4 2 3 4 2" xfId="37823" xr:uid="{00000000-0005-0000-0000-0000A10B0000}"/>
    <cellStyle name="40% - Accent4 2 3 5" xfId="25518" xr:uid="{00000000-0005-0000-0000-0000A20B0000}"/>
    <cellStyle name="40% - Accent4 2 4" xfId="7089" xr:uid="{00000000-0005-0000-0000-0000A30B0000}"/>
    <cellStyle name="40% - Accent4 2 4 2" xfId="13283" xr:uid="{00000000-0005-0000-0000-0000A40B0000}"/>
    <cellStyle name="40% - Accent4 2 4 2 2" xfId="33203" xr:uid="{00000000-0005-0000-0000-0000A50B0000}"/>
    <cellStyle name="40% - Accent4 2 4 3" xfId="19435" xr:uid="{00000000-0005-0000-0000-0000A60B0000}"/>
    <cellStyle name="40% - Accent4 2 4 3 2" xfId="39355" xr:uid="{00000000-0005-0000-0000-0000A70B0000}"/>
    <cellStyle name="40% - Accent4 2 4 4" xfId="27050" xr:uid="{00000000-0005-0000-0000-0000A80B0000}"/>
    <cellStyle name="40% - Accent4 2 5" xfId="10217" xr:uid="{00000000-0005-0000-0000-0000A90B0000}"/>
    <cellStyle name="40% - Accent4 2 5 2" xfId="30137" xr:uid="{00000000-0005-0000-0000-0000AA0B0000}"/>
    <cellStyle name="40% - Accent4 2 6" xfId="16369" xr:uid="{00000000-0005-0000-0000-0000AB0B0000}"/>
    <cellStyle name="40% - Accent4 2 6 2" xfId="36289" xr:uid="{00000000-0005-0000-0000-0000AC0B0000}"/>
    <cellStyle name="40% - Accent4 2 7" xfId="1250" xr:uid="{00000000-0005-0000-0000-0000AD0B0000}"/>
    <cellStyle name="40% - Accent4 2 7 2" xfId="23984" xr:uid="{00000000-0005-0000-0000-0000AE0B0000}"/>
    <cellStyle name="40% - Accent4 2 8" xfId="22783" xr:uid="{00000000-0005-0000-0000-0000AF0B0000}"/>
    <cellStyle name="40% - Accent4 2 8 2" xfId="42694" xr:uid="{00000000-0005-0000-0000-0000B00B0000}"/>
    <cellStyle name="40% - Accent4 2 9" xfId="23086" xr:uid="{00000000-0005-0000-0000-0000B10B0000}"/>
    <cellStyle name="40% - Accent4 2 9 2" xfId="42997" xr:uid="{00000000-0005-0000-0000-0000B20B0000}"/>
    <cellStyle name="40% - Accent4 3" xfId="409" xr:uid="{00000000-0005-0000-0000-0000B30B0000}"/>
    <cellStyle name="40% - Accent4 3 10" xfId="23413" xr:uid="{00000000-0005-0000-0000-0000B40B0000}"/>
    <cellStyle name="40% - Accent4 3 2" xfId="834" xr:uid="{00000000-0005-0000-0000-0000B50B0000}"/>
    <cellStyle name="40% - Accent4 3 2 2" xfId="6308" xr:uid="{00000000-0005-0000-0000-0000B60B0000}"/>
    <cellStyle name="40% - Accent4 3 2 2 2" xfId="9394" xr:uid="{00000000-0005-0000-0000-0000B70B0000}"/>
    <cellStyle name="40% - Accent4 3 2 2 2 2" xfId="15587" xr:uid="{00000000-0005-0000-0000-0000B80B0000}"/>
    <cellStyle name="40% - Accent4 3 2 2 2 2 2" xfId="35507" xr:uid="{00000000-0005-0000-0000-0000B90B0000}"/>
    <cellStyle name="40% - Accent4 3 2 2 2 3" xfId="21739" xr:uid="{00000000-0005-0000-0000-0000BA0B0000}"/>
    <cellStyle name="40% - Accent4 3 2 2 2 3 2" xfId="41659" xr:uid="{00000000-0005-0000-0000-0000BB0B0000}"/>
    <cellStyle name="40% - Accent4 3 2 2 2 4" xfId="29354" xr:uid="{00000000-0005-0000-0000-0000BC0B0000}"/>
    <cellStyle name="40% - Accent4 3 2 2 3" xfId="12521" xr:uid="{00000000-0005-0000-0000-0000BD0B0000}"/>
    <cellStyle name="40% - Accent4 3 2 2 3 2" xfId="32441" xr:uid="{00000000-0005-0000-0000-0000BE0B0000}"/>
    <cellStyle name="40% - Accent4 3 2 2 4" xfId="18673" xr:uid="{00000000-0005-0000-0000-0000BF0B0000}"/>
    <cellStyle name="40% - Accent4 3 2 2 4 2" xfId="38593" xr:uid="{00000000-0005-0000-0000-0000C00B0000}"/>
    <cellStyle name="40% - Accent4 3 2 2 5" xfId="26288" xr:uid="{00000000-0005-0000-0000-0000C10B0000}"/>
    <cellStyle name="40% - Accent4 3 2 3" xfId="7859" xr:uid="{00000000-0005-0000-0000-0000C20B0000}"/>
    <cellStyle name="40% - Accent4 3 2 3 2" xfId="14053" xr:uid="{00000000-0005-0000-0000-0000C30B0000}"/>
    <cellStyle name="40% - Accent4 3 2 3 2 2" xfId="33973" xr:uid="{00000000-0005-0000-0000-0000C40B0000}"/>
    <cellStyle name="40% - Accent4 3 2 3 3" xfId="20205" xr:uid="{00000000-0005-0000-0000-0000C50B0000}"/>
    <cellStyle name="40% - Accent4 3 2 3 3 2" xfId="40125" xr:uid="{00000000-0005-0000-0000-0000C60B0000}"/>
    <cellStyle name="40% - Accent4 3 2 3 4" xfId="27820" xr:uid="{00000000-0005-0000-0000-0000C70B0000}"/>
    <cellStyle name="40% - Accent4 3 2 4" xfId="10987" xr:uid="{00000000-0005-0000-0000-0000C80B0000}"/>
    <cellStyle name="40% - Accent4 3 2 4 2" xfId="30907" xr:uid="{00000000-0005-0000-0000-0000C90B0000}"/>
    <cellStyle name="40% - Accent4 3 2 5" xfId="17139" xr:uid="{00000000-0005-0000-0000-0000CA0B0000}"/>
    <cellStyle name="40% - Accent4 3 2 5 2" xfId="37059" xr:uid="{00000000-0005-0000-0000-0000CB0B0000}"/>
    <cellStyle name="40% - Accent4 3 2 6" xfId="4683" xr:uid="{00000000-0005-0000-0000-0000CC0B0000}"/>
    <cellStyle name="40% - Accent4 3 2 6 2" xfId="24754" xr:uid="{00000000-0005-0000-0000-0000CD0B0000}"/>
    <cellStyle name="40% - Accent4 3 2 7" xfId="23716" xr:uid="{00000000-0005-0000-0000-0000CE0B0000}"/>
    <cellStyle name="40% - Accent4 3 3" xfId="5522" xr:uid="{00000000-0005-0000-0000-0000CF0B0000}"/>
    <cellStyle name="40% - Accent4 3 3 2" xfId="8625" xr:uid="{00000000-0005-0000-0000-0000D00B0000}"/>
    <cellStyle name="40% - Accent4 3 3 2 2" xfId="14818" xr:uid="{00000000-0005-0000-0000-0000D10B0000}"/>
    <cellStyle name="40% - Accent4 3 3 2 2 2" xfId="34738" xr:uid="{00000000-0005-0000-0000-0000D20B0000}"/>
    <cellStyle name="40% - Accent4 3 3 2 3" xfId="20970" xr:uid="{00000000-0005-0000-0000-0000D30B0000}"/>
    <cellStyle name="40% - Accent4 3 3 2 3 2" xfId="40890" xr:uid="{00000000-0005-0000-0000-0000D40B0000}"/>
    <cellStyle name="40% - Accent4 3 3 2 4" xfId="28585" xr:uid="{00000000-0005-0000-0000-0000D50B0000}"/>
    <cellStyle name="40% - Accent4 3 3 3" xfId="11752" xr:uid="{00000000-0005-0000-0000-0000D60B0000}"/>
    <cellStyle name="40% - Accent4 3 3 3 2" xfId="31672" xr:uid="{00000000-0005-0000-0000-0000D70B0000}"/>
    <cellStyle name="40% - Accent4 3 3 4" xfId="17904" xr:uid="{00000000-0005-0000-0000-0000D80B0000}"/>
    <cellStyle name="40% - Accent4 3 3 4 2" xfId="37824" xr:uid="{00000000-0005-0000-0000-0000D90B0000}"/>
    <cellStyle name="40% - Accent4 3 3 5" xfId="25519" xr:uid="{00000000-0005-0000-0000-0000DA0B0000}"/>
    <cellStyle name="40% - Accent4 3 4" xfId="7090" xr:uid="{00000000-0005-0000-0000-0000DB0B0000}"/>
    <cellStyle name="40% - Accent4 3 4 2" xfId="13284" xr:uid="{00000000-0005-0000-0000-0000DC0B0000}"/>
    <cellStyle name="40% - Accent4 3 4 2 2" xfId="33204" xr:uid="{00000000-0005-0000-0000-0000DD0B0000}"/>
    <cellStyle name="40% - Accent4 3 4 3" xfId="19436" xr:uid="{00000000-0005-0000-0000-0000DE0B0000}"/>
    <cellStyle name="40% - Accent4 3 4 3 2" xfId="39356" xr:uid="{00000000-0005-0000-0000-0000DF0B0000}"/>
    <cellStyle name="40% - Accent4 3 4 4" xfId="27051" xr:uid="{00000000-0005-0000-0000-0000E00B0000}"/>
    <cellStyle name="40% - Accent4 3 5" xfId="10218" xr:uid="{00000000-0005-0000-0000-0000E10B0000}"/>
    <cellStyle name="40% - Accent4 3 5 2" xfId="30138" xr:uid="{00000000-0005-0000-0000-0000E20B0000}"/>
    <cellStyle name="40% - Accent4 3 6" xfId="16370" xr:uid="{00000000-0005-0000-0000-0000E30B0000}"/>
    <cellStyle name="40% - Accent4 3 6 2" xfId="36290" xr:uid="{00000000-0005-0000-0000-0000E40B0000}"/>
    <cellStyle name="40% - Accent4 3 7" xfId="1251" xr:uid="{00000000-0005-0000-0000-0000E50B0000}"/>
    <cellStyle name="40% - Accent4 3 7 2" xfId="23985" xr:uid="{00000000-0005-0000-0000-0000E60B0000}"/>
    <cellStyle name="40% - Accent4 3 8" xfId="22799" xr:uid="{00000000-0005-0000-0000-0000E70B0000}"/>
    <cellStyle name="40% - Accent4 3 8 2" xfId="42710" xr:uid="{00000000-0005-0000-0000-0000E80B0000}"/>
    <cellStyle name="40% - Accent4 3 9" xfId="23102" xr:uid="{00000000-0005-0000-0000-0000E90B0000}"/>
    <cellStyle name="40% - Accent4 3 9 2" xfId="43013" xr:uid="{00000000-0005-0000-0000-0000EA0B0000}"/>
    <cellStyle name="40% - Accent4 4" xfId="436" xr:uid="{00000000-0005-0000-0000-0000EB0B0000}"/>
    <cellStyle name="40% - Accent4 4 10" xfId="23429" xr:uid="{00000000-0005-0000-0000-0000EC0B0000}"/>
    <cellStyle name="40% - Accent4 4 2" xfId="850" xr:uid="{00000000-0005-0000-0000-0000ED0B0000}"/>
    <cellStyle name="40% - Accent4 4 2 2" xfId="6309" xr:uid="{00000000-0005-0000-0000-0000EE0B0000}"/>
    <cellStyle name="40% - Accent4 4 2 2 2" xfId="9395" xr:uid="{00000000-0005-0000-0000-0000EF0B0000}"/>
    <cellStyle name="40% - Accent4 4 2 2 2 2" xfId="15588" xr:uid="{00000000-0005-0000-0000-0000F00B0000}"/>
    <cellStyle name="40% - Accent4 4 2 2 2 2 2" xfId="35508" xr:uid="{00000000-0005-0000-0000-0000F10B0000}"/>
    <cellStyle name="40% - Accent4 4 2 2 2 3" xfId="21740" xr:uid="{00000000-0005-0000-0000-0000F20B0000}"/>
    <cellStyle name="40% - Accent4 4 2 2 2 3 2" xfId="41660" xr:uid="{00000000-0005-0000-0000-0000F30B0000}"/>
    <cellStyle name="40% - Accent4 4 2 2 2 4" xfId="29355" xr:uid="{00000000-0005-0000-0000-0000F40B0000}"/>
    <cellStyle name="40% - Accent4 4 2 2 3" xfId="12522" xr:uid="{00000000-0005-0000-0000-0000F50B0000}"/>
    <cellStyle name="40% - Accent4 4 2 2 3 2" xfId="32442" xr:uid="{00000000-0005-0000-0000-0000F60B0000}"/>
    <cellStyle name="40% - Accent4 4 2 2 4" xfId="18674" xr:uid="{00000000-0005-0000-0000-0000F70B0000}"/>
    <cellStyle name="40% - Accent4 4 2 2 4 2" xfId="38594" xr:uid="{00000000-0005-0000-0000-0000F80B0000}"/>
    <cellStyle name="40% - Accent4 4 2 2 5" xfId="26289" xr:uid="{00000000-0005-0000-0000-0000F90B0000}"/>
    <cellStyle name="40% - Accent4 4 2 3" xfId="7860" xr:uid="{00000000-0005-0000-0000-0000FA0B0000}"/>
    <cellStyle name="40% - Accent4 4 2 3 2" xfId="14054" xr:uid="{00000000-0005-0000-0000-0000FB0B0000}"/>
    <cellStyle name="40% - Accent4 4 2 3 2 2" xfId="33974" xr:uid="{00000000-0005-0000-0000-0000FC0B0000}"/>
    <cellStyle name="40% - Accent4 4 2 3 3" xfId="20206" xr:uid="{00000000-0005-0000-0000-0000FD0B0000}"/>
    <cellStyle name="40% - Accent4 4 2 3 3 2" xfId="40126" xr:uid="{00000000-0005-0000-0000-0000FE0B0000}"/>
    <cellStyle name="40% - Accent4 4 2 3 4" xfId="27821" xr:uid="{00000000-0005-0000-0000-0000FF0B0000}"/>
    <cellStyle name="40% - Accent4 4 2 4" xfId="10988" xr:uid="{00000000-0005-0000-0000-0000000C0000}"/>
    <cellStyle name="40% - Accent4 4 2 4 2" xfId="30908" xr:uid="{00000000-0005-0000-0000-0000010C0000}"/>
    <cellStyle name="40% - Accent4 4 2 5" xfId="17140" xr:uid="{00000000-0005-0000-0000-0000020C0000}"/>
    <cellStyle name="40% - Accent4 4 2 5 2" xfId="37060" xr:uid="{00000000-0005-0000-0000-0000030C0000}"/>
    <cellStyle name="40% - Accent4 4 2 6" xfId="4684" xr:uid="{00000000-0005-0000-0000-0000040C0000}"/>
    <cellStyle name="40% - Accent4 4 2 6 2" xfId="24755" xr:uid="{00000000-0005-0000-0000-0000050C0000}"/>
    <cellStyle name="40% - Accent4 4 2 7" xfId="23732" xr:uid="{00000000-0005-0000-0000-0000060C0000}"/>
    <cellStyle name="40% - Accent4 4 3" xfId="5523" xr:uid="{00000000-0005-0000-0000-0000070C0000}"/>
    <cellStyle name="40% - Accent4 4 3 2" xfId="8626" xr:uid="{00000000-0005-0000-0000-0000080C0000}"/>
    <cellStyle name="40% - Accent4 4 3 2 2" xfId="14819" xr:uid="{00000000-0005-0000-0000-0000090C0000}"/>
    <cellStyle name="40% - Accent4 4 3 2 2 2" xfId="34739" xr:uid="{00000000-0005-0000-0000-00000A0C0000}"/>
    <cellStyle name="40% - Accent4 4 3 2 3" xfId="20971" xr:uid="{00000000-0005-0000-0000-00000B0C0000}"/>
    <cellStyle name="40% - Accent4 4 3 2 3 2" xfId="40891" xr:uid="{00000000-0005-0000-0000-00000C0C0000}"/>
    <cellStyle name="40% - Accent4 4 3 2 4" xfId="28586" xr:uid="{00000000-0005-0000-0000-00000D0C0000}"/>
    <cellStyle name="40% - Accent4 4 3 3" xfId="11753" xr:uid="{00000000-0005-0000-0000-00000E0C0000}"/>
    <cellStyle name="40% - Accent4 4 3 3 2" xfId="31673" xr:uid="{00000000-0005-0000-0000-00000F0C0000}"/>
    <cellStyle name="40% - Accent4 4 3 4" xfId="17905" xr:uid="{00000000-0005-0000-0000-0000100C0000}"/>
    <cellStyle name="40% - Accent4 4 3 4 2" xfId="37825" xr:uid="{00000000-0005-0000-0000-0000110C0000}"/>
    <cellStyle name="40% - Accent4 4 3 5" xfId="25520" xr:uid="{00000000-0005-0000-0000-0000120C0000}"/>
    <cellStyle name="40% - Accent4 4 4" xfId="7091" xr:uid="{00000000-0005-0000-0000-0000130C0000}"/>
    <cellStyle name="40% - Accent4 4 4 2" xfId="13285" xr:uid="{00000000-0005-0000-0000-0000140C0000}"/>
    <cellStyle name="40% - Accent4 4 4 2 2" xfId="33205" xr:uid="{00000000-0005-0000-0000-0000150C0000}"/>
    <cellStyle name="40% - Accent4 4 4 3" xfId="19437" xr:uid="{00000000-0005-0000-0000-0000160C0000}"/>
    <cellStyle name="40% - Accent4 4 4 3 2" xfId="39357" xr:uid="{00000000-0005-0000-0000-0000170C0000}"/>
    <cellStyle name="40% - Accent4 4 4 4" xfId="27052" xr:uid="{00000000-0005-0000-0000-0000180C0000}"/>
    <cellStyle name="40% - Accent4 4 5" xfId="10219" xr:uid="{00000000-0005-0000-0000-0000190C0000}"/>
    <cellStyle name="40% - Accent4 4 5 2" xfId="30139" xr:uid="{00000000-0005-0000-0000-00001A0C0000}"/>
    <cellStyle name="40% - Accent4 4 6" xfId="16371" xr:uid="{00000000-0005-0000-0000-00001B0C0000}"/>
    <cellStyle name="40% - Accent4 4 6 2" xfId="36291" xr:uid="{00000000-0005-0000-0000-00001C0C0000}"/>
    <cellStyle name="40% - Accent4 4 7" xfId="1252" xr:uid="{00000000-0005-0000-0000-00001D0C0000}"/>
    <cellStyle name="40% - Accent4 4 7 2" xfId="23986" xr:uid="{00000000-0005-0000-0000-00001E0C0000}"/>
    <cellStyle name="40% - Accent4 4 8" xfId="22815" xr:uid="{00000000-0005-0000-0000-00001F0C0000}"/>
    <cellStyle name="40% - Accent4 4 8 2" xfId="42726" xr:uid="{00000000-0005-0000-0000-0000200C0000}"/>
    <cellStyle name="40% - Accent4 4 9" xfId="23118" xr:uid="{00000000-0005-0000-0000-0000210C0000}"/>
    <cellStyle name="40% - Accent4 4 9 2" xfId="43029" xr:uid="{00000000-0005-0000-0000-0000220C0000}"/>
    <cellStyle name="40% - Accent4 5" xfId="464" xr:uid="{00000000-0005-0000-0000-0000230C0000}"/>
    <cellStyle name="40% - Accent4 5 10" xfId="23134" xr:uid="{00000000-0005-0000-0000-0000240C0000}"/>
    <cellStyle name="40% - Accent4 5 10 2" xfId="43045" xr:uid="{00000000-0005-0000-0000-0000250C0000}"/>
    <cellStyle name="40% - Accent4 5 11" xfId="23445" xr:uid="{00000000-0005-0000-0000-0000260C0000}"/>
    <cellStyle name="40% - Accent4 5 2" xfId="866" xr:uid="{00000000-0005-0000-0000-0000270C0000}"/>
    <cellStyle name="40% - Accent4 5 2 2" xfId="6310" xr:uid="{00000000-0005-0000-0000-0000280C0000}"/>
    <cellStyle name="40% - Accent4 5 2 2 2" xfId="9396" xr:uid="{00000000-0005-0000-0000-0000290C0000}"/>
    <cellStyle name="40% - Accent4 5 2 2 2 2" xfId="15589" xr:uid="{00000000-0005-0000-0000-00002A0C0000}"/>
    <cellStyle name="40% - Accent4 5 2 2 2 2 2" xfId="35509" xr:uid="{00000000-0005-0000-0000-00002B0C0000}"/>
    <cellStyle name="40% - Accent4 5 2 2 2 3" xfId="21741" xr:uid="{00000000-0005-0000-0000-00002C0C0000}"/>
    <cellStyle name="40% - Accent4 5 2 2 2 3 2" xfId="41661" xr:uid="{00000000-0005-0000-0000-00002D0C0000}"/>
    <cellStyle name="40% - Accent4 5 2 2 2 4" xfId="29356" xr:uid="{00000000-0005-0000-0000-00002E0C0000}"/>
    <cellStyle name="40% - Accent4 5 2 2 3" xfId="12523" xr:uid="{00000000-0005-0000-0000-00002F0C0000}"/>
    <cellStyle name="40% - Accent4 5 2 2 3 2" xfId="32443" xr:uid="{00000000-0005-0000-0000-0000300C0000}"/>
    <cellStyle name="40% - Accent4 5 2 2 4" xfId="18675" xr:uid="{00000000-0005-0000-0000-0000310C0000}"/>
    <cellStyle name="40% - Accent4 5 2 2 4 2" xfId="38595" xr:uid="{00000000-0005-0000-0000-0000320C0000}"/>
    <cellStyle name="40% - Accent4 5 2 2 5" xfId="26290" xr:uid="{00000000-0005-0000-0000-0000330C0000}"/>
    <cellStyle name="40% - Accent4 5 2 3" xfId="7861" xr:uid="{00000000-0005-0000-0000-0000340C0000}"/>
    <cellStyle name="40% - Accent4 5 2 3 2" xfId="14055" xr:uid="{00000000-0005-0000-0000-0000350C0000}"/>
    <cellStyle name="40% - Accent4 5 2 3 2 2" xfId="33975" xr:uid="{00000000-0005-0000-0000-0000360C0000}"/>
    <cellStyle name="40% - Accent4 5 2 3 3" xfId="20207" xr:uid="{00000000-0005-0000-0000-0000370C0000}"/>
    <cellStyle name="40% - Accent4 5 2 3 3 2" xfId="40127" xr:uid="{00000000-0005-0000-0000-0000380C0000}"/>
    <cellStyle name="40% - Accent4 5 2 3 4" xfId="27822" xr:uid="{00000000-0005-0000-0000-0000390C0000}"/>
    <cellStyle name="40% - Accent4 5 2 4" xfId="10989" xr:uid="{00000000-0005-0000-0000-00003A0C0000}"/>
    <cellStyle name="40% - Accent4 5 2 4 2" xfId="30909" xr:uid="{00000000-0005-0000-0000-00003B0C0000}"/>
    <cellStyle name="40% - Accent4 5 2 5" xfId="17141" xr:uid="{00000000-0005-0000-0000-00003C0C0000}"/>
    <cellStyle name="40% - Accent4 5 2 5 2" xfId="37061" xr:uid="{00000000-0005-0000-0000-00003D0C0000}"/>
    <cellStyle name="40% - Accent4 5 2 6" xfId="4685" xr:uid="{00000000-0005-0000-0000-00003E0C0000}"/>
    <cellStyle name="40% - Accent4 5 2 6 2" xfId="24756" xr:uid="{00000000-0005-0000-0000-00003F0C0000}"/>
    <cellStyle name="40% - Accent4 5 2 7" xfId="23748" xr:uid="{00000000-0005-0000-0000-0000400C0000}"/>
    <cellStyle name="40% - Accent4 5 3" xfId="5524" xr:uid="{00000000-0005-0000-0000-0000410C0000}"/>
    <cellStyle name="40% - Accent4 5 3 2" xfId="8627" xr:uid="{00000000-0005-0000-0000-0000420C0000}"/>
    <cellStyle name="40% - Accent4 5 3 2 2" xfId="14820" xr:uid="{00000000-0005-0000-0000-0000430C0000}"/>
    <cellStyle name="40% - Accent4 5 3 2 2 2" xfId="34740" xr:uid="{00000000-0005-0000-0000-0000440C0000}"/>
    <cellStyle name="40% - Accent4 5 3 2 3" xfId="20972" xr:uid="{00000000-0005-0000-0000-0000450C0000}"/>
    <cellStyle name="40% - Accent4 5 3 2 3 2" xfId="40892" xr:uid="{00000000-0005-0000-0000-0000460C0000}"/>
    <cellStyle name="40% - Accent4 5 3 2 4" xfId="28587" xr:uid="{00000000-0005-0000-0000-0000470C0000}"/>
    <cellStyle name="40% - Accent4 5 3 3" xfId="11754" xr:uid="{00000000-0005-0000-0000-0000480C0000}"/>
    <cellStyle name="40% - Accent4 5 3 3 2" xfId="31674" xr:uid="{00000000-0005-0000-0000-0000490C0000}"/>
    <cellStyle name="40% - Accent4 5 3 4" xfId="17906" xr:uid="{00000000-0005-0000-0000-00004A0C0000}"/>
    <cellStyle name="40% - Accent4 5 3 4 2" xfId="37826" xr:uid="{00000000-0005-0000-0000-00004B0C0000}"/>
    <cellStyle name="40% - Accent4 5 3 5" xfId="25521" xr:uid="{00000000-0005-0000-0000-00004C0C0000}"/>
    <cellStyle name="40% - Accent4 5 4" xfId="7092" xr:uid="{00000000-0005-0000-0000-00004D0C0000}"/>
    <cellStyle name="40% - Accent4 5 4 2" xfId="13286" xr:uid="{00000000-0005-0000-0000-00004E0C0000}"/>
    <cellStyle name="40% - Accent4 5 4 2 2" xfId="33206" xr:uid="{00000000-0005-0000-0000-00004F0C0000}"/>
    <cellStyle name="40% - Accent4 5 4 3" xfId="19438" xr:uid="{00000000-0005-0000-0000-0000500C0000}"/>
    <cellStyle name="40% - Accent4 5 4 3 2" xfId="39358" xr:uid="{00000000-0005-0000-0000-0000510C0000}"/>
    <cellStyle name="40% - Accent4 5 4 4" xfId="27053" xr:uid="{00000000-0005-0000-0000-0000520C0000}"/>
    <cellStyle name="40% - Accent4 5 5" xfId="10220" xr:uid="{00000000-0005-0000-0000-0000530C0000}"/>
    <cellStyle name="40% - Accent4 5 5 2" xfId="30140" xr:uid="{00000000-0005-0000-0000-0000540C0000}"/>
    <cellStyle name="40% - Accent4 5 6" xfId="16372" xr:uid="{00000000-0005-0000-0000-0000550C0000}"/>
    <cellStyle name="40% - Accent4 5 6 2" xfId="36292" xr:uid="{00000000-0005-0000-0000-0000560C0000}"/>
    <cellStyle name="40% - Accent4 5 7" xfId="1253" xr:uid="{00000000-0005-0000-0000-0000570C0000}"/>
    <cellStyle name="40% - Accent4 5 7 2" xfId="23987" xr:uid="{00000000-0005-0000-0000-0000580C0000}"/>
    <cellStyle name="40% - Accent4 5 8" xfId="22637" xr:uid="{00000000-0005-0000-0000-0000590C0000}"/>
    <cellStyle name="40% - Accent4 5 8 2" xfId="42548" xr:uid="{00000000-0005-0000-0000-00005A0C0000}"/>
    <cellStyle name="40% - Accent4 5 9" xfId="22831" xr:uid="{00000000-0005-0000-0000-00005B0C0000}"/>
    <cellStyle name="40% - Accent4 5 9 2" xfId="42742" xr:uid="{00000000-0005-0000-0000-00005C0C0000}"/>
    <cellStyle name="40% - Accent4 6" xfId="489" xr:uid="{00000000-0005-0000-0000-00005D0C0000}"/>
    <cellStyle name="40% - Accent4 6 2" xfId="882" xr:uid="{00000000-0005-0000-0000-00005E0C0000}"/>
    <cellStyle name="40% - Accent4 6 2 2" xfId="23764" xr:uid="{00000000-0005-0000-0000-00005F0C0000}"/>
    <cellStyle name="40% - Accent4 6 3" xfId="1254" xr:uid="{00000000-0005-0000-0000-0000600C0000}"/>
    <cellStyle name="40% - Accent4 6 4" xfId="22574" xr:uid="{00000000-0005-0000-0000-0000610C0000}"/>
    <cellStyle name="40% - Accent4 6 4 2" xfId="42485" xr:uid="{00000000-0005-0000-0000-0000620C0000}"/>
    <cellStyle name="40% - Accent4 6 5" xfId="22847" xr:uid="{00000000-0005-0000-0000-0000630C0000}"/>
    <cellStyle name="40% - Accent4 6 5 2" xfId="42758" xr:uid="{00000000-0005-0000-0000-0000640C0000}"/>
    <cellStyle name="40% - Accent4 6 6" xfId="23150" xr:uid="{00000000-0005-0000-0000-0000650C0000}"/>
    <cellStyle name="40% - Accent4 6 6 2" xfId="43061" xr:uid="{00000000-0005-0000-0000-0000660C0000}"/>
    <cellStyle name="40% - Accent4 6 7" xfId="23461" xr:uid="{00000000-0005-0000-0000-0000670C0000}"/>
    <cellStyle name="40% - Accent4 7" xfId="514" xr:uid="{00000000-0005-0000-0000-0000680C0000}"/>
    <cellStyle name="40% - Accent4 7 2" xfId="898" xr:uid="{00000000-0005-0000-0000-0000690C0000}"/>
    <cellStyle name="40% - Accent4 7 2 2" xfId="23780" xr:uid="{00000000-0005-0000-0000-00006A0C0000}"/>
    <cellStyle name="40% - Accent4 7 3" xfId="22557" xr:uid="{00000000-0005-0000-0000-00006B0C0000}"/>
    <cellStyle name="40% - Accent4 7 3 2" xfId="42468" xr:uid="{00000000-0005-0000-0000-00006C0C0000}"/>
    <cellStyle name="40% - Accent4 7 4" xfId="22863" xr:uid="{00000000-0005-0000-0000-00006D0C0000}"/>
    <cellStyle name="40% - Accent4 7 4 2" xfId="42774" xr:uid="{00000000-0005-0000-0000-00006E0C0000}"/>
    <cellStyle name="40% - Accent4 7 5" xfId="23166" xr:uid="{00000000-0005-0000-0000-00006F0C0000}"/>
    <cellStyle name="40% - Accent4 7 5 2" xfId="43077" xr:uid="{00000000-0005-0000-0000-0000700C0000}"/>
    <cellStyle name="40% - Accent4 7 6" xfId="23477" xr:uid="{00000000-0005-0000-0000-0000710C0000}"/>
    <cellStyle name="40% - Accent4 8" xfId="539" xr:uid="{00000000-0005-0000-0000-0000720C0000}"/>
    <cellStyle name="40% - Accent4 8 2" xfId="914" xr:uid="{00000000-0005-0000-0000-0000730C0000}"/>
    <cellStyle name="40% - Accent4 8 2 2" xfId="23796" xr:uid="{00000000-0005-0000-0000-0000740C0000}"/>
    <cellStyle name="40% - Accent4 8 3" xfId="22495" xr:uid="{00000000-0005-0000-0000-0000750C0000}"/>
    <cellStyle name="40% - Accent4 8 3 2" xfId="42406" xr:uid="{00000000-0005-0000-0000-0000760C0000}"/>
    <cellStyle name="40% - Accent4 8 4" xfId="22879" xr:uid="{00000000-0005-0000-0000-0000770C0000}"/>
    <cellStyle name="40% - Accent4 8 4 2" xfId="42790" xr:uid="{00000000-0005-0000-0000-0000780C0000}"/>
    <cellStyle name="40% - Accent4 8 5" xfId="23182" xr:uid="{00000000-0005-0000-0000-0000790C0000}"/>
    <cellStyle name="40% - Accent4 8 5 2" xfId="43093" xr:uid="{00000000-0005-0000-0000-00007A0C0000}"/>
    <cellStyle name="40% - Accent4 8 6" xfId="23493" xr:uid="{00000000-0005-0000-0000-00007B0C0000}"/>
    <cellStyle name="40% - Accent4 9" xfId="578" xr:uid="{00000000-0005-0000-0000-00007C0C0000}"/>
    <cellStyle name="40% - Accent4 9 2" xfId="930" xr:uid="{00000000-0005-0000-0000-00007D0C0000}"/>
    <cellStyle name="40% - Accent4 9 2 2" xfId="23812" xr:uid="{00000000-0005-0000-0000-00007E0C0000}"/>
    <cellStyle name="40% - Accent4 9 3" xfId="22533" xr:uid="{00000000-0005-0000-0000-00007F0C0000}"/>
    <cellStyle name="40% - Accent4 9 3 2" xfId="42444" xr:uid="{00000000-0005-0000-0000-0000800C0000}"/>
    <cellStyle name="40% - Accent4 9 4" xfId="22895" xr:uid="{00000000-0005-0000-0000-0000810C0000}"/>
    <cellStyle name="40% - Accent4 9 4 2" xfId="42806" xr:uid="{00000000-0005-0000-0000-0000820C0000}"/>
    <cellStyle name="40% - Accent4 9 5" xfId="23198" xr:uid="{00000000-0005-0000-0000-0000830C0000}"/>
    <cellStyle name="40% - Accent4 9 5 2" xfId="43109" xr:uid="{00000000-0005-0000-0000-0000840C0000}"/>
    <cellStyle name="40% - Accent4 9 6" xfId="23509" xr:uid="{00000000-0005-0000-0000-0000850C0000}"/>
    <cellStyle name="40% - Accent5" xfId="79" builtinId="47" customBuiltin="1"/>
    <cellStyle name="40% - Accent5 10" xfId="610" xr:uid="{00000000-0005-0000-0000-0000870C0000}"/>
    <cellStyle name="40% - Accent5 10 2" xfId="948" xr:uid="{00000000-0005-0000-0000-0000880C0000}"/>
    <cellStyle name="40% - Accent5 10 2 2" xfId="23830" xr:uid="{00000000-0005-0000-0000-0000890C0000}"/>
    <cellStyle name="40% - Accent5 10 3" xfId="22678" xr:uid="{00000000-0005-0000-0000-00008A0C0000}"/>
    <cellStyle name="40% - Accent5 10 3 2" xfId="42589" xr:uid="{00000000-0005-0000-0000-00008B0C0000}"/>
    <cellStyle name="40% - Accent5 10 4" xfId="22913" xr:uid="{00000000-0005-0000-0000-00008C0C0000}"/>
    <cellStyle name="40% - Accent5 10 4 2" xfId="42824" xr:uid="{00000000-0005-0000-0000-00008D0C0000}"/>
    <cellStyle name="40% - Accent5 10 5" xfId="23216" xr:uid="{00000000-0005-0000-0000-00008E0C0000}"/>
    <cellStyle name="40% - Accent5 10 5 2" xfId="43127" xr:uid="{00000000-0005-0000-0000-00008F0C0000}"/>
    <cellStyle name="40% - Accent5 10 6" xfId="23527" xr:uid="{00000000-0005-0000-0000-0000900C0000}"/>
    <cellStyle name="40% - Accent5 11" xfId="636" xr:uid="{00000000-0005-0000-0000-0000910C0000}"/>
    <cellStyle name="40% - Accent5 11 2" xfId="964" xr:uid="{00000000-0005-0000-0000-0000920C0000}"/>
    <cellStyle name="40% - Accent5 11 2 2" xfId="23846" xr:uid="{00000000-0005-0000-0000-0000930C0000}"/>
    <cellStyle name="40% - Accent5 11 3" xfId="22674" xr:uid="{00000000-0005-0000-0000-0000940C0000}"/>
    <cellStyle name="40% - Accent5 11 3 2" xfId="42585" xr:uid="{00000000-0005-0000-0000-0000950C0000}"/>
    <cellStyle name="40% - Accent5 11 4" xfId="22929" xr:uid="{00000000-0005-0000-0000-0000960C0000}"/>
    <cellStyle name="40% - Accent5 11 4 2" xfId="42840" xr:uid="{00000000-0005-0000-0000-0000970C0000}"/>
    <cellStyle name="40% - Accent5 11 5" xfId="23232" xr:uid="{00000000-0005-0000-0000-0000980C0000}"/>
    <cellStyle name="40% - Accent5 11 5 2" xfId="43143" xr:uid="{00000000-0005-0000-0000-0000990C0000}"/>
    <cellStyle name="40% - Accent5 11 6" xfId="23543" xr:uid="{00000000-0005-0000-0000-00009A0C0000}"/>
    <cellStyle name="40% - Accent5 12" xfId="662" xr:uid="{00000000-0005-0000-0000-00009B0C0000}"/>
    <cellStyle name="40% - Accent5 12 2" xfId="980" xr:uid="{00000000-0005-0000-0000-00009C0C0000}"/>
    <cellStyle name="40% - Accent5 12 2 2" xfId="23862" xr:uid="{00000000-0005-0000-0000-00009D0C0000}"/>
    <cellStyle name="40% - Accent5 12 3" xfId="22661" xr:uid="{00000000-0005-0000-0000-00009E0C0000}"/>
    <cellStyle name="40% - Accent5 12 3 2" xfId="42572" xr:uid="{00000000-0005-0000-0000-00009F0C0000}"/>
    <cellStyle name="40% - Accent5 12 4" xfId="22945" xr:uid="{00000000-0005-0000-0000-0000A00C0000}"/>
    <cellStyle name="40% - Accent5 12 4 2" xfId="42856" xr:uid="{00000000-0005-0000-0000-0000A10C0000}"/>
    <cellStyle name="40% - Accent5 12 5" xfId="23248" xr:uid="{00000000-0005-0000-0000-0000A20C0000}"/>
    <cellStyle name="40% - Accent5 12 5 2" xfId="43159" xr:uid="{00000000-0005-0000-0000-0000A30C0000}"/>
    <cellStyle name="40% - Accent5 12 6" xfId="23559" xr:uid="{00000000-0005-0000-0000-0000A40C0000}"/>
    <cellStyle name="40% - Accent5 13" xfId="686" xr:uid="{00000000-0005-0000-0000-0000A50C0000}"/>
    <cellStyle name="40% - Accent5 13 2" xfId="996" xr:uid="{00000000-0005-0000-0000-0000A60C0000}"/>
    <cellStyle name="40% - Accent5 13 2 2" xfId="23878" xr:uid="{00000000-0005-0000-0000-0000A70C0000}"/>
    <cellStyle name="40% - Accent5 13 3" xfId="22624" xr:uid="{00000000-0005-0000-0000-0000A80C0000}"/>
    <cellStyle name="40% - Accent5 13 3 2" xfId="42535" xr:uid="{00000000-0005-0000-0000-0000A90C0000}"/>
    <cellStyle name="40% - Accent5 13 4" xfId="22961" xr:uid="{00000000-0005-0000-0000-0000AA0C0000}"/>
    <cellStyle name="40% - Accent5 13 4 2" xfId="42872" xr:uid="{00000000-0005-0000-0000-0000AB0C0000}"/>
    <cellStyle name="40% - Accent5 13 5" xfId="23264" xr:uid="{00000000-0005-0000-0000-0000AC0C0000}"/>
    <cellStyle name="40% - Accent5 13 5 2" xfId="43175" xr:uid="{00000000-0005-0000-0000-0000AD0C0000}"/>
    <cellStyle name="40% - Accent5 13 6" xfId="23575" xr:uid="{00000000-0005-0000-0000-0000AE0C0000}"/>
    <cellStyle name="40% - Accent5 14" xfId="704" xr:uid="{00000000-0005-0000-0000-0000AF0C0000}"/>
    <cellStyle name="40% - Accent5 14 2" xfId="1012" xr:uid="{00000000-0005-0000-0000-0000B00C0000}"/>
    <cellStyle name="40% - Accent5 14 2 2" xfId="23894" xr:uid="{00000000-0005-0000-0000-0000B10C0000}"/>
    <cellStyle name="40% - Accent5 14 3" xfId="22490" xr:uid="{00000000-0005-0000-0000-0000B20C0000}"/>
    <cellStyle name="40% - Accent5 14 3 2" xfId="42401" xr:uid="{00000000-0005-0000-0000-0000B30C0000}"/>
    <cellStyle name="40% - Accent5 14 4" xfId="22977" xr:uid="{00000000-0005-0000-0000-0000B40C0000}"/>
    <cellStyle name="40% - Accent5 14 4 2" xfId="42888" xr:uid="{00000000-0005-0000-0000-0000B50C0000}"/>
    <cellStyle name="40% - Accent5 14 5" xfId="23280" xr:uid="{00000000-0005-0000-0000-0000B60C0000}"/>
    <cellStyle name="40% - Accent5 14 5 2" xfId="43191" xr:uid="{00000000-0005-0000-0000-0000B70C0000}"/>
    <cellStyle name="40% - Accent5 14 6" xfId="23591" xr:uid="{00000000-0005-0000-0000-0000B80C0000}"/>
    <cellStyle name="40% - Accent5 15" xfId="720" xr:uid="{00000000-0005-0000-0000-0000B90C0000}"/>
    <cellStyle name="40% - Accent5 15 2" xfId="1028" xr:uid="{00000000-0005-0000-0000-0000BA0C0000}"/>
    <cellStyle name="40% - Accent5 15 2 2" xfId="23910" xr:uid="{00000000-0005-0000-0000-0000BB0C0000}"/>
    <cellStyle name="40% - Accent5 15 3" xfId="22481" xr:uid="{00000000-0005-0000-0000-0000BC0C0000}"/>
    <cellStyle name="40% - Accent5 15 3 2" xfId="42392" xr:uid="{00000000-0005-0000-0000-0000BD0C0000}"/>
    <cellStyle name="40% - Accent5 15 4" xfId="22993" xr:uid="{00000000-0005-0000-0000-0000BE0C0000}"/>
    <cellStyle name="40% - Accent5 15 4 2" xfId="42904" xr:uid="{00000000-0005-0000-0000-0000BF0C0000}"/>
    <cellStyle name="40% - Accent5 15 5" xfId="23296" xr:uid="{00000000-0005-0000-0000-0000C00C0000}"/>
    <cellStyle name="40% - Accent5 15 5 2" xfId="43207" xr:uid="{00000000-0005-0000-0000-0000C10C0000}"/>
    <cellStyle name="40% - Accent5 15 6" xfId="23607" xr:uid="{00000000-0005-0000-0000-0000C20C0000}"/>
    <cellStyle name="40% - Accent5 16" xfId="744" xr:uid="{00000000-0005-0000-0000-0000C30C0000}"/>
    <cellStyle name="40% - Accent5 16 2" xfId="23626" xr:uid="{00000000-0005-0000-0000-0000C40C0000}"/>
    <cellStyle name="40% - Accent5 17" xfId="22709" xr:uid="{00000000-0005-0000-0000-0000C50C0000}"/>
    <cellStyle name="40% - Accent5 17 2" xfId="42620" xr:uid="{00000000-0005-0000-0000-0000C60C0000}"/>
    <cellStyle name="40% - Accent5 18" xfId="23012" xr:uid="{00000000-0005-0000-0000-0000C70C0000}"/>
    <cellStyle name="40% - Accent5 18 2" xfId="42923" xr:uid="{00000000-0005-0000-0000-0000C80C0000}"/>
    <cellStyle name="40% - Accent5 19" xfId="23316" xr:uid="{00000000-0005-0000-0000-0000C90C0000}"/>
    <cellStyle name="40% - Accent5 2" xfId="383" xr:uid="{00000000-0005-0000-0000-0000CA0C0000}"/>
    <cellStyle name="40% - Accent5 2 10" xfId="23399" xr:uid="{00000000-0005-0000-0000-0000CB0C0000}"/>
    <cellStyle name="40% - Accent5 2 2" xfId="820" xr:uid="{00000000-0005-0000-0000-0000CC0C0000}"/>
    <cellStyle name="40% - Accent5 2 2 2" xfId="6311" xr:uid="{00000000-0005-0000-0000-0000CD0C0000}"/>
    <cellStyle name="40% - Accent5 2 2 2 2" xfId="9397" xr:uid="{00000000-0005-0000-0000-0000CE0C0000}"/>
    <cellStyle name="40% - Accent5 2 2 2 2 2" xfId="15590" xr:uid="{00000000-0005-0000-0000-0000CF0C0000}"/>
    <cellStyle name="40% - Accent5 2 2 2 2 2 2" xfId="35510" xr:uid="{00000000-0005-0000-0000-0000D00C0000}"/>
    <cellStyle name="40% - Accent5 2 2 2 2 3" xfId="21742" xr:uid="{00000000-0005-0000-0000-0000D10C0000}"/>
    <cellStyle name="40% - Accent5 2 2 2 2 3 2" xfId="41662" xr:uid="{00000000-0005-0000-0000-0000D20C0000}"/>
    <cellStyle name="40% - Accent5 2 2 2 2 4" xfId="29357" xr:uid="{00000000-0005-0000-0000-0000D30C0000}"/>
    <cellStyle name="40% - Accent5 2 2 2 3" xfId="12524" xr:uid="{00000000-0005-0000-0000-0000D40C0000}"/>
    <cellStyle name="40% - Accent5 2 2 2 3 2" xfId="32444" xr:uid="{00000000-0005-0000-0000-0000D50C0000}"/>
    <cellStyle name="40% - Accent5 2 2 2 4" xfId="18676" xr:uid="{00000000-0005-0000-0000-0000D60C0000}"/>
    <cellStyle name="40% - Accent5 2 2 2 4 2" xfId="38596" xr:uid="{00000000-0005-0000-0000-0000D70C0000}"/>
    <cellStyle name="40% - Accent5 2 2 2 5" xfId="26291" xr:uid="{00000000-0005-0000-0000-0000D80C0000}"/>
    <cellStyle name="40% - Accent5 2 2 3" xfId="7862" xr:uid="{00000000-0005-0000-0000-0000D90C0000}"/>
    <cellStyle name="40% - Accent5 2 2 3 2" xfId="14056" xr:uid="{00000000-0005-0000-0000-0000DA0C0000}"/>
    <cellStyle name="40% - Accent5 2 2 3 2 2" xfId="33976" xr:uid="{00000000-0005-0000-0000-0000DB0C0000}"/>
    <cellStyle name="40% - Accent5 2 2 3 3" xfId="20208" xr:uid="{00000000-0005-0000-0000-0000DC0C0000}"/>
    <cellStyle name="40% - Accent5 2 2 3 3 2" xfId="40128" xr:uid="{00000000-0005-0000-0000-0000DD0C0000}"/>
    <cellStyle name="40% - Accent5 2 2 3 4" xfId="27823" xr:uid="{00000000-0005-0000-0000-0000DE0C0000}"/>
    <cellStyle name="40% - Accent5 2 2 4" xfId="10990" xr:uid="{00000000-0005-0000-0000-0000DF0C0000}"/>
    <cellStyle name="40% - Accent5 2 2 4 2" xfId="30910" xr:uid="{00000000-0005-0000-0000-0000E00C0000}"/>
    <cellStyle name="40% - Accent5 2 2 5" xfId="17142" xr:uid="{00000000-0005-0000-0000-0000E10C0000}"/>
    <cellStyle name="40% - Accent5 2 2 5 2" xfId="37062" xr:uid="{00000000-0005-0000-0000-0000E20C0000}"/>
    <cellStyle name="40% - Accent5 2 2 6" xfId="4686" xr:uid="{00000000-0005-0000-0000-0000E30C0000}"/>
    <cellStyle name="40% - Accent5 2 2 6 2" xfId="24757" xr:uid="{00000000-0005-0000-0000-0000E40C0000}"/>
    <cellStyle name="40% - Accent5 2 2 7" xfId="23702" xr:uid="{00000000-0005-0000-0000-0000E50C0000}"/>
    <cellStyle name="40% - Accent5 2 3" xfId="5525" xr:uid="{00000000-0005-0000-0000-0000E60C0000}"/>
    <cellStyle name="40% - Accent5 2 3 2" xfId="8628" xr:uid="{00000000-0005-0000-0000-0000E70C0000}"/>
    <cellStyle name="40% - Accent5 2 3 2 2" xfId="14821" xr:uid="{00000000-0005-0000-0000-0000E80C0000}"/>
    <cellStyle name="40% - Accent5 2 3 2 2 2" xfId="34741" xr:uid="{00000000-0005-0000-0000-0000E90C0000}"/>
    <cellStyle name="40% - Accent5 2 3 2 3" xfId="20973" xr:uid="{00000000-0005-0000-0000-0000EA0C0000}"/>
    <cellStyle name="40% - Accent5 2 3 2 3 2" xfId="40893" xr:uid="{00000000-0005-0000-0000-0000EB0C0000}"/>
    <cellStyle name="40% - Accent5 2 3 2 4" xfId="28588" xr:uid="{00000000-0005-0000-0000-0000EC0C0000}"/>
    <cellStyle name="40% - Accent5 2 3 3" xfId="11755" xr:uid="{00000000-0005-0000-0000-0000ED0C0000}"/>
    <cellStyle name="40% - Accent5 2 3 3 2" xfId="31675" xr:uid="{00000000-0005-0000-0000-0000EE0C0000}"/>
    <cellStyle name="40% - Accent5 2 3 4" xfId="17907" xr:uid="{00000000-0005-0000-0000-0000EF0C0000}"/>
    <cellStyle name="40% - Accent5 2 3 4 2" xfId="37827" xr:uid="{00000000-0005-0000-0000-0000F00C0000}"/>
    <cellStyle name="40% - Accent5 2 3 5" xfId="25522" xr:uid="{00000000-0005-0000-0000-0000F10C0000}"/>
    <cellStyle name="40% - Accent5 2 4" xfId="7093" xr:uid="{00000000-0005-0000-0000-0000F20C0000}"/>
    <cellStyle name="40% - Accent5 2 4 2" xfId="13287" xr:uid="{00000000-0005-0000-0000-0000F30C0000}"/>
    <cellStyle name="40% - Accent5 2 4 2 2" xfId="33207" xr:uid="{00000000-0005-0000-0000-0000F40C0000}"/>
    <cellStyle name="40% - Accent5 2 4 3" xfId="19439" xr:uid="{00000000-0005-0000-0000-0000F50C0000}"/>
    <cellStyle name="40% - Accent5 2 4 3 2" xfId="39359" xr:uid="{00000000-0005-0000-0000-0000F60C0000}"/>
    <cellStyle name="40% - Accent5 2 4 4" xfId="27054" xr:uid="{00000000-0005-0000-0000-0000F70C0000}"/>
    <cellStyle name="40% - Accent5 2 5" xfId="10221" xr:uid="{00000000-0005-0000-0000-0000F80C0000}"/>
    <cellStyle name="40% - Accent5 2 5 2" xfId="30141" xr:uid="{00000000-0005-0000-0000-0000F90C0000}"/>
    <cellStyle name="40% - Accent5 2 6" xfId="16373" xr:uid="{00000000-0005-0000-0000-0000FA0C0000}"/>
    <cellStyle name="40% - Accent5 2 6 2" xfId="36293" xr:uid="{00000000-0005-0000-0000-0000FB0C0000}"/>
    <cellStyle name="40% - Accent5 2 7" xfId="1255" xr:uid="{00000000-0005-0000-0000-0000FC0C0000}"/>
    <cellStyle name="40% - Accent5 2 7 2" xfId="23988" xr:uid="{00000000-0005-0000-0000-0000FD0C0000}"/>
    <cellStyle name="40% - Accent5 2 8" xfId="22785" xr:uid="{00000000-0005-0000-0000-0000FE0C0000}"/>
    <cellStyle name="40% - Accent5 2 8 2" xfId="42696" xr:uid="{00000000-0005-0000-0000-0000FF0C0000}"/>
    <cellStyle name="40% - Accent5 2 9" xfId="23088" xr:uid="{00000000-0005-0000-0000-0000000D0000}"/>
    <cellStyle name="40% - Accent5 2 9 2" xfId="42999" xr:uid="{00000000-0005-0000-0000-0000010D0000}"/>
    <cellStyle name="40% - Accent5 3" xfId="413" xr:uid="{00000000-0005-0000-0000-0000020D0000}"/>
    <cellStyle name="40% - Accent5 3 10" xfId="23415" xr:uid="{00000000-0005-0000-0000-0000030D0000}"/>
    <cellStyle name="40% - Accent5 3 2" xfId="836" xr:uid="{00000000-0005-0000-0000-0000040D0000}"/>
    <cellStyle name="40% - Accent5 3 2 2" xfId="6312" xr:uid="{00000000-0005-0000-0000-0000050D0000}"/>
    <cellStyle name="40% - Accent5 3 2 2 2" xfId="9398" xr:uid="{00000000-0005-0000-0000-0000060D0000}"/>
    <cellStyle name="40% - Accent5 3 2 2 2 2" xfId="15591" xr:uid="{00000000-0005-0000-0000-0000070D0000}"/>
    <cellStyle name="40% - Accent5 3 2 2 2 2 2" xfId="35511" xr:uid="{00000000-0005-0000-0000-0000080D0000}"/>
    <cellStyle name="40% - Accent5 3 2 2 2 3" xfId="21743" xr:uid="{00000000-0005-0000-0000-0000090D0000}"/>
    <cellStyle name="40% - Accent5 3 2 2 2 3 2" xfId="41663" xr:uid="{00000000-0005-0000-0000-00000A0D0000}"/>
    <cellStyle name="40% - Accent5 3 2 2 2 4" xfId="29358" xr:uid="{00000000-0005-0000-0000-00000B0D0000}"/>
    <cellStyle name="40% - Accent5 3 2 2 3" xfId="12525" xr:uid="{00000000-0005-0000-0000-00000C0D0000}"/>
    <cellStyle name="40% - Accent5 3 2 2 3 2" xfId="32445" xr:uid="{00000000-0005-0000-0000-00000D0D0000}"/>
    <cellStyle name="40% - Accent5 3 2 2 4" xfId="18677" xr:uid="{00000000-0005-0000-0000-00000E0D0000}"/>
    <cellStyle name="40% - Accent5 3 2 2 4 2" xfId="38597" xr:uid="{00000000-0005-0000-0000-00000F0D0000}"/>
    <cellStyle name="40% - Accent5 3 2 2 5" xfId="26292" xr:uid="{00000000-0005-0000-0000-0000100D0000}"/>
    <cellStyle name="40% - Accent5 3 2 3" xfId="7863" xr:uid="{00000000-0005-0000-0000-0000110D0000}"/>
    <cellStyle name="40% - Accent5 3 2 3 2" xfId="14057" xr:uid="{00000000-0005-0000-0000-0000120D0000}"/>
    <cellStyle name="40% - Accent5 3 2 3 2 2" xfId="33977" xr:uid="{00000000-0005-0000-0000-0000130D0000}"/>
    <cellStyle name="40% - Accent5 3 2 3 3" xfId="20209" xr:uid="{00000000-0005-0000-0000-0000140D0000}"/>
    <cellStyle name="40% - Accent5 3 2 3 3 2" xfId="40129" xr:uid="{00000000-0005-0000-0000-0000150D0000}"/>
    <cellStyle name="40% - Accent5 3 2 3 4" xfId="27824" xr:uid="{00000000-0005-0000-0000-0000160D0000}"/>
    <cellStyle name="40% - Accent5 3 2 4" xfId="10991" xr:uid="{00000000-0005-0000-0000-0000170D0000}"/>
    <cellStyle name="40% - Accent5 3 2 4 2" xfId="30911" xr:uid="{00000000-0005-0000-0000-0000180D0000}"/>
    <cellStyle name="40% - Accent5 3 2 5" xfId="17143" xr:uid="{00000000-0005-0000-0000-0000190D0000}"/>
    <cellStyle name="40% - Accent5 3 2 5 2" xfId="37063" xr:uid="{00000000-0005-0000-0000-00001A0D0000}"/>
    <cellStyle name="40% - Accent5 3 2 6" xfId="4687" xr:uid="{00000000-0005-0000-0000-00001B0D0000}"/>
    <cellStyle name="40% - Accent5 3 2 6 2" xfId="24758" xr:uid="{00000000-0005-0000-0000-00001C0D0000}"/>
    <cellStyle name="40% - Accent5 3 2 7" xfId="23718" xr:uid="{00000000-0005-0000-0000-00001D0D0000}"/>
    <cellStyle name="40% - Accent5 3 3" xfId="5526" xr:uid="{00000000-0005-0000-0000-00001E0D0000}"/>
    <cellStyle name="40% - Accent5 3 3 2" xfId="8629" xr:uid="{00000000-0005-0000-0000-00001F0D0000}"/>
    <cellStyle name="40% - Accent5 3 3 2 2" xfId="14822" xr:uid="{00000000-0005-0000-0000-0000200D0000}"/>
    <cellStyle name="40% - Accent5 3 3 2 2 2" xfId="34742" xr:uid="{00000000-0005-0000-0000-0000210D0000}"/>
    <cellStyle name="40% - Accent5 3 3 2 3" xfId="20974" xr:uid="{00000000-0005-0000-0000-0000220D0000}"/>
    <cellStyle name="40% - Accent5 3 3 2 3 2" xfId="40894" xr:uid="{00000000-0005-0000-0000-0000230D0000}"/>
    <cellStyle name="40% - Accent5 3 3 2 4" xfId="28589" xr:uid="{00000000-0005-0000-0000-0000240D0000}"/>
    <cellStyle name="40% - Accent5 3 3 3" xfId="11756" xr:uid="{00000000-0005-0000-0000-0000250D0000}"/>
    <cellStyle name="40% - Accent5 3 3 3 2" xfId="31676" xr:uid="{00000000-0005-0000-0000-0000260D0000}"/>
    <cellStyle name="40% - Accent5 3 3 4" xfId="17908" xr:uid="{00000000-0005-0000-0000-0000270D0000}"/>
    <cellStyle name="40% - Accent5 3 3 4 2" xfId="37828" xr:uid="{00000000-0005-0000-0000-0000280D0000}"/>
    <cellStyle name="40% - Accent5 3 3 5" xfId="25523" xr:uid="{00000000-0005-0000-0000-0000290D0000}"/>
    <cellStyle name="40% - Accent5 3 4" xfId="7094" xr:uid="{00000000-0005-0000-0000-00002A0D0000}"/>
    <cellStyle name="40% - Accent5 3 4 2" xfId="13288" xr:uid="{00000000-0005-0000-0000-00002B0D0000}"/>
    <cellStyle name="40% - Accent5 3 4 2 2" xfId="33208" xr:uid="{00000000-0005-0000-0000-00002C0D0000}"/>
    <cellStyle name="40% - Accent5 3 4 3" xfId="19440" xr:uid="{00000000-0005-0000-0000-00002D0D0000}"/>
    <cellStyle name="40% - Accent5 3 4 3 2" xfId="39360" xr:uid="{00000000-0005-0000-0000-00002E0D0000}"/>
    <cellStyle name="40% - Accent5 3 4 4" xfId="27055" xr:uid="{00000000-0005-0000-0000-00002F0D0000}"/>
    <cellStyle name="40% - Accent5 3 5" xfId="10222" xr:uid="{00000000-0005-0000-0000-0000300D0000}"/>
    <cellStyle name="40% - Accent5 3 5 2" xfId="30142" xr:uid="{00000000-0005-0000-0000-0000310D0000}"/>
    <cellStyle name="40% - Accent5 3 6" xfId="16374" xr:uid="{00000000-0005-0000-0000-0000320D0000}"/>
    <cellStyle name="40% - Accent5 3 6 2" xfId="36294" xr:uid="{00000000-0005-0000-0000-0000330D0000}"/>
    <cellStyle name="40% - Accent5 3 7" xfId="1256" xr:uid="{00000000-0005-0000-0000-0000340D0000}"/>
    <cellStyle name="40% - Accent5 3 7 2" xfId="23989" xr:uid="{00000000-0005-0000-0000-0000350D0000}"/>
    <cellStyle name="40% - Accent5 3 8" xfId="22801" xr:uid="{00000000-0005-0000-0000-0000360D0000}"/>
    <cellStyle name="40% - Accent5 3 8 2" xfId="42712" xr:uid="{00000000-0005-0000-0000-0000370D0000}"/>
    <cellStyle name="40% - Accent5 3 9" xfId="23104" xr:uid="{00000000-0005-0000-0000-0000380D0000}"/>
    <cellStyle name="40% - Accent5 3 9 2" xfId="43015" xr:uid="{00000000-0005-0000-0000-0000390D0000}"/>
    <cellStyle name="40% - Accent5 4" xfId="440" xr:uid="{00000000-0005-0000-0000-00003A0D0000}"/>
    <cellStyle name="40% - Accent5 4 10" xfId="23431" xr:uid="{00000000-0005-0000-0000-00003B0D0000}"/>
    <cellStyle name="40% - Accent5 4 2" xfId="852" xr:uid="{00000000-0005-0000-0000-00003C0D0000}"/>
    <cellStyle name="40% - Accent5 4 2 2" xfId="6313" xr:uid="{00000000-0005-0000-0000-00003D0D0000}"/>
    <cellStyle name="40% - Accent5 4 2 2 2" xfId="9399" xr:uid="{00000000-0005-0000-0000-00003E0D0000}"/>
    <cellStyle name="40% - Accent5 4 2 2 2 2" xfId="15592" xr:uid="{00000000-0005-0000-0000-00003F0D0000}"/>
    <cellStyle name="40% - Accent5 4 2 2 2 2 2" xfId="35512" xr:uid="{00000000-0005-0000-0000-0000400D0000}"/>
    <cellStyle name="40% - Accent5 4 2 2 2 3" xfId="21744" xr:uid="{00000000-0005-0000-0000-0000410D0000}"/>
    <cellStyle name="40% - Accent5 4 2 2 2 3 2" xfId="41664" xr:uid="{00000000-0005-0000-0000-0000420D0000}"/>
    <cellStyle name="40% - Accent5 4 2 2 2 4" xfId="29359" xr:uid="{00000000-0005-0000-0000-0000430D0000}"/>
    <cellStyle name="40% - Accent5 4 2 2 3" xfId="12526" xr:uid="{00000000-0005-0000-0000-0000440D0000}"/>
    <cellStyle name="40% - Accent5 4 2 2 3 2" xfId="32446" xr:uid="{00000000-0005-0000-0000-0000450D0000}"/>
    <cellStyle name="40% - Accent5 4 2 2 4" xfId="18678" xr:uid="{00000000-0005-0000-0000-0000460D0000}"/>
    <cellStyle name="40% - Accent5 4 2 2 4 2" xfId="38598" xr:uid="{00000000-0005-0000-0000-0000470D0000}"/>
    <cellStyle name="40% - Accent5 4 2 2 5" xfId="26293" xr:uid="{00000000-0005-0000-0000-0000480D0000}"/>
    <cellStyle name="40% - Accent5 4 2 3" xfId="7864" xr:uid="{00000000-0005-0000-0000-0000490D0000}"/>
    <cellStyle name="40% - Accent5 4 2 3 2" xfId="14058" xr:uid="{00000000-0005-0000-0000-00004A0D0000}"/>
    <cellStyle name="40% - Accent5 4 2 3 2 2" xfId="33978" xr:uid="{00000000-0005-0000-0000-00004B0D0000}"/>
    <cellStyle name="40% - Accent5 4 2 3 3" xfId="20210" xr:uid="{00000000-0005-0000-0000-00004C0D0000}"/>
    <cellStyle name="40% - Accent5 4 2 3 3 2" xfId="40130" xr:uid="{00000000-0005-0000-0000-00004D0D0000}"/>
    <cellStyle name="40% - Accent5 4 2 3 4" xfId="27825" xr:uid="{00000000-0005-0000-0000-00004E0D0000}"/>
    <cellStyle name="40% - Accent5 4 2 4" xfId="10992" xr:uid="{00000000-0005-0000-0000-00004F0D0000}"/>
    <cellStyle name="40% - Accent5 4 2 4 2" xfId="30912" xr:uid="{00000000-0005-0000-0000-0000500D0000}"/>
    <cellStyle name="40% - Accent5 4 2 5" xfId="17144" xr:uid="{00000000-0005-0000-0000-0000510D0000}"/>
    <cellStyle name="40% - Accent5 4 2 5 2" xfId="37064" xr:uid="{00000000-0005-0000-0000-0000520D0000}"/>
    <cellStyle name="40% - Accent5 4 2 6" xfId="4688" xr:uid="{00000000-0005-0000-0000-0000530D0000}"/>
    <cellStyle name="40% - Accent5 4 2 6 2" xfId="24759" xr:uid="{00000000-0005-0000-0000-0000540D0000}"/>
    <cellStyle name="40% - Accent5 4 2 7" xfId="23734" xr:uid="{00000000-0005-0000-0000-0000550D0000}"/>
    <cellStyle name="40% - Accent5 4 3" xfId="5527" xr:uid="{00000000-0005-0000-0000-0000560D0000}"/>
    <cellStyle name="40% - Accent5 4 3 2" xfId="8630" xr:uid="{00000000-0005-0000-0000-0000570D0000}"/>
    <cellStyle name="40% - Accent5 4 3 2 2" xfId="14823" xr:uid="{00000000-0005-0000-0000-0000580D0000}"/>
    <cellStyle name="40% - Accent5 4 3 2 2 2" xfId="34743" xr:uid="{00000000-0005-0000-0000-0000590D0000}"/>
    <cellStyle name="40% - Accent5 4 3 2 3" xfId="20975" xr:uid="{00000000-0005-0000-0000-00005A0D0000}"/>
    <cellStyle name="40% - Accent5 4 3 2 3 2" xfId="40895" xr:uid="{00000000-0005-0000-0000-00005B0D0000}"/>
    <cellStyle name="40% - Accent5 4 3 2 4" xfId="28590" xr:uid="{00000000-0005-0000-0000-00005C0D0000}"/>
    <cellStyle name="40% - Accent5 4 3 3" xfId="11757" xr:uid="{00000000-0005-0000-0000-00005D0D0000}"/>
    <cellStyle name="40% - Accent5 4 3 3 2" xfId="31677" xr:uid="{00000000-0005-0000-0000-00005E0D0000}"/>
    <cellStyle name="40% - Accent5 4 3 4" xfId="17909" xr:uid="{00000000-0005-0000-0000-00005F0D0000}"/>
    <cellStyle name="40% - Accent5 4 3 4 2" xfId="37829" xr:uid="{00000000-0005-0000-0000-0000600D0000}"/>
    <cellStyle name="40% - Accent5 4 3 5" xfId="25524" xr:uid="{00000000-0005-0000-0000-0000610D0000}"/>
    <cellStyle name="40% - Accent5 4 4" xfId="7095" xr:uid="{00000000-0005-0000-0000-0000620D0000}"/>
    <cellStyle name="40% - Accent5 4 4 2" xfId="13289" xr:uid="{00000000-0005-0000-0000-0000630D0000}"/>
    <cellStyle name="40% - Accent5 4 4 2 2" xfId="33209" xr:uid="{00000000-0005-0000-0000-0000640D0000}"/>
    <cellStyle name="40% - Accent5 4 4 3" xfId="19441" xr:uid="{00000000-0005-0000-0000-0000650D0000}"/>
    <cellStyle name="40% - Accent5 4 4 3 2" xfId="39361" xr:uid="{00000000-0005-0000-0000-0000660D0000}"/>
    <cellStyle name="40% - Accent5 4 4 4" xfId="27056" xr:uid="{00000000-0005-0000-0000-0000670D0000}"/>
    <cellStyle name="40% - Accent5 4 5" xfId="10223" xr:uid="{00000000-0005-0000-0000-0000680D0000}"/>
    <cellStyle name="40% - Accent5 4 5 2" xfId="30143" xr:uid="{00000000-0005-0000-0000-0000690D0000}"/>
    <cellStyle name="40% - Accent5 4 6" xfId="16375" xr:uid="{00000000-0005-0000-0000-00006A0D0000}"/>
    <cellStyle name="40% - Accent5 4 6 2" xfId="36295" xr:uid="{00000000-0005-0000-0000-00006B0D0000}"/>
    <cellStyle name="40% - Accent5 4 7" xfId="1257" xr:uid="{00000000-0005-0000-0000-00006C0D0000}"/>
    <cellStyle name="40% - Accent5 4 7 2" xfId="23990" xr:uid="{00000000-0005-0000-0000-00006D0D0000}"/>
    <cellStyle name="40% - Accent5 4 8" xfId="22817" xr:uid="{00000000-0005-0000-0000-00006E0D0000}"/>
    <cellStyle name="40% - Accent5 4 8 2" xfId="42728" xr:uid="{00000000-0005-0000-0000-00006F0D0000}"/>
    <cellStyle name="40% - Accent5 4 9" xfId="23120" xr:uid="{00000000-0005-0000-0000-0000700D0000}"/>
    <cellStyle name="40% - Accent5 4 9 2" xfId="43031" xr:uid="{00000000-0005-0000-0000-0000710D0000}"/>
    <cellStyle name="40% - Accent5 5" xfId="467" xr:uid="{00000000-0005-0000-0000-0000720D0000}"/>
    <cellStyle name="40% - Accent5 5 2" xfId="868" xr:uid="{00000000-0005-0000-0000-0000730D0000}"/>
    <cellStyle name="40% - Accent5 5 2 2" xfId="23750" xr:uid="{00000000-0005-0000-0000-0000740D0000}"/>
    <cellStyle name="40% - Accent5 5 3" xfId="1258" xr:uid="{00000000-0005-0000-0000-0000750D0000}"/>
    <cellStyle name="40% - Accent5 5 4" xfId="22571" xr:uid="{00000000-0005-0000-0000-0000760D0000}"/>
    <cellStyle name="40% - Accent5 5 4 2" xfId="42482" xr:uid="{00000000-0005-0000-0000-0000770D0000}"/>
    <cellStyle name="40% - Accent5 5 5" xfId="22833" xr:uid="{00000000-0005-0000-0000-0000780D0000}"/>
    <cellStyle name="40% - Accent5 5 5 2" xfId="42744" xr:uid="{00000000-0005-0000-0000-0000790D0000}"/>
    <cellStyle name="40% - Accent5 5 6" xfId="23136" xr:uid="{00000000-0005-0000-0000-00007A0D0000}"/>
    <cellStyle name="40% - Accent5 5 6 2" xfId="43047" xr:uid="{00000000-0005-0000-0000-00007B0D0000}"/>
    <cellStyle name="40% - Accent5 5 7" xfId="23447" xr:uid="{00000000-0005-0000-0000-00007C0D0000}"/>
    <cellStyle name="40% - Accent5 6" xfId="493" xr:uid="{00000000-0005-0000-0000-00007D0D0000}"/>
    <cellStyle name="40% - Accent5 6 2" xfId="884" xr:uid="{00000000-0005-0000-0000-00007E0D0000}"/>
    <cellStyle name="40% - Accent5 6 2 2" xfId="23766" xr:uid="{00000000-0005-0000-0000-00007F0D0000}"/>
    <cellStyle name="40% - Accent5 6 3" xfId="22607" xr:uid="{00000000-0005-0000-0000-0000800D0000}"/>
    <cellStyle name="40% - Accent5 6 3 2" xfId="42518" xr:uid="{00000000-0005-0000-0000-0000810D0000}"/>
    <cellStyle name="40% - Accent5 6 4" xfId="22849" xr:uid="{00000000-0005-0000-0000-0000820D0000}"/>
    <cellStyle name="40% - Accent5 6 4 2" xfId="42760" xr:uid="{00000000-0005-0000-0000-0000830D0000}"/>
    <cellStyle name="40% - Accent5 6 5" xfId="23152" xr:uid="{00000000-0005-0000-0000-0000840D0000}"/>
    <cellStyle name="40% - Accent5 6 5 2" xfId="43063" xr:uid="{00000000-0005-0000-0000-0000850D0000}"/>
    <cellStyle name="40% - Accent5 6 6" xfId="23463" xr:uid="{00000000-0005-0000-0000-0000860D0000}"/>
    <cellStyle name="40% - Accent5 7" xfId="517" xr:uid="{00000000-0005-0000-0000-0000870D0000}"/>
    <cellStyle name="40% - Accent5 7 2" xfId="900" xr:uid="{00000000-0005-0000-0000-0000880D0000}"/>
    <cellStyle name="40% - Accent5 7 2 2" xfId="23782" xr:uid="{00000000-0005-0000-0000-0000890D0000}"/>
    <cellStyle name="40% - Accent5 7 3" xfId="22625" xr:uid="{00000000-0005-0000-0000-00008A0D0000}"/>
    <cellStyle name="40% - Accent5 7 3 2" xfId="42536" xr:uid="{00000000-0005-0000-0000-00008B0D0000}"/>
    <cellStyle name="40% - Accent5 7 4" xfId="22865" xr:uid="{00000000-0005-0000-0000-00008C0D0000}"/>
    <cellStyle name="40% - Accent5 7 4 2" xfId="42776" xr:uid="{00000000-0005-0000-0000-00008D0D0000}"/>
    <cellStyle name="40% - Accent5 7 5" xfId="23168" xr:uid="{00000000-0005-0000-0000-00008E0D0000}"/>
    <cellStyle name="40% - Accent5 7 5 2" xfId="43079" xr:uid="{00000000-0005-0000-0000-00008F0D0000}"/>
    <cellStyle name="40% - Accent5 7 6" xfId="23479" xr:uid="{00000000-0005-0000-0000-0000900D0000}"/>
    <cellStyle name="40% - Accent5 8" xfId="542" xr:uid="{00000000-0005-0000-0000-0000910D0000}"/>
    <cellStyle name="40% - Accent5 8 2" xfId="916" xr:uid="{00000000-0005-0000-0000-0000920D0000}"/>
    <cellStyle name="40% - Accent5 8 2 2" xfId="23798" xr:uid="{00000000-0005-0000-0000-0000930D0000}"/>
    <cellStyle name="40% - Accent5 8 3" xfId="1042" xr:uid="{00000000-0005-0000-0000-0000940D0000}"/>
    <cellStyle name="40% - Accent5 8 3 2" xfId="23921" xr:uid="{00000000-0005-0000-0000-0000950D0000}"/>
    <cellStyle name="40% - Accent5 8 4" xfId="22881" xr:uid="{00000000-0005-0000-0000-0000960D0000}"/>
    <cellStyle name="40% - Accent5 8 4 2" xfId="42792" xr:uid="{00000000-0005-0000-0000-0000970D0000}"/>
    <cellStyle name="40% - Accent5 8 5" xfId="23184" xr:uid="{00000000-0005-0000-0000-0000980D0000}"/>
    <cellStyle name="40% - Accent5 8 5 2" xfId="43095" xr:uid="{00000000-0005-0000-0000-0000990D0000}"/>
    <cellStyle name="40% - Accent5 8 6" xfId="23495" xr:uid="{00000000-0005-0000-0000-00009A0D0000}"/>
    <cellStyle name="40% - Accent5 9" xfId="582" xr:uid="{00000000-0005-0000-0000-00009B0D0000}"/>
    <cellStyle name="40% - Accent5 9 2" xfId="932" xr:uid="{00000000-0005-0000-0000-00009C0D0000}"/>
    <cellStyle name="40% - Accent5 9 2 2" xfId="23814" xr:uid="{00000000-0005-0000-0000-00009D0D0000}"/>
    <cellStyle name="40% - Accent5 9 3" xfId="22523" xr:uid="{00000000-0005-0000-0000-00009E0D0000}"/>
    <cellStyle name="40% - Accent5 9 3 2" xfId="42434" xr:uid="{00000000-0005-0000-0000-00009F0D0000}"/>
    <cellStyle name="40% - Accent5 9 4" xfId="22897" xr:uid="{00000000-0005-0000-0000-0000A00D0000}"/>
    <cellStyle name="40% - Accent5 9 4 2" xfId="42808" xr:uid="{00000000-0005-0000-0000-0000A10D0000}"/>
    <cellStyle name="40% - Accent5 9 5" xfId="23200" xr:uid="{00000000-0005-0000-0000-0000A20D0000}"/>
    <cellStyle name="40% - Accent5 9 5 2" xfId="43111" xr:uid="{00000000-0005-0000-0000-0000A30D0000}"/>
    <cellStyle name="40% - Accent5 9 6" xfId="23511" xr:uid="{00000000-0005-0000-0000-0000A40D0000}"/>
    <cellStyle name="40% - Accent6" xfId="83" builtinId="51" customBuiltin="1"/>
    <cellStyle name="40% - Accent6 10" xfId="614" xr:uid="{00000000-0005-0000-0000-0000A60D0000}"/>
    <cellStyle name="40% - Accent6 10 2" xfId="950" xr:uid="{00000000-0005-0000-0000-0000A70D0000}"/>
    <cellStyle name="40% - Accent6 10 2 2" xfId="23832" xr:uid="{00000000-0005-0000-0000-0000A80D0000}"/>
    <cellStyle name="40% - Accent6 10 3" xfId="22657" xr:uid="{00000000-0005-0000-0000-0000A90D0000}"/>
    <cellStyle name="40% - Accent6 10 3 2" xfId="42568" xr:uid="{00000000-0005-0000-0000-0000AA0D0000}"/>
    <cellStyle name="40% - Accent6 10 4" xfId="22915" xr:uid="{00000000-0005-0000-0000-0000AB0D0000}"/>
    <cellStyle name="40% - Accent6 10 4 2" xfId="42826" xr:uid="{00000000-0005-0000-0000-0000AC0D0000}"/>
    <cellStyle name="40% - Accent6 10 5" xfId="23218" xr:uid="{00000000-0005-0000-0000-0000AD0D0000}"/>
    <cellStyle name="40% - Accent6 10 5 2" xfId="43129" xr:uid="{00000000-0005-0000-0000-0000AE0D0000}"/>
    <cellStyle name="40% - Accent6 10 6" xfId="23529" xr:uid="{00000000-0005-0000-0000-0000AF0D0000}"/>
    <cellStyle name="40% - Accent6 11" xfId="640" xr:uid="{00000000-0005-0000-0000-0000B00D0000}"/>
    <cellStyle name="40% - Accent6 11 2" xfId="966" xr:uid="{00000000-0005-0000-0000-0000B10D0000}"/>
    <cellStyle name="40% - Accent6 11 2 2" xfId="23848" xr:uid="{00000000-0005-0000-0000-0000B20D0000}"/>
    <cellStyle name="40% - Accent6 11 3" xfId="22594" xr:uid="{00000000-0005-0000-0000-0000B30D0000}"/>
    <cellStyle name="40% - Accent6 11 3 2" xfId="42505" xr:uid="{00000000-0005-0000-0000-0000B40D0000}"/>
    <cellStyle name="40% - Accent6 11 4" xfId="22931" xr:uid="{00000000-0005-0000-0000-0000B50D0000}"/>
    <cellStyle name="40% - Accent6 11 4 2" xfId="42842" xr:uid="{00000000-0005-0000-0000-0000B60D0000}"/>
    <cellStyle name="40% - Accent6 11 5" xfId="23234" xr:uid="{00000000-0005-0000-0000-0000B70D0000}"/>
    <cellStyle name="40% - Accent6 11 5 2" xfId="43145" xr:uid="{00000000-0005-0000-0000-0000B80D0000}"/>
    <cellStyle name="40% - Accent6 11 6" xfId="23545" xr:uid="{00000000-0005-0000-0000-0000B90D0000}"/>
    <cellStyle name="40% - Accent6 12" xfId="665" xr:uid="{00000000-0005-0000-0000-0000BA0D0000}"/>
    <cellStyle name="40% - Accent6 12 2" xfId="982" xr:uid="{00000000-0005-0000-0000-0000BB0D0000}"/>
    <cellStyle name="40% - Accent6 12 2 2" xfId="23864" xr:uid="{00000000-0005-0000-0000-0000BC0D0000}"/>
    <cellStyle name="40% - Accent6 12 3" xfId="22516" xr:uid="{00000000-0005-0000-0000-0000BD0D0000}"/>
    <cellStyle name="40% - Accent6 12 3 2" xfId="42427" xr:uid="{00000000-0005-0000-0000-0000BE0D0000}"/>
    <cellStyle name="40% - Accent6 12 4" xfId="22947" xr:uid="{00000000-0005-0000-0000-0000BF0D0000}"/>
    <cellStyle name="40% - Accent6 12 4 2" xfId="42858" xr:uid="{00000000-0005-0000-0000-0000C00D0000}"/>
    <cellStyle name="40% - Accent6 12 5" xfId="23250" xr:uid="{00000000-0005-0000-0000-0000C10D0000}"/>
    <cellStyle name="40% - Accent6 12 5 2" xfId="43161" xr:uid="{00000000-0005-0000-0000-0000C20D0000}"/>
    <cellStyle name="40% - Accent6 12 6" xfId="23561" xr:uid="{00000000-0005-0000-0000-0000C30D0000}"/>
    <cellStyle name="40% - Accent6 13" xfId="689" xr:uid="{00000000-0005-0000-0000-0000C40D0000}"/>
    <cellStyle name="40% - Accent6 13 2" xfId="998" xr:uid="{00000000-0005-0000-0000-0000C50D0000}"/>
    <cellStyle name="40% - Accent6 13 2 2" xfId="23880" xr:uid="{00000000-0005-0000-0000-0000C60D0000}"/>
    <cellStyle name="40% - Accent6 13 3" xfId="22628" xr:uid="{00000000-0005-0000-0000-0000C70D0000}"/>
    <cellStyle name="40% - Accent6 13 3 2" xfId="42539" xr:uid="{00000000-0005-0000-0000-0000C80D0000}"/>
    <cellStyle name="40% - Accent6 13 4" xfId="22963" xr:uid="{00000000-0005-0000-0000-0000C90D0000}"/>
    <cellStyle name="40% - Accent6 13 4 2" xfId="42874" xr:uid="{00000000-0005-0000-0000-0000CA0D0000}"/>
    <cellStyle name="40% - Accent6 13 5" xfId="23266" xr:uid="{00000000-0005-0000-0000-0000CB0D0000}"/>
    <cellStyle name="40% - Accent6 13 5 2" xfId="43177" xr:uid="{00000000-0005-0000-0000-0000CC0D0000}"/>
    <cellStyle name="40% - Accent6 13 6" xfId="23577" xr:uid="{00000000-0005-0000-0000-0000CD0D0000}"/>
    <cellStyle name="40% - Accent6 14" xfId="706" xr:uid="{00000000-0005-0000-0000-0000CE0D0000}"/>
    <cellStyle name="40% - Accent6 14 2" xfId="1014" xr:uid="{00000000-0005-0000-0000-0000CF0D0000}"/>
    <cellStyle name="40% - Accent6 14 2 2" xfId="23896" xr:uid="{00000000-0005-0000-0000-0000D00D0000}"/>
    <cellStyle name="40% - Accent6 14 3" xfId="22619" xr:uid="{00000000-0005-0000-0000-0000D10D0000}"/>
    <cellStyle name="40% - Accent6 14 3 2" xfId="42530" xr:uid="{00000000-0005-0000-0000-0000D20D0000}"/>
    <cellStyle name="40% - Accent6 14 4" xfId="22979" xr:uid="{00000000-0005-0000-0000-0000D30D0000}"/>
    <cellStyle name="40% - Accent6 14 4 2" xfId="42890" xr:uid="{00000000-0005-0000-0000-0000D40D0000}"/>
    <cellStyle name="40% - Accent6 14 5" xfId="23282" xr:uid="{00000000-0005-0000-0000-0000D50D0000}"/>
    <cellStyle name="40% - Accent6 14 5 2" xfId="43193" xr:uid="{00000000-0005-0000-0000-0000D60D0000}"/>
    <cellStyle name="40% - Accent6 14 6" xfId="23593" xr:uid="{00000000-0005-0000-0000-0000D70D0000}"/>
    <cellStyle name="40% - Accent6 15" xfId="722" xr:uid="{00000000-0005-0000-0000-0000D80D0000}"/>
    <cellStyle name="40% - Accent6 15 2" xfId="1030" xr:uid="{00000000-0005-0000-0000-0000D90D0000}"/>
    <cellStyle name="40% - Accent6 15 2 2" xfId="23912" xr:uid="{00000000-0005-0000-0000-0000DA0D0000}"/>
    <cellStyle name="40% - Accent6 15 3" xfId="22689" xr:uid="{00000000-0005-0000-0000-0000DB0D0000}"/>
    <cellStyle name="40% - Accent6 15 3 2" xfId="42600" xr:uid="{00000000-0005-0000-0000-0000DC0D0000}"/>
    <cellStyle name="40% - Accent6 15 4" xfId="22995" xr:uid="{00000000-0005-0000-0000-0000DD0D0000}"/>
    <cellStyle name="40% - Accent6 15 4 2" xfId="42906" xr:uid="{00000000-0005-0000-0000-0000DE0D0000}"/>
    <cellStyle name="40% - Accent6 15 5" xfId="23298" xr:uid="{00000000-0005-0000-0000-0000DF0D0000}"/>
    <cellStyle name="40% - Accent6 15 5 2" xfId="43209" xr:uid="{00000000-0005-0000-0000-0000E00D0000}"/>
    <cellStyle name="40% - Accent6 15 6" xfId="23609" xr:uid="{00000000-0005-0000-0000-0000E10D0000}"/>
    <cellStyle name="40% - Accent6 16" xfId="746" xr:uid="{00000000-0005-0000-0000-0000E20D0000}"/>
    <cellStyle name="40% - Accent6 16 2" xfId="23628" xr:uid="{00000000-0005-0000-0000-0000E30D0000}"/>
    <cellStyle name="40% - Accent6 17" xfId="22711" xr:uid="{00000000-0005-0000-0000-0000E40D0000}"/>
    <cellStyle name="40% - Accent6 17 2" xfId="42622" xr:uid="{00000000-0005-0000-0000-0000E50D0000}"/>
    <cellStyle name="40% - Accent6 18" xfId="23014" xr:uid="{00000000-0005-0000-0000-0000E60D0000}"/>
    <cellStyle name="40% - Accent6 18 2" xfId="42925" xr:uid="{00000000-0005-0000-0000-0000E70D0000}"/>
    <cellStyle name="40% - Accent6 19" xfId="23318" xr:uid="{00000000-0005-0000-0000-0000E80D0000}"/>
    <cellStyle name="40% - Accent6 2" xfId="387" xr:uid="{00000000-0005-0000-0000-0000E90D0000}"/>
    <cellStyle name="40% - Accent6 2 10" xfId="23401" xr:uid="{00000000-0005-0000-0000-0000EA0D0000}"/>
    <cellStyle name="40% - Accent6 2 2" xfId="822" xr:uid="{00000000-0005-0000-0000-0000EB0D0000}"/>
    <cellStyle name="40% - Accent6 2 2 2" xfId="6314" xr:uid="{00000000-0005-0000-0000-0000EC0D0000}"/>
    <cellStyle name="40% - Accent6 2 2 2 2" xfId="9400" xr:uid="{00000000-0005-0000-0000-0000ED0D0000}"/>
    <cellStyle name="40% - Accent6 2 2 2 2 2" xfId="15593" xr:uid="{00000000-0005-0000-0000-0000EE0D0000}"/>
    <cellStyle name="40% - Accent6 2 2 2 2 2 2" xfId="35513" xr:uid="{00000000-0005-0000-0000-0000EF0D0000}"/>
    <cellStyle name="40% - Accent6 2 2 2 2 3" xfId="21745" xr:uid="{00000000-0005-0000-0000-0000F00D0000}"/>
    <cellStyle name="40% - Accent6 2 2 2 2 3 2" xfId="41665" xr:uid="{00000000-0005-0000-0000-0000F10D0000}"/>
    <cellStyle name="40% - Accent6 2 2 2 2 4" xfId="29360" xr:uid="{00000000-0005-0000-0000-0000F20D0000}"/>
    <cellStyle name="40% - Accent6 2 2 2 3" xfId="12527" xr:uid="{00000000-0005-0000-0000-0000F30D0000}"/>
    <cellStyle name="40% - Accent6 2 2 2 3 2" xfId="32447" xr:uid="{00000000-0005-0000-0000-0000F40D0000}"/>
    <cellStyle name="40% - Accent6 2 2 2 4" xfId="18679" xr:uid="{00000000-0005-0000-0000-0000F50D0000}"/>
    <cellStyle name="40% - Accent6 2 2 2 4 2" xfId="38599" xr:uid="{00000000-0005-0000-0000-0000F60D0000}"/>
    <cellStyle name="40% - Accent6 2 2 2 5" xfId="26294" xr:uid="{00000000-0005-0000-0000-0000F70D0000}"/>
    <cellStyle name="40% - Accent6 2 2 3" xfId="7865" xr:uid="{00000000-0005-0000-0000-0000F80D0000}"/>
    <cellStyle name="40% - Accent6 2 2 3 2" xfId="14059" xr:uid="{00000000-0005-0000-0000-0000F90D0000}"/>
    <cellStyle name="40% - Accent6 2 2 3 2 2" xfId="33979" xr:uid="{00000000-0005-0000-0000-0000FA0D0000}"/>
    <cellStyle name="40% - Accent6 2 2 3 3" xfId="20211" xr:uid="{00000000-0005-0000-0000-0000FB0D0000}"/>
    <cellStyle name="40% - Accent6 2 2 3 3 2" xfId="40131" xr:uid="{00000000-0005-0000-0000-0000FC0D0000}"/>
    <cellStyle name="40% - Accent6 2 2 3 4" xfId="27826" xr:uid="{00000000-0005-0000-0000-0000FD0D0000}"/>
    <cellStyle name="40% - Accent6 2 2 4" xfId="10993" xr:uid="{00000000-0005-0000-0000-0000FE0D0000}"/>
    <cellStyle name="40% - Accent6 2 2 4 2" xfId="30913" xr:uid="{00000000-0005-0000-0000-0000FF0D0000}"/>
    <cellStyle name="40% - Accent6 2 2 5" xfId="17145" xr:uid="{00000000-0005-0000-0000-0000000E0000}"/>
    <cellStyle name="40% - Accent6 2 2 5 2" xfId="37065" xr:uid="{00000000-0005-0000-0000-0000010E0000}"/>
    <cellStyle name="40% - Accent6 2 2 6" xfId="4689" xr:uid="{00000000-0005-0000-0000-0000020E0000}"/>
    <cellStyle name="40% - Accent6 2 2 6 2" xfId="24760" xr:uid="{00000000-0005-0000-0000-0000030E0000}"/>
    <cellStyle name="40% - Accent6 2 2 7" xfId="23704" xr:uid="{00000000-0005-0000-0000-0000040E0000}"/>
    <cellStyle name="40% - Accent6 2 3" xfId="5528" xr:uid="{00000000-0005-0000-0000-0000050E0000}"/>
    <cellStyle name="40% - Accent6 2 3 2" xfId="8631" xr:uid="{00000000-0005-0000-0000-0000060E0000}"/>
    <cellStyle name="40% - Accent6 2 3 2 2" xfId="14824" xr:uid="{00000000-0005-0000-0000-0000070E0000}"/>
    <cellStyle name="40% - Accent6 2 3 2 2 2" xfId="34744" xr:uid="{00000000-0005-0000-0000-0000080E0000}"/>
    <cellStyle name="40% - Accent6 2 3 2 3" xfId="20976" xr:uid="{00000000-0005-0000-0000-0000090E0000}"/>
    <cellStyle name="40% - Accent6 2 3 2 3 2" xfId="40896" xr:uid="{00000000-0005-0000-0000-00000A0E0000}"/>
    <cellStyle name="40% - Accent6 2 3 2 4" xfId="28591" xr:uid="{00000000-0005-0000-0000-00000B0E0000}"/>
    <cellStyle name="40% - Accent6 2 3 3" xfId="11758" xr:uid="{00000000-0005-0000-0000-00000C0E0000}"/>
    <cellStyle name="40% - Accent6 2 3 3 2" xfId="31678" xr:uid="{00000000-0005-0000-0000-00000D0E0000}"/>
    <cellStyle name="40% - Accent6 2 3 4" xfId="17910" xr:uid="{00000000-0005-0000-0000-00000E0E0000}"/>
    <cellStyle name="40% - Accent6 2 3 4 2" xfId="37830" xr:uid="{00000000-0005-0000-0000-00000F0E0000}"/>
    <cellStyle name="40% - Accent6 2 3 5" xfId="25525" xr:uid="{00000000-0005-0000-0000-0000100E0000}"/>
    <cellStyle name="40% - Accent6 2 4" xfId="7096" xr:uid="{00000000-0005-0000-0000-0000110E0000}"/>
    <cellStyle name="40% - Accent6 2 4 2" xfId="13290" xr:uid="{00000000-0005-0000-0000-0000120E0000}"/>
    <cellStyle name="40% - Accent6 2 4 2 2" xfId="33210" xr:uid="{00000000-0005-0000-0000-0000130E0000}"/>
    <cellStyle name="40% - Accent6 2 4 3" xfId="19442" xr:uid="{00000000-0005-0000-0000-0000140E0000}"/>
    <cellStyle name="40% - Accent6 2 4 3 2" xfId="39362" xr:uid="{00000000-0005-0000-0000-0000150E0000}"/>
    <cellStyle name="40% - Accent6 2 4 4" xfId="27057" xr:uid="{00000000-0005-0000-0000-0000160E0000}"/>
    <cellStyle name="40% - Accent6 2 5" xfId="10224" xr:uid="{00000000-0005-0000-0000-0000170E0000}"/>
    <cellStyle name="40% - Accent6 2 5 2" xfId="30144" xr:uid="{00000000-0005-0000-0000-0000180E0000}"/>
    <cellStyle name="40% - Accent6 2 6" xfId="16376" xr:uid="{00000000-0005-0000-0000-0000190E0000}"/>
    <cellStyle name="40% - Accent6 2 6 2" xfId="36296" xr:uid="{00000000-0005-0000-0000-00001A0E0000}"/>
    <cellStyle name="40% - Accent6 2 7" xfId="1259" xr:uid="{00000000-0005-0000-0000-00001B0E0000}"/>
    <cellStyle name="40% - Accent6 2 7 2" xfId="23991" xr:uid="{00000000-0005-0000-0000-00001C0E0000}"/>
    <cellStyle name="40% - Accent6 2 8" xfId="22787" xr:uid="{00000000-0005-0000-0000-00001D0E0000}"/>
    <cellStyle name="40% - Accent6 2 8 2" xfId="42698" xr:uid="{00000000-0005-0000-0000-00001E0E0000}"/>
    <cellStyle name="40% - Accent6 2 9" xfId="23090" xr:uid="{00000000-0005-0000-0000-00001F0E0000}"/>
    <cellStyle name="40% - Accent6 2 9 2" xfId="43001" xr:uid="{00000000-0005-0000-0000-0000200E0000}"/>
    <cellStyle name="40% - Accent6 3" xfId="417" xr:uid="{00000000-0005-0000-0000-0000210E0000}"/>
    <cellStyle name="40% - Accent6 3 10" xfId="23417" xr:uid="{00000000-0005-0000-0000-0000220E0000}"/>
    <cellStyle name="40% - Accent6 3 2" xfId="838" xr:uid="{00000000-0005-0000-0000-0000230E0000}"/>
    <cellStyle name="40% - Accent6 3 2 2" xfId="6315" xr:uid="{00000000-0005-0000-0000-0000240E0000}"/>
    <cellStyle name="40% - Accent6 3 2 2 2" xfId="9401" xr:uid="{00000000-0005-0000-0000-0000250E0000}"/>
    <cellStyle name="40% - Accent6 3 2 2 2 2" xfId="15594" xr:uid="{00000000-0005-0000-0000-0000260E0000}"/>
    <cellStyle name="40% - Accent6 3 2 2 2 2 2" xfId="35514" xr:uid="{00000000-0005-0000-0000-0000270E0000}"/>
    <cellStyle name="40% - Accent6 3 2 2 2 3" xfId="21746" xr:uid="{00000000-0005-0000-0000-0000280E0000}"/>
    <cellStyle name="40% - Accent6 3 2 2 2 3 2" xfId="41666" xr:uid="{00000000-0005-0000-0000-0000290E0000}"/>
    <cellStyle name="40% - Accent6 3 2 2 2 4" xfId="29361" xr:uid="{00000000-0005-0000-0000-00002A0E0000}"/>
    <cellStyle name="40% - Accent6 3 2 2 3" xfId="12528" xr:uid="{00000000-0005-0000-0000-00002B0E0000}"/>
    <cellStyle name="40% - Accent6 3 2 2 3 2" xfId="32448" xr:uid="{00000000-0005-0000-0000-00002C0E0000}"/>
    <cellStyle name="40% - Accent6 3 2 2 4" xfId="18680" xr:uid="{00000000-0005-0000-0000-00002D0E0000}"/>
    <cellStyle name="40% - Accent6 3 2 2 4 2" xfId="38600" xr:uid="{00000000-0005-0000-0000-00002E0E0000}"/>
    <cellStyle name="40% - Accent6 3 2 2 5" xfId="26295" xr:uid="{00000000-0005-0000-0000-00002F0E0000}"/>
    <cellStyle name="40% - Accent6 3 2 3" xfId="7866" xr:uid="{00000000-0005-0000-0000-0000300E0000}"/>
    <cellStyle name="40% - Accent6 3 2 3 2" xfId="14060" xr:uid="{00000000-0005-0000-0000-0000310E0000}"/>
    <cellStyle name="40% - Accent6 3 2 3 2 2" xfId="33980" xr:uid="{00000000-0005-0000-0000-0000320E0000}"/>
    <cellStyle name="40% - Accent6 3 2 3 3" xfId="20212" xr:uid="{00000000-0005-0000-0000-0000330E0000}"/>
    <cellStyle name="40% - Accent6 3 2 3 3 2" xfId="40132" xr:uid="{00000000-0005-0000-0000-0000340E0000}"/>
    <cellStyle name="40% - Accent6 3 2 3 4" xfId="27827" xr:uid="{00000000-0005-0000-0000-0000350E0000}"/>
    <cellStyle name="40% - Accent6 3 2 4" xfId="10994" xr:uid="{00000000-0005-0000-0000-0000360E0000}"/>
    <cellStyle name="40% - Accent6 3 2 4 2" xfId="30914" xr:uid="{00000000-0005-0000-0000-0000370E0000}"/>
    <cellStyle name="40% - Accent6 3 2 5" xfId="17146" xr:uid="{00000000-0005-0000-0000-0000380E0000}"/>
    <cellStyle name="40% - Accent6 3 2 5 2" xfId="37066" xr:uid="{00000000-0005-0000-0000-0000390E0000}"/>
    <cellStyle name="40% - Accent6 3 2 6" xfId="4690" xr:uid="{00000000-0005-0000-0000-00003A0E0000}"/>
    <cellStyle name="40% - Accent6 3 2 6 2" xfId="24761" xr:uid="{00000000-0005-0000-0000-00003B0E0000}"/>
    <cellStyle name="40% - Accent6 3 2 7" xfId="23720" xr:uid="{00000000-0005-0000-0000-00003C0E0000}"/>
    <cellStyle name="40% - Accent6 3 3" xfId="5529" xr:uid="{00000000-0005-0000-0000-00003D0E0000}"/>
    <cellStyle name="40% - Accent6 3 3 2" xfId="8632" xr:uid="{00000000-0005-0000-0000-00003E0E0000}"/>
    <cellStyle name="40% - Accent6 3 3 2 2" xfId="14825" xr:uid="{00000000-0005-0000-0000-00003F0E0000}"/>
    <cellStyle name="40% - Accent6 3 3 2 2 2" xfId="34745" xr:uid="{00000000-0005-0000-0000-0000400E0000}"/>
    <cellStyle name="40% - Accent6 3 3 2 3" xfId="20977" xr:uid="{00000000-0005-0000-0000-0000410E0000}"/>
    <cellStyle name="40% - Accent6 3 3 2 3 2" xfId="40897" xr:uid="{00000000-0005-0000-0000-0000420E0000}"/>
    <cellStyle name="40% - Accent6 3 3 2 4" xfId="28592" xr:uid="{00000000-0005-0000-0000-0000430E0000}"/>
    <cellStyle name="40% - Accent6 3 3 3" xfId="11759" xr:uid="{00000000-0005-0000-0000-0000440E0000}"/>
    <cellStyle name="40% - Accent6 3 3 3 2" xfId="31679" xr:uid="{00000000-0005-0000-0000-0000450E0000}"/>
    <cellStyle name="40% - Accent6 3 3 4" xfId="17911" xr:uid="{00000000-0005-0000-0000-0000460E0000}"/>
    <cellStyle name="40% - Accent6 3 3 4 2" xfId="37831" xr:uid="{00000000-0005-0000-0000-0000470E0000}"/>
    <cellStyle name="40% - Accent6 3 3 5" xfId="25526" xr:uid="{00000000-0005-0000-0000-0000480E0000}"/>
    <cellStyle name="40% - Accent6 3 4" xfId="7097" xr:uid="{00000000-0005-0000-0000-0000490E0000}"/>
    <cellStyle name="40% - Accent6 3 4 2" xfId="13291" xr:uid="{00000000-0005-0000-0000-00004A0E0000}"/>
    <cellStyle name="40% - Accent6 3 4 2 2" xfId="33211" xr:uid="{00000000-0005-0000-0000-00004B0E0000}"/>
    <cellStyle name="40% - Accent6 3 4 3" xfId="19443" xr:uid="{00000000-0005-0000-0000-00004C0E0000}"/>
    <cellStyle name="40% - Accent6 3 4 3 2" xfId="39363" xr:uid="{00000000-0005-0000-0000-00004D0E0000}"/>
    <cellStyle name="40% - Accent6 3 4 4" xfId="27058" xr:uid="{00000000-0005-0000-0000-00004E0E0000}"/>
    <cellStyle name="40% - Accent6 3 5" xfId="10225" xr:uid="{00000000-0005-0000-0000-00004F0E0000}"/>
    <cellStyle name="40% - Accent6 3 5 2" xfId="30145" xr:uid="{00000000-0005-0000-0000-0000500E0000}"/>
    <cellStyle name="40% - Accent6 3 6" xfId="16377" xr:uid="{00000000-0005-0000-0000-0000510E0000}"/>
    <cellStyle name="40% - Accent6 3 6 2" xfId="36297" xr:uid="{00000000-0005-0000-0000-0000520E0000}"/>
    <cellStyle name="40% - Accent6 3 7" xfId="1260" xr:uid="{00000000-0005-0000-0000-0000530E0000}"/>
    <cellStyle name="40% - Accent6 3 7 2" xfId="23992" xr:uid="{00000000-0005-0000-0000-0000540E0000}"/>
    <cellStyle name="40% - Accent6 3 8" xfId="22803" xr:uid="{00000000-0005-0000-0000-0000550E0000}"/>
    <cellStyle name="40% - Accent6 3 8 2" xfId="42714" xr:uid="{00000000-0005-0000-0000-0000560E0000}"/>
    <cellStyle name="40% - Accent6 3 9" xfId="23106" xr:uid="{00000000-0005-0000-0000-0000570E0000}"/>
    <cellStyle name="40% - Accent6 3 9 2" xfId="43017" xr:uid="{00000000-0005-0000-0000-0000580E0000}"/>
    <cellStyle name="40% - Accent6 4" xfId="444" xr:uid="{00000000-0005-0000-0000-0000590E0000}"/>
    <cellStyle name="40% - Accent6 4 10" xfId="23433" xr:uid="{00000000-0005-0000-0000-00005A0E0000}"/>
    <cellStyle name="40% - Accent6 4 2" xfId="854" xr:uid="{00000000-0005-0000-0000-00005B0E0000}"/>
    <cellStyle name="40% - Accent6 4 2 2" xfId="6316" xr:uid="{00000000-0005-0000-0000-00005C0E0000}"/>
    <cellStyle name="40% - Accent6 4 2 2 2" xfId="9402" xr:uid="{00000000-0005-0000-0000-00005D0E0000}"/>
    <cellStyle name="40% - Accent6 4 2 2 2 2" xfId="15595" xr:uid="{00000000-0005-0000-0000-00005E0E0000}"/>
    <cellStyle name="40% - Accent6 4 2 2 2 2 2" xfId="35515" xr:uid="{00000000-0005-0000-0000-00005F0E0000}"/>
    <cellStyle name="40% - Accent6 4 2 2 2 3" xfId="21747" xr:uid="{00000000-0005-0000-0000-0000600E0000}"/>
    <cellStyle name="40% - Accent6 4 2 2 2 3 2" xfId="41667" xr:uid="{00000000-0005-0000-0000-0000610E0000}"/>
    <cellStyle name="40% - Accent6 4 2 2 2 4" xfId="29362" xr:uid="{00000000-0005-0000-0000-0000620E0000}"/>
    <cellStyle name="40% - Accent6 4 2 2 3" xfId="12529" xr:uid="{00000000-0005-0000-0000-0000630E0000}"/>
    <cellStyle name="40% - Accent6 4 2 2 3 2" xfId="32449" xr:uid="{00000000-0005-0000-0000-0000640E0000}"/>
    <cellStyle name="40% - Accent6 4 2 2 4" xfId="18681" xr:uid="{00000000-0005-0000-0000-0000650E0000}"/>
    <cellStyle name="40% - Accent6 4 2 2 4 2" xfId="38601" xr:uid="{00000000-0005-0000-0000-0000660E0000}"/>
    <cellStyle name="40% - Accent6 4 2 2 5" xfId="26296" xr:uid="{00000000-0005-0000-0000-0000670E0000}"/>
    <cellStyle name="40% - Accent6 4 2 3" xfId="7867" xr:uid="{00000000-0005-0000-0000-0000680E0000}"/>
    <cellStyle name="40% - Accent6 4 2 3 2" xfId="14061" xr:uid="{00000000-0005-0000-0000-0000690E0000}"/>
    <cellStyle name="40% - Accent6 4 2 3 2 2" xfId="33981" xr:uid="{00000000-0005-0000-0000-00006A0E0000}"/>
    <cellStyle name="40% - Accent6 4 2 3 3" xfId="20213" xr:uid="{00000000-0005-0000-0000-00006B0E0000}"/>
    <cellStyle name="40% - Accent6 4 2 3 3 2" xfId="40133" xr:uid="{00000000-0005-0000-0000-00006C0E0000}"/>
    <cellStyle name="40% - Accent6 4 2 3 4" xfId="27828" xr:uid="{00000000-0005-0000-0000-00006D0E0000}"/>
    <cellStyle name="40% - Accent6 4 2 4" xfId="10995" xr:uid="{00000000-0005-0000-0000-00006E0E0000}"/>
    <cellStyle name="40% - Accent6 4 2 4 2" xfId="30915" xr:uid="{00000000-0005-0000-0000-00006F0E0000}"/>
    <cellStyle name="40% - Accent6 4 2 5" xfId="17147" xr:uid="{00000000-0005-0000-0000-0000700E0000}"/>
    <cellStyle name="40% - Accent6 4 2 5 2" xfId="37067" xr:uid="{00000000-0005-0000-0000-0000710E0000}"/>
    <cellStyle name="40% - Accent6 4 2 6" xfId="4691" xr:uid="{00000000-0005-0000-0000-0000720E0000}"/>
    <cellStyle name="40% - Accent6 4 2 6 2" xfId="24762" xr:uid="{00000000-0005-0000-0000-0000730E0000}"/>
    <cellStyle name="40% - Accent6 4 2 7" xfId="23736" xr:uid="{00000000-0005-0000-0000-0000740E0000}"/>
    <cellStyle name="40% - Accent6 4 3" xfId="5530" xr:uid="{00000000-0005-0000-0000-0000750E0000}"/>
    <cellStyle name="40% - Accent6 4 3 2" xfId="8633" xr:uid="{00000000-0005-0000-0000-0000760E0000}"/>
    <cellStyle name="40% - Accent6 4 3 2 2" xfId="14826" xr:uid="{00000000-0005-0000-0000-0000770E0000}"/>
    <cellStyle name="40% - Accent6 4 3 2 2 2" xfId="34746" xr:uid="{00000000-0005-0000-0000-0000780E0000}"/>
    <cellStyle name="40% - Accent6 4 3 2 3" xfId="20978" xr:uid="{00000000-0005-0000-0000-0000790E0000}"/>
    <cellStyle name="40% - Accent6 4 3 2 3 2" xfId="40898" xr:uid="{00000000-0005-0000-0000-00007A0E0000}"/>
    <cellStyle name="40% - Accent6 4 3 2 4" xfId="28593" xr:uid="{00000000-0005-0000-0000-00007B0E0000}"/>
    <cellStyle name="40% - Accent6 4 3 3" xfId="11760" xr:uid="{00000000-0005-0000-0000-00007C0E0000}"/>
    <cellStyle name="40% - Accent6 4 3 3 2" xfId="31680" xr:uid="{00000000-0005-0000-0000-00007D0E0000}"/>
    <cellStyle name="40% - Accent6 4 3 4" xfId="17912" xr:uid="{00000000-0005-0000-0000-00007E0E0000}"/>
    <cellStyle name="40% - Accent6 4 3 4 2" xfId="37832" xr:uid="{00000000-0005-0000-0000-00007F0E0000}"/>
    <cellStyle name="40% - Accent6 4 3 5" xfId="25527" xr:uid="{00000000-0005-0000-0000-0000800E0000}"/>
    <cellStyle name="40% - Accent6 4 4" xfId="7098" xr:uid="{00000000-0005-0000-0000-0000810E0000}"/>
    <cellStyle name="40% - Accent6 4 4 2" xfId="13292" xr:uid="{00000000-0005-0000-0000-0000820E0000}"/>
    <cellStyle name="40% - Accent6 4 4 2 2" xfId="33212" xr:uid="{00000000-0005-0000-0000-0000830E0000}"/>
    <cellStyle name="40% - Accent6 4 4 3" xfId="19444" xr:uid="{00000000-0005-0000-0000-0000840E0000}"/>
    <cellStyle name="40% - Accent6 4 4 3 2" xfId="39364" xr:uid="{00000000-0005-0000-0000-0000850E0000}"/>
    <cellStyle name="40% - Accent6 4 4 4" xfId="27059" xr:uid="{00000000-0005-0000-0000-0000860E0000}"/>
    <cellStyle name="40% - Accent6 4 5" xfId="10226" xr:uid="{00000000-0005-0000-0000-0000870E0000}"/>
    <cellStyle name="40% - Accent6 4 5 2" xfId="30146" xr:uid="{00000000-0005-0000-0000-0000880E0000}"/>
    <cellStyle name="40% - Accent6 4 6" xfId="16378" xr:uid="{00000000-0005-0000-0000-0000890E0000}"/>
    <cellStyle name="40% - Accent6 4 6 2" xfId="36298" xr:uid="{00000000-0005-0000-0000-00008A0E0000}"/>
    <cellStyle name="40% - Accent6 4 7" xfId="1261" xr:uid="{00000000-0005-0000-0000-00008B0E0000}"/>
    <cellStyle name="40% - Accent6 4 7 2" xfId="23993" xr:uid="{00000000-0005-0000-0000-00008C0E0000}"/>
    <cellStyle name="40% - Accent6 4 8" xfId="22819" xr:uid="{00000000-0005-0000-0000-00008D0E0000}"/>
    <cellStyle name="40% - Accent6 4 8 2" xfId="42730" xr:uid="{00000000-0005-0000-0000-00008E0E0000}"/>
    <cellStyle name="40% - Accent6 4 9" xfId="23122" xr:uid="{00000000-0005-0000-0000-00008F0E0000}"/>
    <cellStyle name="40% - Accent6 4 9 2" xfId="43033" xr:uid="{00000000-0005-0000-0000-0000900E0000}"/>
    <cellStyle name="40% - Accent6 5" xfId="470" xr:uid="{00000000-0005-0000-0000-0000910E0000}"/>
    <cellStyle name="40% - Accent6 5 10" xfId="23138" xr:uid="{00000000-0005-0000-0000-0000920E0000}"/>
    <cellStyle name="40% - Accent6 5 10 2" xfId="43049" xr:uid="{00000000-0005-0000-0000-0000930E0000}"/>
    <cellStyle name="40% - Accent6 5 11" xfId="23449" xr:uid="{00000000-0005-0000-0000-0000940E0000}"/>
    <cellStyle name="40% - Accent6 5 2" xfId="870" xr:uid="{00000000-0005-0000-0000-0000950E0000}"/>
    <cellStyle name="40% - Accent6 5 2 2" xfId="6317" xr:uid="{00000000-0005-0000-0000-0000960E0000}"/>
    <cellStyle name="40% - Accent6 5 2 2 2" xfId="9403" xr:uid="{00000000-0005-0000-0000-0000970E0000}"/>
    <cellStyle name="40% - Accent6 5 2 2 2 2" xfId="15596" xr:uid="{00000000-0005-0000-0000-0000980E0000}"/>
    <cellStyle name="40% - Accent6 5 2 2 2 2 2" xfId="35516" xr:uid="{00000000-0005-0000-0000-0000990E0000}"/>
    <cellStyle name="40% - Accent6 5 2 2 2 3" xfId="21748" xr:uid="{00000000-0005-0000-0000-00009A0E0000}"/>
    <cellStyle name="40% - Accent6 5 2 2 2 3 2" xfId="41668" xr:uid="{00000000-0005-0000-0000-00009B0E0000}"/>
    <cellStyle name="40% - Accent6 5 2 2 2 4" xfId="29363" xr:uid="{00000000-0005-0000-0000-00009C0E0000}"/>
    <cellStyle name="40% - Accent6 5 2 2 3" xfId="12530" xr:uid="{00000000-0005-0000-0000-00009D0E0000}"/>
    <cellStyle name="40% - Accent6 5 2 2 3 2" xfId="32450" xr:uid="{00000000-0005-0000-0000-00009E0E0000}"/>
    <cellStyle name="40% - Accent6 5 2 2 4" xfId="18682" xr:uid="{00000000-0005-0000-0000-00009F0E0000}"/>
    <cellStyle name="40% - Accent6 5 2 2 4 2" xfId="38602" xr:uid="{00000000-0005-0000-0000-0000A00E0000}"/>
    <cellStyle name="40% - Accent6 5 2 2 5" xfId="26297" xr:uid="{00000000-0005-0000-0000-0000A10E0000}"/>
    <cellStyle name="40% - Accent6 5 2 3" xfId="7868" xr:uid="{00000000-0005-0000-0000-0000A20E0000}"/>
    <cellStyle name="40% - Accent6 5 2 3 2" xfId="14062" xr:uid="{00000000-0005-0000-0000-0000A30E0000}"/>
    <cellStyle name="40% - Accent6 5 2 3 2 2" xfId="33982" xr:uid="{00000000-0005-0000-0000-0000A40E0000}"/>
    <cellStyle name="40% - Accent6 5 2 3 3" xfId="20214" xr:uid="{00000000-0005-0000-0000-0000A50E0000}"/>
    <cellStyle name="40% - Accent6 5 2 3 3 2" xfId="40134" xr:uid="{00000000-0005-0000-0000-0000A60E0000}"/>
    <cellStyle name="40% - Accent6 5 2 3 4" xfId="27829" xr:uid="{00000000-0005-0000-0000-0000A70E0000}"/>
    <cellStyle name="40% - Accent6 5 2 4" xfId="10996" xr:uid="{00000000-0005-0000-0000-0000A80E0000}"/>
    <cellStyle name="40% - Accent6 5 2 4 2" xfId="30916" xr:uid="{00000000-0005-0000-0000-0000A90E0000}"/>
    <cellStyle name="40% - Accent6 5 2 5" xfId="17148" xr:uid="{00000000-0005-0000-0000-0000AA0E0000}"/>
    <cellStyle name="40% - Accent6 5 2 5 2" xfId="37068" xr:uid="{00000000-0005-0000-0000-0000AB0E0000}"/>
    <cellStyle name="40% - Accent6 5 2 6" xfId="4692" xr:uid="{00000000-0005-0000-0000-0000AC0E0000}"/>
    <cellStyle name="40% - Accent6 5 2 6 2" xfId="24763" xr:uid="{00000000-0005-0000-0000-0000AD0E0000}"/>
    <cellStyle name="40% - Accent6 5 2 7" xfId="23752" xr:uid="{00000000-0005-0000-0000-0000AE0E0000}"/>
    <cellStyle name="40% - Accent6 5 3" xfId="5531" xr:uid="{00000000-0005-0000-0000-0000AF0E0000}"/>
    <cellStyle name="40% - Accent6 5 3 2" xfId="8634" xr:uid="{00000000-0005-0000-0000-0000B00E0000}"/>
    <cellStyle name="40% - Accent6 5 3 2 2" xfId="14827" xr:uid="{00000000-0005-0000-0000-0000B10E0000}"/>
    <cellStyle name="40% - Accent6 5 3 2 2 2" xfId="34747" xr:uid="{00000000-0005-0000-0000-0000B20E0000}"/>
    <cellStyle name="40% - Accent6 5 3 2 3" xfId="20979" xr:uid="{00000000-0005-0000-0000-0000B30E0000}"/>
    <cellStyle name="40% - Accent6 5 3 2 3 2" xfId="40899" xr:uid="{00000000-0005-0000-0000-0000B40E0000}"/>
    <cellStyle name="40% - Accent6 5 3 2 4" xfId="28594" xr:uid="{00000000-0005-0000-0000-0000B50E0000}"/>
    <cellStyle name="40% - Accent6 5 3 3" xfId="11761" xr:uid="{00000000-0005-0000-0000-0000B60E0000}"/>
    <cellStyle name="40% - Accent6 5 3 3 2" xfId="31681" xr:uid="{00000000-0005-0000-0000-0000B70E0000}"/>
    <cellStyle name="40% - Accent6 5 3 4" xfId="17913" xr:uid="{00000000-0005-0000-0000-0000B80E0000}"/>
    <cellStyle name="40% - Accent6 5 3 4 2" xfId="37833" xr:uid="{00000000-0005-0000-0000-0000B90E0000}"/>
    <cellStyle name="40% - Accent6 5 3 5" xfId="25528" xr:uid="{00000000-0005-0000-0000-0000BA0E0000}"/>
    <cellStyle name="40% - Accent6 5 4" xfId="7099" xr:uid="{00000000-0005-0000-0000-0000BB0E0000}"/>
    <cellStyle name="40% - Accent6 5 4 2" xfId="13293" xr:uid="{00000000-0005-0000-0000-0000BC0E0000}"/>
    <cellStyle name="40% - Accent6 5 4 2 2" xfId="33213" xr:uid="{00000000-0005-0000-0000-0000BD0E0000}"/>
    <cellStyle name="40% - Accent6 5 4 3" xfId="19445" xr:uid="{00000000-0005-0000-0000-0000BE0E0000}"/>
    <cellStyle name="40% - Accent6 5 4 3 2" xfId="39365" xr:uid="{00000000-0005-0000-0000-0000BF0E0000}"/>
    <cellStyle name="40% - Accent6 5 4 4" xfId="27060" xr:uid="{00000000-0005-0000-0000-0000C00E0000}"/>
    <cellStyle name="40% - Accent6 5 5" xfId="10227" xr:uid="{00000000-0005-0000-0000-0000C10E0000}"/>
    <cellStyle name="40% - Accent6 5 5 2" xfId="30147" xr:uid="{00000000-0005-0000-0000-0000C20E0000}"/>
    <cellStyle name="40% - Accent6 5 6" xfId="16379" xr:uid="{00000000-0005-0000-0000-0000C30E0000}"/>
    <cellStyle name="40% - Accent6 5 6 2" xfId="36299" xr:uid="{00000000-0005-0000-0000-0000C40E0000}"/>
    <cellStyle name="40% - Accent6 5 7" xfId="1262" xr:uid="{00000000-0005-0000-0000-0000C50E0000}"/>
    <cellStyle name="40% - Accent6 5 7 2" xfId="23994" xr:uid="{00000000-0005-0000-0000-0000C60E0000}"/>
    <cellStyle name="40% - Accent6 5 8" xfId="22601" xr:uid="{00000000-0005-0000-0000-0000C70E0000}"/>
    <cellStyle name="40% - Accent6 5 8 2" xfId="42512" xr:uid="{00000000-0005-0000-0000-0000C80E0000}"/>
    <cellStyle name="40% - Accent6 5 9" xfId="22835" xr:uid="{00000000-0005-0000-0000-0000C90E0000}"/>
    <cellStyle name="40% - Accent6 5 9 2" xfId="42746" xr:uid="{00000000-0005-0000-0000-0000CA0E0000}"/>
    <cellStyle name="40% - Accent6 6" xfId="497" xr:uid="{00000000-0005-0000-0000-0000CB0E0000}"/>
    <cellStyle name="40% - Accent6 6 2" xfId="886" xr:uid="{00000000-0005-0000-0000-0000CC0E0000}"/>
    <cellStyle name="40% - Accent6 6 2 2" xfId="23768" xr:uid="{00000000-0005-0000-0000-0000CD0E0000}"/>
    <cellStyle name="40% - Accent6 6 3" xfId="1263" xr:uid="{00000000-0005-0000-0000-0000CE0E0000}"/>
    <cellStyle name="40% - Accent6 6 4" xfId="22497" xr:uid="{00000000-0005-0000-0000-0000CF0E0000}"/>
    <cellStyle name="40% - Accent6 6 4 2" xfId="42408" xr:uid="{00000000-0005-0000-0000-0000D00E0000}"/>
    <cellStyle name="40% - Accent6 6 5" xfId="22851" xr:uid="{00000000-0005-0000-0000-0000D10E0000}"/>
    <cellStyle name="40% - Accent6 6 5 2" xfId="42762" xr:uid="{00000000-0005-0000-0000-0000D20E0000}"/>
    <cellStyle name="40% - Accent6 6 6" xfId="23154" xr:uid="{00000000-0005-0000-0000-0000D30E0000}"/>
    <cellStyle name="40% - Accent6 6 6 2" xfId="43065" xr:uid="{00000000-0005-0000-0000-0000D40E0000}"/>
    <cellStyle name="40% - Accent6 6 7" xfId="23465" xr:uid="{00000000-0005-0000-0000-0000D50E0000}"/>
    <cellStyle name="40% - Accent6 7" xfId="521" xr:uid="{00000000-0005-0000-0000-0000D60E0000}"/>
    <cellStyle name="40% - Accent6 7 2" xfId="902" xr:uid="{00000000-0005-0000-0000-0000D70E0000}"/>
    <cellStyle name="40% - Accent6 7 2 2" xfId="23784" xr:uid="{00000000-0005-0000-0000-0000D80E0000}"/>
    <cellStyle name="40% - Accent6 7 3" xfId="22666" xr:uid="{00000000-0005-0000-0000-0000D90E0000}"/>
    <cellStyle name="40% - Accent6 7 3 2" xfId="42577" xr:uid="{00000000-0005-0000-0000-0000DA0E0000}"/>
    <cellStyle name="40% - Accent6 7 4" xfId="22867" xr:uid="{00000000-0005-0000-0000-0000DB0E0000}"/>
    <cellStyle name="40% - Accent6 7 4 2" xfId="42778" xr:uid="{00000000-0005-0000-0000-0000DC0E0000}"/>
    <cellStyle name="40% - Accent6 7 5" xfId="23170" xr:uid="{00000000-0005-0000-0000-0000DD0E0000}"/>
    <cellStyle name="40% - Accent6 7 5 2" xfId="43081" xr:uid="{00000000-0005-0000-0000-0000DE0E0000}"/>
    <cellStyle name="40% - Accent6 7 6" xfId="23481" xr:uid="{00000000-0005-0000-0000-0000DF0E0000}"/>
    <cellStyle name="40% - Accent6 8" xfId="546" xr:uid="{00000000-0005-0000-0000-0000E00E0000}"/>
    <cellStyle name="40% - Accent6 8 2" xfId="918" xr:uid="{00000000-0005-0000-0000-0000E10E0000}"/>
    <cellStyle name="40% - Accent6 8 2 2" xfId="23800" xr:uid="{00000000-0005-0000-0000-0000E20E0000}"/>
    <cellStyle name="40% - Accent6 8 3" xfId="22529" xr:uid="{00000000-0005-0000-0000-0000E30E0000}"/>
    <cellStyle name="40% - Accent6 8 3 2" xfId="42440" xr:uid="{00000000-0005-0000-0000-0000E40E0000}"/>
    <cellStyle name="40% - Accent6 8 4" xfId="22883" xr:uid="{00000000-0005-0000-0000-0000E50E0000}"/>
    <cellStyle name="40% - Accent6 8 4 2" xfId="42794" xr:uid="{00000000-0005-0000-0000-0000E60E0000}"/>
    <cellStyle name="40% - Accent6 8 5" xfId="23186" xr:uid="{00000000-0005-0000-0000-0000E70E0000}"/>
    <cellStyle name="40% - Accent6 8 5 2" xfId="43097" xr:uid="{00000000-0005-0000-0000-0000E80E0000}"/>
    <cellStyle name="40% - Accent6 8 6" xfId="23497" xr:uid="{00000000-0005-0000-0000-0000E90E0000}"/>
    <cellStyle name="40% - Accent6 9" xfId="586" xr:uid="{00000000-0005-0000-0000-0000EA0E0000}"/>
    <cellStyle name="40% - Accent6 9 2" xfId="934" xr:uid="{00000000-0005-0000-0000-0000EB0E0000}"/>
    <cellStyle name="40% - Accent6 9 2 2" xfId="23816" xr:uid="{00000000-0005-0000-0000-0000EC0E0000}"/>
    <cellStyle name="40% - Accent6 9 3" xfId="22474" xr:uid="{00000000-0005-0000-0000-0000ED0E0000}"/>
    <cellStyle name="40% - Accent6 9 3 2" xfId="42385" xr:uid="{00000000-0005-0000-0000-0000EE0E0000}"/>
    <cellStyle name="40% - Accent6 9 4" xfId="22899" xr:uid="{00000000-0005-0000-0000-0000EF0E0000}"/>
    <cellStyle name="40% - Accent6 9 4 2" xfId="42810" xr:uid="{00000000-0005-0000-0000-0000F00E0000}"/>
    <cellStyle name="40% - Accent6 9 5" xfId="23202" xr:uid="{00000000-0005-0000-0000-0000F10E0000}"/>
    <cellStyle name="40% - Accent6 9 5 2" xfId="43113" xr:uid="{00000000-0005-0000-0000-0000F20E0000}"/>
    <cellStyle name="40% - Accent6 9 6" xfId="23513" xr:uid="{00000000-0005-0000-0000-0000F30E0000}"/>
    <cellStyle name="60% - Accent1" xfId="64" builtinId="32" customBuiltin="1"/>
    <cellStyle name="60% - Accent1 2" xfId="1264" xr:uid="{00000000-0005-0000-0000-0000F50E0000}"/>
    <cellStyle name="60% - Accent1 3" xfId="1265" xr:uid="{00000000-0005-0000-0000-0000F60E0000}"/>
    <cellStyle name="60% - Accent1 4" xfId="1266" xr:uid="{00000000-0005-0000-0000-0000F70E0000}"/>
    <cellStyle name="60% - Accent1 5" xfId="1267" xr:uid="{00000000-0005-0000-0000-0000F80E0000}"/>
    <cellStyle name="60% - Accent1 6" xfId="1268" xr:uid="{00000000-0005-0000-0000-0000F90E0000}"/>
    <cellStyle name="60% - Accent2" xfId="68" builtinId="36" customBuiltin="1"/>
    <cellStyle name="60% - Accent2 2" xfId="1269" xr:uid="{00000000-0005-0000-0000-0000FB0E0000}"/>
    <cellStyle name="60% - Accent2 3" xfId="1270" xr:uid="{00000000-0005-0000-0000-0000FC0E0000}"/>
    <cellStyle name="60% - Accent2 4" xfId="1271" xr:uid="{00000000-0005-0000-0000-0000FD0E0000}"/>
    <cellStyle name="60% - Accent2 5" xfId="1272" xr:uid="{00000000-0005-0000-0000-0000FE0E0000}"/>
    <cellStyle name="60% - Accent3" xfId="72" builtinId="40" customBuiltin="1"/>
    <cellStyle name="60% - Accent3 2" xfId="1273" xr:uid="{00000000-0005-0000-0000-0000000F0000}"/>
    <cellStyle name="60% - Accent3 3" xfId="1274" xr:uid="{00000000-0005-0000-0000-0000010F0000}"/>
    <cellStyle name="60% - Accent3 4" xfId="1275" xr:uid="{00000000-0005-0000-0000-0000020F0000}"/>
    <cellStyle name="60% - Accent3 5" xfId="1276" xr:uid="{00000000-0005-0000-0000-0000030F0000}"/>
    <cellStyle name="60% - Accent3 6" xfId="1277" xr:uid="{00000000-0005-0000-0000-0000040F0000}"/>
    <cellStyle name="60% - Accent4" xfId="76" builtinId="44" customBuiltin="1"/>
    <cellStyle name="60% - Accent4 2" xfId="1278" xr:uid="{00000000-0005-0000-0000-0000060F0000}"/>
    <cellStyle name="60% - Accent4 3" xfId="1279" xr:uid="{00000000-0005-0000-0000-0000070F0000}"/>
    <cellStyle name="60% - Accent4 4" xfId="1280" xr:uid="{00000000-0005-0000-0000-0000080F0000}"/>
    <cellStyle name="60% - Accent4 5" xfId="1281" xr:uid="{00000000-0005-0000-0000-0000090F0000}"/>
    <cellStyle name="60% - Accent4 6" xfId="1282" xr:uid="{00000000-0005-0000-0000-00000A0F0000}"/>
    <cellStyle name="60% - Accent5" xfId="80" builtinId="48" customBuiltin="1"/>
    <cellStyle name="60% - Accent5 2" xfId="1283" xr:uid="{00000000-0005-0000-0000-00000C0F0000}"/>
    <cellStyle name="60% - Accent5 3" xfId="1284" xr:uid="{00000000-0005-0000-0000-00000D0F0000}"/>
    <cellStyle name="60% - Accent5 4" xfId="1285" xr:uid="{00000000-0005-0000-0000-00000E0F0000}"/>
    <cellStyle name="60% - Accent5 5" xfId="1286" xr:uid="{00000000-0005-0000-0000-00000F0F0000}"/>
    <cellStyle name="60% - Accent6" xfId="84" builtinId="52" customBuiltin="1"/>
    <cellStyle name="60% - Accent6 2" xfId="1287" xr:uid="{00000000-0005-0000-0000-0000110F0000}"/>
    <cellStyle name="60% - Accent6 3" xfId="1288" xr:uid="{00000000-0005-0000-0000-0000120F0000}"/>
    <cellStyle name="60% - Accent6 4" xfId="1289" xr:uid="{00000000-0005-0000-0000-0000130F0000}"/>
    <cellStyle name="60% - Accent6 5" xfId="1290" xr:uid="{00000000-0005-0000-0000-0000140F0000}"/>
    <cellStyle name="60% - Accent6 6" xfId="1291" xr:uid="{00000000-0005-0000-0000-0000150F0000}"/>
    <cellStyle name="Accent1" xfId="61" builtinId="29" customBuiltin="1"/>
    <cellStyle name="Accent1 2" xfId="1292" xr:uid="{00000000-0005-0000-0000-0000170F0000}"/>
    <cellStyle name="Accent1 3" xfId="1293" xr:uid="{00000000-0005-0000-0000-0000180F0000}"/>
    <cellStyle name="Accent1 4" xfId="1294" xr:uid="{00000000-0005-0000-0000-0000190F0000}"/>
    <cellStyle name="Accent1 5" xfId="1295" xr:uid="{00000000-0005-0000-0000-00001A0F0000}"/>
    <cellStyle name="Accent1 6" xfId="1296" xr:uid="{00000000-0005-0000-0000-00001B0F0000}"/>
    <cellStyle name="Accent2" xfId="65" builtinId="33" customBuiltin="1"/>
    <cellStyle name="Accent2 2" xfId="1297" xr:uid="{00000000-0005-0000-0000-00001D0F0000}"/>
    <cellStyle name="Accent2 3" xfId="1298" xr:uid="{00000000-0005-0000-0000-00001E0F0000}"/>
    <cellStyle name="Accent2 4" xfId="1299" xr:uid="{00000000-0005-0000-0000-00001F0F0000}"/>
    <cellStyle name="Accent2 5" xfId="1300" xr:uid="{00000000-0005-0000-0000-0000200F0000}"/>
    <cellStyle name="Accent2 6" xfId="1301" xr:uid="{00000000-0005-0000-0000-0000210F0000}"/>
    <cellStyle name="Accent3" xfId="69" builtinId="37" customBuiltin="1"/>
    <cellStyle name="Accent3 2" xfId="1302" xr:uid="{00000000-0005-0000-0000-0000230F0000}"/>
    <cellStyle name="Accent3 3" xfId="1303" xr:uid="{00000000-0005-0000-0000-0000240F0000}"/>
    <cellStyle name="Accent3 4" xfId="1304" xr:uid="{00000000-0005-0000-0000-0000250F0000}"/>
    <cellStyle name="Accent3 5" xfId="1305" xr:uid="{00000000-0005-0000-0000-0000260F0000}"/>
    <cellStyle name="Accent3 6" xfId="1306" xr:uid="{00000000-0005-0000-0000-0000270F0000}"/>
    <cellStyle name="Accent4" xfId="73" builtinId="41" customBuiltin="1"/>
    <cellStyle name="Accent4 2" xfId="1307" xr:uid="{00000000-0005-0000-0000-0000290F0000}"/>
    <cellStyle name="Accent4 3" xfId="1308" xr:uid="{00000000-0005-0000-0000-00002A0F0000}"/>
    <cellStyle name="Accent4 4" xfId="1309" xr:uid="{00000000-0005-0000-0000-00002B0F0000}"/>
    <cellStyle name="Accent4 5" xfId="1310" xr:uid="{00000000-0005-0000-0000-00002C0F0000}"/>
    <cellStyle name="Accent4 6" xfId="1311" xr:uid="{00000000-0005-0000-0000-00002D0F0000}"/>
    <cellStyle name="Accent5" xfId="77" builtinId="45" customBuiltin="1"/>
    <cellStyle name="Accent5 2" xfId="1312" xr:uid="{00000000-0005-0000-0000-00002F0F0000}"/>
    <cellStyle name="Accent5 3" xfId="1313" xr:uid="{00000000-0005-0000-0000-0000300F0000}"/>
    <cellStyle name="Accent5 4" xfId="1314" xr:uid="{00000000-0005-0000-0000-0000310F0000}"/>
    <cellStyle name="Accent5 5" xfId="1315" xr:uid="{00000000-0005-0000-0000-0000320F0000}"/>
    <cellStyle name="Accent6" xfId="81" builtinId="49" customBuiltin="1"/>
    <cellStyle name="Accent6 2" xfId="1316" xr:uid="{00000000-0005-0000-0000-0000340F0000}"/>
    <cellStyle name="Accent6 3" xfId="1317" xr:uid="{00000000-0005-0000-0000-0000350F0000}"/>
    <cellStyle name="Accent6 4" xfId="1318" xr:uid="{00000000-0005-0000-0000-0000360F0000}"/>
    <cellStyle name="Accent6 5" xfId="1319" xr:uid="{00000000-0005-0000-0000-0000370F0000}"/>
    <cellStyle name="alarm" xfId="1320" xr:uid="{00000000-0005-0000-0000-0000380F0000}"/>
    <cellStyle name="assumption" xfId="1321" xr:uid="{00000000-0005-0000-0000-0000390F0000}"/>
    <cellStyle name="assumption 2" xfId="1322" xr:uid="{00000000-0005-0000-0000-00003A0F0000}"/>
    <cellStyle name="Bad" xfId="51" builtinId="27" customBuiltin="1"/>
    <cellStyle name="Bad 2" xfId="1323" xr:uid="{00000000-0005-0000-0000-00003C0F0000}"/>
    <cellStyle name="Bad 3" xfId="1324" xr:uid="{00000000-0005-0000-0000-00003D0F0000}"/>
    <cellStyle name="Bad 4" xfId="1325" xr:uid="{00000000-0005-0000-0000-00003E0F0000}"/>
    <cellStyle name="Bad 5" xfId="1326" xr:uid="{00000000-0005-0000-0000-00003F0F0000}"/>
    <cellStyle name="Bad 6" xfId="1327" xr:uid="{00000000-0005-0000-0000-0000400F0000}"/>
    <cellStyle name="Blank" xfId="1328" xr:uid="{00000000-0005-0000-0000-0000410F0000}"/>
    <cellStyle name="Calculation" xfId="55" builtinId="22" customBuiltin="1"/>
    <cellStyle name="Calculation 2" xfId="1329" xr:uid="{00000000-0005-0000-0000-0000430F0000}"/>
    <cellStyle name="Calculation 3" xfId="1330" xr:uid="{00000000-0005-0000-0000-0000440F0000}"/>
    <cellStyle name="Calculation 4" xfId="1331" xr:uid="{00000000-0005-0000-0000-0000450F0000}"/>
    <cellStyle name="Calculation 5" xfId="1332" xr:uid="{00000000-0005-0000-0000-0000460F0000}"/>
    <cellStyle name="Calculation 6" xfId="1333" xr:uid="{00000000-0005-0000-0000-0000470F0000}"/>
    <cellStyle name="Calculation 6 2" xfId="5396" xr:uid="{00000000-0005-0000-0000-0000480F0000}"/>
    <cellStyle name="Calculation 6 2 2" xfId="7018" xr:uid="{00000000-0005-0000-0000-0000490F0000}"/>
    <cellStyle name="Calculation 6 3" xfId="5438" xr:uid="{00000000-0005-0000-0000-00004A0F0000}"/>
    <cellStyle name="Calculation 6 3 2" xfId="6150" xr:uid="{00000000-0005-0000-0000-00004B0F0000}"/>
    <cellStyle name="Calculation 6 4" xfId="5409" xr:uid="{00000000-0005-0000-0000-00004C0F0000}"/>
    <cellStyle name="Calculation 6 4 2" xfId="6087" xr:uid="{00000000-0005-0000-0000-00004D0F0000}"/>
    <cellStyle name="Calculation 6 5" xfId="5390" xr:uid="{00000000-0005-0000-0000-00004E0F0000}"/>
    <cellStyle name="Calculation 6 5 2" xfId="6084" xr:uid="{00000000-0005-0000-0000-00004F0F0000}"/>
    <cellStyle name="Calculation 6 6" xfId="7021" xr:uid="{00000000-0005-0000-0000-0000500F0000}"/>
    <cellStyle name="Centered Heading" xfId="1334" xr:uid="{00000000-0005-0000-0000-0000510F0000}"/>
    <cellStyle name="Centered Heading 2" xfId="1335" xr:uid="{00000000-0005-0000-0000-0000520F0000}"/>
    <cellStyle name="Centered Heading 3" xfId="1336" xr:uid="{00000000-0005-0000-0000-0000530F0000}"/>
    <cellStyle name="Check Cell" xfId="57" builtinId="23" customBuiltin="1"/>
    <cellStyle name="Check Cell 2" xfId="1337" xr:uid="{00000000-0005-0000-0000-0000550F0000}"/>
    <cellStyle name="Check Cell 3" xfId="1338" xr:uid="{00000000-0005-0000-0000-0000560F0000}"/>
    <cellStyle name="Check Cell 4" xfId="1339" xr:uid="{00000000-0005-0000-0000-0000570F0000}"/>
    <cellStyle name="Check Cell 5" xfId="1340" xr:uid="{00000000-0005-0000-0000-0000580F0000}"/>
    <cellStyle name="Column Header" xfId="1341" xr:uid="{00000000-0005-0000-0000-0000590F0000}"/>
    <cellStyle name="ColumnAttributeAbovePrompt" xfId="1073" xr:uid="{00000000-0005-0000-0000-00005A0F0000}"/>
    <cellStyle name="ColumnAttributePrompt" xfId="1074" xr:uid="{00000000-0005-0000-0000-00005B0F0000}"/>
    <cellStyle name="ColumnAttributeValue" xfId="1075" xr:uid="{00000000-0005-0000-0000-00005C0F0000}"/>
    <cellStyle name="ColumnHeadingPrompt" xfId="1076" xr:uid="{00000000-0005-0000-0000-00005D0F0000}"/>
    <cellStyle name="ColumnHeadingValue" xfId="1077" xr:uid="{00000000-0005-0000-0000-00005E0F0000}"/>
    <cellStyle name="Comma" xfId="1" builtinId="3"/>
    <cellStyle name="Comma [0] 2" xfId="10" xr:uid="{00000000-0005-0000-0000-0000600F0000}"/>
    <cellStyle name="Comma [0] 2 2" xfId="4510" xr:uid="{00000000-0005-0000-0000-0000610F0000}"/>
    <cellStyle name="Comma [0] 2 3" xfId="1202" xr:uid="{00000000-0005-0000-0000-0000620F0000}"/>
    <cellStyle name="Comma [0] 3" xfId="1078" xr:uid="{00000000-0005-0000-0000-0000630F0000}"/>
    <cellStyle name="Comma [0] 4" xfId="1171" xr:uid="{00000000-0005-0000-0000-0000640F0000}"/>
    <cellStyle name="Comma [0] 5" xfId="4507" xr:uid="{00000000-0005-0000-0000-0000650F0000}"/>
    <cellStyle name="Comma [0] 6" xfId="4615" xr:uid="{00000000-0005-0000-0000-0000660F0000}"/>
    <cellStyle name="Comma [0] 7" xfId="7028" xr:uid="{00000000-0005-0000-0000-0000670F0000}"/>
    <cellStyle name="Comma [0] 8" xfId="10156" xr:uid="{00000000-0005-0000-0000-0000680F0000}"/>
    <cellStyle name="Comma [0] 9" xfId="1064" xr:uid="{00000000-0005-0000-0000-0000690F0000}"/>
    <cellStyle name="Comma 0" xfId="1342" xr:uid="{00000000-0005-0000-0000-00006A0F0000}"/>
    <cellStyle name="Comma 0.0" xfId="1343" xr:uid="{00000000-0005-0000-0000-00006B0F0000}"/>
    <cellStyle name="Comma 0.00" xfId="1344" xr:uid="{00000000-0005-0000-0000-00006C0F0000}"/>
    <cellStyle name="Comma 0.000" xfId="1345" xr:uid="{00000000-0005-0000-0000-00006D0F0000}"/>
    <cellStyle name="Comma 10" xfId="105" xr:uid="{00000000-0005-0000-0000-00006E0F0000}"/>
    <cellStyle name="Comma 10 10" xfId="23335" xr:uid="{00000000-0005-0000-0000-00006F0F0000}"/>
    <cellStyle name="Comma 10 2" xfId="756" xr:uid="{00000000-0005-0000-0000-0000700F0000}"/>
    <cellStyle name="Comma 10 2 2" xfId="1348" xr:uid="{00000000-0005-0000-0000-0000710F0000}"/>
    <cellStyle name="Comma 10 2 3" xfId="1349" xr:uid="{00000000-0005-0000-0000-0000720F0000}"/>
    <cellStyle name="Comma 10 2 4" xfId="1347" xr:uid="{00000000-0005-0000-0000-0000730F0000}"/>
    <cellStyle name="Comma 10 2 5" xfId="23638" xr:uid="{00000000-0005-0000-0000-0000740F0000}"/>
    <cellStyle name="Comma 10 3" xfId="1350" xr:uid="{00000000-0005-0000-0000-0000750F0000}"/>
    <cellStyle name="Comma 10 4" xfId="4596" xr:uid="{00000000-0005-0000-0000-0000760F0000}"/>
    <cellStyle name="Comma 10 5" xfId="1346" xr:uid="{00000000-0005-0000-0000-0000770F0000}"/>
    <cellStyle name="Comma 10 6" xfId="1182" xr:uid="{00000000-0005-0000-0000-0000780F0000}"/>
    <cellStyle name="Comma 10 7" xfId="22576" xr:uid="{00000000-0005-0000-0000-0000790F0000}"/>
    <cellStyle name="Comma 10 7 2" xfId="42487" xr:uid="{00000000-0005-0000-0000-00007A0F0000}"/>
    <cellStyle name="Comma 10 8" xfId="22721" xr:uid="{00000000-0005-0000-0000-00007B0F0000}"/>
    <cellStyle name="Comma 10 8 2" xfId="42632" xr:uid="{00000000-0005-0000-0000-00007C0F0000}"/>
    <cellStyle name="Comma 10 9" xfId="23024" xr:uid="{00000000-0005-0000-0000-00007D0F0000}"/>
    <cellStyle name="Comma 10 9 2" xfId="42935" xr:uid="{00000000-0005-0000-0000-00007E0F0000}"/>
    <cellStyle name="Comma 100" xfId="1351" xr:uid="{00000000-0005-0000-0000-00007F0F0000}"/>
    <cellStyle name="Comma 101" xfId="1352" xr:uid="{00000000-0005-0000-0000-0000800F0000}"/>
    <cellStyle name="Comma 102" xfId="1353" xr:uid="{00000000-0005-0000-0000-0000810F0000}"/>
    <cellStyle name="Comma 103" xfId="1354" xr:uid="{00000000-0005-0000-0000-0000820F0000}"/>
    <cellStyle name="Comma 104" xfId="1355" xr:uid="{00000000-0005-0000-0000-0000830F0000}"/>
    <cellStyle name="Comma 105" xfId="1356" xr:uid="{00000000-0005-0000-0000-0000840F0000}"/>
    <cellStyle name="Comma 106" xfId="1357" xr:uid="{00000000-0005-0000-0000-0000850F0000}"/>
    <cellStyle name="Comma 107" xfId="1358" xr:uid="{00000000-0005-0000-0000-0000860F0000}"/>
    <cellStyle name="Comma 108" xfId="1359" xr:uid="{00000000-0005-0000-0000-0000870F0000}"/>
    <cellStyle name="Comma 109" xfId="1360" xr:uid="{00000000-0005-0000-0000-0000880F0000}"/>
    <cellStyle name="Comma 11" xfId="107" xr:uid="{00000000-0005-0000-0000-0000890F0000}"/>
    <cellStyle name="Comma 11 10" xfId="23026" xr:uid="{00000000-0005-0000-0000-00008A0F0000}"/>
    <cellStyle name="Comma 11 10 2" xfId="42937" xr:uid="{00000000-0005-0000-0000-00008B0F0000}"/>
    <cellStyle name="Comma 11 11" xfId="23337" xr:uid="{00000000-0005-0000-0000-00008C0F0000}"/>
    <cellStyle name="Comma 11 2" xfId="758" xr:uid="{00000000-0005-0000-0000-00008D0F0000}"/>
    <cellStyle name="Comma 11 2 2" xfId="1362" xr:uid="{00000000-0005-0000-0000-00008E0F0000}"/>
    <cellStyle name="Comma 11 2 3" xfId="23640" xr:uid="{00000000-0005-0000-0000-00008F0F0000}"/>
    <cellStyle name="Comma 11 3" xfId="1363" xr:uid="{00000000-0005-0000-0000-0000900F0000}"/>
    <cellStyle name="Comma 11 3 2" xfId="1364" xr:uid="{00000000-0005-0000-0000-0000910F0000}"/>
    <cellStyle name="Comma 11 3 3" xfId="1365" xr:uid="{00000000-0005-0000-0000-0000920F0000}"/>
    <cellStyle name="Comma 11 4" xfId="1366" xr:uid="{00000000-0005-0000-0000-0000930F0000}"/>
    <cellStyle name="Comma 11 5" xfId="4592" xr:uid="{00000000-0005-0000-0000-0000940F0000}"/>
    <cellStyle name="Comma 11 6" xfId="1361" xr:uid="{00000000-0005-0000-0000-0000950F0000}"/>
    <cellStyle name="Comma 11 7" xfId="1178" xr:uid="{00000000-0005-0000-0000-0000960F0000}"/>
    <cellStyle name="Comma 11 8" xfId="22694" xr:uid="{00000000-0005-0000-0000-0000970F0000}"/>
    <cellStyle name="Comma 11 8 2" xfId="42605" xr:uid="{00000000-0005-0000-0000-0000980F0000}"/>
    <cellStyle name="Comma 11 9" xfId="22723" xr:uid="{00000000-0005-0000-0000-0000990F0000}"/>
    <cellStyle name="Comma 11 9 2" xfId="42634" xr:uid="{00000000-0005-0000-0000-00009A0F0000}"/>
    <cellStyle name="Comma 110" xfId="1367" xr:uid="{00000000-0005-0000-0000-00009B0F0000}"/>
    <cellStyle name="Comma 111" xfId="1368" xr:uid="{00000000-0005-0000-0000-00009C0F0000}"/>
    <cellStyle name="Comma 112" xfId="1369" xr:uid="{00000000-0005-0000-0000-00009D0F0000}"/>
    <cellStyle name="Comma 113" xfId="1370" xr:uid="{00000000-0005-0000-0000-00009E0F0000}"/>
    <cellStyle name="Comma 114" xfId="1371" xr:uid="{00000000-0005-0000-0000-00009F0F0000}"/>
    <cellStyle name="Comma 115" xfId="1372" xr:uid="{00000000-0005-0000-0000-0000A00F0000}"/>
    <cellStyle name="Comma 116" xfId="1373" xr:uid="{00000000-0005-0000-0000-0000A10F0000}"/>
    <cellStyle name="Comma 117" xfId="1374" xr:uid="{00000000-0005-0000-0000-0000A20F0000}"/>
    <cellStyle name="Comma 118" xfId="1375" xr:uid="{00000000-0005-0000-0000-0000A30F0000}"/>
    <cellStyle name="Comma 119" xfId="1376" xr:uid="{00000000-0005-0000-0000-0000A40F0000}"/>
    <cellStyle name="Comma 12" xfId="109" xr:uid="{00000000-0005-0000-0000-0000A50F0000}"/>
    <cellStyle name="Comma 12 2" xfId="760" xr:uid="{00000000-0005-0000-0000-0000A60F0000}"/>
    <cellStyle name="Comma 12 2 2" xfId="1379" xr:uid="{00000000-0005-0000-0000-0000A70F0000}"/>
    <cellStyle name="Comma 12 2 3" xfId="1380" xr:uid="{00000000-0005-0000-0000-0000A80F0000}"/>
    <cellStyle name="Comma 12 2 4" xfId="1378" xr:uid="{00000000-0005-0000-0000-0000A90F0000}"/>
    <cellStyle name="Comma 12 2 5" xfId="23642" xr:uid="{00000000-0005-0000-0000-0000AA0F0000}"/>
    <cellStyle name="Comma 12 3" xfId="1381" xr:uid="{00000000-0005-0000-0000-0000AB0F0000}"/>
    <cellStyle name="Comma 12 4" xfId="1377" xr:uid="{00000000-0005-0000-0000-0000AC0F0000}"/>
    <cellStyle name="Comma 12 5" xfId="22627" xr:uid="{00000000-0005-0000-0000-0000AD0F0000}"/>
    <cellStyle name="Comma 12 5 2" xfId="42538" xr:uid="{00000000-0005-0000-0000-0000AE0F0000}"/>
    <cellStyle name="Comma 12 6" xfId="22725" xr:uid="{00000000-0005-0000-0000-0000AF0F0000}"/>
    <cellStyle name="Comma 12 6 2" xfId="42636" xr:uid="{00000000-0005-0000-0000-0000B00F0000}"/>
    <cellStyle name="Comma 12 7" xfId="23028" xr:uid="{00000000-0005-0000-0000-0000B10F0000}"/>
    <cellStyle name="Comma 12 7 2" xfId="42939" xr:uid="{00000000-0005-0000-0000-0000B20F0000}"/>
    <cellStyle name="Comma 12 8" xfId="23339" xr:uid="{00000000-0005-0000-0000-0000B30F0000}"/>
    <cellStyle name="Comma 120" xfId="1382" xr:uid="{00000000-0005-0000-0000-0000B40F0000}"/>
    <cellStyle name="Comma 121" xfId="1383" xr:uid="{00000000-0005-0000-0000-0000B50F0000}"/>
    <cellStyle name="Comma 122" xfId="1384" xr:uid="{00000000-0005-0000-0000-0000B60F0000}"/>
    <cellStyle name="Comma 123" xfId="1385" xr:uid="{00000000-0005-0000-0000-0000B70F0000}"/>
    <cellStyle name="Comma 124" xfId="1386" xr:uid="{00000000-0005-0000-0000-0000B80F0000}"/>
    <cellStyle name="Comma 125" xfId="1387" xr:uid="{00000000-0005-0000-0000-0000B90F0000}"/>
    <cellStyle name="Comma 126" xfId="1388" xr:uid="{00000000-0005-0000-0000-0000BA0F0000}"/>
    <cellStyle name="Comma 127" xfId="1389" xr:uid="{00000000-0005-0000-0000-0000BB0F0000}"/>
    <cellStyle name="Comma 128" xfId="1390" xr:uid="{00000000-0005-0000-0000-0000BC0F0000}"/>
    <cellStyle name="Comma 129" xfId="1391" xr:uid="{00000000-0005-0000-0000-0000BD0F0000}"/>
    <cellStyle name="Comma 13" xfId="110" xr:uid="{00000000-0005-0000-0000-0000BE0F0000}"/>
    <cellStyle name="Comma 13 2" xfId="761" xr:uid="{00000000-0005-0000-0000-0000BF0F0000}"/>
    <cellStyle name="Comma 13 2 2" xfId="1394" xr:uid="{00000000-0005-0000-0000-0000C00F0000}"/>
    <cellStyle name="Comma 13 2 3" xfId="1395" xr:uid="{00000000-0005-0000-0000-0000C10F0000}"/>
    <cellStyle name="Comma 13 2 4" xfId="1393" xr:uid="{00000000-0005-0000-0000-0000C20F0000}"/>
    <cellStyle name="Comma 13 2 5" xfId="23643" xr:uid="{00000000-0005-0000-0000-0000C30F0000}"/>
    <cellStyle name="Comma 13 3" xfId="1392" xr:uid="{00000000-0005-0000-0000-0000C40F0000}"/>
    <cellStyle name="Comma 13 4" xfId="22622" xr:uid="{00000000-0005-0000-0000-0000C50F0000}"/>
    <cellStyle name="Comma 13 4 2" xfId="42533" xr:uid="{00000000-0005-0000-0000-0000C60F0000}"/>
    <cellStyle name="Comma 13 5" xfId="22726" xr:uid="{00000000-0005-0000-0000-0000C70F0000}"/>
    <cellStyle name="Comma 13 5 2" xfId="42637" xr:uid="{00000000-0005-0000-0000-0000C80F0000}"/>
    <cellStyle name="Comma 13 6" xfId="23029" xr:uid="{00000000-0005-0000-0000-0000C90F0000}"/>
    <cellStyle name="Comma 13 6 2" xfId="42940" xr:uid="{00000000-0005-0000-0000-0000CA0F0000}"/>
    <cellStyle name="Comma 13 7" xfId="23340" xr:uid="{00000000-0005-0000-0000-0000CB0F0000}"/>
    <cellStyle name="Comma 130" xfId="1396" xr:uid="{00000000-0005-0000-0000-0000CC0F0000}"/>
    <cellStyle name="Comma 131" xfId="1397" xr:uid="{00000000-0005-0000-0000-0000CD0F0000}"/>
    <cellStyle name="Comma 132" xfId="1398" xr:uid="{00000000-0005-0000-0000-0000CE0F0000}"/>
    <cellStyle name="Comma 133" xfId="1399" xr:uid="{00000000-0005-0000-0000-0000CF0F0000}"/>
    <cellStyle name="Comma 134" xfId="1400" xr:uid="{00000000-0005-0000-0000-0000D00F0000}"/>
    <cellStyle name="Comma 135" xfId="1401" xr:uid="{00000000-0005-0000-0000-0000D10F0000}"/>
    <cellStyle name="Comma 136" xfId="1402" xr:uid="{00000000-0005-0000-0000-0000D20F0000}"/>
    <cellStyle name="Comma 137" xfId="1403" xr:uid="{00000000-0005-0000-0000-0000D30F0000}"/>
    <cellStyle name="Comma 138" xfId="1404" xr:uid="{00000000-0005-0000-0000-0000D40F0000}"/>
    <cellStyle name="Comma 139" xfId="1405" xr:uid="{00000000-0005-0000-0000-0000D50F0000}"/>
    <cellStyle name="Comma 14" xfId="108" xr:uid="{00000000-0005-0000-0000-0000D60F0000}"/>
    <cellStyle name="Comma 14 2" xfId="759" xr:uid="{00000000-0005-0000-0000-0000D70F0000}"/>
    <cellStyle name="Comma 14 2 2" xfId="23641" xr:uid="{00000000-0005-0000-0000-0000D80F0000}"/>
    <cellStyle name="Comma 14 3" xfId="1406" xr:uid="{00000000-0005-0000-0000-0000D90F0000}"/>
    <cellStyle name="Comma 14 4" xfId="22650" xr:uid="{00000000-0005-0000-0000-0000DA0F0000}"/>
    <cellStyle name="Comma 14 4 2" xfId="42561" xr:uid="{00000000-0005-0000-0000-0000DB0F0000}"/>
    <cellStyle name="Comma 14 5" xfId="22724" xr:uid="{00000000-0005-0000-0000-0000DC0F0000}"/>
    <cellStyle name="Comma 14 5 2" xfId="42635" xr:uid="{00000000-0005-0000-0000-0000DD0F0000}"/>
    <cellStyle name="Comma 14 6" xfId="23027" xr:uid="{00000000-0005-0000-0000-0000DE0F0000}"/>
    <cellStyle name="Comma 14 6 2" xfId="42938" xr:uid="{00000000-0005-0000-0000-0000DF0F0000}"/>
    <cellStyle name="Comma 14 7" xfId="23338" xr:uid="{00000000-0005-0000-0000-0000E00F0000}"/>
    <cellStyle name="Comma 140" xfId="1407" xr:uid="{00000000-0005-0000-0000-0000E10F0000}"/>
    <cellStyle name="Comma 141" xfId="1408" xr:uid="{00000000-0005-0000-0000-0000E20F0000}"/>
    <cellStyle name="Comma 141 2" xfId="1409" xr:uid="{00000000-0005-0000-0000-0000E30F0000}"/>
    <cellStyle name="Comma 141 2 2" xfId="1410" xr:uid="{00000000-0005-0000-0000-0000E40F0000}"/>
    <cellStyle name="Comma 141 2 2 2" xfId="1411" xr:uid="{00000000-0005-0000-0000-0000E50F0000}"/>
    <cellStyle name="Comma 141 2 3" xfId="1412" xr:uid="{00000000-0005-0000-0000-0000E60F0000}"/>
    <cellStyle name="Comma 141 3" xfId="1413" xr:uid="{00000000-0005-0000-0000-0000E70F0000}"/>
    <cellStyle name="Comma 141 3 2" xfId="1414" xr:uid="{00000000-0005-0000-0000-0000E80F0000}"/>
    <cellStyle name="Comma 141 4" xfId="1415" xr:uid="{00000000-0005-0000-0000-0000E90F0000}"/>
    <cellStyle name="Comma 141 4 2" xfId="1416" xr:uid="{00000000-0005-0000-0000-0000EA0F0000}"/>
    <cellStyle name="Comma 141 5" xfId="1417" xr:uid="{00000000-0005-0000-0000-0000EB0F0000}"/>
    <cellStyle name="Comma 142" xfId="1418" xr:uid="{00000000-0005-0000-0000-0000EC0F0000}"/>
    <cellStyle name="Comma 142 2" xfId="1419" xr:uid="{00000000-0005-0000-0000-0000ED0F0000}"/>
    <cellStyle name="Comma 142 2 2" xfId="1420" xr:uid="{00000000-0005-0000-0000-0000EE0F0000}"/>
    <cellStyle name="Comma 142 2 2 2" xfId="1421" xr:uid="{00000000-0005-0000-0000-0000EF0F0000}"/>
    <cellStyle name="Comma 142 2 3" xfId="1422" xr:uid="{00000000-0005-0000-0000-0000F00F0000}"/>
    <cellStyle name="Comma 142 3" xfId="1423" xr:uid="{00000000-0005-0000-0000-0000F10F0000}"/>
    <cellStyle name="Comma 142 3 2" xfId="1424" xr:uid="{00000000-0005-0000-0000-0000F20F0000}"/>
    <cellStyle name="Comma 142 4" xfId="1425" xr:uid="{00000000-0005-0000-0000-0000F30F0000}"/>
    <cellStyle name="Comma 142 4 2" xfId="1426" xr:uid="{00000000-0005-0000-0000-0000F40F0000}"/>
    <cellStyle name="Comma 142 5" xfId="1427" xr:uid="{00000000-0005-0000-0000-0000F50F0000}"/>
    <cellStyle name="Comma 143" xfId="1428" xr:uid="{00000000-0005-0000-0000-0000F60F0000}"/>
    <cellStyle name="Comma 143 2" xfId="4693" xr:uid="{00000000-0005-0000-0000-0000F70F0000}"/>
    <cellStyle name="Comma 143 2 2" xfId="6318" xr:uid="{00000000-0005-0000-0000-0000F80F0000}"/>
    <cellStyle name="Comma 143 2 2 2" xfId="9404" xr:uid="{00000000-0005-0000-0000-0000F90F0000}"/>
    <cellStyle name="Comma 143 2 2 2 2" xfId="15597" xr:uid="{00000000-0005-0000-0000-0000FA0F0000}"/>
    <cellStyle name="Comma 143 2 2 2 2 2" xfId="35517" xr:uid="{00000000-0005-0000-0000-0000FB0F0000}"/>
    <cellStyle name="Comma 143 2 2 2 3" xfId="21749" xr:uid="{00000000-0005-0000-0000-0000FC0F0000}"/>
    <cellStyle name="Comma 143 2 2 2 3 2" xfId="41669" xr:uid="{00000000-0005-0000-0000-0000FD0F0000}"/>
    <cellStyle name="Comma 143 2 2 2 4" xfId="29364" xr:uid="{00000000-0005-0000-0000-0000FE0F0000}"/>
    <cellStyle name="Comma 143 2 2 3" xfId="12531" xr:uid="{00000000-0005-0000-0000-0000FF0F0000}"/>
    <cellStyle name="Comma 143 2 2 3 2" xfId="32451" xr:uid="{00000000-0005-0000-0000-000000100000}"/>
    <cellStyle name="Comma 143 2 2 4" xfId="18683" xr:uid="{00000000-0005-0000-0000-000001100000}"/>
    <cellStyle name="Comma 143 2 2 4 2" xfId="38603" xr:uid="{00000000-0005-0000-0000-000002100000}"/>
    <cellStyle name="Comma 143 2 2 5" xfId="26298" xr:uid="{00000000-0005-0000-0000-000003100000}"/>
    <cellStyle name="Comma 143 2 3" xfId="7869" xr:uid="{00000000-0005-0000-0000-000004100000}"/>
    <cellStyle name="Comma 143 2 3 2" xfId="14063" xr:uid="{00000000-0005-0000-0000-000005100000}"/>
    <cellStyle name="Comma 143 2 3 2 2" xfId="33983" xr:uid="{00000000-0005-0000-0000-000006100000}"/>
    <cellStyle name="Comma 143 2 3 3" xfId="20215" xr:uid="{00000000-0005-0000-0000-000007100000}"/>
    <cellStyle name="Comma 143 2 3 3 2" xfId="40135" xr:uid="{00000000-0005-0000-0000-000008100000}"/>
    <cellStyle name="Comma 143 2 3 4" xfId="27830" xr:uid="{00000000-0005-0000-0000-000009100000}"/>
    <cellStyle name="Comma 143 2 4" xfId="10997" xr:uid="{00000000-0005-0000-0000-00000A100000}"/>
    <cellStyle name="Comma 143 2 4 2" xfId="30917" xr:uid="{00000000-0005-0000-0000-00000B100000}"/>
    <cellStyle name="Comma 143 2 5" xfId="17149" xr:uid="{00000000-0005-0000-0000-00000C100000}"/>
    <cellStyle name="Comma 143 2 5 2" xfId="37069" xr:uid="{00000000-0005-0000-0000-00000D100000}"/>
    <cellStyle name="Comma 143 2 6" xfId="24764" xr:uid="{00000000-0005-0000-0000-00000E100000}"/>
    <cellStyle name="Comma 143 3" xfId="5532" xr:uid="{00000000-0005-0000-0000-00000F100000}"/>
    <cellStyle name="Comma 143 3 2" xfId="8635" xr:uid="{00000000-0005-0000-0000-000010100000}"/>
    <cellStyle name="Comma 143 3 2 2" xfId="14828" xr:uid="{00000000-0005-0000-0000-000011100000}"/>
    <cellStyle name="Comma 143 3 2 2 2" xfId="34748" xr:uid="{00000000-0005-0000-0000-000012100000}"/>
    <cellStyle name="Comma 143 3 2 3" xfId="20980" xr:uid="{00000000-0005-0000-0000-000013100000}"/>
    <cellStyle name="Comma 143 3 2 3 2" xfId="40900" xr:uid="{00000000-0005-0000-0000-000014100000}"/>
    <cellStyle name="Comma 143 3 2 4" xfId="28595" xr:uid="{00000000-0005-0000-0000-000015100000}"/>
    <cellStyle name="Comma 143 3 3" xfId="11762" xr:uid="{00000000-0005-0000-0000-000016100000}"/>
    <cellStyle name="Comma 143 3 3 2" xfId="31682" xr:uid="{00000000-0005-0000-0000-000017100000}"/>
    <cellStyle name="Comma 143 3 4" xfId="17914" xr:uid="{00000000-0005-0000-0000-000018100000}"/>
    <cellStyle name="Comma 143 3 4 2" xfId="37834" xr:uid="{00000000-0005-0000-0000-000019100000}"/>
    <cellStyle name="Comma 143 3 5" xfId="25529" xr:uid="{00000000-0005-0000-0000-00001A100000}"/>
    <cellStyle name="Comma 143 4" xfId="7100" xr:uid="{00000000-0005-0000-0000-00001B100000}"/>
    <cellStyle name="Comma 143 4 2" xfId="13294" xr:uid="{00000000-0005-0000-0000-00001C100000}"/>
    <cellStyle name="Comma 143 4 2 2" xfId="33214" xr:uid="{00000000-0005-0000-0000-00001D100000}"/>
    <cellStyle name="Comma 143 4 3" xfId="19446" xr:uid="{00000000-0005-0000-0000-00001E100000}"/>
    <cellStyle name="Comma 143 4 3 2" xfId="39366" xr:uid="{00000000-0005-0000-0000-00001F100000}"/>
    <cellStyle name="Comma 143 4 4" xfId="27061" xr:uid="{00000000-0005-0000-0000-000020100000}"/>
    <cellStyle name="Comma 143 5" xfId="10228" xr:uid="{00000000-0005-0000-0000-000021100000}"/>
    <cellStyle name="Comma 143 5 2" xfId="30148" xr:uid="{00000000-0005-0000-0000-000022100000}"/>
    <cellStyle name="Comma 143 6" xfId="16380" xr:uid="{00000000-0005-0000-0000-000023100000}"/>
    <cellStyle name="Comma 143 6 2" xfId="36300" xr:uid="{00000000-0005-0000-0000-000024100000}"/>
    <cellStyle name="Comma 143 7" xfId="23995" xr:uid="{00000000-0005-0000-0000-000025100000}"/>
    <cellStyle name="Comma 144" xfId="1429" xr:uid="{00000000-0005-0000-0000-000026100000}"/>
    <cellStyle name="Comma 144 2" xfId="4694" xr:uid="{00000000-0005-0000-0000-000027100000}"/>
    <cellStyle name="Comma 144 2 2" xfId="6319" xr:uid="{00000000-0005-0000-0000-000028100000}"/>
    <cellStyle name="Comma 144 2 2 2" xfId="9405" xr:uid="{00000000-0005-0000-0000-000029100000}"/>
    <cellStyle name="Comma 144 2 2 2 2" xfId="15598" xr:uid="{00000000-0005-0000-0000-00002A100000}"/>
    <cellStyle name="Comma 144 2 2 2 2 2" xfId="35518" xr:uid="{00000000-0005-0000-0000-00002B100000}"/>
    <cellStyle name="Comma 144 2 2 2 3" xfId="21750" xr:uid="{00000000-0005-0000-0000-00002C100000}"/>
    <cellStyle name="Comma 144 2 2 2 3 2" xfId="41670" xr:uid="{00000000-0005-0000-0000-00002D100000}"/>
    <cellStyle name="Comma 144 2 2 2 4" xfId="29365" xr:uid="{00000000-0005-0000-0000-00002E100000}"/>
    <cellStyle name="Comma 144 2 2 3" xfId="12532" xr:uid="{00000000-0005-0000-0000-00002F100000}"/>
    <cellStyle name="Comma 144 2 2 3 2" xfId="32452" xr:uid="{00000000-0005-0000-0000-000030100000}"/>
    <cellStyle name="Comma 144 2 2 4" xfId="18684" xr:uid="{00000000-0005-0000-0000-000031100000}"/>
    <cellStyle name="Comma 144 2 2 4 2" xfId="38604" xr:uid="{00000000-0005-0000-0000-000032100000}"/>
    <cellStyle name="Comma 144 2 2 5" xfId="26299" xr:uid="{00000000-0005-0000-0000-000033100000}"/>
    <cellStyle name="Comma 144 2 3" xfId="7870" xr:uid="{00000000-0005-0000-0000-000034100000}"/>
    <cellStyle name="Comma 144 2 3 2" xfId="14064" xr:uid="{00000000-0005-0000-0000-000035100000}"/>
    <cellStyle name="Comma 144 2 3 2 2" xfId="33984" xr:uid="{00000000-0005-0000-0000-000036100000}"/>
    <cellStyle name="Comma 144 2 3 3" xfId="20216" xr:uid="{00000000-0005-0000-0000-000037100000}"/>
    <cellStyle name="Comma 144 2 3 3 2" xfId="40136" xr:uid="{00000000-0005-0000-0000-000038100000}"/>
    <cellStyle name="Comma 144 2 3 4" xfId="27831" xr:uid="{00000000-0005-0000-0000-000039100000}"/>
    <cellStyle name="Comma 144 2 4" xfId="10998" xr:uid="{00000000-0005-0000-0000-00003A100000}"/>
    <cellStyle name="Comma 144 2 4 2" xfId="30918" xr:uid="{00000000-0005-0000-0000-00003B100000}"/>
    <cellStyle name="Comma 144 2 5" xfId="17150" xr:uid="{00000000-0005-0000-0000-00003C100000}"/>
    <cellStyle name="Comma 144 2 5 2" xfId="37070" xr:uid="{00000000-0005-0000-0000-00003D100000}"/>
    <cellStyle name="Comma 144 2 6" xfId="24765" xr:uid="{00000000-0005-0000-0000-00003E100000}"/>
    <cellStyle name="Comma 144 3" xfId="5533" xr:uid="{00000000-0005-0000-0000-00003F100000}"/>
    <cellStyle name="Comma 144 3 2" xfId="8636" xr:uid="{00000000-0005-0000-0000-000040100000}"/>
    <cellStyle name="Comma 144 3 2 2" xfId="14829" xr:uid="{00000000-0005-0000-0000-000041100000}"/>
    <cellStyle name="Comma 144 3 2 2 2" xfId="34749" xr:uid="{00000000-0005-0000-0000-000042100000}"/>
    <cellStyle name="Comma 144 3 2 3" xfId="20981" xr:uid="{00000000-0005-0000-0000-000043100000}"/>
    <cellStyle name="Comma 144 3 2 3 2" xfId="40901" xr:uid="{00000000-0005-0000-0000-000044100000}"/>
    <cellStyle name="Comma 144 3 2 4" xfId="28596" xr:uid="{00000000-0005-0000-0000-000045100000}"/>
    <cellStyle name="Comma 144 3 3" xfId="11763" xr:uid="{00000000-0005-0000-0000-000046100000}"/>
    <cellStyle name="Comma 144 3 3 2" xfId="31683" xr:uid="{00000000-0005-0000-0000-000047100000}"/>
    <cellStyle name="Comma 144 3 4" xfId="17915" xr:uid="{00000000-0005-0000-0000-000048100000}"/>
    <cellStyle name="Comma 144 3 4 2" xfId="37835" xr:uid="{00000000-0005-0000-0000-000049100000}"/>
    <cellStyle name="Comma 144 3 5" xfId="25530" xr:uid="{00000000-0005-0000-0000-00004A100000}"/>
    <cellStyle name="Comma 144 4" xfId="7101" xr:uid="{00000000-0005-0000-0000-00004B100000}"/>
    <cellStyle name="Comma 144 4 2" xfId="13295" xr:uid="{00000000-0005-0000-0000-00004C100000}"/>
    <cellStyle name="Comma 144 4 2 2" xfId="33215" xr:uid="{00000000-0005-0000-0000-00004D100000}"/>
    <cellStyle name="Comma 144 4 3" xfId="19447" xr:uid="{00000000-0005-0000-0000-00004E100000}"/>
    <cellStyle name="Comma 144 4 3 2" xfId="39367" xr:uid="{00000000-0005-0000-0000-00004F100000}"/>
    <cellStyle name="Comma 144 4 4" xfId="27062" xr:uid="{00000000-0005-0000-0000-000050100000}"/>
    <cellStyle name="Comma 144 5" xfId="10229" xr:uid="{00000000-0005-0000-0000-000051100000}"/>
    <cellStyle name="Comma 144 5 2" xfId="30149" xr:uid="{00000000-0005-0000-0000-000052100000}"/>
    <cellStyle name="Comma 144 6" xfId="16381" xr:uid="{00000000-0005-0000-0000-000053100000}"/>
    <cellStyle name="Comma 144 6 2" xfId="36301" xr:uid="{00000000-0005-0000-0000-000054100000}"/>
    <cellStyle name="Comma 144 7" xfId="23996" xr:uid="{00000000-0005-0000-0000-000055100000}"/>
    <cellStyle name="Comma 145" xfId="1430" xr:uid="{00000000-0005-0000-0000-000056100000}"/>
    <cellStyle name="Comma 145 2" xfId="4695" xr:uid="{00000000-0005-0000-0000-000057100000}"/>
    <cellStyle name="Comma 145 2 2" xfId="6320" xr:uid="{00000000-0005-0000-0000-000058100000}"/>
    <cellStyle name="Comma 145 2 2 2" xfId="9406" xr:uid="{00000000-0005-0000-0000-000059100000}"/>
    <cellStyle name="Comma 145 2 2 2 2" xfId="15599" xr:uid="{00000000-0005-0000-0000-00005A100000}"/>
    <cellStyle name="Comma 145 2 2 2 2 2" xfId="35519" xr:uid="{00000000-0005-0000-0000-00005B100000}"/>
    <cellStyle name="Comma 145 2 2 2 3" xfId="21751" xr:uid="{00000000-0005-0000-0000-00005C100000}"/>
    <cellStyle name="Comma 145 2 2 2 3 2" xfId="41671" xr:uid="{00000000-0005-0000-0000-00005D100000}"/>
    <cellStyle name="Comma 145 2 2 2 4" xfId="29366" xr:uid="{00000000-0005-0000-0000-00005E100000}"/>
    <cellStyle name="Comma 145 2 2 3" xfId="12533" xr:uid="{00000000-0005-0000-0000-00005F100000}"/>
    <cellStyle name="Comma 145 2 2 3 2" xfId="32453" xr:uid="{00000000-0005-0000-0000-000060100000}"/>
    <cellStyle name="Comma 145 2 2 4" xfId="18685" xr:uid="{00000000-0005-0000-0000-000061100000}"/>
    <cellStyle name="Comma 145 2 2 4 2" xfId="38605" xr:uid="{00000000-0005-0000-0000-000062100000}"/>
    <cellStyle name="Comma 145 2 2 5" xfId="26300" xr:uid="{00000000-0005-0000-0000-000063100000}"/>
    <cellStyle name="Comma 145 2 3" xfId="7871" xr:uid="{00000000-0005-0000-0000-000064100000}"/>
    <cellStyle name="Comma 145 2 3 2" xfId="14065" xr:uid="{00000000-0005-0000-0000-000065100000}"/>
    <cellStyle name="Comma 145 2 3 2 2" xfId="33985" xr:uid="{00000000-0005-0000-0000-000066100000}"/>
    <cellStyle name="Comma 145 2 3 3" xfId="20217" xr:uid="{00000000-0005-0000-0000-000067100000}"/>
    <cellStyle name="Comma 145 2 3 3 2" xfId="40137" xr:uid="{00000000-0005-0000-0000-000068100000}"/>
    <cellStyle name="Comma 145 2 3 4" xfId="27832" xr:uid="{00000000-0005-0000-0000-000069100000}"/>
    <cellStyle name="Comma 145 2 4" xfId="10999" xr:uid="{00000000-0005-0000-0000-00006A100000}"/>
    <cellStyle name="Comma 145 2 4 2" xfId="30919" xr:uid="{00000000-0005-0000-0000-00006B100000}"/>
    <cellStyle name="Comma 145 2 5" xfId="17151" xr:uid="{00000000-0005-0000-0000-00006C100000}"/>
    <cellStyle name="Comma 145 2 5 2" xfId="37071" xr:uid="{00000000-0005-0000-0000-00006D100000}"/>
    <cellStyle name="Comma 145 2 6" xfId="24766" xr:uid="{00000000-0005-0000-0000-00006E100000}"/>
    <cellStyle name="Comma 145 3" xfId="5534" xr:uid="{00000000-0005-0000-0000-00006F100000}"/>
    <cellStyle name="Comma 145 3 2" xfId="8637" xr:uid="{00000000-0005-0000-0000-000070100000}"/>
    <cellStyle name="Comma 145 3 2 2" xfId="14830" xr:uid="{00000000-0005-0000-0000-000071100000}"/>
    <cellStyle name="Comma 145 3 2 2 2" xfId="34750" xr:uid="{00000000-0005-0000-0000-000072100000}"/>
    <cellStyle name="Comma 145 3 2 3" xfId="20982" xr:uid="{00000000-0005-0000-0000-000073100000}"/>
    <cellStyle name="Comma 145 3 2 3 2" xfId="40902" xr:uid="{00000000-0005-0000-0000-000074100000}"/>
    <cellStyle name="Comma 145 3 2 4" xfId="28597" xr:uid="{00000000-0005-0000-0000-000075100000}"/>
    <cellStyle name="Comma 145 3 3" xfId="11764" xr:uid="{00000000-0005-0000-0000-000076100000}"/>
    <cellStyle name="Comma 145 3 3 2" xfId="31684" xr:uid="{00000000-0005-0000-0000-000077100000}"/>
    <cellStyle name="Comma 145 3 4" xfId="17916" xr:uid="{00000000-0005-0000-0000-000078100000}"/>
    <cellStyle name="Comma 145 3 4 2" xfId="37836" xr:uid="{00000000-0005-0000-0000-000079100000}"/>
    <cellStyle name="Comma 145 3 5" xfId="25531" xr:uid="{00000000-0005-0000-0000-00007A100000}"/>
    <cellStyle name="Comma 145 4" xfId="7102" xr:uid="{00000000-0005-0000-0000-00007B100000}"/>
    <cellStyle name="Comma 145 4 2" xfId="13296" xr:uid="{00000000-0005-0000-0000-00007C100000}"/>
    <cellStyle name="Comma 145 4 2 2" xfId="33216" xr:uid="{00000000-0005-0000-0000-00007D100000}"/>
    <cellStyle name="Comma 145 4 3" xfId="19448" xr:uid="{00000000-0005-0000-0000-00007E100000}"/>
    <cellStyle name="Comma 145 4 3 2" xfId="39368" xr:uid="{00000000-0005-0000-0000-00007F100000}"/>
    <cellStyle name="Comma 145 4 4" xfId="27063" xr:uid="{00000000-0005-0000-0000-000080100000}"/>
    <cellStyle name="Comma 145 5" xfId="10230" xr:uid="{00000000-0005-0000-0000-000081100000}"/>
    <cellStyle name="Comma 145 5 2" xfId="30150" xr:uid="{00000000-0005-0000-0000-000082100000}"/>
    <cellStyle name="Comma 145 6" xfId="16382" xr:uid="{00000000-0005-0000-0000-000083100000}"/>
    <cellStyle name="Comma 145 6 2" xfId="36302" xr:uid="{00000000-0005-0000-0000-000084100000}"/>
    <cellStyle name="Comma 145 7" xfId="23997" xr:uid="{00000000-0005-0000-0000-000085100000}"/>
    <cellStyle name="Comma 146" xfId="1431" xr:uid="{00000000-0005-0000-0000-000086100000}"/>
    <cellStyle name="Comma 146 2" xfId="4696" xr:uid="{00000000-0005-0000-0000-000087100000}"/>
    <cellStyle name="Comma 146 2 2" xfId="6321" xr:uid="{00000000-0005-0000-0000-000088100000}"/>
    <cellStyle name="Comma 146 2 2 2" xfId="9407" xr:uid="{00000000-0005-0000-0000-000089100000}"/>
    <cellStyle name="Comma 146 2 2 2 2" xfId="15600" xr:uid="{00000000-0005-0000-0000-00008A100000}"/>
    <cellStyle name="Comma 146 2 2 2 2 2" xfId="35520" xr:uid="{00000000-0005-0000-0000-00008B100000}"/>
    <cellStyle name="Comma 146 2 2 2 3" xfId="21752" xr:uid="{00000000-0005-0000-0000-00008C100000}"/>
    <cellStyle name="Comma 146 2 2 2 3 2" xfId="41672" xr:uid="{00000000-0005-0000-0000-00008D100000}"/>
    <cellStyle name="Comma 146 2 2 2 4" xfId="29367" xr:uid="{00000000-0005-0000-0000-00008E100000}"/>
    <cellStyle name="Comma 146 2 2 3" xfId="12534" xr:uid="{00000000-0005-0000-0000-00008F100000}"/>
    <cellStyle name="Comma 146 2 2 3 2" xfId="32454" xr:uid="{00000000-0005-0000-0000-000090100000}"/>
    <cellStyle name="Comma 146 2 2 4" xfId="18686" xr:uid="{00000000-0005-0000-0000-000091100000}"/>
    <cellStyle name="Comma 146 2 2 4 2" xfId="38606" xr:uid="{00000000-0005-0000-0000-000092100000}"/>
    <cellStyle name="Comma 146 2 2 5" xfId="26301" xr:uid="{00000000-0005-0000-0000-000093100000}"/>
    <cellStyle name="Comma 146 2 3" xfId="7872" xr:uid="{00000000-0005-0000-0000-000094100000}"/>
    <cellStyle name="Comma 146 2 3 2" xfId="14066" xr:uid="{00000000-0005-0000-0000-000095100000}"/>
    <cellStyle name="Comma 146 2 3 2 2" xfId="33986" xr:uid="{00000000-0005-0000-0000-000096100000}"/>
    <cellStyle name="Comma 146 2 3 3" xfId="20218" xr:uid="{00000000-0005-0000-0000-000097100000}"/>
    <cellStyle name="Comma 146 2 3 3 2" xfId="40138" xr:uid="{00000000-0005-0000-0000-000098100000}"/>
    <cellStyle name="Comma 146 2 3 4" xfId="27833" xr:uid="{00000000-0005-0000-0000-000099100000}"/>
    <cellStyle name="Comma 146 2 4" xfId="11000" xr:uid="{00000000-0005-0000-0000-00009A100000}"/>
    <cellStyle name="Comma 146 2 4 2" xfId="30920" xr:uid="{00000000-0005-0000-0000-00009B100000}"/>
    <cellStyle name="Comma 146 2 5" xfId="17152" xr:uid="{00000000-0005-0000-0000-00009C100000}"/>
    <cellStyle name="Comma 146 2 5 2" xfId="37072" xr:uid="{00000000-0005-0000-0000-00009D100000}"/>
    <cellStyle name="Comma 146 2 6" xfId="24767" xr:uid="{00000000-0005-0000-0000-00009E100000}"/>
    <cellStyle name="Comma 146 3" xfId="5535" xr:uid="{00000000-0005-0000-0000-00009F100000}"/>
    <cellStyle name="Comma 146 3 2" xfId="8638" xr:uid="{00000000-0005-0000-0000-0000A0100000}"/>
    <cellStyle name="Comma 146 3 2 2" xfId="14831" xr:uid="{00000000-0005-0000-0000-0000A1100000}"/>
    <cellStyle name="Comma 146 3 2 2 2" xfId="34751" xr:uid="{00000000-0005-0000-0000-0000A2100000}"/>
    <cellStyle name="Comma 146 3 2 3" xfId="20983" xr:uid="{00000000-0005-0000-0000-0000A3100000}"/>
    <cellStyle name="Comma 146 3 2 3 2" xfId="40903" xr:uid="{00000000-0005-0000-0000-0000A4100000}"/>
    <cellStyle name="Comma 146 3 2 4" xfId="28598" xr:uid="{00000000-0005-0000-0000-0000A5100000}"/>
    <cellStyle name="Comma 146 3 3" xfId="11765" xr:uid="{00000000-0005-0000-0000-0000A6100000}"/>
    <cellStyle name="Comma 146 3 3 2" xfId="31685" xr:uid="{00000000-0005-0000-0000-0000A7100000}"/>
    <cellStyle name="Comma 146 3 4" xfId="17917" xr:uid="{00000000-0005-0000-0000-0000A8100000}"/>
    <cellStyle name="Comma 146 3 4 2" xfId="37837" xr:uid="{00000000-0005-0000-0000-0000A9100000}"/>
    <cellStyle name="Comma 146 3 5" xfId="25532" xr:uid="{00000000-0005-0000-0000-0000AA100000}"/>
    <cellStyle name="Comma 146 4" xfId="7103" xr:uid="{00000000-0005-0000-0000-0000AB100000}"/>
    <cellStyle name="Comma 146 4 2" xfId="13297" xr:uid="{00000000-0005-0000-0000-0000AC100000}"/>
    <cellStyle name="Comma 146 4 2 2" xfId="33217" xr:uid="{00000000-0005-0000-0000-0000AD100000}"/>
    <cellStyle name="Comma 146 4 3" xfId="19449" xr:uid="{00000000-0005-0000-0000-0000AE100000}"/>
    <cellStyle name="Comma 146 4 3 2" xfId="39369" xr:uid="{00000000-0005-0000-0000-0000AF100000}"/>
    <cellStyle name="Comma 146 4 4" xfId="27064" xr:uid="{00000000-0005-0000-0000-0000B0100000}"/>
    <cellStyle name="Comma 146 5" xfId="10231" xr:uid="{00000000-0005-0000-0000-0000B1100000}"/>
    <cellStyle name="Comma 146 5 2" xfId="30151" xr:uid="{00000000-0005-0000-0000-0000B2100000}"/>
    <cellStyle name="Comma 146 6" xfId="16383" xr:uid="{00000000-0005-0000-0000-0000B3100000}"/>
    <cellStyle name="Comma 146 6 2" xfId="36303" xr:uid="{00000000-0005-0000-0000-0000B4100000}"/>
    <cellStyle name="Comma 146 7" xfId="23998" xr:uid="{00000000-0005-0000-0000-0000B5100000}"/>
    <cellStyle name="Comma 147" xfId="1432" xr:uid="{00000000-0005-0000-0000-0000B6100000}"/>
    <cellStyle name="Comma 147 2" xfId="4697" xr:uid="{00000000-0005-0000-0000-0000B7100000}"/>
    <cellStyle name="Comma 147 2 2" xfId="6322" xr:uid="{00000000-0005-0000-0000-0000B8100000}"/>
    <cellStyle name="Comma 147 2 2 2" xfId="9408" xr:uid="{00000000-0005-0000-0000-0000B9100000}"/>
    <cellStyle name="Comma 147 2 2 2 2" xfId="15601" xr:uid="{00000000-0005-0000-0000-0000BA100000}"/>
    <cellStyle name="Comma 147 2 2 2 2 2" xfId="35521" xr:uid="{00000000-0005-0000-0000-0000BB100000}"/>
    <cellStyle name="Comma 147 2 2 2 3" xfId="21753" xr:uid="{00000000-0005-0000-0000-0000BC100000}"/>
    <cellStyle name="Comma 147 2 2 2 3 2" xfId="41673" xr:uid="{00000000-0005-0000-0000-0000BD100000}"/>
    <cellStyle name="Comma 147 2 2 2 4" xfId="29368" xr:uid="{00000000-0005-0000-0000-0000BE100000}"/>
    <cellStyle name="Comma 147 2 2 3" xfId="12535" xr:uid="{00000000-0005-0000-0000-0000BF100000}"/>
    <cellStyle name="Comma 147 2 2 3 2" xfId="32455" xr:uid="{00000000-0005-0000-0000-0000C0100000}"/>
    <cellStyle name="Comma 147 2 2 4" xfId="18687" xr:uid="{00000000-0005-0000-0000-0000C1100000}"/>
    <cellStyle name="Comma 147 2 2 4 2" xfId="38607" xr:uid="{00000000-0005-0000-0000-0000C2100000}"/>
    <cellStyle name="Comma 147 2 2 5" xfId="26302" xr:uid="{00000000-0005-0000-0000-0000C3100000}"/>
    <cellStyle name="Comma 147 2 3" xfId="7873" xr:uid="{00000000-0005-0000-0000-0000C4100000}"/>
    <cellStyle name="Comma 147 2 3 2" xfId="14067" xr:uid="{00000000-0005-0000-0000-0000C5100000}"/>
    <cellStyle name="Comma 147 2 3 2 2" xfId="33987" xr:uid="{00000000-0005-0000-0000-0000C6100000}"/>
    <cellStyle name="Comma 147 2 3 3" xfId="20219" xr:uid="{00000000-0005-0000-0000-0000C7100000}"/>
    <cellStyle name="Comma 147 2 3 3 2" xfId="40139" xr:uid="{00000000-0005-0000-0000-0000C8100000}"/>
    <cellStyle name="Comma 147 2 3 4" xfId="27834" xr:uid="{00000000-0005-0000-0000-0000C9100000}"/>
    <cellStyle name="Comma 147 2 4" xfId="11001" xr:uid="{00000000-0005-0000-0000-0000CA100000}"/>
    <cellStyle name="Comma 147 2 4 2" xfId="30921" xr:uid="{00000000-0005-0000-0000-0000CB100000}"/>
    <cellStyle name="Comma 147 2 5" xfId="17153" xr:uid="{00000000-0005-0000-0000-0000CC100000}"/>
    <cellStyle name="Comma 147 2 5 2" xfId="37073" xr:uid="{00000000-0005-0000-0000-0000CD100000}"/>
    <cellStyle name="Comma 147 2 6" xfId="24768" xr:uid="{00000000-0005-0000-0000-0000CE100000}"/>
    <cellStyle name="Comma 147 3" xfId="5536" xr:uid="{00000000-0005-0000-0000-0000CF100000}"/>
    <cellStyle name="Comma 147 3 2" xfId="8639" xr:uid="{00000000-0005-0000-0000-0000D0100000}"/>
    <cellStyle name="Comma 147 3 2 2" xfId="14832" xr:uid="{00000000-0005-0000-0000-0000D1100000}"/>
    <cellStyle name="Comma 147 3 2 2 2" xfId="34752" xr:uid="{00000000-0005-0000-0000-0000D2100000}"/>
    <cellStyle name="Comma 147 3 2 3" xfId="20984" xr:uid="{00000000-0005-0000-0000-0000D3100000}"/>
    <cellStyle name="Comma 147 3 2 3 2" xfId="40904" xr:uid="{00000000-0005-0000-0000-0000D4100000}"/>
    <cellStyle name="Comma 147 3 2 4" xfId="28599" xr:uid="{00000000-0005-0000-0000-0000D5100000}"/>
    <cellStyle name="Comma 147 3 3" xfId="11766" xr:uid="{00000000-0005-0000-0000-0000D6100000}"/>
    <cellStyle name="Comma 147 3 3 2" xfId="31686" xr:uid="{00000000-0005-0000-0000-0000D7100000}"/>
    <cellStyle name="Comma 147 3 4" xfId="17918" xr:uid="{00000000-0005-0000-0000-0000D8100000}"/>
    <cellStyle name="Comma 147 3 4 2" xfId="37838" xr:uid="{00000000-0005-0000-0000-0000D9100000}"/>
    <cellStyle name="Comma 147 3 5" xfId="25533" xr:uid="{00000000-0005-0000-0000-0000DA100000}"/>
    <cellStyle name="Comma 147 4" xfId="7104" xr:uid="{00000000-0005-0000-0000-0000DB100000}"/>
    <cellStyle name="Comma 147 4 2" xfId="13298" xr:uid="{00000000-0005-0000-0000-0000DC100000}"/>
    <cellStyle name="Comma 147 4 2 2" xfId="33218" xr:uid="{00000000-0005-0000-0000-0000DD100000}"/>
    <cellStyle name="Comma 147 4 3" xfId="19450" xr:uid="{00000000-0005-0000-0000-0000DE100000}"/>
    <cellStyle name="Comma 147 4 3 2" xfId="39370" xr:uid="{00000000-0005-0000-0000-0000DF100000}"/>
    <cellStyle name="Comma 147 4 4" xfId="27065" xr:uid="{00000000-0005-0000-0000-0000E0100000}"/>
    <cellStyle name="Comma 147 5" xfId="10232" xr:uid="{00000000-0005-0000-0000-0000E1100000}"/>
    <cellStyle name="Comma 147 5 2" xfId="30152" xr:uid="{00000000-0005-0000-0000-0000E2100000}"/>
    <cellStyle name="Comma 147 6" xfId="16384" xr:uid="{00000000-0005-0000-0000-0000E3100000}"/>
    <cellStyle name="Comma 147 6 2" xfId="36304" xr:uid="{00000000-0005-0000-0000-0000E4100000}"/>
    <cellStyle name="Comma 147 7" xfId="23999" xr:uid="{00000000-0005-0000-0000-0000E5100000}"/>
    <cellStyle name="Comma 148" xfId="1433" xr:uid="{00000000-0005-0000-0000-0000E6100000}"/>
    <cellStyle name="Comma 148 2" xfId="4698" xr:uid="{00000000-0005-0000-0000-0000E7100000}"/>
    <cellStyle name="Comma 148 2 2" xfId="6323" xr:uid="{00000000-0005-0000-0000-0000E8100000}"/>
    <cellStyle name="Comma 148 2 2 2" xfId="9409" xr:uid="{00000000-0005-0000-0000-0000E9100000}"/>
    <cellStyle name="Comma 148 2 2 2 2" xfId="15602" xr:uid="{00000000-0005-0000-0000-0000EA100000}"/>
    <cellStyle name="Comma 148 2 2 2 2 2" xfId="35522" xr:uid="{00000000-0005-0000-0000-0000EB100000}"/>
    <cellStyle name="Comma 148 2 2 2 3" xfId="21754" xr:uid="{00000000-0005-0000-0000-0000EC100000}"/>
    <cellStyle name="Comma 148 2 2 2 3 2" xfId="41674" xr:uid="{00000000-0005-0000-0000-0000ED100000}"/>
    <cellStyle name="Comma 148 2 2 2 4" xfId="29369" xr:uid="{00000000-0005-0000-0000-0000EE100000}"/>
    <cellStyle name="Comma 148 2 2 3" xfId="12536" xr:uid="{00000000-0005-0000-0000-0000EF100000}"/>
    <cellStyle name="Comma 148 2 2 3 2" xfId="32456" xr:uid="{00000000-0005-0000-0000-0000F0100000}"/>
    <cellStyle name="Comma 148 2 2 4" xfId="18688" xr:uid="{00000000-0005-0000-0000-0000F1100000}"/>
    <cellStyle name="Comma 148 2 2 4 2" xfId="38608" xr:uid="{00000000-0005-0000-0000-0000F2100000}"/>
    <cellStyle name="Comma 148 2 2 5" xfId="26303" xr:uid="{00000000-0005-0000-0000-0000F3100000}"/>
    <cellStyle name="Comma 148 2 3" xfId="7874" xr:uid="{00000000-0005-0000-0000-0000F4100000}"/>
    <cellStyle name="Comma 148 2 3 2" xfId="14068" xr:uid="{00000000-0005-0000-0000-0000F5100000}"/>
    <cellStyle name="Comma 148 2 3 2 2" xfId="33988" xr:uid="{00000000-0005-0000-0000-0000F6100000}"/>
    <cellStyle name="Comma 148 2 3 3" xfId="20220" xr:uid="{00000000-0005-0000-0000-0000F7100000}"/>
    <cellStyle name="Comma 148 2 3 3 2" xfId="40140" xr:uid="{00000000-0005-0000-0000-0000F8100000}"/>
    <cellStyle name="Comma 148 2 3 4" xfId="27835" xr:uid="{00000000-0005-0000-0000-0000F9100000}"/>
    <cellStyle name="Comma 148 2 4" xfId="11002" xr:uid="{00000000-0005-0000-0000-0000FA100000}"/>
    <cellStyle name="Comma 148 2 4 2" xfId="30922" xr:uid="{00000000-0005-0000-0000-0000FB100000}"/>
    <cellStyle name="Comma 148 2 5" xfId="17154" xr:uid="{00000000-0005-0000-0000-0000FC100000}"/>
    <cellStyle name="Comma 148 2 5 2" xfId="37074" xr:uid="{00000000-0005-0000-0000-0000FD100000}"/>
    <cellStyle name="Comma 148 2 6" xfId="24769" xr:uid="{00000000-0005-0000-0000-0000FE100000}"/>
    <cellStyle name="Comma 148 3" xfId="5537" xr:uid="{00000000-0005-0000-0000-0000FF100000}"/>
    <cellStyle name="Comma 148 3 2" xfId="8640" xr:uid="{00000000-0005-0000-0000-000000110000}"/>
    <cellStyle name="Comma 148 3 2 2" xfId="14833" xr:uid="{00000000-0005-0000-0000-000001110000}"/>
    <cellStyle name="Comma 148 3 2 2 2" xfId="34753" xr:uid="{00000000-0005-0000-0000-000002110000}"/>
    <cellStyle name="Comma 148 3 2 3" xfId="20985" xr:uid="{00000000-0005-0000-0000-000003110000}"/>
    <cellStyle name="Comma 148 3 2 3 2" xfId="40905" xr:uid="{00000000-0005-0000-0000-000004110000}"/>
    <cellStyle name="Comma 148 3 2 4" xfId="28600" xr:uid="{00000000-0005-0000-0000-000005110000}"/>
    <cellStyle name="Comma 148 3 3" xfId="11767" xr:uid="{00000000-0005-0000-0000-000006110000}"/>
    <cellStyle name="Comma 148 3 3 2" xfId="31687" xr:uid="{00000000-0005-0000-0000-000007110000}"/>
    <cellStyle name="Comma 148 3 4" xfId="17919" xr:uid="{00000000-0005-0000-0000-000008110000}"/>
    <cellStyle name="Comma 148 3 4 2" xfId="37839" xr:uid="{00000000-0005-0000-0000-000009110000}"/>
    <cellStyle name="Comma 148 3 5" xfId="25534" xr:uid="{00000000-0005-0000-0000-00000A110000}"/>
    <cellStyle name="Comma 148 4" xfId="7105" xr:uid="{00000000-0005-0000-0000-00000B110000}"/>
    <cellStyle name="Comma 148 4 2" xfId="13299" xr:uid="{00000000-0005-0000-0000-00000C110000}"/>
    <cellStyle name="Comma 148 4 2 2" xfId="33219" xr:uid="{00000000-0005-0000-0000-00000D110000}"/>
    <cellStyle name="Comma 148 4 3" xfId="19451" xr:uid="{00000000-0005-0000-0000-00000E110000}"/>
    <cellStyle name="Comma 148 4 3 2" xfId="39371" xr:uid="{00000000-0005-0000-0000-00000F110000}"/>
    <cellStyle name="Comma 148 4 4" xfId="27066" xr:uid="{00000000-0005-0000-0000-000010110000}"/>
    <cellStyle name="Comma 148 5" xfId="10233" xr:uid="{00000000-0005-0000-0000-000011110000}"/>
    <cellStyle name="Comma 148 5 2" xfId="30153" xr:uid="{00000000-0005-0000-0000-000012110000}"/>
    <cellStyle name="Comma 148 6" xfId="16385" xr:uid="{00000000-0005-0000-0000-000013110000}"/>
    <cellStyle name="Comma 148 6 2" xfId="36305" xr:uid="{00000000-0005-0000-0000-000014110000}"/>
    <cellStyle name="Comma 148 7" xfId="24000" xr:uid="{00000000-0005-0000-0000-000015110000}"/>
    <cellStyle name="Comma 149" xfId="1434" xr:uid="{00000000-0005-0000-0000-000016110000}"/>
    <cellStyle name="Comma 149 2" xfId="4699" xr:uid="{00000000-0005-0000-0000-000017110000}"/>
    <cellStyle name="Comma 149 2 2" xfId="6324" xr:uid="{00000000-0005-0000-0000-000018110000}"/>
    <cellStyle name="Comma 149 2 2 2" xfId="9410" xr:uid="{00000000-0005-0000-0000-000019110000}"/>
    <cellStyle name="Comma 149 2 2 2 2" xfId="15603" xr:uid="{00000000-0005-0000-0000-00001A110000}"/>
    <cellStyle name="Comma 149 2 2 2 2 2" xfId="35523" xr:uid="{00000000-0005-0000-0000-00001B110000}"/>
    <cellStyle name="Comma 149 2 2 2 3" xfId="21755" xr:uid="{00000000-0005-0000-0000-00001C110000}"/>
    <cellStyle name="Comma 149 2 2 2 3 2" xfId="41675" xr:uid="{00000000-0005-0000-0000-00001D110000}"/>
    <cellStyle name="Comma 149 2 2 2 4" xfId="29370" xr:uid="{00000000-0005-0000-0000-00001E110000}"/>
    <cellStyle name="Comma 149 2 2 3" xfId="12537" xr:uid="{00000000-0005-0000-0000-00001F110000}"/>
    <cellStyle name="Comma 149 2 2 3 2" xfId="32457" xr:uid="{00000000-0005-0000-0000-000020110000}"/>
    <cellStyle name="Comma 149 2 2 4" xfId="18689" xr:uid="{00000000-0005-0000-0000-000021110000}"/>
    <cellStyle name="Comma 149 2 2 4 2" xfId="38609" xr:uid="{00000000-0005-0000-0000-000022110000}"/>
    <cellStyle name="Comma 149 2 2 5" xfId="26304" xr:uid="{00000000-0005-0000-0000-000023110000}"/>
    <cellStyle name="Comma 149 2 3" xfId="7875" xr:uid="{00000000-0005-0000-0000-000024110000}"/>
    <cellStyle name="Comma 149 2 3 2" xfId="14069" xr:uid="{00000000-0005-0000-0000-000025110000}"/>
    <cellStyle name="Comma 149 2 3 2 2" xfId="33989" xr:uid="{00000000-0005-0000-0000-000026110000}"/>
    <cellStyle name="Comma 149 2 3 3" xfId="20221" xr:uid="{00000000-0005-0000-0000-000027110000}"/>
    <cellStyle name="Comma 149 2 3 3 2" xfId="40141" xr:uid="{00000000-0005-0000-0000-000028110000}"/>
    <cellStyle name="Comma 149 2 3 4" xfId="27836" xr:uid="{00000000-0005-0000-0000-000029110000}"/>
    <cellStyle name="Comma 149 2 4" xfId="11003" xr:uid="{00000000-0005-0000-0000-00002A110000}"/>
    <cellStyle name="Comma 149 2 4 2" xfId="30923" xr:uid="{00000000-0005-0000-0000-00002B110000}"/>
    <cellStyle name="Comma 149 2 5" xfId="17155" xr:uid="{00000000-0005-0000-0000-00002C110000}"/>
    <cellStyle name="Comma 149 2 5 2" xfId="37075" xr:uid="{00000000-0005-0000-0000-00002D110000}"/>
    <cellStyle name="Comma 149 2 6" xfId="24770" xr:uid="{00000000-0005-0000-0000-00002E110000}"/>
    <cellStyle name="Comma 149 3" xfId="5538" xr:uid="{00000000-0005-0000-0000-00002F110000}"/>
    <cellStyle name="Comma 149 3 2" xfId="8641" xr:uid="{00000000-0005-0000-0000-000030110000}"/>
    <cellStyle name="Comma 149 3 2 2" xfId="14834" xr:uid="{00000000-0005-0000-0000-000031110000}"/>
    <cellStyle name="Comma 149 3 2 2 2" xfId="34754" xr:uid="{00000000-0005-0000-0000-000032110000}"/>
    <cellStyle name="Comma 149 3 2 3" xfId="20986" xr:uid="{00000000-0005-0000-0000-000033110000}"/>
    <cellStyle name="Comma 149 3 2 3 2" xfId="40906" xr:uid="{00000000-0005-0000-0000-000034110000}"/>
    <cellStyle name="Comma 149 3 2 4" xfId="28601" xr:uid="{00000000-0005-0000-0000-000035110000}"/>
    <cellStyle name="Comma 149 3 3" xfId="11768" xr:uid="{00000000-0005-0000-0000-000036110000}"/>
    <cellStyle name="Comma 149 3 3 2" xfId="31688" xr:uid="{00000000-0005-0000-0000-000037110000}"/>
    <cellStyle name="Comma 149 3 4" xfId="17920" xr:uid="{00000000-0005-0000-0000-000038110000}"/>
    <cellStyle name="Comma 149 3 4 2" xfId="37840" xr:uid="{00000000-0005-0000-0000-000039110000}"/>
    <cellStyle name="Comma 149 3 5" xfId="25535" xr:uid="{00000000-0005-0000-0000-00003A110000}"/>
    <cellStyle name="Comma 149 4" xfId="7106" xr:uid="{00000000-0005-0000-0000-00003B110000}"/>
    <cellStyle name="Comma 149 4 2" xfId="13300" xr:uid="{00000000-0005-0000-0000-00003C110000}"/>
    <cellStyle name="Comma 149 4 2 2" xfId="33220" xr:uid="{00000000-0005-0000-0000-00003D110000}"/>
    <cellStyle name="Comma 149 4 3" xfId="19452" xr:uid="{00000000-0005-0000-0000-00003E110000}"/>
    <cellStyle name="Comma 149 4 3 2" xfId="39372" xr:uid="{00000000-0005-0000-0000-00003F110000}"/>
    <cellStyle name="Comma 149 4 4" xfId="27067" xr:uid="{00000000-0005-0000-0000-000040110000}"/>
    <cellStyle name="Comma 149 5" xfId="10234" xr:uid="{00000000-0005-0000-0000-000041110000}"/>
    <cellStyle name="Comma 149 5 2" xfId="30154" xr:uid="{00000000-0005-0000-0000-000042110000}"/>
    <cellStyle name="Comma 149 6" xfId="16386" xr:uid="{00000000-0005-0000-0000-000043110000}"/>
    <cellStyle name="Comma 149 6 2" xfId="36306" xr:uid="{00000000-0005-0000-0000-000044110000}"/>
    <cellStyle name="Comma 149 7" xfId="24001" xr:uid="{00000000-0005-0000-0000-000045110000}"/>
    <cellStyle name="Comma 15" xfId="111" xr:uid="{00000000-0005-0000-0000-000046110000}"/>
    <cellStyle name="Comma 15 2" xfId="762" xr:uid="{00000000-0005-0000-0000-000047110000}"/>
    <cellStyle name="Comma 15 2 2" xfId="1436" xr:uid="{00000000-0005-0000-0000-000048110000}"/>
    <cellStyle name="Comma 15 2 3" xfId="23644" xr:uid="{00000000-0005-0000-0000-000049110000}"/>
    <cellStyle name="Comma 15 3" xfId="1435" xr:uid="{00000000-0005-0000-0000-00004A110000}"/>
    <cellStyle name="Comma 15 4" xfId="22502" xr:uid="{00000000-0005-0000-0000-00004B110000}"/>
    <cellStyle name="Comma 15 4 2" xfId="42413" xr:uid="{00000000-0005-0000-0000-00004C110000}"/>
    <cellStyle name="Comma 15 5" xfId="22727" xr:uid="{00000000-0005-0000-0000-00004D110000}"/>
    <cellStyle name="Comma 15 5 2" xfId="42638" xr:uid="{00000000-0005-0000-0000-00004E110000}"/>
    <cellStyle name="Comma 15 6" xfId="23030" xr:uid="{00000000-0005-0000-0000-00004F110000}"/>
    <cellStyle name="Comma 15 6 2" xfId="42941" xr:uid="{00000000-0005-0000-0000-000050110000}"/>
    <cellStyle name="Comma 15 7" xfId="23341" xr:uid="{00000000-0005-0000-0000-000051110000}"/>
    <cellStyle name="Comma 150" xfId="1437" xr:uid="{00000000-0005-0000-0000-000052110000}"/>
    <cellStyle name="Comma 150 2" xfId="4700" xr:uid="{00000000-0005-0000-0000-000053110000}"/>
    <cellStyle name="Comma 150 2 2" xfId="6325" xr:uid="{00000000-0005-0000-0000-000054110000}"/>
    <cellStyle name="Comma 150 2 2 2" xfId="9411" xr:uid="{00000000-0005-0000-0000-000055110000}"/>
    <cellStyle name="Comma 150 2 2 2 2" xfId="15604" xr:uid="{00000000-0005-0000-0000-000056110000}"/>
    <cellStyle name="Comma 150 2 2 2 2 2" xfId="35524" xr:uid="{00000000-0005-0000-0000-000057110000}"/>
    <cellStyle name="Comma 150 2 2 2 3" xfId="21756" xr:uid="{00000000-0005-0000-0000-000058110000}"/>
    <cellStyle name="Comma 150 2 2 2 3 2" xfId="41676" xr:uid="{00000000-0005-0000-0000-000059110000}"/>
    <cellStyle name="Comma 150 2 2 2 4" xfId="29371" xr:uid="{00000000-0005-0000-0000-00005A110000}"/>
    <cellStyle name="Comma 150 2 2 3" xfId="12538" xr:uid="{00000000-0005-0000-0000-00005B110000}"/>
    <cellStyle name="Comma 150 2 2 3 2" xfId="32458" xr:uid="{00000000-0005-0000-0000-00005C110000}"/>
    <cellStyle name="Comma 150 2 2 4" xfId="18690" xr:uid="{00000000-0005-0000-0000-00005D110000}"/>
    <cellStyle name="Comma 150 2 2 4 2" xfId="38610" xr:uid="{00000000-0005-0000-0000-00005E110000}"/>
    <cellStyle name="Comma 150 2 2 5" xfId="26305" xr:uid="{00000000-0005-0000-0000-00005F110000}"/>
    <cellStyle name="Comma 150 2 3" xfId="7876" xr:uid="{00000000-0005-0000-0000-000060110000}"/>
    <cellStyle name="Comma 150 2 3 2" xfId="14070" xr:uid="{00000000-0005-0000-0000-000061110000}"/>
    <cellStyle name="Comma 150 2 3 2 2" xfId="33990" xr:uid="{00000000-0005-0000-0000-000062110000}"/>
    <cellStyle name="Comma 150 2 3 3" xfId="20222" xr:uid="{00000000-0005-0000-0000-000063110000}"/>
    <cellStyle name="Comma 150 2 3 3 2" xfId="40142" xr:uid="{00000000-0005-0000-0000-000064110000}"/>
    <cellStyle name="Comma 150 2 3 4" xfId="27837" xr:uid="{00000000-0005-0000-0000-000065110000}"/>
    <cellStyle name="Comma 150 2 4" xfId="11004" xr:uid="{00000000-0005-0000-0000-000066110000}"/>
    <cellStyle name="Comma 150 2 4 2" xfId="30924" xr:uid="{00000000-0005-0000-0000-000067110000}"/>
    <cellStyle name="Comma 150 2 5" xfId="17156" xr:uid="{00000000-0005-0000-0000-000068110000}"/>
    <cellStyle name="Comma 150 2 5 2" xfId="37076" xr:uid="{00000000-0005-0000-0000-000069110000}"/>
    <cellStyle name="Comma 150 2 6" xfId="24771" xr:uid="{00000000-0005-0000-0000-00006A110000}"/>
    <cellStyle name="Comma 150 3" xfId="5539" xr:uid="{00000000-0005-0000-0000-00006B110000}"/>
    <cellStyle name="Comma 150 3 2" xfId="8642" xr:uid="{00000000-0005-0000-0000-00006C110000}"/>
    <cellStyle name="Comma 150 3 2 2" xfId="14835" xr:uid="{00000000-0005-0000-0000-00006D110000}"/>
    <cellStyle name="Comma 150 3 2 2 2" xfId="34755" xr:uid="{00000000-0005-0000-0000-00006E110000}"/>
    <cellStyle name="Comma 150 3 2 3" xfId="20987" xr:uid="{00000000-0005-0000-0000-00006F110000}"/>
    <cellStyle name="Comma 150 3 2 3 2" xfId="40907" xr:uid="{00000000-0005-0000-0000-000070110000}"/>
    <cellStyle name="Comma 150 3 2 4" xfId="28602" xr:uid="{00000000-0005-0000-0000-000071110000}"/>
    <cellStyle name="Comma 150 3 3" xfId="11769" xr:uid="{00000000-0005-0000-0000-000072110000}"/>
    <cellStyle name="Comma 150 3 3 2" xfId="31689" xr:uid="{00000000-0005-0000-0000-000073110000}"/>
    <cellStyle name="Comma 150 3 4" xfId="17921" xr:uid="{00000000-0005-0000-0000-000074110000}"/>
    <cellStyle name="Comma 150 3 4 2" xfId="37841" xr:uid="{00000000-0005-0000-0000-000075110000}"/>
    <cellStyle name="Comma 150 3 5" xfId="25536" xr:uid="{00000000-0005-0000-0000-000076110000}"/>
    <cellStyle name="Comma 150 4" xfId="7107" xr:uid="{00000000-0005-0000-0000-000077110000}"/>
    <cellStyle name="Comma 150 4 2" xfId="13301" xr:uid="{00000000-0005-0000-0000-000078110000}"/>
    <cellStyle name="Comma 150 4 2 2" xfId="33221" xr:uid="{00000000-0005-0000-0000-000079110000}"/>
    <cellStyle name="Comma 150 4 3" xfId="19453" xr:uid="{00000000-0005-0000-0000-00007A110000}"/>
    <cellStyle name="Comma 150 4 3 2" xfId="39373" xr:uid="{00000000-0005-0000-0000-00007B110000}"/>
    <cellStyle name="Comma 150 4 4" xfId="27068" xr:uid="{00000000-0005-0000-0000-00007C110000}"/>
    <cellStyle name="Comma 150 5" xfId="10235" xr:uid="{00000000-0005-0000-0000-00007D110000}"/>
    <cellStyle name="Comma 150 5 2" xfId="30155" xr:uid="{00000000-0005-0000-0000-00007E110000}"/>
    <cellStyle name="Comma 150 6" xfId="16387" xr:uid="{00000000-0005-0000-0000-00007F110000}"/>
    <cellStyle name="Comma 150 6 2" xfId="36307" xr:uid="{00000000-0005-0000-0000-000080110000}"/>
    <cellStyle name="Comma 150 7" xfId="24002" xr:uid="{00000000-0005-0000-0000-000081110000}"/>
    <cellStyle name="Comma 151" xfId="1438" xr:uid="{00000000-0005-0000-0000-000082110000}"/>
    <cellStyle name="Comma 151 2" xfId="4701" xr:uid="{00000000-0005-0000-0000-000083110000}"/>
    <cellStyle name="Comma 151 2 2" xfId="6326" xr:uid="{00000000-0005-0000-0000-000084110000}"/>
    <cellStyle name="Comma 151 2 2 2" xfId="9412" xr:uid="{00000000-0005-0000-0000-000085110000}"/>
    <cellStyle name="Comma 151 2 2 2 2" xfId="15605" xr:uid="{00000000-0005-0000-0000-000086110000}"/>
    <cellStyle name="Comma 151 2 2 2 2 2" xfId="35525" xr:uid="{00000000-0005-0000-0000-000087110000}"/>
    <cellStyle name="Comma 151 2 2 2 3" xfId="21757" xr:uid="{00000000-0005-0000-0000-000088110000}"/>
    <cellStyle name="Comma 151 2 2 2 3 2" xfId="41677" xr:uid="{00000000-0005-0000-0000-000089110000}"/>
    <cellStyle name="Comma 151 2 2 2 4" xfId="29372" xr:uid="{00000000-0005-0000-0000-00008A110000}"/>
    <cellStyle name="Comma 151 2 2 3" xfId="12539" xr:uid="{00000000-0005-0000-0000-00008B110000}"/>
    <cellStyle name="Comma 151 2 2 3 2" xfId="32459" xr:uid="{00000000-0005-0000-0000-00008C110000}"/>
    <cellStyle name="Comma 151 2 2 4" xfId="18691" xr:uid="{00000000-0005-0000-0000-00008D110000}"/>
    <cellStyle name="Comma 151 2 2 4 2" xfId="38611" xr:uid="{00000000-0005-0000-0000-00008E110000}"/>
    <cellStyle name="Comma 151 2 2 5" xfId="26306" xr:uid="{00000000-0005-0000-0000-00008F110000}"/>
    <cellStyle name="Comma 151 2 3" xfId="7877" xr:uid="{00000000-0005-0000-0000-000090110000}"/>
    <cellStyle name="Comma 151 2 3 2" xfId="14071" xr:uid="{00000000-0005-0000-0000-000091110000}"/>
    <cellStyle name="Comma 151 2 3 2 2" xfId="33991" xr:uid="{00000000-0005-0000-0000-000092110000}"/>
    <cellStyle name="Comma 151 2 3 3" xfId="20223" xr:uid="{00000000-0005-0000-0000-000093110000}"/>
    <cellStyle name="Comma 151 2 3 3 2" xfId="40143" xr:uid="{00000000-0005-0000-0000-000094110000}"/>
    <cellStyle name="Comma 151 2 3 4" xfId="27838" xr:uid="{00000000-0005-0000-0000-000095110000}"/>
    <cellStyle name="Comma 151 2 4" xfId="11005" xr:uid="{00000000-0005-0000-0000-000096110000}"/>
    <cellStyle name="Comma 151 2 4 2" xfId="30925" xr:uid="{00000000-0005-0000-0000-000097110000}"/>
    <cellStyle name="Comma 151 2 5" xfId="17157" xr:uid="{00000000-0005-0000-0000-000098110000}"/>
    <cellStyle name="Comma 151 2 5 2" xfId="37077" xr:uid="{00000000-0005-0000-0000-000099110000}"/>
    <cellStyle name="Comma 151 2 6" xfId="24772" xr:uid="{00000000-0005-0000-0000-00009A110000}"/>
    <cellStyle name="Comma 151 3" xfId="5540" xr:uid="{00000000-0005-0000-0000-00009B110000}"/>
    <cellStyle name="Comma 151 3 2" xfId="8643" xr:uid="{00000000-0005-0000-0000-00009C110000}"/>
    <cellStyle name="Comma 151 3 2 2" xfId="14836" xr:uid="{00000000-0005-0000-0000-00009D110000}"/>
    <cellStyle name="Comma 151 3 2 2 2" xfId="34756" xr:uid="{00000000-0005-0000-0000-00009E110000}"/>
    <cellStyle name="Comma 151 3 2 3" xfId="20988" xr:uid="{00000000-0005-0000-0000-00009F110000}"/>
    <cellStyle name="Comma 151 3 2 3 2" xfId="40908" xr:uid="{00000000-0005-0000-0000-0000A0110000}"/>
    <cellStyle name="Comma 151 3 2 4" xfId="28603" xr:uid="{00000000-0005-0000-0000-0000A1110000}"/>
    <cellStyle name="Comma 151 3 3" xfId="11770" xr:uid="{00000000-0005-0000-0000-0000A2110000}"/>
    <cellStyle name="Comma 151 3 3 2" xfId="31690" xr:uid="{00000000-0005-0000-0000-0000A3110000}"/>
    <cellStyle name="Comma 151 3 4" xfId="17922" xr:uid="{00000000-0005-0000-0000-0000A4110000}"/>
    <cellStyle name="Comma 151 3 4 2" xfId="37842" xr:uid="{00000000-0005-0000-0000-0000A5110000}"/>
    <cellStyle name="Comma 151 3 5" xfId="25537" xr:uid="{00000000-0005-0000-0000-0000A6110000}"/>
    <cellStyle name="Comma 151 4" xfId="7108" xr:uid="{00000000-0005-0000-0000-0000A7110000}"/>
    <cellStyle name="Comma 151 4 2" xfId="13302" xr:uid="{00000000-0005-0000-0000-0000A8110000}"/>
    <cellStyle name="Comma 151 4 2 2" xfId="33222" xr:uid="{00000000-0005-0000-0000-0000A9110000}"/>
    <cellStyle name="Comma 151 4 3" xfId="19454" xr:uid="{00000000-0005-0000-0000-0000AA110000}"/>
    <cellStyle name="Comma 151 4 3 2" xfId="39374" xr:uid="{00000000-0005-0000-0000-0000AB110000}"/>
    <cellStyle name="Comma 151 4 4" xfId="27069" xr:uid="{00000000-0005-0000-0000-0000AC110000}"/>
    <cellStyle name="Comma 151 5" xfId="10236" xr:uid="{00000000-0005-0000-0000-0000AD110000}"/>
    <cellStyle name="Comma 151 5 2" xfId="30156" xr:uid="{00000000-0005-0000-0000-0000AE110000}"/>
    <cellStyle name="Comma 151 6" xfId="16388" xr:uid="{00000000-0005-0000-0000-0000AF110000}"/>
    <cellStyle name="Comma 151 6 2" xfId="36308" xr:uid="{00000000-0005-0000-0000-0000B0110000}"/>
    <cellStyle name="Comma 151 7" xfId="24003" xr:uid="{00000000-0005-0000-0000-0000B1110000}"/>
    <cellStyle name="Comma 152" xfId="1439" xr:uid="{00000000-0005-0000-0000-0000B2110000}"/>
    <cellStyle name="Comma 152 2" xfId="4702" xr:uid="{00000000-0005-0000-0000-0000B3110000}"/>
    <cellStyle name="Comma 152 2 2" xfId="6327" xr:uid="{00000000-0005-0000-0000-0000B4110000}"/>
    <cellStyle name="Comma 152 2 2 2" xfId="9413" xr:uid="{00000000-0005-0000-0000-0000B5110000}"/>
    <cellStyle name="Comma 152 2 2 2 2" xfId="15606" xr:uid="{00000000-0005-0000-0000-0000B6110000}"/>
    <cellStyle name="Comma 152 2 2 2 2 2" xfId="35526" xr:uid="{00000000-0005-0000-0000-0000B7110000}"/>
    <cellStyle name="Comma 152 2 2 2 3" xfId="21758" xr:uid="{00000000-0005-0000-0000-0000B8110000}"/>
    <cellStyle name="Comma 152 2 2 2 3 2" xfId="41678" xr:uid="{00000000-0005-0000-0000-0000B9110000}"/>
    <cellStyle name="Comma 152 2 2 2 4" xfId="29373" xr:uid="{00000000-0005-0000-0000-0000BA110000}"/>
    <cellStyle name="Comma 152 2 2 3" xfId="12540" xr:uid="{00000000-0005-0000-0000-0000BB110000}"/>
    <cellStyle name="Comma 152 2 2 3 2" xfId="32460" xr:uid="{00000000-0005-0000-0000-0000BC110000}"/>
    <cellStyle name="Comma 152 2 2 4" xfId="18692" xr:uid="{00000000-0005-0000-0000-0000BD110000}"/>
    <cellStyle name="Comma 152 2 2 4 2" xfId="38612" xr:uid="{00000000-0005-0000-0000-0000BE110000}"/>
    <cellStyle name="Comma 152 2 2 5" xfId="26307" xr:uid="{00000000-0005-0000-0000-0000BF110000}"/>
    <cellStyle name="Comma 152 2 3" xfId="7878" xr:uid="{00000000-0005-0000-0000-0000C0110000}"/>
    <cellStyle name="Comma 152 2 3 2" xfId="14072" xr:uid="{00000000-0005-0000-0000-0000C1110000}"/>
    <cellStyle name="Comma 152 2 3 2 2" xfId="33992" xr:uid="{00000000-0005-0000-0000-0000C2110000}"/>
    <cellStyle name="Comma 152 2 3 3" xfId="20224" xr:uid="{00000000-0005-0000-0000-0000C3110000}"/>
    <cellStyle name="Comma 152 2 3 3 2" xfId="40144" xr:uid="{00000000-0005-0000-0000-0000C4110000}"/>
    <cellStyle name="Comma 152 2 3 4" xfId="27839" xr:uid="{00000000-0005-0000-0000-0000C5110000}"/>
    <cellStyle name="Comma 152 2 4" xfId="11006" xr:uid="{00000000-0005-0000-0000-0000C6110000}"/>
    <cellStyle name="Comma 152 2 4 2" xfId="30926" xr:uid="{00000000-0005-0000-0000-0000C7110000}"/>
    <cellStyle name="Comma 152 2 5" xfId="17158" xr:uid="{00000000-0005-0000-0000-0000C8110000}"/>
    <cellStyle name="Comma 152 2 5 2" xfId="37078" xr:uid="{00000000-0005-0000-0000-0000C9110000}"/>
    <cellStyle name="Comma 152 2 6" xfId="24773" xr:uid="{00000000-0005-0000-0000-0000CA110000}"/>
    <cellStyle name="Comma 152 3" xfId="5541" xr:uid="{00000000-0005-0000-0000-0000CB110000}"/>
    <cellStyle name="Comma 152 3 2" xfId="8644" xr:uid="{00000000-0005-0000-0000-0000CC110000}"/>
    <cellStyle name="Comma 152 3 2 2" xfId="14837" xr:uid="{00000000-0005-0000-0000-0000CD110000}"/>
    <cellStyle name="Comma 152 3 2 2 2" xfId="34757" xr:uid="{00000000-0005-0000-0000-0000CE110000}"/>
    <cellStyle name="Comma 152 3 2 3" xfId="20989" xr:uid="{00000000-0005-0000-0000-0000CF110000}"/>
    <cellStyle name="Comma 152 3 2 3 2" xfId="40909" xr:uid="{00000000-0005-0000-0000-0000D0110000}"/>
    <cellStyle name="Comma 152 3 2 4" xfId="28604" xr:uid="{00000000-0005-0000-0000-0000D1110000}"/>
    <cellStyle name="Comma 152 3 3" xfId="11771" xr:uid="{00000000-0005-0000-0000-0000D2110000}"/>
    <cellStyle name="Comma 152 3 3 2" xfId="31691" xr:uid="{00000000-0005-0000-0000-0000D3110000}"/>
    <cellStyle name="Comma 152 3 4" xfId="17923" xr:uid="{00000000-0005-0000-0000-0000D4110000}"/>
    <cellStyle name="Comma 152 3 4 2" xfId="37843" xr:uid="{00000000-0005-0000-0000-0000D5110000}"/>
    <cellStyle name="Comma 152 3 5" xfId="25538" xr:uid="{00000000-0005-0000-0000-0000D6110000}"/>
    <cellStyle name="Comma 152 4" xfId="7109" xr:uid="{00000000-0005-0000-0000-0000D7110000}"/>
    <cellStyle name="Comma 152 4 2" xfId="13303" xr:uid="{00000000-0005-0000-0000-0000D8110000}"/>
    <cellStyle name="Comma 152 4 2 2" xfId="33223" xr:uid="{00000000-0005-0000-0000-0000D9110000}"/>
    <cellStyle name="Comma 152 4 3" xfId="19455" xr:uid="{00000000-0005-0000-0000-0000DA110000}"/>
    <cellStyle name="Comma 152 4 3 2" xfId="39375" xr:uid="{00000000-0005-0000-0000-0000DB110000}"/>
    <cellStyle name="Comma 152 4 4" xfId="27070" xr:uid="{00000000-0005-0000-0000-0000DC110000}"/>
    <cellStyle name="Comma 152 5" xfId="10237" xr:uid="{00000000-0005-0000-0000-0000DD110000}"/>
    <cellStyle name="Comma 152 5 2" xfId="30157" xr:uid="{00000000-0005-0000-0000-0000DE110000}"/>
    <cellStyle name="Comma 152 6" xfId="16389" xr:uid="{00000000-0005-0000-0000-0000DF110000}"/>
    <cellStyle name="Comma 152 6 2" xfId="36309" xr:uid="{00000000-0005-0000-0000-0000E0110000}"/>
    <cellStyle name="Comma 152 7" xfId="24004" xr:uid="{00000000-0005-0000-0000-0000E1110000}"/>
    <cellStyle name="Comma 153" xfId="1440" xr:uid="{00000000-0005-0000-0000-0000E2110000}"/>
    <cellStyle name="Comma 153 2" xfId="4703" xr:uid="{00000000-0005-0000-0000-0000E3110000}"/>
    <cellStyle name="Comma 153 2 2" xfId="6328" xr:uid="{00000000-0005-0000-0000-0000E4110000}"/>
    <cellStyle name="Comma 153 2 2 2" xfId="9414" xr:uid="{00000000-0005-0000-0000-0000E5110000}"/>
    <cellStyle name="Comma 153 2 2 2 2" xfId="15607" xr:uid="{00000000-0005-0000-0000-0000E6110000}"/>
    <cellStyle name="Comma 153 2 2 2 2 2" xfId="35527" xr:uid="{00000000-0005-0000-0000-0000E7110000}"/>
    <cellStyle name="Comma 153 2 2 2 3" xfId="21759" xr:uid="{00000000-0005-0000-0000-0000E8110000}"/>
    <cellStyle name="Comma 153 2 2 2 3 2" xfId="41679" xr:uid="{00000000-0005-0000-0000-0000E9110000}"/>
    <cellStyle name="Comma 153 2 2 2 4" xfId="29374" xr:uid="{00000000-0005-0000-0000-0000EA110000}"/>
    <cellStyle name="Comma 153 2 2 3" xfId="12541" xr:uid="{00000000-0005-0000-0000-0000EB110000}"/>
    <cellStyle name="Comma 153 2 2 3 2" xfId="32461" xr:uid="{00000000-0005-0000-0000-0000EC110000}"/>
    <cellStyle name="Comma 153 2 2 4" xfId="18693" xr:uid="{00000000-0005-0000-0000-0000ED110000}"/>
    <cellStyle name="Comma 153 2 2 4 2" xfId="38613" xr:uid="{00000000-0005-0000-0000-0000EE110000}"/>
    <cellStyle name="Comma 153 2 2 5" xfId="26308" xr:uid="{00000000-0005-0000-0000-0000EF110000}"/>
    <cellStyle name="Comma 153 2 3" xfId="7879" xr:uid="{00000000-0005-0000-0000-0000F0110000}"/>
    <cellStyle name="Comma 153 2 3 2" xfId="14073" xr:uid="{00000000-0005-0000-0000-0000F1110000}"/>
    <cellStyle name="Comma 153 2 3 2 2" xfId="33993" xr:uid="{00000000-0005-0000-0000-0000F2110000}"/>
    <cellStyle name="Comma 153 2 3 3" xfId="20225" xr:uid="{00000000-0005-0000-0000-0000F3110000}"/>
    <cellStyle name="Comma 153 2 3 3 2" xfId="40145" xr:uid="{00000000-0005-0000-0000-0000F4110000}"/>
    <cellStyle name="Comma 153 2 3 4" xfId="27840" xr:uid="{00000000-0005-0000-0000-0000F5110000}"/>
    <cellStyle name="Comma 153 2 4" xfId="11007" xr:uid="{00000000-0005-0000-0000-0000F6110000}"/>
    <cellStyle name="Comma 153 2 4 2" xfId="30927" xr:uid="{00000000-0005-0000-0000-0000F7110000}"/>
    <cellStyle name="Comma 153 2 5" xfId="17159" xr:uid="{00000000-0005-0000-0000-0000F8110000}"/>
    <cellStyle name="Comma 153 2 5 2" xfId="37079" xr:uid="{00000000-0005-0000-0000-0000F9110000}"/>
    <cellStyle name="Comma 153 2 6" xfId="24774" xr:uid="{00000000-0005-0000-0000-0000FA110000}"/>
    <cellStyle name="Comma 153 3" xfId="5542" xr:uid="{00000000-0005-0000-0000-0000FB110000}"/>
    <cellStyle name="Comma 153 3 2" xfId="8645" xr:uid="{00000000-0005-0000-0000-0000FC110000}"/>
    <cellStyle name="Comma 153 3 2 2" xfId="14838" xr:uid="{00000000-0005-0000-0000-0000FD110000}"/>
    <cellStyle name="Comma 153 3 2 2 2" xfId="34758" xr:uid="{00000000-0005-0000-0000-0000FE110000}"/>
    <cellStyle name="Comma 153 3 2 3" xfId="20990" xr:uid="{00000000-0005-0000-0000-0000FF110000}"/>
    <cellStyle name="Comma 153 3 2 3 2" xfId="40910" xr:uid="{00000000-0005-0000-0000-000000120000}"/>
    <cellStyle name="Comma 153 3 2 4" xfId="28605" xr:uid="{00000000-0005-0000-0000-000001120000}"/>
    <cellStyle name="Comma 153 3 3" xfId="11772" xr:uid="{00000000-0005-0000-0000-000002120000}"/>
    <cellStyle name="Comma 153 3 3 2" xfId="31692" xr:uid="{00000000-0005-0000-0000-000003120000}"/>
    <cellStyle name="Comma 153 3 4" xfId="17924" xr:uid="{00000000-0005-0000-0000-000004120000}"/>
    <cellStyle name="Comma 153 3 4 2" xfId="37844" xr:uid="{00000000-0005-0000-0000-000005120000}"/>
    <cellStyle name="Comma 153 3 5" xfId="25539" xr:uid="{00000000-0005-0000-0000-000006120000}"/>
    <cellStyle name="Comma 153 4" xfId="7110" xr:uid="{00000000-0005-0000-0000-000007120000}"/>
    <cellStyle name="Comma 153 4 2" xfId="13304" xr:uid="{00000000-0005-0000-0000-000008120000}"/>
    <cellStyle name="Comma 153 4 2 2" xfId="33224" xr:uid="{00000000-0005-0000-0000-000009120000}"/>
    <cellStyle name="Comma 153 4 3" xfId="19456" xr:uid="{00000000-0005-0000-0000-00000A120000}"/>
    <cellStyle name="Comma 153 4 3 2" xfId="39376" xr:uid="{00000000-0005-0000-0000-00000B120000}"/>
    <cellStyle name="Comma 153 4 4" xfId="27071" xr:uid="{00000000-0005-0000-0000-00000C120000}"/>
    <cellStyle name="Comma 153 5" xfId="10238" xr:uid="{00000000-0005-0000-0000-00000D120000}"/>
    <cellStyle name="Comma 153 5 2" xfId="30158" xr:uid="{00000000-0005-0000-0000-00000E120000}"/>
    <cellStyle name="Comma 153 6" xfId="16390" xr:uid="{00000000-0005-0000-0000-00000F120000}"/>
    <cellStyle name="Comma 153 6 2" xfId="36310" xr:uid="{00000000-0005-0000-0000-000010120000}"/>
    <cellStyle name="Comma 153 7" xfId="24005" xr:uid="{00000000-0005-0000-0000-000011120000}"/>
    <cellStyle name="Comma 154" xfId="1441" xr:uid="{00000000-0005-0000-0000-000012120000}"/>
    <cellStyle name="Comma 154 2" xfId="1442" xr:uid="{00000000-0005-0000-0000-000013120000}"/>
    <cellStyle name="Comma 155" xfId="1443" xr:uid="{00000000-0005-0000-0000-000014120000}"/>
    <cellStyle name="Comma 155 2" xfId="1444" xr:uid="{00000000-0005-0000-0000-000015120000}"/>
    <cellStyle name="Comma 156" xfId="1445" xr:uid="{00000000-0005-0000-0000-000016120000}"/>
    <cellStyle name="Comma 156 2" xfId="1446" xr:uid="{00000000-0005-0000-0000-000017120000}"/>
    <cellStyle name="Comma 157" xfId="1447" xr:uid="{00000000-0005-0000-0000-000018120000}"/>
    <cellStyle name="Comma 158" xfId="1448" xr:uid="{00000000-0005-0000-0000-000019120000}"/>
    <cellStyle name="Comma 159" xfId="1449" xr:uid="{00000000-0005-0000-0000-00001A120000}"/>
    <cellStyle name="Comma 16" xfId="112" xr:uid="{00000000-0005-0000-0000-00001B120000}"/>
    <cellStyle name="Comma 16 2" xfId="763" xr:uid="{00000000-0005-0000-0000-00001C120000}"/>
    <cellStyle name="Comma 16 2 2" xfId="23645" xr:uid="{00000000-0005-0000-0000-00001D120000}"/>
    <cellStyle name="Comma 16 3" xfId="1450" xr:uid="{00000000-0005-0000-0000-00001E120000}"/>
    <cellStyle name="Comma 16 4" xfId="22696" xr:uid="{00000000-0005-0000-0000-00001F120000}"/>
    <cellStyle name="Comma 16 4 2" xfId="42607" xr:uid="{00000000-0005-0000-0000-000020120000}"/>
    <cellStyle name="Comma 16 5" xfId="22728" xr:uid="{00000000-0005-0000-0000-000021120000}"/>
    <cellStyle name="Comma 16 5 2" xfId="42639" xr:uid="{00000000-0005-0000-0000-000022120000}"/>
    <cellStyle name="Comma 16 6" xfId="23031" xr:uid="{00000000-0005-0000-0000-000023120000}"/>
    <cellStyle name="Comma 16 6 2" xfId="42942" xr:uid="{00000000-0005-0000-0000-000024120000}"/>
    <cellStyle name="Comma 16 7" xfId="23342" xr:uid="{00000000-0005-0000-0000-000025120000}"/>
    <cellStyle name="Comma 160" xfId="1451" xr:uid="{00000000-0005-0000-0000-000026120000}"/>
    <cellStyle name="Comma 161" xfId="1452" xr:uid="{00000000-0005-0000-0000-000027120000}"/>
    <cellStyle name="Comma 162" xfId="1453" xr:uid="{00000000-0005-0000-0000-000028120000}"/>
    <cellStyle name="Comma 163" xfId="1454" xr:uid="{00000000-0005-0000-0000-000029120000}"/>
    <cellStyle name="Comma 164" xfId="1455" xr:uid="{00000000-0005-0000-0000-00002A120000}"/>
    <cellStyle name="Comma 165" xfId="1456" xr:uid="{00000000-0005-0000-0000-00002B120000}"/>
    <cellStyle name="Comma 166" xfId="1457" xr:uid="{00000000-0005-0000-0000-00002C120000}"/>
    <cellStyle name="Comma 167" xfId="1458" xr:uid="{00000000-0005-0000-0000-00002D120000}"/>
    <cellStyle name="Comma 168" xfId="1459" xr:uid="{00000000-0005-0000-0000-00002E120000}"/>
    <cellStyle name="Comma 169" xfId="1460" xr:uid="{00000000-0005-0000-0000-00002F120000}"/>
    <cellStyle name="Comma 17" xfId="113" xr:uid="{00000000-0005-0000-0000-000030120000}"/>
    <cellStyle name="Comma 17 2" xfId="764" xr:uid="{00000000-0005-0000-0000-000031120000}"/>
    <cellStyle name="Comma 17 2 2" xfId="23646" xr:uid="{00000000-0005-0000-0000-000032120000}"/>
    <cellStyle name="Comma 17 3" xfId="1461" xr:uid="{00000000-0005-0000-0000-000033120000}"/>
    <cellStyle name="Comma 17 4" xfId="22496" xr:uid="{00000000-0005-0000-0000-000034120000}"/>
    <cellStyle name="Comma 17 4 2" xfId="42407" xr:uid="{00000000-0005-0000-0000-000035120000}"/>
    <cellStyle name="Comma 17 5" xfId="22729" xr:uid="{00000000-0005-0000-0000-000036120000}"/>
    <cellStyle name="Comma 17 5 2" xfId="42640" xr:uid="{00000000-0005-0000-0000-000037120000}"/>
    <cellStyle name="Comma 17 6" xfId="23032" xr:uid="{00000000-0005-0000-0000-000038120000}"/>
    <cellStyle name="Comma 17 6 2" xfId="42943" xr:uid="{00000000-0005-0000-0000-000039120000}"/>
    <cellStyle name="Comma 17 7" xfId="23343" xr:uid="{00000000-0005-0000-0000-00003A120000}"/>
    <cellStyle name="Comma 170" xfId="1462" xr:uid="{00000000-0005-0000-0000-00003B120000}"/>
    <cellStyle name="Comma 171" xfId="1463" xr:uid="{00000000-0005-0000-0000-00003C120000}"/>
    <cellStyle name="Comma 172" xfId="1464" xr:uid="{00000000-0005-0000-0000-00003D120000}"/>
    <cellStyle name="Comma 173" xfId="1465" xr:uid="{00000000-0005-0000-0000-00003E120000}"/>
    <cellStyle name="Comma 174" xfId="1466" xr:uid="{00000000-0005-0000-0000-00003F120000}"/>
    <cellStyle name="Comma 175" xfId="1467" xr:uid="{00000000-0005-0000-0000-000040120000}"/>
    <cellStyle name="Comma 176" xfId="1468" xr:uid="{00000000-0005-0000-0000-000041120000}"/>
    <cellStyle name="Comma 177" xfId="1469" xr:uid="{00000000-0005-0000-0000-000042120000}"/>
    <cellStyle name="Comma 178" xfId="1470" xr:uid="{00000000-0005-0000-0000-000043120000}"/>
    <cellStyle name="Comma 179" xfId="1471" xr:uid="{00000000-0005-0000-0000-000044120000}"/>
    <cellStyle name="Comma 18" xfId="115" xr:uid="{00000000-0005-0000-0000-000045120000}"/>
    <cellStyle name="Comma 18 2" xfId="766" xr:uid="{00000000-0005-0000-0000-000046120000}"/>
    <cellStyle name="Comma 18 2 2" xfId="23648" xr:uid="{00000000-0005-0000-0000-000047120000}"/>
    <cellStyle name="Comma 18 3" xfId="1472" xr:uid="{00000000-0005-0000-0000-000048120000}"/>
    <cellStyle name="Comma 18 4" xfId="22642" xr:uid="{00000000-0005-0000-0000-000049120000}"/>
    <cellStyle name="Comma 18 4 2" xfId="42553" xr:uid="{00000000-0005-0000-0000-00004A120000}"/>
    <cellStyle name="Comma 18 5" xfId="22731" xr:uid="{00000000-0005-0000-0000-00004B120000}"/>
    <cellStyle name="Comma 18 5 2" xfId="42642" xr:uid="{00000000-0005-0000-0000-00004C120000}"/>
    <cellStyle name="Comma 18 6" xfId="23034" xr:uid="{00000000-0005-0000-0000-00004D120000}"/>
    <cellStyle name="Comma 18 6 2" xfId="42945" xr:uid="{00000000-0005-0000-0000-00004E120000}"/>
    <cellStyle name="Comma 18 7" xfId="23345" xr:uid="{00000000-0005-0000-0000-00004F120000}"/>
    <cellStyle name="Comma 180" xfId="1473" xr:uid="{00000000-0005-0000-0000-000050120000}"/>
    <cellStyle name="Comma 181" xfId="1474" xr:uid="{00000000-0005-0000-0000-000051120000}"/>
    <cellStyle name="Comma 182" xfId="1475" xr:uid="{00000000-0005-0000-0000-000052120000}"/>
    <cellStyle name="Comma 182 2" xfId="4704" xr:uid="{00000000-0005-0000-0000-000053120000}"/>
    <cellStyle name="Comma 182 2 2" xfId="6329" xr:uid="{00000000-0005-0000-0000-000054120000}"/>
    <cellStyle name="Comma 182 2 2 2" xfId="9415" xr:uid="{00000000-0005-0000-0000-000055120000}"/>
    <cellStyle name="Comma 182 2 2 2 2" xfId="15608" xr:uid="{00000000-0005-0000-0000-000056120000}"/>
    <cellStyle name="Comma 182 2 2 2 2 2" xfId="35528" xr:uid="{00000000-0005-0000-0000-000057120000}"/>
    <cellStyle name="Comma 182 2 2 2 3" xfId="21760" xr:uid="{00000000-0005-0000-0000-000058120000}"/>
    <cellStyle name="Comma 182 2 2 2 3 2" xfId="41680" xr:uid="{00000000-0005-0000-0000-000059120000}"/>
    <cellStyle name="Comma 182 2 2 2 4" xfId="29375" xr:uid="{00000000-0005-0000-0000-00005A120000}"/>
    <cellStyle name="Comma 182 2 2 3" xfId="12542" xr:uid="{00000000-0005-0000-0000-00005B120000}"/>
    <cellStyle name="Comma 182 2 2 3 2" xfId="32462" xr:uid="{00000000-0005-0000-0000-00005C120000}"/>
    <cellStyle name="Comma 182 2 2 4" xfId="18694" xr:uid="{00000000-0005-0000-0000-00005D120000}"/>
    <cellStyle name="Comma 182 2 2 4 2" xfId="38614" xr:uid="{00000000-0005-0000-0000-00005E120000}"/>
    <cellStyle name="Comma 182 2 2 5" xfId="26309" xr:uid="{00000000-0005-0000-0000-00005F120000}"/>
    <cellStyle name="Comma 182 2 3" xfId="7880" xr:uid="{00000000-0005-0000-0000-000060120000}"/>
    <cellStyle name="Comma 182 2 3 2" xfId="14074" xr:uid="{00000000-0005-0000-0000-000061120000}"/>
    <cellStyle name="Comma 182 2 3 2 2" xfId="33994" xr:uid="{00000000-0005-0000-0000-000062120000}"/>
    <cellStyle name="Comma 182 2 3 3" xfId="20226" xr:uid="{00000000-0005-0000-0000-000063120000}"/>
    <cellStyle name="Comma 182 2 3 3 2" xfId="40146" xr:uid="{00000000-0005-0000-0000-000064120000}"/>
    <cellStyle name="Comma 182 2 3 4" xfId="27841" xr:uid="{00000000-0005-0000-0000-000065120000}"/>
    <cellStyle name="Comma 182 2 4" xfId="11008" xr:uid="{00000000-0005-0000-0000-000066120000}"/>
    <cellStyle name="Comma 182 2 4 2" xfId="30928" xr:uid="{00000000-0005-0000-0000-000067120000}"/>
    <cellStyle name="Comma 182 2 5" xfId="17160" xr:uid="{00000000-0005-0000-0000-000068120000}"/>
    <cellStyle name="Comma 182 2 5 2" xfId="37080" xr:uid="{00000000-0005-0000-0000-000069120000}"/>
    <cellStyle name="Comma 182 2 6" xfId="24775" xr:uid="{00000000-0005-0000-0000-00006A120000}"/>
    <cellStyle name="Comma 182 3" xfId="5543" xr:uid="{00000000-0005-0000-0000-00006B120000}"/>
    <cellStyle name="Comma 182 3 2" xfId="8646" xr:uid="{00000000-0005-0000-0000-00006C120000}"/>
    <cellStyle name="Comma 182 3 2 2" xfId="14839" xr:uid="{00000000-0005-0000-0000-00006D120000}"/>
    <cellStyle name="Comma 182 3 2 2 2" xfId="34759" xr:uid="{00000000-0005-0000-0000-00006E120000}"/>
    <cellStyle name="Comma 182 3 2 3" xfId="20991" xr:uid="{00000000-0005-0000-0000-00006F120000}"/>
    <cellStyle name="Comma 182 3 2 3 2" xfId="40911" xr:uid="{00000000-0005-0000-0000-000070120000}"/>
    <cellStyle name="Comma 182 3 2 4" xfId="28606" xr:uid="{00000000-0005-0000-0000-000071120000}"/>
    <cellStyle name="Comma 182 3 3" xfId="11773" xr:uid="{00000000-0005-0000-0000-000072120000}"/>
    <cellStyle name="Comma 182 3 3 2" xfId="31693" xr:uid="{00000000-0005-0000-0000-000073120000}"/>
    <cellStyle name="Comma 182 3 4" xfId="17925" xr:uid="{00000000-0005-0000-0000-000074120000}"/>
    <cellStyle name="Comma 182 3 4 2" xfId="37845" xr:uid="{00000000-0005-0000-0000-000075120000}"/>
    <cellStyle name="Comma 182 3 5" xfId="25540" xr:uid="{00000000-0005-0000-0000-000076120000}"/>
    <cellStyle name="Comma 182 4" xfId="7111" xr:uid="{00000000-0005-0000-0000-000077120000}"/>
    <cellStyle name="Comma 182 4 2" xfId="13305" xr:uid="{00000000-0005-0000-0000-000078120000}"/>
    <cellStyle name="Comma 182 4 2 2" xfId="33225" xr:uid="{00000000-0005-0000-0000-000079120000}"/>
    <cellStyle name="Comma 182 4 3" xfId="19457" xr:uid="{00000000-0005-0000-0000-00007A120000}"/>
    <cellStyle name="Comma 182 4 3 2" xfId="39377" xr:uid="{00000000-0005-0000-0000-00007B120000}"/>
    <cellStyle name="Comma 182 4 4" xfId="27072" xr:uid="{00000000-0005-0000-0000-00007C120000}"/>
    <cellStyle name="Comma 182 5" xfId="10239" xr:uid="{00000000-0005-0000-0000-00007D120000}"/>
    <cellStyle name="Comma 182 5 2" xfId="30159" xr:uid="{00000000-0005-0000-0000-00007E120000}"/>
    <cellStyle name="Comma 182 6" xfId="16391" xr:uid="{00000000-0005-0000-0000-00007F120000}"/>
    <cellStyle name="Comma 182 6 2" xfId="36311" xr:uid="{00000000-0005-0000-0000-000080120000}"/>
    <cellStyle name="Comma 182 7" xfId="24006" xr:uid="{00000000-0005-0000-0000-000081120000}"/>
    <cellStyle name="Comma 183" xfId="1476" xr:uid="{00000000-0005-0000-0000-000082120000}"/>
    <cellStyle name="Comma 184" xfId="1201" xr:uid="{00000000-0005-0000-0000-000083120000}"/>
    <cellStyle name="Comma 185" xfId="4506" xr:uid="{00000000-0005-0000-0000-000084120000}"/>
    <cellStyle name="Comma 186" xfId="1198" xr:uid="{00000000-0005-0000-0000-000085120000}"/>
    <cellStyle name="Comma 186 2" xfId="4646" xr:uid="{00000000-0005-0000-0000-000086120000}"/>
    <cellStyle name="Comma 186 2 2" xfId="6271" xr:uid="{00000000-0005-0000-0000-000087120000}"/>
    <cellStyle name="Comma 186 2 2 2" xfId="9357" xr:uid="{00000000-0005-0000-0000-000088120000}"/>
    <cellStyle name="Comma 186 2 2 2 2" xfId="15550" xr:uid="{00000000-0005-0000-0000-000089120000}"/>
    <cellStyle name="Comma 186 2 2 2 2 2" xfId="35470" xr:uid="{00000000-0005-0000-0000-00008A120000}"/>
    <cellStyle name="Comma 186 2 2 2 3" xfId="21702" xr:uid="{00000000-0005-0000-0000-00008B120000}"/>
    <cellStyle name="Comma 186 2 2 2 3 2" xfId="41622" xr:uid="{00000000-0005-0000-0000-00008C120000}"/>
    <cellStyle name="Comma 186 2 2 2 4" xfId="29317" xr:uid="{00000000-0005-0000-0000-00008D120000}"/>
    <cellStyle name="Comma 186 2 2 3" xfId="12484" xr:uid="{00000000-0005-0000-0000-00008E120000}"/>
    <cellStyle name="Comma 186 2 2 3 2" xfId="32404" xr:uid="{00000000-0005-0000-0000-00008F120000}"/>
    <cellStyle name="Comma 186 2 2 4" xfId="18636" xr:uid="{00000000-0005-0000-0000-000090120000}"/>
    <cellStyle name="Comma 186 2 2 4 2" xfId="38556" xr:uid="{00000000-0005-0000-0000-000091120000}"/>
    <cellStyle name="Comma 186 2 2 5" xfId="26251" xr:uid="{00000000-0005-0000-0000-000092120000}"/>
    <cellStyle name="Comma 186 2 3" xfId="7822" xr:uid="{00000000-0005-0000-0000-000093120000}"/>
    <cellStyle name="Comma 186 2 3 2" xfId="14016" xr:uid="{00000000-0005-0000-0000-000094120000}"/>
    <cellStyle name="Comma 186 2 3 2 2" xfId="33936" xr:uid="{00000000-0005-0000-0000-000095120000}"/>
    <cellStyle name="Comma 186 2 3 3" xfId="20168" xr:uid="{00000000-0005-0000-0000-000096120000}"/>
    <cellStyle name="Comma 186 2 3 3 2" xfId="40088" xr:uid="{00000000-0005-0000-0000-000097120000}"/>
    <cellStyle name="Comma 186 2 3 4" xfId="27783" xr:uid="{00000000-0005-0000-0000-000098120000}"/>
    <cellStyle name="Comma 186 2 4" xfId="10950" xr:uid="{00000000-0005-0000-0000-000099120000}"/>
    <cellStyle name="Comma 186 2 4 2" xfId="30870" xr:uid="{00000000-0005-0000-0000-00009A120000}"/>
    <cellStyle name="Comma 186 2 5" xfId="17102" xr:uid="{00000000-0005-0000-0000-00009B120000}"/>
    <cellStyle name="Comma 186 2 5 2" xfId="37022" xr:uid="{00000000-0005-0000-0000-00009C120000}"/>
    <cellStyle name="Comma 186 2 6" xfId="24717" xr:uid="{00000000-0005-0000-0000-00009D120000}"/>
    <cellStyle name="Comma 186 3" xfId="5485" xr:uid="{00000000-0005-0000-0000-00009E120000}"/>
    <cellStyle name="Comma 186 3 2" xfId="8588" xr:uid="{00000000-0005-0000-0000-00009F120000}"/>
    <cellStyle name="Comma 186 3 2 2" xfId="14781" xr:uid="{00000000-0005-0000-0000-0000A0120000}"/>
    <cellStyle name="Comma 186 3 2 2 2" xfId="34701" xr:uid="{00000000-0005-0000-0000-0000A1120000}"/>
    <cellStyle name="Comma 186 3 2 3" xfId="20933" xr:uid="{00000000-0005-0000-0000-0000A2120000}"/>
    <cellStyle name="Comma 186 3 2 3 2" xfId="40853" xr:uid="{00000000-0005-0000-0000-0000A3120000}"/>
    <cellStyle name="Comma 186 3 2 4" xfId="28548" xr:uid="{00000000-0005-0000-0000-0000A4120000}"/>
    <cellStyle name="Comma 186 3 3" xfId="11715" xr:uid="{00000000-0005-0000-0000-0000A5120000}"/>
    <cellStyle name="Comma 186 3 3 2" xfId="31635" xr:uid="{00000000-0005-0000-0000-0000A6120000}"/>
    <cellStyle name="Comma 186 3 4" xfId="17867" xr:uid="{00000000-0005-0000-0000-0000A7120000}"/>
    <cellStyle name="Comma 186 3 4 2" xfId="37787" xr:uid="{00000000-0005-0000-0000-0000A8120000}"/>
    <cellStyle name="Comma 186 3 5" xfId="25482" xr:uid="{00000000-0005-0000-0000-0000A9120000}"/>
    <cellStyle name="Comma 186 4" xfId="7053" xr:uid="{00000000-0005-0000-0000-0000AA120000}"/>
    <cellStyle name="Comma 186 4 2" xfId="13247" xr:uid="{00000000-0005-0000-0000-0000AB120000}"/>
    <cellStyle name="Comma 186 4 2 2" xfId="33167" xr:uid="{00000000-0005-0000-0000-0000AC120000}"/>
    <cellStyle name="Comma 186 4 3" xfId="19399" xr:uid="{00000000-0005-0000-0000-0000AD120000}"/>
    <cellStyle name="Comma 186 4 3 2" xfId="39319" xr:uid="{00000000-0005-0000-0000-0000AE120000}"/>
    <cellStyle name="Comma 186 4 4" xfId="27014" xr:uid="{00000000-0005-0000-0000-0000AF120000}"/>
    <cellStyle name="Comma 186 5" xfId="10181" xr:uid="{00000000-0005-0000-0000-0000B0120000}"/>
    <cellStyle name="Comma 186 5 2" xfId="30101" xr:uid="{00000000-0005-0000-0000-0000B1120000}"/>
    <cellStyle name="Comma 186 6" xfId="16333" xr:uid="{00000000-0005-0000-0000-0000B2120000}"/>
    <cellStyle name="Comma 186 6 2" xfId="36253" xr:uid="{00000000-0005-0000-0000-0000B3120000}"/>
    <cellStyle name="Comma 186 7" xfId="23948" xr:uid="{00000000-0005-0000-0000-0000B4120000}"/>
    <cellStyle name="Comma 187" xfId="4610" xr:uid="{00000000-0005-0000-0000-0000B5120000}"/>
    <cellStyle name="Comma 187 2" xfId="4616" xr:uid="{00000000-0005-0000-0000-0000B6120000}"/>
    <cellStyle name="Comma 187 3" xfId="6242" xr:uid="{00000000-0005-0000-0000-0000B7120000}"/>
    <cellStyle name="Comma 187 3 2" xfId="9328" xr:uid="{00000000-0005-0000-0000-0000B8120000}"/>
    <cellStyle name="Comma 187 3 2 2" xfId="15521" xr:uid="{00000000-0005-0000-0000-0000B9120000}"/>
    <cellStyle name="Comma 187 3 2 2 2" xfId="35441" xr:uid="{00000000-0005-0000-0000-0000BA120000}"/>
    <cellStyle name="Comma 187 3 2 3" xfId="21673" xr:uid="{00000000-0005-0000-0000-0000BB120000}"/>
    <cellStyle name="Comma 187 3 2 3 2" xfId="41593" xr:uid="{00000000-0005-0000-0000-0000BC120000}"/>
    <cellStyle name="Comma 187 3 2 4" xfId="29288" xr:uid="{00000000-0005-0000-0000-0000BD120000}"/>
    <cellStyle name="Comma 187 3 3" xfId="12455" xr:uid="{00000000-0005-0000-0000-0000BE120000}"/>
    <cellStyle name="Comma 187 3 3 2" xfId="32375" xr:uid="{00000000-0005-0000-0000-0000BF120000}"/>
    <cellStyle name="Comma 187 3 4" xfId="18607" xr:uid="{00000000-0005-0000-0000-0000C0120000}"/>
    <cellStyle name="Comma 187 3 4 2" xfId="38527" xr:uid="{00000000-0005-0000-0000-0000C1120000}"/>
    <cellStyle name="Comma 187 3 5" xfId="26222" xr:uid="{00000000-0005-0000-0000-0000C2120000}"/>
    <cellStyle name="Comma 187 4" xfId="7793" xr:uid="{00000000-0005-0000-0000-0000C3120000}"/>
    <cellStyle name="Comma 187 4 2" xfId="13987" xr:uid="{00000000-0005-0000-0000-0000C4120000}"/>
    <cellStyle name="Comma 187 4 2 2" xfId="33907" xr:uid="{00000000-0005-0000-0000-0000C5120000}"/>
    <cellStyle name="Comma 187 4 3" xfId="20139" xr:uid="{00000000-0005-0000-0000-0000C6120000}"/>
    <cellStyle name="Comma 187 4 3 2" xfId="40059" xr:uid="{00000000-0005-0000-0000-0000C7120000}"/>
    <cellStyle name="Comma 187 4 4" xfId="27754" xr:uid="{00000000-0005-0000-0000-0000C8120000}"/>
    <cellStyle name="Comma 187 5" xfId="10921" xr:uid="{00000000-0005-0000-0000-0000C9120000}"/>
    <cellStyle name="Comma 187 5 2" xfId="30841" xr:uid="{00000000-0005-0000-0000-0000CA120000}"/>
    <cellStyle name="Comma 187 6" xfId="17073" xr:uid="{00000000-0005-0000-0000-0000CB120000}"/>
    <cellStyle name="Comma 187 6 2" xfId="36993" xr:uid="{00000000-0005-0000-0000-0000CC120000}"/>
    <cellStyle name="Comma 187 7" xfId="24688" xr:uid="{00000000-0005-0000-0000-0000CD120000}"/>
    <cellStyle name="Comma 188" xfId="5387" xr:uid="{00000000-0005-0000-0000-0000CE120000}"/>
    <cellStyle name="Comma 189" xfId="5453" xr:uid="{00000000-0005-0000-0000-0000CF120000}"/>
    <cellStyle name="Comma 19" xfId="116" xr:uid="{00000000-0005-0000-0000-0000D0120000}"/>
    <cellStyle name="Comma 19 2" xfId="767" xr:uid="{00000000-0005-0000-0000-0000D1120000}"/>
    <cellStyle name="Comma 19 2 2" xfId="23649" xr:uid="{00000000-0005-0000-0000-0000D2120000}"/>
    <cellStyle name="Comma 19 3" xfId="1477" xr:uid="{00000000-0005-0000-0000-0000D3120000}"/>
    <cellStyle name="Comma 19 4" xfId="22535" xr:uid="{00000000-0005-0000-0000-0000D4120000}"/>
    <cellStyle name="Comma 19 4 2" xfId="42446" xr:uid="{00000000-0005-0000-0000-0000D5120000}"/>
    <cellStyle name="Comma 19 5" xfId="22732" xr:uid="{00000000-0005-0000-0000-0000D6120000}"/>
    <cellStyle name="Comma 19 5 2" xfId="42643" xr:uid="{00000000-0005-0000-0000-0000D7120000}"/>
    <cellStyle name="Comma 19 6" xfId="23035" xr:uid="{00000000-0005-0000-0000-0000D8120000}"/>
    <cellStyle name="Comma 19 6 2" xfId="42946" xr:uid="{00000000-0005-0000-0000-0000D9120000}"/>
    <cellStyle name="Comma 19 7" xfId="23346" xr:uid="{00000000-0005-0000-0000-0000DA120000}"/>
    <cellStyle name="Comma 190" xfId="5395" xr:uid="{00000000-0005-0000-0000-0000DB120000}"/>
    <cellStyle name="Comma 191" xfId="5444" xr:uid="{00000000-0005-0000-0000-0000DC120000}"/>
    <cellStyle name="Comma 192" xfId="5388" xr:uid="{00000000-0005-0000-0000-0000DD120000}"/>
    <cellStyle name="Comma 193" xfId="5450" xr:uid="{00000000-0005-0000-0000-0000DE120000}"/>
    <cellStyle name="Comma 194" xfId="5397" xr:uid="{00000000-0005-0000-0000-0000DF120000}"/>
    <cellStyle name="Comma 195" xfId="5442" xr:uid="{00000000-0005-0000-0000-0000E0120000}"/>
    <cellStyle name="Comma 196" xfId="5410" xr:uid="{00000000-0005-0000-0000-0000E1120000}"/>
    <cellStyle name="Comma 197" xfId="5429" xr:uid="{00000000-0005-0000-0000-0000E2120000}"/>
    <cellStyle name="Comma 198" xfId="5412" xr:uid="{00000000-0005-0000-0000-0000E3120000}"/>
    <cellStyle name="Comma 199" xfId="5423" xr:uid="{00000000-0005-0000-0000-0000E4120000}"/>
    <cellStyle name="Comma 2" xfId="7" xr:uid="{00000000-0005-0000-0000-0000E5120000}"/>
    <cellStyle name="Comma 2 10" xfId="188" xr:uid="{00000000-0005-0000-0000-0000E6120000}"/>
    <cellStyle name="Comma 2 10 2" xfId="4511" xr:uid="{00000000-0005-0000-0000-0000E7120000}"/>
    <cellStyle name="Comma 2 10 3" xfId="1479" xr:uid="{00000000-0005-0000-0000-0000E8120000}"/>
    <cellStyle name="Comma 2 10 4" xfId="1079" xr:uid="{00000000-0005-0000-0000-0000E9120000}"/>
    <cellStyle name="Comma 2 11" xfId="235" xr:uid="{00000000-0005-0000-0000-0000EA120000}"/>
    <cellStyle name="Comma 2 11 2" xfId="4512" xr:uid="{00000000-0005-0000-0000-0000EB120000}"/>
    <cellStyle name="Comma 2 11 3" xfId="1480" xr:uid="{00000000-0005-0000-0000-0000EC120000}"/>
    <cellStyle name="Comma 2 11 4" xfId="1080" xr:uid="{00000000-0005-0000-0000-0000ED120000}"/>
    <cellStyle name="Comma 2 12" xfId="250" xr:uid="{00000000-0005-0000-0000-0000EE120000}"/>
    <cellStyle name="Comma 2 12 2" xfId="4513" xr:uid="{00000000-0005-0000-0000-0000EF120000}"/>
    <cellStyle name="Comma 2 12 3" xfId="1481" xr:uid="{00000000-0005-0000-0000-0000F0120000}"/>
    <cellStyle name="Comma 2 12 4" xfId="1081" xr:uid="{00000000-0005-0000-0000-0000F1120000}"/>
    <cellStyle name="Comma 2 13" xfId="265" xr:uid="{00000000-0005-0000-0000-0000F2120000}"/>
    <cellStyle name="Comma 2 13 2" xfId="4514" xr:uid="{00000000-0005-0000-0000-0000F3120000}"/>
    <cellStyle name="Comma 2 13 3" xfId="1482" xr:uid="{00000000-0005-0000-0000-0000F4120000}"/>
    <cellStyle name="Comma 2 13 4" xfId="1082" xr:uid="{00000000-0005-0000-0000-0000F5120000}"/>
    <cellStyle name="Comma 2 14" xfId="280" xr:uid="{00000000-0005-0000-0000-0000F6120000}"/>
    <cellStyle name="Comma 2 14 2" xfId="4515" xr:uid="{00000000-0005-0000-0000-0000F7120000}"/>
    <cellStyle name="Comma 2 14 3" xfId="1483" xr:uid="{00000000-0005-0000-0000-0000F8120000}"/>
    <cellStyle name="Comma 2 14 4" xfId="1083" xr:uid="{00000000-0005-0000-0000-0000F9120000}"/>
    <cellStyle name="Comma 2 15" xfId="292" xr:uid="{00000000-0005-0000-0000-0000FA120000}"/>
    <cellStyle name="Comma 2 15 2" xfId="4516" xr:uid="{00000000-0005-0000-0000-0000FB120000}"/>
    <cellStyle name="Comma 2 15 3" xfId="1484" xr:uid="{00000000-0005-0000-0000-0000FC120000}"/>
    <cellStyle name="Comma 2 15 4" xfId="1084" xr:uid="{00000000-0005-0000-0000-0000FD120000}"/>
    <cellStyle name="Comma 2 16" xfId="298" xr:uid="{00000000-0005-0000-0000-0000FE120000}"/>
    <cellStyle name="Comma 2 16 2" xfId="4517" xr:uid="{00000000-0005-0000-0000-0000FF120000}"/>
    <cellStyle name="Comma 2 16 3" xfId="1485" xr:uid="{00000000-0005-0000-0000-000000130000}"/>
    <cellStyle name="Comma 2 16 4" xfId="1085" xr:uid="{00000000-0005-0000-0000-000001130000}"/>
    <cellStyle name="Comma 2 17" xfId="333" xr:uid="{00000000-0005-0000-0000-000002130000}"/>
    <cellStyle name="Comma 2 17 2" xfId="4518" xr:uid="{00000000-0005-0000-0000-000003130000}"/>
    <cellStyle name="Comma 2 17 3" xfId="1486" xr:uid="{00000000-0005-0000-0000-000004130000}"/>
    <cellStyle name="Comma 2 17 4" xfId="1086" xr:uid="{00000000-0005-0000-0000-000005130000}"/>
    <cellStyle name="Comma 2 18" xfId="361" xr:uid="{00000000-0005-0000-0000-000006130000}"/>
    <cellStyle name="Comma 2 18 2" xfId="4519" xr:uid="{00000000-0005-0000-0000-000007130000}"/>
    <cellStyle name="Comma 2 18 3" xfId="1487" xr:uid="{00000000-0005-0000-0000-000008130000}"/>
    <cellStyle name="Comma 2 18 4" xfId="1087" xr:uid="{00000000-0005-0000-0000-000009130000}"/>
    <cellStyle name="Comma 2 19" xfId="330" xr:uid="{00000000-0005-0000-0000-00000A130000}"/>
    <cellStyle name="Comma 2 19 2" xfId="4520" xr:uid="{00000000-0005-0000-0000-00000B130000}"/>
    <cellStyle name="Comma 2 19 3" xfId="1488" xr:uid="{00000000-0005-0000-0000-00000C130000}"/>
    <cellStyle name="Comma 2 19 4" xfId="1088" xr:uid="{00000000-0005-0000-0000-00000D130000}"/>
    <cellStyle name="Comma 2 2" xfId="15" xr:uid="{00000000-0005-0000-0000-00000E130000}"/>
    <cellStyle name="Comma 2 2 10" xfId="1489" xr:uid="{00000000-0005-0000-0000-00000F130000}"/>
    <cellStyle name="Comma 2 2 10 2" xfId="4706" xr:uid="{00000000-0005-0000-0000-000010130000}"/>
    <cellStyle name="Comma 2 2 10 2 2" xfId="6331" xr:uid="{00000000-0005-0000-0000-000011130000}"/>
    <cellStyle name="Comma 2 2 10 2 2 2" xfId="9417" xr:uid="{00000000-0005-0000-0000-000012130000}"/>
    <cellStyle name="Comma 2 2 10 2 2 2 2" xfId="15610" xr:uid="{00000000-0005-0000-0000-000013130000}"/>
    <cellStyle name="Comma 2 2 10 2 2 2 2 2" xfId="35530" xr:uid="{00000000-0005-0000-0000-000014130000}"/>
    <cellStyle name="Comma 2 2 10 2 2 2 3" xfId="21762" xr:uid="{00000000-0005-0000-0000-000015130000}"/>
    <cellStyle name="Comma 2 2 10 2 2 2 3 2" xfId="41682" xr:uid="{00000000-0005-0000-0000-000016130000}"/>
    <cellStyle name="Comma 2 2 10 2 2 2 4" xfId="29377" xr:uid="{00000000-0005-0000-0000-000017130000}"/>
    <cellStyle name="Comma 2 2 10 2 2 3" xfId="12544" xr:uid="{00000000-0005-0000-0000-000018130000}"/>
    <cellStyle name="Comma 2 2 10 2 2 3 2" xfId="32464" xr:uid="{00000000-0005-0000-0000-000019130000}"/>
    <cellStyle name="Comma 2 2 10 2 2 4" xfId="18696" xr:uid="{00000000-0005-0000-0000-00001A130000}"/>
    <cellStyle name="Comma 2 2 10 2 2 4 2" xfId="38616" xr:uid="{00000000-0005-0000-0000-00001B130000}"/>
    <cellStyle name="Comma 2 2 10 2 2 5" xfId="26311" xr:uid="{00000000-0005-0000-0000-00001C130000}"/>
    <cellStyle name="Comma 2 2 10 2 3" xfId="7882" xr:uid="{00000000-0005-0000-0000-00001D130000}"/>
    <cellStyle name="Comma 2 2 10 2 3 2" xfId="14076" xr:uid="{00000000-0005-0000-0000-00001E130000}"/>
    <cellStyle name="Comma 2 2 10 2 3 2 2" xfId="33996" xr:uid="{00000000-0005-0000-0000-00001F130000}"/>
    <cellStyle name="Comma 2 2 10 2 3 3" xfId="20228" xr:uid="{00000000-0005-0000-0000-000020130000}"/>
    <cellStyle name="Comma 2 2 10 2 3 3 2" xfId="40148" xr:uid="{00000000-0005-0000-0000-000021130000}"/>
    <cellStyle name="Comma 2 2 10 2 3 4" xfId="27843" xr:uid="{00000000-0005-0000-0000-000022130000}"/>
    <cellStyle name="Comma 2 2 10 2 4" xfId="11010" xr:uid="{00000000-0005-0000-0000-000023130000}"/>
    <cellStyle name="Comma 2 2 10 2 4 2" xfId="30930" xr:uid="{00000000-0005-0000-0000-000024130000}"/>
    <cellStyle name="Comma 2 2 10 2 5" xfId="17162" xr:uid="{00000000-0005-0000-0000-000025130000}"/>
    <cellStyle name="Comma 2 2 10 2 5 2" xfId="37082" xr:uid="{00000000-0005-0000-0000-000026130000}"/>
    <cellStyle name="Comma 2 2 10 2 6" xfId="24777" xr:uid="{00000000-0005-0000-0000-000027130000}"/>
    <cellStyle name="Comma 2 2 10 3" xfId="5545" xr:uid="{00000000-0005-0000-0000-000028130000}"/>
    <cellStyle name="Comma 2 2 10 3 2" xfId="8648" xr:uid="{00000000-0005-0000-0000-000029130000}"/>
    <cellStyle name="Comma 2 2 10 3 2 2" xfId="14841" xr:uid="{00000000-0005-0000-0000-00002A130000}"/>
    <cellStyle name="Comma 2 2 10 3 2 2 2" xfId="34761" xr:uid="{00000000-0005-0000-0000-00002B130000}"/>
    <cellStyle name="Comma 2 2 10 3 2 3" xfId="20993" xr:uid="{00000000-0005-0000-0000-00002C130000}"/>
    <cellStyle name="Comma 2 2 10 3 2 3 2" xfId="40913" xr:uid="{00000000-0005-0000-0000-00002D130000}"/>
    <cellStyle name="Comma 2 2 10 3 2 4" xfId="28608" xr:uid="{00000000-0005-0000-0000-00002E130000}"/>
    <cellStyle name="Comma 2 2 10 3 3" xfId="11775" xr:uid="{00000000-0005-0000-0000-00002F130000}"/>
    <cellStyle name="Comma 2 2 10 3 3 2" xfId="31695" xr:uid="{00000000-0005-0000-0000-000030130000}"/>
    <cellStyle name="Comma 2 2 10 3 4" xfId="17927" xr:uid="{00000000-0005-0000-0000-000031130000}"/>
    <cellStyle name="Comma 2 2 10 3 4 2" xfId="37847" xr:uid="{00000000-0005-0000-0000-000032130000}"/>
    <cellStyle name="Comma 2 2 10 3 5" xfId="25542" xr:uid="{00000000-0005-0000-0000-000033130000}"/>
    <cellStyle name="Comma 2 2 10 4" xfId="7113" xr:uid="{00000000-0005-0000-0000-000034130000}"/>
    <cellStyle name="Comma 2 2 10 4 2" xfId="13307" xr:uid="{00000000-0005-0000-0000-000035130000}"/>
    <cellStyle name="Comma 2 2 10 4 2 2" xfId="33227" xr:uid="{00000000-0005-0000-0000-000036130000}"/>
    <cellStyle name="Comma 2 2 10 4 3" xfId="19459" xr:uid="{00000000-0005-0000-0000-000037130000}"/>
    <cellStyle name="Comma 2 2 10 4 3 2" xfId="39379" xr:uid="{00000000-0005-0000-0000-000038130000}"/>
    <cellStyle name="Comma 2 2 10 4 4" xfId="27074" xr:uid="{00000000-0005-0000-0000-000039130000}"/>
    <cellStyle name="Comma 2 2 10 5" xfId="10241" xr:uid="{00000000-0005-0000-0000-00003A130000}"/>
    <cellStyle name="Comma 2 2 10 5 2" xfId="30161" xr:uid="{00000000-0005-0000-0000-00003B130000}"/>
    <cellStyle name="Comma 2 2 10 6" xfId="16393" xr:uid="{00000000-0005-0000-0000-00003C130000}"/>
    <cellStyle name="Comma 2 2 10 6 2" xfId="36313" xr:uid="{00000000-0005-0000-0000-00003D130000}"/>
    <cellStyle name="Comma 2 2 10 7" xfId="24008" xr:uid="{00000000-0005-0000-0000-00003E130000}"/>
    <cellStyle name="Comma 2 2 11" xfId="1490" xr:uid="{00000000-0005-0000-0000-00003F130000}"/>
    <cellStyle name="Comma 2 2 11 2" xfId="4707" xr:uid="{00000000-0005-0000-0000-000040130000}"/>
    <cellStyle name="Comma 2 2 11 2 2" xfId="6332" xr:uid="{00000000-0005-0000-0000-000041130000}"/>
    <cellStyle name="Comma 2 2 11 2 2 2" xfId="9418" xr:uid="{00000000-0005-0000-0000-000042130000}"/>
    <cellStyle name="Comma 2 2 11 2 2 2 2" xfId="15611" xr:uid="{00000000-0005-0000-0000-000043130000}"/>
    <cellStyle name="Comma 2 2 11 2 2 2 2 2" xfId="35531" xr:uid="{00000000-0005-0000-0000-000044130000}"/>
    <cellStyle name="Comma 2 2 11 2 2 2 3" xfId="21763" xr:uid="{00000000-0005-0000-0000-000045130000}"/>
    <cellStyle name="Comma 2 2 11 2 2 2 3 2" xfId="41683" xr:uid="{00000000-0005-0000-0000-000046130000}"/>
    <cellStyle name="Comma 2 2 11 2 2 2 4" xfId="29378" xr:uid="{00000000-0005-0000-0000-000047130000}"/>
    <cellStyle name="Comma 2 2 11 2 2 3" xfId="12545" xr:uid="{00000000-0005-0000-0000-000048130000}"/>
    <cellStyle name="Comma 2 2 11 2 2 3 2" xfId="32465" xr:uid="{00000000-0005-0000-0000-000049130000}"/>
    <cellStyle name="Comma 2 2 11 2 2 4" xfId="18697" xr:uid="{00000000-0005-0000-0000-00004A130000}"/>
    <cellStyle name="Comma 2 2 11 2 2 4 2" xfId="38617" xr:uid="{00000000-0005-0000-0000-00004B130000}"/>
    <cellStyle name="Comma 2 2 11 2 2 5" xfId="26312" xr:uid="{00000000-0005-0000-0000-00004C130000}"/>
    <cellStyle name="Comma 2 2 11 2 3" xfId="7883" xr:uid="{00000000-0005-0000-0000-00004D130000}"/>
    <cellStyle name="Comma 2 2 11 2 3 2" xfId="14077" xr:uid="{00000000-0005-0000-0000-00004E130000}"/>
    <cellStyle name="Comma 2 2 11 2 3 2 2" xfId="33997" xr:uid="{00000000-0005-0000-0000-00004F130000}"/>
    <cellStyle name="Comma 2 2 11 2 3 3" xfId="20229" xr:uid="{00000000-0005-0000-0000-000050130000}"/>
    <cellStyle name="Comma 2 2 11 2 3 3 2" xfId="40149" xr:uid="{00000000-0005-0000-0000-000051130000}"/>
    <cellStyle name="Comma 2 2 11 2 3 4" xfId="27844" xr:uid="{00000000-0005-0000-0000-000052130000}"/>
    <cellStyle name="Comma 2 2 11 2 4" xfId="11011" xr:uid="{00000000-0005-0000-0000-000053130000}"/>
    <cellStyle name="Comma 2 2 11 2 4 2" xfId="30931" xr:uid="{00000000-0005-0000-0000-000054130000}"/>
    <cellStyle name="Comma 2 2 11 2 5" xfId="17163" xr:uid="{00000000-0005-0000-0000-000055130000}"/>
    <cellStyle name="Comma 2 2 11 2 5 2" xfId="37083" xr:uid="{00000000-0005-0000-0000-000056130000}"/>
    <cellStyle name="Comma 2 2 11 2 6" xfId="24778" xr:uid="{00000000-0005-0000-0000-000057130000}"/>
    <cellStyle name="Comma 2 2 11 3" xfId="5546" xr:uid="{00000000-0005-0000-0000-000058130000}"/>
    <cellStyle name="Comma 2 2 11 3 2" xfId="8649" xr:uid="{00000000-0005-0000-0000-000059130000}"/>
    <cellStyle name="Comma 2 2 11 3 2 2" xfId="14842" xr:uid="{00000000-0005-0000-0000-00005A130000}"/>
    <cellStyle name="Comma 2 2 11 3 2 2 2" xfId="34762" xr:uid="{00000000-0005-0000-0000-00005B130000}"/>
    <cellStyle name="Comma 2 2 11 3 2 3" xfId="20994" xr:uid="{00000000-0005-0000-0000-00005C130000}"/>
    <cellStyle name="Comma 2 2 11 3 2 3 2" xfId="40914" xr:uid="{00000000-0005-0000-0000-00005D130000}"/>
    <cellStyle name="Comma 2 2 11 3 2 4" xfId="28609" xr:uid="{00000000-0005-0000-0000-00005E130000}"/>
    <cellStyle name="Comma 2 2 11 3 3" xfId="11776" xr:uid="{00000000-0005-0000-0000-00005F130000}"/>
    <cellStyle name="Comma 2 2 11 3 3 2" xfId="31696" xr:uid="{00000000-0005-0000-0000-000060130000}"/>
    <cellStyle name="Comma 2 2 11 3 4" xfId="17928" xr:uid="{00000000-0005-0000-0000-000061130000}"/>
    <cellStyle name="Comma 2 2 11 3 4 2" xfId="37848" xr:uid="{00000000-0005-0000-0000-000062130000}"/>
    <cellStyle name="Comma 2 2 11 3 5" xfId="25543" xr:uid="{00000000-0005-0000-0000-000063130000}"/>
    <cellStyle name="Comma 2 2 11 4" xfId="7114" xr:uid="{00000000-0005-0000-0000-000064130000}"/>
    <cellStyle name="Comma 2 2 11 4 2" xfId="13308" xr:uid="{00000000-0005-0000-0000-000065130000}"/>
    <cellStyle name="Comma 2 2 11 4 2 2" xfId="33228" xr:uid="{00000000-0005-0000-0000-000066130000}"/>
    <cellStyle name="Comma 2 2 11 4 3" xfId="19460" xr:uid="{00000000-0005-0000-0000-000067130000}"/>
    <cellStyle name="Comma 2 2 11 4 3 2" xfId="39380" xr:uid="{00000000-0005-0000-0000-000068130000}"/>
    <cellStyle name="Comma 2 2 11 4 4" xfId="27075" xr:uid="{00000000-0005-0000-0000-000069130000}"/>
    <cellStyle name="Comma 2 2 11 5" xfId="10242" xr:uid="{00000000-0005-0000-0000-00006A130000}"/>
    <cellStyle name="Comma 2 2 11 5 2" xfId="30162" xr:uid="{00000000-0005-0000-0000-00006B130000}"/>
    <cellStyle name="Comma 2 2 11 6" xfId="16394" xr:uid="{00000000-0005-0000-0000-00006C130000}"/>
    <cellStyle name="Comma 2 2 11 6 2" xfId="36314" xr:uid="{00000000-0005-0000-0000-00006D130000}"/>
    <cellStyle name="Comma 2 2 11 7" xfId="24009" xr:uid="{00000000-0005-0000-0000-00006E130000}"/>
    <cellStyle name="Comma 2 2 12" xfId="1491" xr:uid="{00000000-0005-0000-0000-00006F130000}"/>
    <cellStyle name="Comma 2 2 12 2" xfId="4708" xr:uid="{00000000-0005-0000-0000-000070130000}"/>
    <cellStyle name="Comma 2 2 12 2 2" xfId="6333" xr:uid="{00000000-0005-0000-0000-000071130000}"/>
    <cellStyle name="Comma 2 2 12 2 2 2" xfId="9419" xr:uid="{00000000-0005-0000-0000-000072130000}"/>
    <cellStyle name="Comma 2 2 12 2 2 2 2" xfId="15612" xr:uid="{00000000-0005-0000-0000-000073130000}"/>
    <cellStyle name="Comma 2 2 12 2 2 2 2 2" xfId="35532" xr:uid="{00000000-0005-0000-0000-000074130000}"/>
    <cellStyle name="Comma 2 2 12 2 2 2 3" xfId="21764" xr:uid="{00000000-0005-0000-0000-000075130000}"/>
    <cellStyle name="Comma 2 2 12 2 2 2 3 2" xfId="41684" xr:uid="{00000000-0005-0000-0000-000076130000}"/>
    <cellStyle name="Comma 2 2 12 2 2 2 4" xfId="29379" xr:uid="{00000000-0005-0000-0000-000077130000}"/>
    <cellStyle name="Comma 2 2 12 2 2 3" xfId="12546" xr:uid="{00000000-0005-0000-0000-000078130000}"/>
    <cellStyle name="Comma 2 2 12 2 2 3 2" xfId="32466" xr:uid="{00000000-0005-0000-0000-000079130000}"/>
    <cellStyle name="Comma 2 2 12 2 2 4" xfId="18698" xr:uid="{00000000-0005-0000-0000-00007A130000}"/>
    <cellStyle name="Comma 2 2 12 2 2 4 2" xfId="38618" xr:uid="{00000000-0005-0000-0000-00007B130000}"/>
    <cellStyle name="Comma 2 2 12 2 2 5" xfId="26313" xr:uid="{00000000-0005-0000-0000-00007C130000}"/>
    <cellStyle name="Comma 2 2 12 2 3" xfId="7884" xr:uid="{00000000-0005-0000-0000-00007D130000}"/>
    <cellStyle name="Comma 2 2 12 2 3 2" xfId="14078" xr:uid="{00000000-0005-0000-0000-00007E130000}"/>
    <cellStyle name="Comma 2 2 12 2 3 2 2" xfId="33998" xr:uid="{00000000-0005-0000-0000-00007F130000}"/>
    <cellStyle name="Comma 2 2 12 2 3 3" xfId="20230" xr:uid="{00000000-0005-0000-0000-000080130000}"/>
    <cellStyle name="Comma 2 2 12 2 3 3 2" xfId="40150" xr:uid="{00000000-0005-0000-0000-000081130000}"/>
    <cellStyle name="Comma 2 2 12 2 3 4" xfId="27845" xr:uid="{00000000-0005-0000-0000-000082130000}"/>
    <cellStyle name="Comma 2 2 12 2 4" xfId="11012" xr:uid="{00000000-0005-0000-0000-000083130000}"/>
    <cellStyle name="Comma 2 2 12 2 4 2" xfId="30932" xr:uid="{00000000-0005-0000-0000-000084130000}"/>
    <cellStyle name="Comma 2 2 12 2 5" xfId="17164" xr:uid="{00000000-0005-0000-0000-000085130000}"/>
    <cellStyle name="Comma 2 2 12 2 5 2" xfId="37084" xr:uid="{00000000-0005-0000-0000-000086130000}"/>
    <cellStyle name="Comma 2 2 12 2 6" xfId="24779" xr:uid="{00000000-0005-0000-0000-000087130000}"/>
    <cellStyle name="Comma 2 2 12 3" xfId="5547" xr:uid="{00000000-0005-0000-0000-000088130000}"/>
    <cellStyle name="Comma 2 2 12 3 2" xfId="8650" xr:uid="{00000000-0005-0000-0000-000089130000}"/>
    <cellStyle name="Comma 2 2 12 3 2 2" xfId="14843" xr:uid="{00000000-0005-0000-0000-00008A130000}"/>
    <cellStyle name="Comma 2 2 12 3 2 2 2" xfId="34763" xr:uid="{00000000-0005-0000-0000-00008B130000}"/>
    <cellStyle name="Comma 2 2 12 3 2 3" xfId="20995" xr:uid="{00000000-0005-0000-0000-00008C130000}"/>
    <cellStyle name="Comma 2 2 12 3 2 3 2" xfId="40915" xr:uid="{00000000-0005-0000-0000-00008D130000}"/>
    <cellStyle name="Comma 2 2 12 3 2 4" xfId="28610" xr:uid="{00000000-0005-0000-0000-00008E130000}"/>
    <cellStyle name="Comma 2 2 12 3 3" xfId="11777" xr:uid="{00000000-0005-0000-0000-00008F130000}"/>
    <cellStyle name="Comma 2 2 12 3 3 2" xfId="31697" xr:uid="{00000000-0005-0000-0000-000090130000}"/>
    <cellStyle name="Comma 2 2 12 3 4" xfId="17929" xr:uid="{00000000-0005-0000-0000-000091130000}"/>
    <cellStyle name="Comma 2 2 12 3 4 2" xfId="37849" xr:uid="{00000000-0005-0000-0000-000092130000}"/>
    <cellStyle name="Comma 2 2 12 3 5" xfId="25544" xr:uid="{00000000-0005-0000-0000-000093130000}"/>
    <cellStyle name="Comma 2 2 12 4" xfId="7115" xr:uid="{00000000-0005-0000-0000-000094130000}"/>
    <cellStyle name="Comma 2 2 12 4 2" xfId="13309" xr:uid="{00000000-0005-0000-0000-000095130000}"/>
    <cellStyle name="Comma 2 2 12 4 2 2" xfId="33229" xr:uid="{00000000-0005-0000-0000-000096130000}"/>
    <cellStyle name="Comma 2 2 12 4 3" xfId="19461" xr:uid="{00000000-0005-0000-0000-000097130000}"/>
    <cellStyle name="Comma 2 2 12 4 3 2" xfId="39381" xr:uid="{00000000-0005-0000-0000-000098130000}"/>
    <cellStyle name="Comma 2 2 12 4 4" xfId="27076" xr:uid="{00000000-0005-0000-0000-000099130000}"/>
    <cellStyle name="Comma 2 2 12 5" xfId="10243" xr:uid="{00000000-0005-0000-0000-00009A130000}"/>
    <cellStyle name="Comma 2 2 12 5 2" xfId="30163" xr:uid="{00000000-0005-0000-0000-00009B130000}"/>
    <cellStyle name="Comma 2 2 12 6" xfId="16395" xr:uid="{00000000-0005-0000-0000-00009C130000}"/>
    <cellStyle name="Comma 2 2 12 6 2" xfId="36315" xr:uid="{00000000-0005-0000-0000-00009D130000}"/>
    <cellStyle name="Comma 2 2 12 7" xfId="24010" xr:uid="{00000000-0005-0000-0000-00009E130000}"/>
    <cellStyle name="Comma 2 2 13" xfId="1492" xr:uid="{00000000-0005-0000-0000-00009F130000}"/>
    <cellStyle name="Comma 2 2 13 2" xfId="4709" xr:uid="{00000000-0005-0000-0000-0000A0130000}"/>
    <cellStyle name="Comma 2 2 13 2 2" xfId="6334" xr:uid="{00000000-0005-0000-0000-0000A1130000}"/>
    <cellStyle name="Comma 2 2 13 2 2 2" xfId="9420" xr:uid="{00000000-0005-0000-0000-0000A2130000}"/>
    <cellStyle name="Comma 2 2 13 2 2 2 2" xfId="15613" xr:uid="{00000000-0005-0000-0000-0000A3130000}"/>
    <cellStyle name="Comma 2 2 13 2 2 2 2 2" xfId="35533" xr:uid="{00000000-0005-0000-0000-0000A4130000}"/>
    <cellStyle name="Comma 2 2 13 2 2 2 3" xfId="21765" xr:uid="{00000000-0005-0000-0000-0000A5130000}"/>
    <cellStyle name="Comma 2 2 13 2 2 2 3 2" xfId="41685" xr:uid="{00000000-0005-0000-0000-0000A6130000}"/>
    <cellStyle name="Comma 2 2 13 2 2 2 4" xfId="29380" xr:uid="{00000000-0005-0000-0000-0000A7130000}"/>
    <cellStyle name="Comma 2 2 13 2 2 3" xfId="12547" xr:uid="{00000000-0005-0000-0000-0000A8130000}"/>
    <cellStyle name="Comma 2 2 13 2 2 3 2" xfId="32467" xr:uid="{00000000-0005-0000-0000-0000A9130000}"/>
    <cellStyle name="Comma 2 2 13 2 2 4" xfId="18699" xr:uid="{00000000-0005-0000-0000-0000AA130000}"/>
    <cellStyle name="Comma 2 2 13 2 2 4 2" xfId="38619" xr:uid="{00000000-0005-0000-0000-0000AB130000}"/>
    <cellStyle name="Comma 2 2 13 2 2 5" xfId="26314" xr:uid="{00000000-0005-0000-0000-0000AC130000}"/>
    <cellStyle name="Comma 2 2 13 2 3" xfId="7885" xr:uid="{00000000-0005-0000-0000-0000AD130000}"/>
    <cellStyle name="Comma 2 2 13 2 3 2" xfId="14079" xr:uid="{00000000-0005-0000-0000-0000AE130000}"/>
    <cellStyle name="Comma 2 2 13 2 3 2 2" xfId="33999" xr:uid="{00000000-0005-0000-0000-0000AF130000}"/>
    <cellStyle name="Comma 2 2 13 2 3 3" xfId="20231" xr:uid="{00000000-0005-0000-0000-0000B0130000}"/>
    <cellStyle name="Comma 2 2 13 2 3 3 2" xfId="40151" xr:uid="{00000000-0005-0000-0000-0000B1130000}"/>
    <cellStyle name="Comma 2 2 13 2 3 4" xfId="27846" xr:uid="{00000000-0005-0000-0000-0000B2130000}"/>
    <cellStyle name="Comma 2 2 13 2 4" xfId="11013" xr:uid="{00000000-0005-0000-0000-0000B3130000}"/>
    <cellStyle name="Comma 2 2 13 2 4 2" xfId="30933" xr:uid="{00000000-0005-0000-0000-0000B4130000}"/>
    <cellStyle name="Comma 2 2 13 2 5" xfId="17165" xr:uid="{00000000-0005-0000-0000-0000B5130000}"/>
    <cellStyle name="Comma 2 2 13 2 5 2" xfId="37085" xr:uid="{00000000-0005-0000-0000-0000B6130000}"/>
    <cellStyle name="Comma 2 2 13 2 6" xfId="24780" xr:uid="{00000000-0005-0000-0000-0000B7130000}"/>
    <cellStyle name="Comma 2 2 13 3" xfId="5548" xr:uid="{00000000-0005-0000-0000-0000B8130000}"/>
    <cellStyle name="Comma 2 2 13 3 2" xfId="8651" xr:uid="{00000000-0005-0000-0000-0000B9130000}"/>
    <cellStyle name="Comma 2 2 13 3 2 2" xfId="14844" xr:uid="{00000000-0005-0000-0000-0000BA130000}"/>
    <cellStyle name="Comma 2 2 13 3 2 2 2" xfId="34764" xr:uid="{00000000-0005-0000-0000-0000BB130000}"/>
    <cellStyle name="Comma 2 2 13 3 2 3" xfId="20996" xr:uid="{00000000-0005-0000-0000-0000BC130000}"/>
    <cellStyle name="Comma 2 2 13 3 2 3 2" xfId="40916" xr:uid="{00000000-0005-0000-0000-0000BD130000}"/>
    <cellStyle name="Comma 2 2 13 3 2 4" xfId="28611" xr:uid="{00000000-0005-0000-0000-0000BE130000}"/>
    <cellStyle name="Comma 2 2 13 3 3" xfId="11778" xr:uid="{00000000-0005-0000-0000-0000BF130000}"/>
    <cellStyle name="Comma 2 2 13 3 3 2" xfId="31698" xr:uid="{00000000-0005-0000-0000-0000C0130000}"/>
    <cellStyle name="Comma 2 2 13 3 4" xfId="17930" xr:uid="{00000000-0005-0000-0000-0000C1130000}"/>
    <cellStyle name="Comma 2 2 13 3 4 2" xfId="37850" xr:uid="{00000000-0005-0000-0000-0000C2130000}"/>
    <cellStyle name="Comma 2 2 13 3 5" xfId="25545" xr:uid="{00000000-0005-0000-0000-0000C3130000}"/>
    <cellStyle name="Comma 2 2 13 4" xfId="7116" xr:uid="{00000000-0005-0000-0000-0000C4130000}"/>
    <cellStyle name="Comma 2 2 13 4 2" xfId="13310" xr:uid="{00000000-0005-0000-0000-0000C5130000}"/>
    <cellStyle name="Comma 2 2 13 4 2 2" xfId="33230" xr:uid="{00000000-0005-0000-0000-0000C6130000}"/>
    <cellStyle name="Comma 2 2 13 4 3" xfId="19462" xr:uid="{00000000-0005-0000-0000-0000C7130000}"/>
    <cellStyle name="Comma 2 2 13 4 3 2" xfId="39382" xr:uid="{00000000-0005-0000-0000-0000C8130000}"/>
    <cellStyle name="Comma 2 2 13 4 4" xfId="27077" xr:uid="{00000000-0005-0000-0000-0000C9130000}"/>
    <cellStyle name="Comma 2 2 13 5" xfId="10244" xr:uid="{00000000-0005-0000-0000-0000CA130000}"/>
    <cellStyle name="Comma 2 2 13 5 2" xfId="30164" xr:uid="{00000000-0005-0000-0000-0000CB130000}"/>
    <cellStyle name="Comma 2 2 13 6" xfId="16396" xr:uid="{00000000-0005-0000-0000-0000CC130000}"/>
    <cellStyle name="Comma 2 2 13 6 2" xfId="36316" xr:uid="{00000000-0005-0000-0000-0000CD130000}"/>
    <cellStyle name="Comma 2 2 13 7" xfId="24011" xr:uid="{00000000-0005-0000-0000-0000CE130000}"/>
    <cellStyle name="Comma 2 2 14" xfId="1493" xr:uid="{00000000-0005-0000-0000-0000CF130000}"/>
    <cellStyle name="Comma 2 2 14 2" xfId="4710" xr:uid="{00000000-0005-0000-0000-0000D0130000}"/>
    <cellStyle name="Comma 2 2 14 2 2" xfId="6335" xr:uid="{00000000-0005-0000-0000-0000D1130000}"/>
    <cellStyle name="Comma 2 2 14 2 2 2" xfId="9421" xr:uid="{00000000-0005-0000-0000-0000D2130000}"/>
    <cellStyle name="Comma 2 2 14 2 2 2 2" xfId="15614" xr:uid="{00000000-0005-0000-0000-0000D3130000}"/>
    <cellStyle name="Comma 2 2 14 2 2 2 2 2" xfId="35534" xr:uid="{00000000-0005-0000-0000-0000D4130000}"/>
    <cellStyle name="Comma 2 2 14 2 2 2 3" xfId="21766" xr:uid="{00000000-0005-0000-0000-0000D5130000}"/>
    <cellStyle name="Comma 2 2 14 2 2 2 3 2" xfId="41686" xr:uid="{00000000-0005-0000-0000-0000D6130000}"/>
    <cellStyle name="Comma 2 2 14 2 2 2 4" xfId="29381" xr:uid="{00000000-0005-0000-0000-0000D7130000}"/>
    <cellStyle name="Comma 2 2 14 2 2 3" xfId="12548" xr:uid="{00000000-0005-0000-0000-0000D8130000}"/>
    <cellStyle name="Comma 2 2 14 2 2 3 2" xfId="32468" xr:uid="{00000000-0005-0000-0000-0000D9130000}"/>
    <cellStyle name="Comma 2 2 14 2 2 4" xfId="18700" xr:uid="{00000000-0005-0000-0000-0000DA130000}"/>
    <cellStyle name="Comma 2 2 14 2 2 4 2" xfId="38620" xr:uid="{00000000-0005-0000-0000-0000DB130000}"/>
    <cellStyle name="Comma 2 2 14 2 2 5" xfId="26315" xr:uid="{00000000-0005-0000-0000-0000DC130000}"/>
    <cellStyle name="Comma 2 2 14 2 3" xfId="7886" xr:uid="{00000000-0005-0000-0000-0000DD130000}"/>
    <cellStyle name="Comma 2 2 14 2 3 2" xfId="14080" xr:uid="{00000000-0005-0000-0000-0000DE130000}"/>
    <cellStyle name="Comma 2 2 14 2 3 2 2" xfId="34000" xr:uid="{00000000-0005-0000-0000-0000DF130000}"/>
    <cellStyle name="Comma 2 2 14 2 3 3" xfId="20232" xr:uid="{00000000-0005-0000-0000-0000E0130000}"/>
    <cellStyle name="Comma 2 2 14 2 3 3 2" xfId="40152" xr:uid="{00000000-0005-0000-0000-0000E1130000}"/>
    <cellStyle name="Comma 2 2 14 2 3 4" xfId="27847" xr:uid="{00000000-0005-0000-0000-0000E2130000}"/>
    <cellStyle name="Comma 2 2 14 2 4" xfId="11014" xr:uid="{00000000-0005-0000-0000-0000E3130000}"/>
    <cellStyle name="Comma 2 2 14 2 4 2" xfId="30934" xr:uid="{00000000-0005-0000-0000-0000E4130000}"/>
    <cellStyle name="Comma 2 2 14 2 5" xfId="17166" xr:uid="{00000000-0005-0000-0000-0000E5130000}"/>
    <cellStyle name="Comma 2 2 14 2 5 2" xfId="37086" xr:uid="{00000000-0005-0000-0000-0000E6130000}"/>
    <cellStyle name="Comma 2 2 14 2 6" xfId="24781" xr:uid="{00000000-0005-0000-0000-0000E7130000}"/>
    <cellStyle name="Comma 2 2 14 3" xfId="5549" xr:uid="{00000000-0005-0000-0000-0000E8130000}"/>
    <cellStyle name="Comma 2 2 14 3 2" xfId="8652" xr:uid="{00000000-0005-0000-0000-0000E9130000}"/>
    <cellStyle name="Comma 2 2 14 3 2 2" xfId="14845" xr:uid="{00000000-0005-0000-0000-0000EA130000}"/>
    <cellStyle name="Comma 2 2 14 3 2 2 2" xfId="34765" xr:uid="{00000000-0005-0000-0000-0000EB130000}"/>
    <cellStyle name="Comma 2 2 14 3 2 3" xfId="20997" xr:uid="{00000000-0005-0000-0000-0000EC130000}"/>
    <cellStyle name="Comma 2 2 14 3 2 3 2" xfId="40917" xr:uid="{00000000-0005-0000-0000-0000ED130000}"/>
    <cellStyle name="Comma 2 2 14 3 2 4" xfId="28612" xr:uid="{00000000-0005-0000-0000-0000EE130000}"/>
    <cellStyle name="Comma 2 2 14 3 3" xfId="11779" xr:uid="{00000000-0005-0000-0000-0000EF130000}"/>
    <cellStyle name="Comma 2 2 14 3 3 2" xfId="31699" xr:uid="{00000000-0005-0000-0000-0000F0130000}"/>
    <cellStyle name="Comma 2 2 14 3 4" xfId="17931" xr:uid="{00000000-0005-0000-0000-0000F1130000}"/>
    <cellStyle name="Comma 2 2 14 3 4 2" xfId="37851" xr:uid="{00000000-0005-0000-0000-0000F2130000}"/>
    <cellStyle name="Comma 2 2 14 3 5" xfId="25546" xr:uid="{00000000-0005-0000-0000-0000F3130000}"/>
    <cellStyle name="Comma 2 2 14 4" xfId="7117" xr:uid="{00000000-0005-0000-0000-0000F4130000}"/>
    <cellStyle name="Comma 2 2 14 4 2" xfId="13311" xr:uid="{00000000-0005-0000-0000-0000F5130000}"/>
    <cellStyle name="Comma 2 2 14 4 2 2" xfId="33231" xr:uid="{00000000-0005-0000-0000-0000F6130000}"/>
    <cellStyle name="Comma 2 2 14 4 3" xfId="19463" xr:uid="{00000000-0005-0000-0000-0000F7130000}"/>
    <cellStyle name="Comma 2 2 14 4 3 2" xfId="39383" xr:uid="{00000000-0005-0000-0000-0000F8130000}"/>
    <cellStyle name="Comma 2 2 14 4 4" xfId="27078" xr:uid="{00000000-0005-0000-0000-0000F9130000}"/>
    <cellStyle name="Comma 2 2 14 5" xfId="10245" xr:uid="{00000000-0005-0000-0000-0000FA130000}"/>
    <cellStyle name="Comma 2 2 14 5 2" xfId="30165" xr:uid="{00000000-0005-0000-0000-0000FB130000}"/>
    <cellStyle name="Comma 2 2 14 6" xfId="16397" xr:uid="{00000000-0005-0000-0000-0000FC130000}"/>
    <cellStyle name="Comma 2 2 14 6 2" xfId="36317" xr:uid="{00000000-0005-0000-0000-0000FD130000}"/>
    <cellStyle name="Comma 2 2 14 7" xfId="24012" xr:uid="{00000000-0005-0000-0000-0000FE130000}"/>
    <cellStyle name="Comma 2 2 15" xfId="1494" xr:uid="{00000000-0005-0000-0000-0000FF130000}"/>
    <cellStyle name="Comma 2 2 15 2" xfId="4711" xr:uid="{00000000-0005-0000-0000-000000140000}"/>
    <cellStyle name="Comma 2 2 15 2 2" xfId="6336" xr:uid="{00000000-0005-0000-0000-000001140000}"/>
    <cellStyle name="Comma 2 2 15 2 2 2" xfId="9422" xr:uid="{00000000-0005-0000-0000-000002140000}"/>
    <cellStyle name="Comma 2 2 15 2 2 2 2" xfId="15615" xr:uid="{00000000-0005-0000-0000-000003140000}"/>
    <cellStyle name="Comma 2 2 15 2 2 2 2 2" xfId="35535" xr:uid="{00000000-0005-0000-0000-000004140000}"/>
    <cellStyle name="Comma 2 2 15 2 2 2 3" xfId="21767" xr:uid="{00000000-0005-0000-0000-000005140000}"/>
    <cellStyle name="Comma 2 2 15 2 2 2 3 2" xfId="41687" xr:uid="{00000000-0005-0000-0000-000006140000}"/>
    <cellStyle name="Comma 2 2 15 2 2 2 4" xfId="29382" xr:uid="{00000000-0005-0000-0000-000007140000}"/>
    <cellStyle name="Comma 2 2 15 2 2 3" xfId="12549" xr:uid="{00000000-0005-0000-0000-000008140000}"/>
    <cellStyle name="Comma 2 2 15 2 2 3 2" xfId="32469" xr:uid="{00000000-0005-0000-0000-000009140000}"/>
    <cellStyle name="Comma 2 2 15 2 2 4" xfId="18701" xr:uid="{00000000-0005-0000-0000-00000A140000}"/>
    <cellStyle name="Comma 2 2 15 2 2 4 2" xfId="38621" xr:uid="{00000000-0005-0000-0000-00000B140000}"/>
    <cellStyle name="Comma 2 2 15 2 2 5" xfId="26316" xr:uid="{00000000-0005-0000-0000-00000C140000}"/>
    <cellStyle name="Comma 2 2 15 2 3" xfId="7887" xr:uid="{00000000-0005-0000-0000-00000D140000}"/>
    <cellStyle name="Comma 2 2 15 2 3 2" xfId="14081" xr:uid="{00000000-0005-0000-0000-00000E140000}"/>
    <cellStyle name="Comma 2 2 15 2 3 2 2" xfId="34001" xr:uid="{00000000-0005-0000-0000-00000F140000}"/>
    <cellStyle name="Comma 2 2 15 2 3 3" xfId="20233" xr:uid="{00000000-0005-0000-0000-000010140000}"/>
    <cellStyle name="Comma 2 2 15 2 3 3 2" xfId="40153" xr:uid="{00000000-0005-0000-0000-000011140000}"/>
    <cellStyle name="Comma 2 2 15 2 3 4" xfId="27848" xr:uid="{00000000-0005-0000-0000-000012140000}"/>
    <cellStyle name="Comma 2 2 15 2 4" xfId="11015" xr:uid="{00000000-0005-0000-0000-000013140000}"/>
    <cellStyle name="Comma 2 2 15 2 4 2" xfId="30935" xr:uid="{00000000-0005-0000-0000-000014140000}"/>
    <cellStyle name="Comma 2 2 15 2 5" xfId="17167" xr:uid="{00000000-0005-0000-0000-000015140000}"/>
    <cellStyle name="Comma 2 2 15 2 5 2" xfId="37087" xr:uid="{00000000-0005-0000-0000-000016140000}"/>
    <cellStyle name="Comma 2 2 15 2 6" xfId="24782" xr:uid="{00000000-0005-0000-0000-000017140000}"/>
    <cellStyle name="Comma 2 2 15 3" xfId="5550" xr:uid="{00000000-0005-0000-0000-000018140000}"/>
    <cellStyle name="Comma 2 2 15 3 2" xfId="8653" xr:uid="{00000000-0005-0000-0000-000019140000}"/>
    <cellStyle name="Comma 2 2 15 3 2 2" xfId="14846" xr:uid="{00000000-0005-0000-0000-00001A140000}"/>
    <cellStyle name="Comma 2 2 15 3 2 2 2" xfId="34766" xr:uid="{00000000-0005-0000-0000-00001B140000}"/>
    <cellStyle name="Comma 2 2 15 3 2 3" xfId="20998" xr:uid="{00000000-0005-0000-0000-00001C140000}"/>
    <cellStyle name="Comma 2 2 15 3 2 3 2" xfId="40918" xr:uid="{00000000-0005-0000-0000-00001D140000}"/>
    <cellStyle name="Comma 2 2 15 3 2 4" xfId="28613" xr:uid="{00000000-0005-0000-0000-00001E140000}"/>
    <cellStyle name="Comma 2 2 15 3 3" xfId="11780" xr:uid="{00000000-0005-0000-0000-00001F140000}"/>
    <cellStyle name="Comma 2 2 15 3 3 2" xfId="31700" xr:uid="{00000000-0005-0000-0000-000020140000}"/>
    <cellStyle name="Comma 2 2 15 3 4" xfId="17932" xr:uid="{00000000-0005-0000-0000-000021140000}"/>
    <cellStyle name="Comma 2 2 15 3 4 2" xfId="37852" xr:uid="{00000000-0005-0000-0000-000022140000}"/>
    <cellStyle name="Comma 2 2 15 3 5" xfId="25547" xr:uid="{00000000-0005-0000-0000-000023140000}"/>
    <cellStyle name="Comma 2 2 15 4" xfId="7118" xr:uid="{00000000-0005-0000-0000-000024140000}"/>
    <cellStyle name="Comma 2 2 15 4 2" xfId="13312" xr:uid="{00000000-0005-0000-0000-000025140000}"/>
    <cellStyle name="Comma 2 2 15 4 2 2" xfId="33232" xr:uid="{00000000-0005-0000-0000-000026140000}"/>
    <cellStyle name="Comma 2 2 15 4 3" xfId="19464" xr:uid="{00000000-0005-0000-0000-000027140000}"/>
    <cellStyle name="Comma 2 2 15 4 3 2" xfId="39384" xr:uid="{00000000-0005-0000-0000-000028140000}"/>
    <cellStyle name="Comma 2 2 15 4 4" xfId="27079" xr:uid="{00000000-0005-0000-0000-000029140000}"/>
    <cellStyle name="Comma 2 2 15 5" xfId="10246" xr:uid="{00000000-0005-0000-0000-00002A140000}"/>
    <cellStyle name="Comma 2 2 15 5 2" xfId="30166" xr:uid="{00000000-0005-0000-0000-00002B140000}"/>
    <cellStyle name="Comma 2 2 15 6" xfId="16398" xr:uid="{00000000-0005-0000-0000-00002C140000}"/>
    <cellStyle name="Comma 2 2 15 6 2" xfId="36318" xr:uid="{00000000-0005-0000-0000-00002D140000}"/>
    <cellStyle name="Comma 2 2 15 7" xfId="24013" xr:uid="{00000000-0005-0000-0000-00002E140000}"/>
    <cellStyle name="Comma 2 2 16" xfId="1495" xr:uid="{00000000-0005-0000-0000-00002F140000}"/>
    <cellStyle name="Comma 2 2 16 2" xfId="4712" xr:uid="{00000000-0005-0000-0000-000030140000}"/>
    <cellStyle name="Comma 2 2 16 2 2" xfId="6337" xr:uid="{00000000-0005-0000-0000-000031140000}"/>
    <cellStyle name="Comma 2 2 16 2 2 2" xfId="9423" xr:uid="{00000000-0005-0000-0000-000032140000}"/>
    <cellStyle name="Comma 2 2 16 2 2 2 2" xfId="15616" xr:uid="{00000000-0005-0000-0000-000033140000}"/>
    <cellStyle name="Comma 2 2 16 2 2 2 2 2" xfId="35536" xr:uid="{00000000-0005-0000-0000-000034140000}"/>
    <cellStyle name="Comma 2 2 16 2 2 2 3" xfId="21768" xr:uid="{00000000-0005-0000-0000-000035140000}"/>
    <cellStyle name="Comma 2 2 16 2 2 2 3 2" xfId="41688" xr:uid="{00000000-0005-0000-0000-000036140000}"/>
    <cellStyle name="Comma 2 2 16 2 2 2 4" xfId="29383" xr:uid="{00000000-0005-0000-0000-000037140000}"/>
    <cellStyle name="Comma 2 2 16 2 2 3" xfId="12550" xr:uid="{00000000-0005-0000-0000-000038140000}"/>
    <cellStyle name="Comma 2 2 16 2 2 3 2" xfId="32470" xr:uid="{00000000-0005-0000-0000-000039140000}"/>
    <cellStyle name="Comma 2 2 16 2 2 4" xfId="18702" xr:uid="{00000000-0005-0000-0000-00003A140000}"/>
    <cellStyle name="Comma 2 2 16 2 2 4 2" xfId="38622" xr:uid="{00000000-0005-0000-0000-00003B140000}"/>
    <cellStyle name="Comma 2 2 16 2 2 5" xfId="26317" xr:uid="{00000000-0005-0000-0000-00003C140000}"/>
    <cellStyle name="Comma 2 2 16 2 3" xfId="7888" xr:uid="{00000000-0005-0000-0000-00003D140000}"/>
    <cellStyle name="Comma 2 2 16 2 3 2" xfId="14082" xr:uid="{00000000-0005-0000-0000-00003E140000}"/>
    <cellStyle name="Comma 2 2 16 2 3 2 2" xfId="34002" xr:uid="{00000000-0005-0000-0000-00003F140000}"/>
    <cellStyle name="Comma 2 2 16 2 3 3" xfId="20234" xr:uid="{00000000-0005-0000-0000-000040140000}"/>
    <cellStyle name="Comma 2 2 16 2 3 3 2" xfId="40154" xr:uid="{00000000-0005-0000-0000-000041140000}"/>
    <cellStyle name="Comma 2 2 16 2 3 4" xfId="27849" xr:uid="{00000000-0005-0000-0000-000042140000}"/>
    <cellStyle name="Comma 2 2 16 2 4" xfId="11016" xr:uid="{00000000-0005-0000-0000-000043140000}"/>
    <cellStyle name="Comma 2 2 16 2 4 2" xfId="30936" xr:uid="{00000000-0005-0000-0000-000044140000}"/>
    <cellStyle name="Comma 2 2 16 2 5" xfId="17168" xr:uid="{00000000-0005-0000-0000-000045140000}"/>
    <cellStyle name="Comma 2 2 16 2 5 2" xfId="37088" xr:uid="{00000000-0005-0000-0000-000046140000}"/>
    <cellStyle name="Comma 2 2 16 2 6" xfId="24783" xr:uid="{00000000-0005-0000-0000-000047140000}"/>
    <cellStyle name="Comma 2 2 16 3" xfId="5551" xr:uid="{00000000-0005-0000-0000-000048140000}"/>
    <cellStyle name="Comma 2 2 16 3 2" xfId="8654" xr:uid="{00000000-0005-0000-0000-000049140000}"/>
    <cellStyle name="Comma 2 2 16 3 2 2" xfId="14847" xr:uid="{00000000-0005-0000-0000-00004A140000}"/>
    <cellStyle name="Comma 2 2 16 3 2 2 2" xfId="34767" xr:uid="{00000000-0005-0000-0000-00004B140000}"/>
    <cellStyle name="Comma 2 2 16 3 2 3" xfId="20999" xr:uid="{00000000-0005-0000-0000-00004C140000}"/>
    <cellStyle name="Comma 2 2 16 3 2 3 2" xfId="40919" xr:uid="{00000000-0005-0000-0000-00004D140000}"/>
    <cellStyle name="Comma 2 2 16 3 2 4" xfId="28614" xr:uid="{00000000-0005-0000-0000-00004E140000}"/>
    <cellStyle name="Comma 2 2 16 3 3" xfId="11781" xr:uid="{00000000-0005-0000-0000-00004F140000}"/>
    <cellStyle name="Comma 2 2 16 3 3 2" xfId="31701" xr:uid="{00000000-0005-0000-0000-000050140000}"/>
    <cellStyle name="Comma 2 2 16 3 4" xfId="17933" xr:uid="{00000000-0005-0000-0000-000051140000}"/>
    <cellStyle name="Comma 2 2 16 3 4 2" xfId="37853" xr:uid="{00000000-0005-0000-0000-000052140000}"/>
    <cellStyle name="Comma 2 2 16 3 5" xfId="25548" xr:uid="{00000000-0005-0000-0000-000053140000}"/>
    <cellStyle name="Comma 2 2 16 4" xfId="7119" xr:uid="{00000000-0005-0000-0000-000054140000}"/>
    <cellStyle name="Comma 2 2 16 4 2" xfId="13313" xr:uid="{00000000-0005-0000-0000-000055140000}"/>
    <cellStyle name="Comma 2 2 16 4 2 2" xfId="33233" xr:uid="{00000000-0005-0000-0000-000056140000}"/>
    <cellStyle name="Comma 2 2 16 4 3" xfId="19465" xr:uid="{00000000-0005-0000-0000-000057140000}"/>
    <cellStyle name="Comma 2 2 16 4 3 2" xfId="39385" xr:uid="{00000000-0005-0000-0000-000058140000}"/>
    <cellStyle name="Comma 2 2 16 4 4" xfId="27080" xr:uid="{00000000-0005-0000-0000-000059140000}"/>
    <cellStyle name="Comma 2 2 16 5" xfId="10247" xr:uid="{00000000-0005-0000-0000-00005A140000}"/>
    <cellStyle name="Comma 2 2 16 5 2" xfId="30167" xr:uid="{00000000-0005-0000-0000-00005B140000}"/>
    <cellStyle name="Comma 2 2 16 6" xfId="16399" xr:uid="{00000000-0005-0000-0000-00005C140000}"/>
    <cellStyle name="Comma 2 2 16 6 2" xfId="36319" xr:uid="{00000000-0005-0000-0000-00005D140000}"/>
    <cellStyle name="Comma 2 2 16 7" xfId="24014" xr:uid="{00000000-0005-0000-0000-00005E140000}"/>
    <cellStyle name="Comma 2 2 17" xfId="1496" xr:uid="{00000000-0005-0000-0000-00005F140000}"/>
    <cellStyle name="Comma 2 2 17 2" xfId="4713" xr:uid="{00000000-0005-0000-0000-000060140000}"/>
    <cellStyle name="Comma 2 2 17 2 2" xfId="6338" xr:uid="{00000000-0005-0000-0000-000061140000}"/>
    <cellStyle name="Comma 2 2 17 2 2 2" xfId="9424" xr:uid="{00000000-0005-0000-0000-000062140000}"/>
    <cellStyle name="Comma 2 2 17 2 2 2 2" xfId="15617" xr:uid="{00000000-0005-0000-0000-000063140000}"/>
    <cellStyle name="Comma 2 2 17 2 2 2 2 2" xfId="35537" xr:uid="{00000000-0005-0000-0000-000064140000}"/>
    <cellStyle name="Comma 2 2 17 2 2 2 3" xfId="21769" xr:uid="{00000000-0005-0000-0000-000065140000}"/>
    <cellStyle name="Comma 2 2 17 2 2 2 3 2" xfId="41689" xr:uid="{00000000-0005-0000-0000-000066140000}"/>
    <cellStyle name="Comma 2 2 17 2 2 2 4" xfId="29384" xr:uid="{00000000-0005-0000-0000-000067140000}"/>
    <cellStyle name="Comma 2 2 17 2 2 3" xfId="12551" xr:uid="{00000000-0005-0000-0000-000068140000}"/>
    <cellStyle name="Comma 2 2 17 2 2 3 2" xfId="32471" xr:uid="{00000000-0005-0000-0000-000069140000}"/>
    <cellStyle name="Comma 2 2 17 2 2 4" xfId="18703" xr:uid="{00000000-0005-0000-0000-00006A140000}"/>
    <cellStyle name="Comma 2 2 17 2 2 4 2" xfId="38623" xr:uid="{00000000-0005-0000-0000-00006B140000}"/>
    <cellStyle name="Comma 2 2 17 2 2 5" xfId="26318" xr:uid="{00000000-0005-0000-0000-00006C140000}"/>
    <cellStyle name="Comma 2 2 17 2 3" xfId="7889" xr:uid="{00000000-0005-0000-0000-00006D140000}"/>
    <cellStyle name="Comma 2 2 17 2 3 2" xfId="14083" xr:uid="{00000000-0005-0000-0000-00006E140000}"/>
    <cellStyle name="Comma 2 2 17 2 3 2 2" xfId="34003" xr:uid="{00000000-0005-0000-0000-00006F140000}"/>
    <cellStyle name="Comma 2 2 17 2 3 3" xfId="20235" xr:uid="{00000000-0005-0000-0000-000070140000}"/>
    <cellStyle name="Comma 2 2 17 2 3 3 2" xfId="40155" xr:uid="{00000000-0005-0000-0000-000071140000}"/>
    <cellStyle name="Comma 2 2 17 2 3 4" xfId="27850" xr:uid="{00000000-0005-0000-0000-000072140000}"/>
    <cellStyle name="Comma 2 2 17 2 4" xfId="11017" xr:uid="{00000000-0005-0000-0000-000073140000}"/>
    <cellStyle name="Comma 2 2 17 2 4 2" xfId="30937" xr:uid="{00000000-0005-0000-0000-000074140000}"/>
    <cellStyle name="Comma 2 2 17 2 5" xfId="17169" xr:uid="{00000000-0005-0000-0000-000075140000}"/>
    <cellStyle name="Comma 2 2 17 2 5 2" xfId="37089" xr:uid="{00000000-0005-0000-0000-000076140000}"/>
    <cellStyle name="Comma 2 2 17 2 6" xfId="24784" xr:uid="{00000000-0005-0000-0000-000077140000}"/>
    <cellStyle name="Comma 2 2 17 3" xfId="5552" xr:uid="{00000000-0005-0000-0000-000078140000}"/>
    <cellStyle name="Comma 2 2 17 3 2" xfId="8655" xr:uid="{00000000-0005-0000-0000-000079140000}"/>
    <cellStyle name="Comma 2 2 17 3 2 2" xfId="14848" xr:uid="{00000000-0005-0000-0000-00007A140000}"/>
    <cellStyle name="Comma 2 2 17 3 2 2 2" xfId="34768" xr:uid="{00000000-0005-0000-0000-00007B140000}"/>
    <cellStyle name="Comma 2 2 17 3 2 3" xfId="21000" xr:uid="{00000000-0005-0000-0000-00007C140000}"/>
    <cellStyle name="Comma 2 2 17 3 2 3 2" xfId="40920" xr:uid="{00000000-0005-0000-0000-00007D140000}"/>
    <cellStyle name="Comma 2 2 17 3 2 4" xfId="28615" xr:uid="{00000000-0005-0000-0000-00007E140000}"/>
    <cellStyle name="Comma 2 2 17 3 3" xfId="11782" xr:uid="{00000000-0005-0000-0000-00007F140000}"/>
    <cellStyle name="Comma 2 2 17 3 3 2" xfId="31702" xr:uid="{00000000-0005-0000-0000-000080140000}"/>
    <cellStyle name="Comma 2 2 17 3 4" xfId="17934" xr:uid="{00000000-0005-0000-0000-000081140000}"/>
    <cellStyle name="Comma 2 2 17 3 4 2" xfId="37854" xr:uid="{00000000-0005-0000-0000-000082140000}"/>
    <cellStyle name="Comma 2 2 17 3 5" xfId="25549" xr:uid="{00000000-0005-0000-0000-000083140000}"/>
    <cellStyle name="Comma 2 2 17 4" xfId="7120" xr:uid="{00000000-0005-0000-0000-000084140000}"/>
    <cellStyle name="Comma 2 2 17 4 2" xfId="13314" xr:uid="{00000000-0005-0000-0000-000085140000}"/>
    <cellStyle name="Comma 2 2 17 4 2 2" xfId="33234" xr:uid="{00000000-0005-0000-0000-000086140000}"/>
    <cellStyle name="Comma 2 2 17 4 3" xfId="19466" xr:uid="{00000000-0005-0000-0000-000087140000}"/>
    <cellStyle name="Comma 2 2 17 4 3 2" xfId="39386" xr:uid="{00000000-0005-0000-0000-000088140000}"/>
    <cellStyle name="Comma 2 2 17 4 4" xfId="27081" xr:uid="{00000000-0005-0000-0000-000089140000}"/>
    <cellStyle name="Comma 2 2 17 5" xfId="10248" xr:uid="{00000000-0005-0000-0000-00008A140000}"/>
    <cellStyle name="Comma 2 2 17 5 2" xfId="30168" xr:uid="{00000000-0005-0000-0000-00008B140000}"/>
    <cellStyle name="Comma 2 2 17 6" xfId="16400" xr:uid="{00000000-0005-0000-0000-00008C140000}"/>
    <cellStyle name="Comma 2 2 17 6 2" xfId="36320" xr:uid="{00000000-0005-0000-0000-00008D140000}"/>
    <cellStyle name="Comma 2 2 17 7" xfId="24015" xr:uid="{00000000-0005-0000-0000-00008E140000}"/>
    <cellStyle name="Comma 2 2 18" xfId="1497" xr:uid="{00000000-0005-0000-0000-00008F140000}"/>
    <cellStyle name="Comma 2 2 2" xfId="1498" xr:uid="{00000000-0005-0000-0000-000090140000}"/>
    <cellStyle name="Comma 2 2 2 2" xfId="1499" xr:uid="{00000000-0005-0000-0000-000091140000}"/>
    <cellStyle name="Comma 2 2 2 2 10" xfId="16401" xr:uid="{00000000-0005-0000-0000-000092140000}"/>
    <cellStyle name="Comma 2 2 2 2 10 2" xfId="36321" xr:uid="{00000000-0005-0000-0000-000093140000}"/>
    <cellStyle name="Comma 2 2 2 2 11" xfId="24016" xr:uid="{00000000-0005-0000-0000-000094140000}"/>
    <cellStyle name="Comma 2 2 2 2 2" xfId="1500" xr:uid="{00000000-0005-0000-0000-000095140000}"/>
    <cellStyle name="Comma 2 2 2 2 2 2" xfId="4715" xr:uid="{00000000-0005-0000-0000-000096140000}"/>
    <cellStyle name="Comma 2 2 2 2 2 2 2" xfId="6340" xr:uid="{00000000-0005-0000-0000-000097140000}"/>
    <cellStyle name="Comma 2 2 2 2 2 2 2 2" xfId="9426" xr:uid="{00000000-0005-0000-0000-000098140000}"/>
    <cellStyle name="Comma 2 2 2 2 2 2 2 2 2" xfId="15619" xr:uid="{00000000-0005-0000-0000-000099140000}"/>
    <cellStyle name="Comma 2 2 2 2 2 2 2 2 2 2" xfId="35539" xr:uid="{00000000-0005-0000-0000-00009A140000}"/>
    <cellStyle name="Comma 2 2 2 2 2 2 2 2 3" xfId="21771" xr:uid="{00000000-0005-0000-0000-00009B140000}"/>
    <cellStyle name="Comma 2 2 2 2 2 2 2 2 3 2" xfId="41691" xr:uid="{00000000-0005-0000-0000-00009C140000}"/>
    <cellStyle name="Comma 2 2 2 2 2 2 2 2 4" xfId="29386" xr:uid="{00000000-0005-0000-0000-00009D140000}"/>
    <cellStyle name="Comma 2 2 2 2 2 2 2 3" xfId="12553" xr:uid="{00000000-0005-0000-0000-00009E140000}"/>
    <cellStyle name="Comma 2 2 2 2 2 2 2 3 2" xfId="32473" xr:uid="{00000000-0005-0000-0000-00009F140000}"/>
    <cellStyle name="Comma 2 2 2 2 2 2 2 4" xfId="18705" xr:uid="{00000000-0005-0000-0000-0000A0140000}"/>
    <cellStyle name="Comma 2 2 2 2 2 2 2 4 2" xfId="38625" xr:uid="{00000000-0005-0000-0000-0000A1140000}"/>
    <cellStyle name="Comma 2 2 2 2 2 2 2 5" xfId="26320" xr:uid="{00000000-0005-0000-0000-0000A2140000}"/>
    <cellStyle name="Comma 2 2 2 2 2 2 3" xfId="7891" xr:uid="{00000000-0005-0000-0000-0000A3140000}"/>
    <cellStyle name="Comma 2 2 2 2 2 2 3 2" xfId="14085" xr:uid="{00000000-0005-0000-0000-0000A4140000}"/>
    <cellStyle name="Comma 2 2 2 2 2 2 3 2 2" xfId="34005" xr:uid="{00000000-0005-0000-0000-0000A5140000}"/>
    <cellStyle name="Comma 2 2 2 2 2 2 3 3" xfId="20237" xr:uid="{00000000-0005-0000-0000-0000A6140000}"/>
    <cellStyle name="Comma 2 2 2 2 2 2 3 3 2" xfId="40157" xr:uid="{00000000-0005-0000-0000-0000A7140000}"/>
    <cellStyle name="Comma 2 2 2 2 2 2 3 4" xfId="27852" xr:uid="{00000000-0005-0000-0000-0000A8140000}"/>
    <cellStyle name="Comma 2 2 2 2 2 2 4" xfId="11019" xr:uid="{00000000-0005-0000-0000-0000A9140000}"/>
    <cellStyle name="Comma 2 2 2 2 2 2 4 2" xfId="30939" xr:uid="{00000000-0005-0000-0000-0000AA140000}"/>
    <cellStyle name="Comma 2 2 2 2 2 2 5" xfId="17171" xr:uid="{00000000-0005-0000-0000-0000AB140000}"/>
    <cellStyle name="Comma 2 2 2 2 2 2 5 2" xfId="37091" xr:uid="{00000000-0005-0000-0000-0000AC140000}"/>
    <cellStyle name="Comma 2 2 2 2 2 2 6" xfId="24786" xr:uid="{00000000-0005-0000-0000-0000AD140000}"/>
    <cellStyle name="Comma 2 2 2 2 2 3" xfId="5554" xr:uid="{00000000-0005-0000-0000-0000AE140000}"/>
    <cellStyle name="Comma 2 2 2 2 2 3 2" xfId="8657" xr:uid="{00000000-0005-0000-0000-0000AF140000}"/>
    <cellStyle name="Comma 2 2 2 2 2 3 2 2" xfId="14850" xr:uid="{00000000-0005-0000-0000-0000B0140000}"/>
    <cellStyle name="Comma 2 2 2 2 2 3 2 2 2" xfId="34770" xr:uid="{00000000-0005-0000-0000-0000B1140000}"/>
    <cellStyle name="Comma 2 2 2 2 2 3 2 3" xfId="21002" xr:uid="{00000000-0005-0000-0000-0000B2140000}"/>
    <cellStyle name="Comma 2 2 2 2 2 3 2 3 2" xfId="40922" xr:uid="{00000000-0005-0000-0000-0000B3140000}"/>
    <cellStyle name="Comma 2 2 2 2 2 3 2 4" xfId="28617" xr:uid="{00000000-0005-0000-0000-0000B4140000}"/>
    <cellStyle name="Comma 2 2 2 2 2 3 3" xfId="11784" xr:uid="{00000000-0005-0000-0000-0000B5140000}"/>
    <cellStyle name="Comma 2 2 2 2 2 3 3 2" xfId="31704" xr:uid="{00000000-0005-0000-0000-0000B6140000}"/>
    <cellStyle name="Comma 2 2 2 2 2 3 4" xfId="17936" xr:uid="{00000000-0005-0000-0000-0000B7140000}"/>
    <cellStyle name="Comma 2 2 2 2 2 3 4 2" xfId="37856" xr:uid="{00000000-0005-0000-0000-0000B8140000}"/>
    <cellStyle name="Comma 2 2 2 2 2 3 5" xfId="25551" xr:uid="{00000000-0005-0000-0000-0000B9140000}"/>
    <cellStyle name="Comma 2 2 2 2 2 4" xfId="7122" xr:uid="{00000000-0005-0000-0000-0000BA140000}"/>
    <cellStyle name="Comma 2 2 2 2 2 4 2" xfId="13316" xr:uid="{00000000-0005-0000-0000-0000BB140000}"/>
    <cellStyle name="Comma 2 2 2 2 2 4 2 2" xfId="33236" xr:uid="{00000000-0005-0000-0000-0000BC140000}"/>
    <cellStyle name="Comma 2 2 2 2 2 4 3" xfId="19468" xr:uid="{00000000-0005-0000-0000-0000BD140000}"/>
    <cellStyle name="Comma 2 2 2 2 2 4 3 2" xfId="39388" xr:uid="{00000000-0005-0000-0000-0000BE140000}"/>
    <cellStyle name="Comma 2 2 2 2 2 4 4" xfId="27083" xr:uid="{00000000-0005-0000-0000-0000BF140000}"/>
    <cellStyle name="Comma 2 2 2 2 2 5" xfId="10250" xr:uid="{00000000-0005-0000-0000-0000C0140000}"/>
    <cellStyle name="Comma 2 2 2 2 2 5 2" xfId="30170" xr:uid="{00000000-0005-0000-0000-0000C1140000}"/>
    <cellStyle name="Comma 2 2 2 2 2 6" xfId="16402" xr:uid="{00000000-0005-0000-0000-0000C2140000}"/>
    <cellStyle name="Comma 2 2 2 2 2 6 2" xfId="36322" xr:uid="{00000000-0005-0000-0000-0000C3140000}"/>
    <cellStyle name="Comma 2 2 2 2 2 7" xfId="24017" xr:uid="{00000000-0005-0000-0000-0000C4140000}"/>
    <cellStyle name="Comma 2 2 2 2 3" xfId="1501" xr:uid="{00000000-0005-0000-0000-0000C5140000}"/>
    <cellStyle name="Comma 2 2 2 2 3 2" xfId="4716" xr:uid="{00000000-0005-0000-0000-0000C6140000}"/>
    <cellStyle name="Comma 2 2 2 2 3 2 2" xfId="6341" xr:uid="{00000000-0005-0000-0000-0000C7140000}"/>
    <cellStyle name="Comma 2 2 2 2 3 2 2 2" xfId="9427" xr:uid="{00000000-0005-0000-0000-0000C8140000}"/>
    <cellStyle name="Comma 2 2 2 2 3 2 2 2 2" xfId="15620" xr:uid="{00000000-0005-0000-0000-0000C9140000}"/>
    <cellStyle name="Comma 2 2 2 2 3 2 2 2 2 2" xfId="35540" xr:uid="{00000000-0005-0000-0000-0000CA140000}"/>
    <cellStyle name="Comma 2 2 2 2 3 2 2 2 3" xfId="21772" xr:uid="{00000000-0005-0000-0000-0000CB140000}"/>
    <cellStyle name="Comma 2 2 2 2 3 2 2 2 3 2" xfId="41692" xr:uid="{00000000-0005-0000-0000-0000CC140000}"/>
    <cellStyle name="Comma 2 2 2 2 3 2 2 2 4" xfId="29387" xr:uid="{00000000-0005-0000-0000-0000CD140000}"/>
    <cellStyle name="Comma 2 2 2 2 3 2 2 3" xfId="12554" xr:uid="{00000000-0005-0000-0000-0000CE140000}"/>
    <cellStyle name="Comma 2 2 2 2 3 2 2 3 2" xfId="32474" xr:uid="{00000000-0005-0000-0000-0000CF140000}"/>
    <cellStyle name="Comma 2 2 2 2 3 2 2 4" xfId="18706" xr:uid="{00000000-0005-0000-0000-0000D0140000}"/>
    <cellStyle name="Comma 2 2 2 2 3 2 2 4 2" xfId="38626" xr:uid="{00000000-0005-0000-0000-0000D1140000}"/>
    <cellStyle name="Comma 2 2 2 2 3 2 2 5" xfId="26321" xr:uid="{00000000-0005-0000-0000-0000D2140000}"/>
    <cellStyle name="Comma 2 2 2 2 3 2 3" xfId="7892" xr:uid="{00000000-0005-0000-0000-0000D3140000}"/>
    <cellStyle name="Comma 2 2 2 2 3 2 3 2" xfId="14086" xr:uid="{00000000-0005-0000-0000-0000D4140000}"/>
    <cellStyle name="Comma 2 2 2 2 3 2 3 2 2" xfId="34006" xr:uid="{00000000-0005-0000-0000-0000D5140000}"/>
    <cellStyle name="Comma 2 2 2 2 3 2 3 3" xfId="20238" xr:uid="{00000000-0005-0000-0000-0000D6140000}"/>
    <cellStyle name="Comma 2 2 2 2 3 2 3 3 2" xfId="40158" xr:uid="{00000000-0005-0000-0000-0000D7140000}"/>
    <cellStyle name="Comma 2 2 2 2 3 2 3 4" xfId="27853" xr:uid="{00000000-0005-0000-0000-0000D8140000}"/>
    <cellStyle name="Comma 2 2 2 2 3 2 4" xfId="11020" xr:uid="{00000000-0005-0000-0000-0000D9140000}"/>
    <cellStyle name="Comma 2 2 2 2 3 2 4 2" xfId="30940" xr:uid="{00000000-0005-0000-0000-0000DA140000}"/>
    <cellStyle name="Comma 2 2 2 2 3 2 5" xfId="17172" xr:uid="{00000000-0005-0000-0000-0000DB140000}"/>
    <cellStyle name="Comma 2 2 2 2 3 2 5 2" xfId="37092" xr:uid="{00000000-0005-0000-0000-0000DC140000}"/>
    <cellStyle name="Comma 2 2 2 2 3 2 6" xfId="24787" xr:uid="{00000000-0005-0000-0000-0000DD140000}"/>
    <cellStyle name="Comma 2 2 2 2 3 3" xfId="5555" xr:uid="{00000000-0005-0000-0000-0000DE140000}"/>
    <cellStyle name="Comma 2 2 2 2 3 3 2" xfId="8658" xr:uid="{00000000-0005-0000-0000-0000DF140000}"/>
    <cellStyle name="Comma 2 2 2 2 3 3 2 2" xfId="14851" xr:uid="{00000000-0005-0000-0000-0000E0140000}"/>
    <cellStyle name="Comma 2 2 2 2 3 3 2 2 2" xfId="34771" xr:uid="{00000000-0005-0000-0000-0000E1140000}"/>
    <cellStyle name="Comma 2 2 2 2 3 3 2 3" xfId="21003" xr:uid="{00000000-0005-0000-0000-0000E2140000}"/>
    <cellStyle name="Comma 2 2 2 2 3 3 2 3 2" xfId="40923" xr:uid="{00000000-0005-0000-0000-0000E3140000}"/>
    <cellStyle name="Comma 2 2 2 2 3 3 2 4" xfId="28618" xr:uid="{00000000-0005-0000-0000-0000E4140000}"/>
    <cellStyle name="Comma 2 2 2 2 3 3 3" xfId="11785" xr:uid="{00000000-0005-0000-0000-0000E5140000}"/>
    <cellStyle name="Comma 2 2 2 2 3 3 3 2" xfId="31705" xr:uid="{00000000-0005-0000-0000-0000E6140000}"/>
    <cellStyle name="Comma 2 2 2 2 3 3 4" xfId="17937" xr:uid="{00000000-0005-0000-0000-0000E7140000}"/>
    <cellStyle name="Comma 2 2 2 2 3 3 4 2" xfId="37857" xr:uid="{00000000-0005-0000-0000-0000E8140000}"/>
    <cellStyle name="Comma 2 2 2 2 3 3 5" xfId="25552" xr:uid="{00000000-0005-0000-0000-0000E9140000}"/>
    <cellStyle name="Comma 2 2 2 2 3 4" xfId="7123" xr:uid="{00000000-0005-0000-0000-0000EA140000}"/>
    <cellStyle name="Comma 2 2 2 2 3 4 2" xfId="13317" xr:uid="{00000000-0005-0000-0000-0000EB140000}"/>
    <cellStyle name="Comma 2 2 2 2 3 4 2 2" xfId="33237" xr:uid="{00000000-0005-0000-0000-0000EC140000}"/>
    <cellStyle name="Comma 2 2 2 2 3 4 3" xfId="19469" xr:uid="{00000000-0005-0000-0000-0000ED140000}"/>
    <cellStyle name="Comma 2 2 2 2 3 4 3 2" xfId="39389" xr:uid="{00000000-0005-0000-0000-0000EE140000}"/>
    <cellStyle name="Comma 2 2 2 2 3 4 4" xfId="27084" xr:uid="{00000000-0005-0000-0000-0000EF140000}"/>
    <cellStyle name="Comma 2 2 2 2 3 5" xfId="10251" xr:uid="{00000000-0005-0000-0000-0000F0140000}"/>
    <cellStyle name="Comma 2 2 2 2 3 5 2" xfId="30171" xr:uid="{00000000-0005-0000-0000-0000F1140000}"/>
    <cellStyle name="Comma 2 2 2 2 3 6" xfId="16403" xr:uid="{00000000-0005-0000-0000-0000F2140000}"/>
    <cellStyle name="Comma 2 2 2 2 3 6 2" xfId="36323" xr:uid="{00000000-0005-0000-0000-0000F3140000}"/>
    <cellStyle name="Comma 2 2 2 2 3 7" xfId="24018" xr:uid="{00000000-0005-0000-0000-0000F4140000}"/>
    <cellStyle name="Comma 2 2 2 2 4" xfId="1502" xr:uid="{00000000-0005-0000-0000-0000F5140000}"/>
    <cellStyle name="Comma 2 2 2 2 4 2" xfId="4717" xr:uid="{00000000-0005-0000-0000-0000F6140000}"/>
    <cellStyle name="Comma 2 2 2 2 4 2 2" xfId="6342" xr:uid="{00000000-0005-0000-0000-0000F7140000}"/>
    <cellStyle name="Comma 2 2 2 2 4 2 2 2" xfId="9428" xr:uid="{00000000-0005-0000-0000-0000F8140000}"/>
    <cellStyle name="Comma 2 2 2 2 4 2 2 2 2" xfId="15621" xr:uid="{00000000-0005-0000-0000-0000F9140000}"/>
    <cellStyle name="Comma 2 2 2 2 4 2 2 2 2 2" xfId="35541" xr:uid="{00000000-0005-0000-0000-0000FA140000}"/>
    <cellStyle name="Comma 2 2 2 2 4 2 2 2 3" xfId="21773" xr:uid="{00000000-0005-0000-0000-0000FB140000}"/>
    <cellStyle name="Comma 2 2 2 2 4 2 2 2 3 2" xfId="41693" xr:uid="{00000000-0005-0000-0000-0000FC140000}"/>
    <cellStyle name="Comma 2 2 2 2 4 2 2 2 4" xfId="29388" xr:uid="{00000000-0005-0000-0000-0000FD140000}"/>
    <cellStyle name="Comma 2 2 2 2 4 2 2 3" xfId="12555" xr:uid="{00000000-0005-0000-0000-0000FE140000}"/>
    <cellStyle name="Comma 2 2 2 2 4 2 2 3 2" xfId="32475" xr:uid="{00000000-0005-0000-0000-0000FF140000}"/>
    <cellStyle name="Comma 2 2 2 2 4 2 2 4" xfId="18707" xr:uid="{00000000-0005-0000-0000-000000150000}"/>
    <cellStyle name="Comma 2 2 2 2 4 2 2 4 2" xfId="38627" xr:uid="{00000000-0005-0000-0000-000001150000}"/>
    <cellStyle name="Comma 2 2 2 2 4 2 2 5" xfId="26322" xr:uid="{00000000-0005-0000-0000-000002150000}"/>
    <cellStyle name="Comma 2 2 2 2 4 2 3" xfId="7893" xr:uid="{00000000-0005-0000-0000-000003150000}"/>
    <cellStyle name="Comma 2 2 2 2 4 2 3 2" xfId="14087" xr:uid="{00000000-0005-0000-0000-000004150000}"/>
    <cellStyle name="Comma 2 2 2 2 4 2 3 2 2" xfId="34007" xr:uid="{00000000-0005-0000-0000-000005150000}"/>
    <cellStyle name="Comma 2 2 2 2 4 2 3 3" xfId="20239" xr:uid="{00000000-0005-0000-0000-000006150000}"/>
    <cellStyle name="Comma 2 2 2 2 4 2 3 3 2" xfId="40159" xr:uid="{00000000-0005-0000-0000-000007150000}"/>
    <cellStyle name="Comma 2 2 2 2 4 2 3 4" xfId="27854" xr:uid="{00000000-0005-0000-0000-000008150000}"/>
    <cellStyle name="Comma 2 2 2 2 4 2 4" xfId="11021" xr:uid="{00000000-0005-0000-0000-000009150000}"/>
    <cellStyle name="Comma 2 2 2 2 4 2 4 2" xfId="30941" xr:uid="{00000000-0005-0000-0000-00000A150000}"/>
    <cellStyle name="Comma 2 2 2 2 4 2 5" xfId="17173" xr:uid="{00000000-0005-0000-0000-00000B150000}"/>
    <cellStyle name="Comma 2 2 2 2 4 2 5 2" xfId="37093" xr:uid="{00000000-0005-0000-0000-00000C150000}"/>
    <cellStyle name="Comma 2 2 2 2 4 2 6" xfId="24788" xr:uid="{00000000-0005-0000-0000-00000D150000}"/>
    <cellStyle name="Comma 2 2 2 2 4 3" xfId="5556" xr:uid="{00000000-0005-0000-0000-00000E150000}"/>
    <cellStyle name="Comma 2 2 2 2 4 3 2" xfId="8659" xr:uid="{00000000-0005-0000-0000-00000F150000}"/>
    <cellStyle name="Comma 2 2 2 2 4 3 2 2" xfId="14852" xr:uid="{00000000-0005-0000-0000-000010150000}"/>
    <cellStyle name="Comma 2 2 2 2 4 3 2 2 2" xfId="34772" xr:uid="{00000000-0005-0000-0000-000011150000}"/>
    <cellStyle name="Comma 2 2 2 2 4 3 2 3" xfId="21004" xr:uid="{00000000-0005-0000-0000-000012150000}"/>
    <cellStyle name="Comma 2 2 2 2 4 3 2 3 2" xfId="40924" xr:uid="{00000000-0005-0000-0000-000013150000}"/>
    <cellStyle name="Comma 2 2 2 2 4 3 2 4" xfId="28619" xr:uid="{00000000-0005-0000-0000-000014150000}"/>
    <cellStyle name="Comma 2 2 2 2 4 3 3" xfId="11786" xr:uid="{00000000-0005-0000-0000-000015150000}"/>
    <cellStyle name="Comma 2 2 2 2 4 3 3 2" xfId="31706" xr:uid="{00000000-0005-0000-0000-000016150000}"/>
    <cellStyle name="Comma 2 2 2 2 4 3 4" xfId="17938" xr:uid="{00000000-0005-0000-0000-000017150000}"/>
    <cellStyle name="Comma 2 2 2 2 4 3 4 2" xfId="37858" xr:uid="{00000000-0005-0000-0000-000018150000}"/>
    <cellStyle name="Comma 2 2 2 2 4 3 5" xfId="25553" xr:uid="{00000000-0005-0000-0000-000019150000}"/>
    <cellStyle name="Comma 2 2 2 2 4 4" xfId="7124" xr:uid="{00000000-0005-0000-0000-00001A150000}"/>
    <cellStyle name="Comma 2 2 2 2 4 4 2" xfId="13318" xr:uid="{00000000-0005-0000-0000-00001B150000}"/>
    <cellStyle name="Comma 2 2 2 2 4 4 2 2" xfId="33238" xr:uid="{00000000-0005-0000-0000-00001C150000}"/>
    <cellStyle name="Comma 2 2 2 2 4 4 3" xfId="19470" xr:uid="{00000000-0005-0000-0000-00001D150000}"/>
    <cellStyle name="Comma 2 2 2 2 4 4 3 2" xfId="39390" xr:uid="{00000000-0005-0000-0000-00001E150000}"/>
    <cellStyle name="Comma 2 2 2 2 4 4 4" xfId="27085" xr:uid="{00000000-0005-0000-0000-00001F150000}"/>
    <cellStyle name="Comma 2 2 2 2 4 5" xfId="10252" xr:uid="{00000000-0005-0000-0000-000020150000}"/>
    <cellStyle name="Comma 2 2 2 2 4 5 2" xfId="30172" xr:uid="{00000000-0005-0000-0000-000021150000}"/>
    <cellStyle name="Comma 2 2 2 2 4 6" xfId="16404" xr:uid="{00000000-0005-0000-0000-000022150000}"/>
    <cellStyle name="Comma 2 2 2 2 4 6 2" xfId="36324" xr:uid="{00000000-0005-0000-0000-000023150000}"/>
    <cellStyle name="Comma 2 2 2 2 4 7" xfId="24019" xr:uid="{00000000-0005-0000-0000-000024150000}"/>
    <cellStyle name="Comma 2 2 2 2 5" xfId="1503" xr:uid="{00000000-0005-0000-0000-000025150000}"/>
    <cellStyle name="Comma 2 2 2 2 5 2" xfId="4718" xr:uid="{00000000-0005-0000-0000-000026150000}"/>
    <cellStyle name="Comma 2 2 2 2 5 2 2" xfId="6343" xr:uid="{00000000-0005-0000-0000-000027150000}"/>
    <cellStyle name="Comma 2 2 2 2 5 2 2 2" xfId="9429" xr:uid="{00000000-0005-0000-0000-000028150000}"/>
    <cellStyle name="Comma 2 2 2 2 5 2 2 2 2" xfId="15622" xr:uid="{00000000-0005-0000-0000-000029150000}"/>
    <cellStyle name="Comma 2 2 2 2 5 2 2 2 2 2" xfId="35542" xr:uid="{00000000-0005-0000-0000-00002A150000}"/>
    <cellStyle name="Comma 2 2 2 2 5 2 2 2 3" xfId="21774" xr:uid="{00000000-0005-0000-0000-00002B150000}"/>
    <cellStyle name="Comma 2 2 2 2 5 2 2 2 3 2" xfId="41694" xr:uid="{00000000-0005-0000-0000-00002C150000}"/>
    <cellStyle name="Comma 2 2 2 2 5 2 2 2 4" xfId="29389" xr:uid="{00000000-0005-0000-0000-00002D150000}"/>
    <cellStyle name="Comma 2 2 2 2 5 2 2 3" xfId="12556" xr:uid="{00000000-0005-0000-0000-00002E150000}"/>
    <cellStyle name="Comma 2 2 2 2 5 2 2 3 2" xfId="32476" xr:uid="{00000000-0005-0000-0000-00002F150000}"/>
    <cellStyle name="Comma 2 2 2 2 5 2 2 4" xfId="18708" xr:uid="{00000000-0005-0000-0000-000030150000}"/>
    <cellStyle name="Comma 2 2 2 2 5 2 2 4 2" xfId="38628" xr:uid="{00000000-0005-0000-0000-000031150000}"/>
    <cellStyle name="Comma 2 2 2 2 5 2 2 5" xfId="26323" xr:uid="{00000000-0005-0000-0000-000032150000}"/>
    <cellStyle name="Comma 2 2 2 2 5 2 3" xfId="7894" xr:uid="{00000000-0005-0000-0000-000033150000}"/>
    <cellStyle name="Comma 2 2 2 2 5 2 3 2" xfId="14088" xr:uid="{00000000-0005-0000-0000-000034150000}"/>
    <cellStyle name="Comma 2 2 2 2 5 2 3 2 2" xfId="34008" xr:uid="{00000000-0005-0000-0000-000035150000}"/>
    <cellStyle name="Comma 2 2 2 2 5 2 3 3" xfId="20240" xr:uid="{00000000-0005-0000-0000-000036150000}"/>
    <cellStyle name="Comma 2 2 2 2 5 2 3 3 2" xfId="40160" xr:uid="{00000000-0005-0000-0000-000037150000}"/>
    <cellStyle name="Comma 2 2 2 2 5 2 3 4" xfId="27855" xr:uid="{00000000-0005-0000-0000-000038150000}"/>
    <cellStyle name="Comma 2 2 2 2 5 2 4" xfId="11022" xr:uid="{00000000-0005-0000-0000-000039150000}"/>
    <cellStyle name="Comma 2 2 2 2 5 2 4 2" xfId="30942" xr:uid="{00000000-0005-0000-0000-00003A150000}"/>
    <cellStyle name="Comma 2 2 2 2 5 2 5" xfId="17174" xr:uid="{00000000-0005-0000-0000-00003B150000}"/>
    <cellStyle name="Comma 2 2 2 2 5 2 5 2" xfId="37094" xr:uid="{00000000-0005-0000-0000-00003C150000}"/>
    <cellStyle name="Comma 2 2 2 2 5 2 6" xfId="24789" xr:uid="{00000000-0005-0000-0000-00003D150000}"/>
    <cellStyle name="Comma 2 2 2 2 5 3" xfId="5557" xr:uid="{00000000-0005-0000-0000-00003E150000}"/>
    <cellStyle name="Comma 2 2 2 2 5 3 2" xfId="8660" xr:uid="{00000000-0005-0000-0000-00003F150000}"/>
    <cellStyle name="Comma 2 2 2 2 5 3 2 2" xfId="14853" xr:uid="{00000000-0005-0000-0000-000040150000}"/>
    <cellStyle name="Comma 2 2 2 2 5 3 2 2 2" xfId="34773" xr:uid="{00000000-0005-0000-0000-000041150000}"/>
    <cellStyle name="Comma 2 2 2 2 5 3 2 3" xfId="21005" xr:uid="{00000000-0005-0000-0000-000042150000}"/>
    <cellStyle name="Comma 2 2 2 2 5 3 2 3 2" xfId="40925" xr:uid="{00000000-0005-0000-0000-000043150000}"/>
    <cellStyle name="Comma 2 2 2 2 5 3 2 4" xfId="28620" xr:uid="{00000000-0005-0000-0000-000044150000}"/>
    <cellStyle name="Comma 2 2 2 2 5 3 3" xfId="11787" xr:uid="{00000000-0005-0000-0000-000045150000}"/>
    <cellStyle name="Comma 2 2 2 2 5 3 3 2" xfId="31707" xr:uid="{00000000-0005-0000-0000-000046150000}"/>
    <cellStyle name="Comma 2 2 2 2 5 3 4" xfId="17939" xr:uid="{00000000-0005-0000-0000-000047150000}"/>
    <cellStyle name="Comma 2 2 2 2 5 3 4 2" xfId="37859" xr:uid="{00000000-0005-0000-0000-000048150000}"/>
    <cellStyle name="Comma 2 2 2 2 5 3 5" xfId="25554" xr:uid="{00000000-0005-0000-0000-000049150000}"/>
    <cellStyle name="Comma 2 2 2 2 5 4" xfId="7125" xr:uid="{00000000-0005-0000-0000-00004A150000}"/>
    <cellStyle name="Comma 2 2 2 2 5 4 2" xfId="13319" xr:uid="{00000000-0005-0000-0000-00004B150000}"/>
    <cellStyle name="Comma 2 2 2 2 5 4 2 2" xfId="33239" xr:uid="{00000000-0005-0000-0000-00004C150000}"/>
    <cellStyle name="Comma 2 2 2 2 5 4 3" xfId="19471" xr:uid="{00000000-0005-0000-0000-00004D150000}"/>
    <cellStyle name="Comma 2 2 2 2 5 4 3 2" xfId="39391" xr:uid="{00000000-0005-0000-0000-00004E150000}"/>
    <cellStyle name="Comma 2 2 2 2 5 4 4" xfId="27086" xr:uid="{00000000-0005-0000-0000-00004F150000}"/>
    <cellStyle name="Comma 2 2 2 2 5 5" xfId="10253" xr:uid="{00000000-0005-0000-0000-000050150000}"/>
    <cellStyle name="Comma 2 2 2 2 5 5 2" xfId="30173" xr:uid="{00000000-0005-0000-0000-000051150000}"/>
    <cellStyle name="Comma 2 2 2 2 5 6" xfId="16405" xr:uid="{00000000-0005-0000-0000-000052150000}"/>
    <cellStyle name="Comma 2 2 2 2 5 6 2" xfId="36325" xr:uid="{00000000-0005-0000-0000-000053150000}"/>
    <cellStyle name="Comma 2 2 2 2 5 7" xfId="24020" xr:uid="{00000000-0005-0000-0000-000054150000}"/>
    <cellStyle name="Comma 2 2 2 2 6" xfId="4714" xr:uid="{00000000-0005-0000-0000-000055150000}"/>
    <cellStyle name="Comma 2 2 2 2 6 2" xfId="6339" xr:uid="{00000000-0005-0000-0000-000056150000}"/>
    <cellStyle name="Comma 2 2 2 2 6 2 2" xfId="9425" xr:uid="{00000000-0005-0000-0000-000057150000}"/>
    <cellStyle name="Comma 2 2 2 2 6 2 2 2" xfId="15618" xr:uid="{00000000-0005-0000-0000-000058150000}"/>
    <cellStyle name="Comma 2 2 2 2 6 2 2 2 2" xfId="35538" xr:uid="{00000000-0005-0000-0000-000059150000}"/>
    <cellStyle name="Comma 2 2 2 2 6 2 2 3" xfId="21770" xr:uid="{00000000-0005-0000-0000-00005A150000}"/>
    <cellStyle name="Comma 2 2 2 2 6 2 2 3 2" xfId="41690" xr:uid="{00000000-0005-0000-0000-00005B150000}"/>
    <cellStyle name="Comma 2 2 2 2 6 2 2 4" xfId="29385" xr:uid="{00000000-0005-0000-0000-00005C150000}"/>
    <cellStyle name="Comma 2 2 2 2 6 2 3" xfId="12552" xr:uid="{00000000-0005-0000-0000-00005D150000}"/>
    <cellStyle name="Comma 2 2 2 2 6 2 3 2" xfId="32472" xr:uid="{00000000-0005-0000-0000-00005E150000}"/>
    <cellStyle name="Comma 2 2 2 2 6 2 4" xfId="18704" xr:uid="{00000000-0005-0000-0000-00005F150000}"/>
    <cellStyle name="Comma 2 2 2 2 6 2 4 2" xfId="38624" xr:uid="{00000000-0005-0000-0000-000060150000}"/>
    <cellStyle name="Comma 2 2 2 2 6 2 5" xfId="26319" xr:uid="{00000000-0005-0000-0000-000061150000}"/>
    <cellStyle name="Comma 2 2 2 2 6 3" xfId="7890" xr:uid="{00000000-0005-0000-0000-000062150000}"/>
    <cellStyle name="Comma 2 2 2 2 6 3 2" xfId="14084" xr:uid="{00000000-0005-0000-0000-000063150000}"/>
    <cellStyle name="Comma 2 2 2 2 6 3 2 2" xfId="34004" xr:uid="{00000000-0005-0000-0000-000064150000}"/>
    <cellStyle name="Comma 2 2 2 2 6 3 3" xfId="20236" xr:uid="{00000000-0005-0000-0000-000065150000}"/>
    <cellStyle name="Comma 2 2 2 2 6 3 3 2" xfId="40156" xr:uid="{00000000-0005-0000-0000-000066150000}"/>
    <cellStyle name="Comma 2 2 2 2 6 3 4" xfId="27851" xr:uid="{00000000-0005-0000-0000-000067150000}"/>
    <cellStyle name="Comma 2 2 2 2 6 4" xfId="11018" xr:uid="{00000000-0005-0000-0000-000068150000}"/>
    <cellStyle name="Comma 2 2 2 2 6 4 2" xfId="30938" xr:uid="{00000000-0005-0000-0000-000069150000}"/>
    <cellStyle name="Comma 2 2 2 2 6 5" xfId="17170" xr:uid="{00000000-0005-0000-0000-00006A150000}"/>
    <cellStyle name="Comma 2 2 2 2 6 5 2" xfId="37090" xr:uid="{00000000-0005-0000-0000-00006B150000}"/>
    <cellStyle name="Comma 2 2 2 2 6 6" xfId="24785" xr:uid="{00000000-0005-0000-0000-00006C150000}"/>
    <cellStyle name="Comma 2 2 2 2 7" xfId="5553" xr:uid="{00000000-0005-0000-0000-00006D150000}"/>
    <cellStyle name="Comma 2 2 2 2 7 2" xfId="8656" xr:uid="{00000000-0005-0000-0000-00006E150000}"/>
    <cellStyle name="Comma 2 2 2 2 7 2 2" xfId="14849" xr:uid="{00000000-0005-0000-0000-00006F150000}"/>
    <cellStyle name="Comma 2 2 2 2 7 2 2 2" xfId="34769" xr:uid="{00000000-0005-0000-0000-000070150000}"/>
    <cellStyle name="Comma 2 2 2 2 7 2 3" xfId="21001" xr:uid="{00000000-0005-0000-0000-000071150000}"/>
    <cellStyle name="Comma 2 2 2 2 7 2 3 2" xfId="40921" xr:uid="{00000000-0005-0000-0000-000072150000}"/>
    <cellStyle name="Comma 2 2 2 2 7 2 4" xfId="28616" xr:uid="{00000000-0005-0000-0000-000073150000}"/>
    <cellStyle name="Comma 2 2 2 2 7 3" xfId="11783" xr:uid="{00000000-0005-0000-0000-000074150000}"/>
    <cellStyle name="Comma 2 2 2 2 7 3 2" xfId="31703" xr:uid="{00000000-0005-0000-0000-000075150000}"/>
    <cellStyle name="Comma 2 2 2 2 7 4" xfId="17935" xr:uid="{00000000-0005-0000-0000-000076150000}"/>
    <cellStyle name="Comma 2 2 2 2 7 4 2" xfId="37855" xr:uid="{00000000-0005-0000-0000-000077150000}"/>
    <cellStyle name="Comma 2 2 2 2 7 5" xfId="25550" xr:uid="{00000000-0005-0000-0000-000078150000}"/>
    <cellStyle name="Comma 2 2 2 2 8" xfId="7121" xr:uid="{00000000-0005-0000-0000-000079150000}"/>
    <cellStyle name="Comma 2 2 2 2 8 2" xfId="13315" xr:uid="{00000000-0005-0000-0000-00007A150000}"/>
    <cellStyle name="Comma 2 2 2 2 8 2 2" xfId="33235" xr:uid="{00000000-0005-0000-0000-00007B150000}"/>
    <cellStyle name="Comma 2 2 2 2 8 3" xfId="19467" xr:uid="{00000000-0005-0000-0000-00007C150000}"/>
    <cellStyle name="Comma 2 2 2 2 8 3 2" xfId="39387" xr:uid="{00000000-0005-0000-0000-00007D150000}"/>
    <cellStyle name="Comma 2 2 2 2 8 4" xfId="27082" xr:uid="{00000000-0005-0000-0000-00007E150000}"/>
    <cellStyle name="Comma 2 2 2 2 9" xfId="10249" xr:uid="{00000000-0005-0000-0000-00007F150000}"/>
    <cellStyle name="Comma 2 2 2 2 9 2" xfId="30169" xr:uid="{00000000-0005-0000-0000-000080150000}"/>
    <cellStyle name="Comma 2 2 2 3" xfId="1504" xr:uid="{00000000-0005-0000-0000-000081150000}"/>
    <cellStyle name="Comma 2 2 2 3 2" xfId="4719" xr:uid="{00000000-0005-0000-0000-000082150000}"/>
    <cellStyle name="Comma 2 2 2 3 2 2" xfId="6344" xr:uid="{00000000-0005-0000-0000-000083150000}"/>
    <cellStyle name="Comma 2 2 2 3 2 2 2" xfId="9430" xr:uid="{00000000-0005-0000-0000-000084150000}"/>
    <cellStyle name="Comma 2 2 2 3 2 2 2 2" xfId="15623" xr:uid="{00000000-0005-0000-0000-000085150000}"/>
    <cellStyle name="Comma 2 2 2 3 2 2 2 2 2" xfId="35543" xr:uid="{00000000-0005-0000-0000-000086150000}"/>
    <cellStyle name="Comma 2 2 2 3 2 2 2 3" xfId="21775" xr:uid="{00000000-0005-0000-0000-000087150000}"/>
    <cellStyle name="Comma 2 2 2 3 2 2 2 3 2" xfId="41695" xr:uid="{00000000-0005-0000-0000-000088150000}"/>
    <cellStyle name="Comma 2 2 2 3 2 2 2 4" xfId="29390" xr:uid="{00000000-0005-0000-0000-000089150000}"/>
    <cellStyle name="Comma 2 2 2 3 2 2 3" xfId="12557" xr:uid="{00000000-0005-0000-0000-00008A150000}"/>
    <cellStyle name="Comma 2 2 2 3 2 2 3 2" xfId="32477" xr:uid="{00000000-0005-0000-0000-00008B150000}"/>
    <cellStyle name="Comma 2 2 2 3 2 2 4" xfId="18709" xr:uid="{00000000-0005-0000-0000-00008C150000}"/>
    <cellStyle name="Comma 2 2 2 3 2 2 4 2" xfId="38629" xr:uid="{00000000-0005-0000-0000-00008D150000}"/>
    <cellStyle name="Comma 2 2 2 3 2 2 5" xfId="26324" xr:uid="{00000000-0005-0000-0000-00008E150000}"/>
    <cellStyle name="Comma 2 2 2 3 2 3" xfId="7895" xr:uid="{00000000-0005-0000-0000-00008F150000}"/>
    <cellStyle name="Comma 2 2 2 3 2 3 2" xfId="14089" xr:uid="{00000000-0005-0000-0000-000090150000}"/>
    <cellStyle name="Comma 2 2 2 3 2 3 2 2" xfId="34009" xr:uid="{00000000-0005-0000-0000-000091150000}"/>
    <cellStyle name="Comma 2 2 2 3 2 3 3" xfId="20241" xr:uid="{00000000-0005-0000-0000-000092150000}"/>
    <cellStyle name="Comma 2 2 2 3 2 3 3 2" xfId="40161" xr:uid="{00000000-0005-0000-0000-000093150000}"/>
    <cellStyle name="Comma 2 2 2 3 2 3 4" xfId="27856" xr:uid="{00000000-0005-0000-0000-000094150000}"/>
    <cellStyle name="Comma 2 2 2 3 2 4" xfId="11023" xr:uid="{00000000-0005-0000-0000-000095150000}"/>
    <cellStyle name="Comma 2 2 2 3 2 4 2" xfId="30943" xr:uid="{00000000-0005-0000-0000-000096150000}"/>
    <cellStyle name="Comma 2 2 2 3 2 5" xfId="17175" xr:uid="{00000000-0005-0000-0000-000097150000}"/>
    <cellStyle name="Comma 2 2 2 3 2 5 2" xfId="37095" xr:uid="{00000000-0005-0000-0000-000098150000}"/>
    <cellStyle name="Comma 2 2 2 3 2 6" xfId="24790" xr:uid="{00000000-0005-0000-0000-000099150000}"/>
    <cellStyle name="Comma 2 2 2 3 3" xfId="5558" xr:uid="{00000000-0005-0000-0000-00009A150000}"/>
    <cellStyle name="Comma 2 2 2 3 3 2" xfId="8661" xr:uid="{00000000-0005-0000-0000-00009B150000}"/>
    <cellStyle name="Comma 2 2 2 3 3 2 2" xfId="14854" xr:uid="{00000000-0005-0000-0000-00009C150000}"/>
    <cellStyle name="Comma 2 2 2 3 3 2 2 2" xfId="34774" xr:uid="{00000000-0005-0000-0000-00009D150000}"/>
    <cellStyle name="Comma 2 2 2 3 3 2 3" xfId="21006" xr:uid="{00000000-0005-0000-0000-00009E150000}"/>
    <cellStyle name="Comma 2 2 2 3 3 2 3 2" xfId="40926" xr:uid="{00000000-0005-0000-0000-00009F150000}"/>
    <cellStyle name="Comma 2 2 2 3 3 2 4" xfId="28621" xr:uid="{00000000-0005-0000-0000-0000A0150000}"/>
    <cellStyle name="Comma 2 2 2 3 3 3" xfId="11788" xr:uid="{00000000-0005-0000-0000-0000A1150000}"/>
    <cellStyle name="Comma 2 2 2 3 3 3 2" xfId="31708" xr:uid="{00000000-0005-0000-0000-0000A2150000}"/>
    <cellStyle name="Comma 2 2 2 3 3 4" xfId="17940" xr:uid="{00000000-0005-0000-0000-0000A3150000}"/>
    <cellStyle name="Comma 2 2 2 3 3 4 2" xfId="37860" xr:uid="{00000000-0005-0000-0000-0000A4150000}"/>
    <cellStyle name="Comma 2 2 2 3 3 5" xfId="25555" xr:uid="{00000000-0005-0000-0000-0000A5150000}"/>
    <cellStyle name="Comma 2 2 2 3 4" xfId="7126" xr:uid="{00000000-0005-0000-0000-0000A6150000}"/>
    <cellStyle name="Comma 2 2 2 3 4 2" xfId="13320" xr:uid="{00000000-0005-0000-0000-0000A7150000}"/>
    <cellStyle name="Comma 2 2 2 3 4 2 2" xfId="33240" xr:uid="{00000000-0005-0000-0000-0000A8150000}"/>
    <cellStyle name="Comma 2 2 2 3 4 3" xfId="19472" xr:uid="{00000000-0005-0000-0000-0000A9150000}"/>
    <cellStyle name="Comma 2 2 2 3 4 3 2" xfId="39392" xr:uid="{00000000-0005-0000-0000-0000AA150000}"/>
    <cellStyle name="Comma 2 2 2 3 4 4" xfId="27087" xr:uid="{00000000-0005-0000-0000-0000AB150000}"/>
    <cellStyle name="Comma 2 2 2 3 5" xfId="10254" xr:uid="{00000000-0005-0000-0000-0000AC150000}"/>
    <cellStyle name="Comma 2 2 2 3 5 2" xfId="30174" xr:uid="{00000000-0005-0000-0000-0000AD150000}"/>
    <cellStyle name="Comma 2 2 2 3 6" xfId="16406" xr:uid="{00000000-0005-0000-0000-0000AE150000}"/>
    <cellStyle name="Comma 2 2 2 3 6 2" xfId="36326" xr:uid="{00000000-0005-0000-0000-0000AF150000}"/>
    <cellStyle name="Comma 2 2 2 3 7" xfId="24021" xr:uid="{00000000-0005-0000-0000-0000B0150000}"/>
    <cellStyle name="Comma 2 2 2 4" xfId="1505" xr:uid="{00000000-0005-0000-0000-0000B1150000}"/>
    <cellStyle name="Comma 2 2 2 4 2" xfId="4720" xr:uid="{00000000-0005-0000-0000-0000B2150000}"/>
    <cellStyle name="Comma 2 2 2 4 2 2" xfId="6345" xr:uid="{00000000-0005-0000-0000-0000B3150000}"/>
    <cellStyle name="Comma 2 2 2 4 2 2 2" xfId="9431" xr:uid="{00000000-0005-0000-0000-0000B4150000}"/>
    <cellStyle name="Comma 2 2 2 4 2 2 2 2" xfId="15624" xr:uid="{00000000-0005-0000-0000-0000B5150000}"/>
    <cellStyle name="Comma 2 2 2 4 2 2 2 2 2" xfId="35544" xr:uid="{00000000-0005-0000-0000-0000B6150000}"/>
    <cellStyle name="Comma 2 2 2 4 2 2 2 3" xfId="21776" xr:uid="{00000000-0005-0000-0000-0000B7150000}"/>
    <cellStyle name="Comma 2 2 2 4 2 2 2 3 2" xfId="41696" xr:uid="{00000000-0005-0000-0000-0000B8150000}"/>
    <cellStyle name="Comma 2 2 2 4 2 2 2 4" xfId="29391" xr:uid="{00000000-0005-0000-0000-0000B9150000}"/>
    <cellStyle name="Comma 2 2 2 4 2 2 3" xfId="12558" xr:uid="{00000000-0005-0000-0000-0000BA150000}"/>
    <cellStyle name="Comma 2 2 2 4 2 2 3 2" xfId="32478" xr:uid="{00000000-0005-0000-0000-0000BB150000}"/>
    <cellStyle name="Comma 2 2 2 4 2 2 4" xfId="18710" xr:uid="{00000000-0005-0000-0000-0000BC150000}"/>
    <cellStyle name="Comma 2 2 2 4 2 2 4 2" xfId="38630" xr:uid="{00000000-0005-0000-0000-0000BD150000}"/>
    <cellStyle name="Comma 2 2 2 4 2 2 5" xfId="26325" xr:uid="{00000000-0005-0000-0000-0000BE150000}"/>
    <cellStyle name="Comma 2 2 2 4 2 3" xfId="7896" xr:uid="{00000000-0005-0000-0000-0000BF150000}"/>
    <cellStyle name="Comma 2 2 2 4 2 3 2" xfId="14090" xr:uid="{00000000-0005-0000-0000-0000C0150000}"/>
    <cellStyle name="Comma 2 2 2 4 2 3 2 2" xfId="34010" xr:uid="{00000000-0005-0000-0000-0000C1150000}"/>
    <cellStyle name="Comma 2 2 2 4 2 3 3" xfId="20242" xr:uid="{00000000-0005-0000-0000-0000C2150000}"/>
    <cellStyle name="Comma 2 2 2 4 2 3 3 2" xfId="40162" xr:uid="{00000000-0005-0000-0000-0000C3150000}"/>
    <cellStyle name="Comma 2 2 2 4 2 3 4" xfId="27857" xr:uid="{00000000-0005-0000-0000-0000C4150000}"/>
    <cellStyle name="Comma 2 2 2 4 2 4" xfId="11024" xr:uid="{00000000-0005-0000-0000-0000C5150000}"/>
    <cellStyle name="Comma 2 2 2 4 2 4 2" xfId="30944" xr:uid="{00000000-0005-0000-0000-0000C6150000}"/>
    <cellStyle name="Comma 2 2 2 4 2 5" xfId="17176" xr:uid="{00000000-0005-0000-0000-0000C7150000}"/>
    <cellStyle name="Comma 2 2 2 4 2 5 2" xfId="37096" xr:uid="{00000000-0005-0000-0000-0000C8150000}"/>
    <cellStyle name="Comma 2 2 2 4 2 6" xfId="24791" xr:uid="{00000000-0005-0000-0000-0000C9150000}"/>
    <cellStyle name="Comma 2 2 2 4 3" xfId="5559" xr:uid="{00000000-0005-0000-0000-0000CA150000}"/>
    <cellStyle name="Comma 2 2 2 4 3 2" xfId="8662" xr:uid="{00000000-0005-0000-0000-0000CB150000}"/>
    <cellStyle name="Comma 2 2 2 4 3 2 2" xfId="14855" xr:uid="{00000000-0005-0000-0000-0000CC150000}"/>
    <cellStyle name="Comma 2 2 2 4 3 2 2 2" xfId="34775" xr:uid="{00000000-0005-0000-0000-0000CD150000}"/>
    <cellStyle name="Comma 2 2 2 4 3 2 3" xfId="21007" xr:uid="{00000000-0005-0000-0000-0000CE150000}"/>
    <cellStyle name="Comma 2 2 2 4 3 2 3 2" xfId="40927" xr:uid="{00000000-0005-0000-0000-0000CF150000}"/>
    <cellStyle name="Comma 2 2 2 4 3 2 4" xfId="28622" xr:uid="{00000000-0005-0000-0000-0000D0150000}"/>
    <cellStyle name="Comma 2 2 2 4 3 3" xfId="11789" xr:uid="{00000000-0005-0000-0000-0000D1150000}"/>
    <cellStyle name="Comma 2 2 2 4 3 3 2" xfId="31709" xr:uid="{00000000-0005-0000-0000-0000D2150000}"/>
    <cellStyle name="Comma 2 2 2 4 3 4" xfId="17941" xr:uid="{00000000-0005-0000-0000-0000D3150000}"/>
    <cellStyle name="Comma 2 2 2 4 3 4 2" xfId="37861" xr:uid="{00000000-0005-0000-0000-0000D4150000}"/>
    <cellStyle name="Comma 2 2 2 4 3 5" xfId="25556" xr:uid="{00000000-0005-0000-0000-0000D5150000}"/>
    <cellStyle name="Comma 2 2 2 4 4" xfId="7127" xr:uid="{00000000-0005-0000-0000-0000D6150000}"/>
    <cellStyle name="Comma 2 2 2 4 4 2" xfId="13321" xr:uid="{00000000-0005-0000-0000-0000D7150000}"/>
    <cellStyle name="Comma 2 2 2 4 4 2 2" xfId="33241" xr:uid="{00000000-0005-0000-0000-0000D8150000}"/>
    <cellStyle name="Comma 2 2 2 4 4 3" xfId="19473" xr:uid="{00000000-0005-0000-0000-0000D9150000}"/>
    <cellStyle name="Comma 2 2 2 4 4 3 2" xfId="39393" xr:uid="{00000000-0005-0000-0000-0000DA150000}"/>
    <cellStyle name="Comma 2 2 2 4 4 4" xfId="27088" xr:uid="{00000000-0005-0000-0000-0000DB150000}"/>
    <cellStyle name="Comma 2 2 2 4 5" xfId="10255" xr:uid="{00000000-0005-0000-0000-0000DC150000}"/>
    <cellStyle name="Comma 2 2 2 4 5 2" xfId="30175" xr:uid="{00000000-0005-0000-0000-0000DD150000}"/>
    <cellStyle name="Comma 2 2 2 4 6" xfId="16407" xr:uid="{00000000-0005-0000-0000-0000DE150000}"/>
    <cellStyle name="Comma 2 2 2 4 6 2" xfId="36327" xr:uid="{00000000-0005-0000-0000-0000DF150000}"/>
    <cellStyle name="Comma 2 2 2 4 7" xfId="24022" xr:uid="{00000000-0005-0000-0000-0000E0150000}"/>
    <cellStyle name="Comma 2 2 2 5" xfId="1506" xr:uid="{00000000-0005-0000-0000-0000E1150000}"/>
    <cellStyle name="Comma 2 2 2 5 2" xfId="4721" xr:uid="{00000000-0005-0000-0000-0000E2150000}"/>
    <cellStyle name="Comma 2 2 2 5 2 2" xfId="6346" xr:uid="{00000000-0005-0000-0000-0000E3150000}"/>
    <cellStyle name="Comma 2 2 2 5 2 2 2" xfId="9432" xr:uid="{00000000-0005-0000-0000-0000E4150000}"/>
    <cellStyle name="Comma 2 2 2 5 2 2 2 2" xfId="15625" xr:uid="{00000000-0005-0000-0000-0000E5150000}"/>
    <cellStyle name="Comma 2 2 2 5 2 2 2 2 2" xfId="35545" xr:uid="{00000000-0005-0000-0000-0000E6150000}"/>
    <cellStyle name="Comma 2 2 2 5 2 2 2 3" xfId="21777" xr:uid="{00000000-0005-0000-0000-0000E7150000}"/>
    <cellStyle name="Comma 2 2 2 5 2 2 2 3 2" xfId="41697" xr:uid="{00000000-0005-0000-0000-0000E8150000}"/>
    <cellStyle name="Comma 2 2 2 5 2 2 2 4" xfId="29392" xr:uid="{00000000-0005-0000-0000-0000E9150000}"/>
    <cellStyle name="Comma 2 2 2 5 2 2 3" xfId="12559" xr:uid="{00000000-0005-0000-0000-0000EA150000}"/>
    <cellStyle name="Comma 2 2 2 5 2 2 3 2" xfId="32479" xr:uid="{00000000-0005-0000-0000-0000EB150000}"/>
    <cellStyle name="Comma 2 2 2 5 2 2 4" xfId="18711" xr:uid="{00000000-0005-0000-0000-0000EC150000}"/>
    <cellStyle name="Comma 2 2 2 5 2 2 4 2" xfId="38631" xr:uid="{00000000-0005-0000-0000-0000ED150000}"/>
    <cellStyle name="Comma 2 2 2 5 2 2 5" xfId="26326" xr:uid="{00000000-0005-0000-0000-0000EE150000}"/>
    <cellStyle name="Comma 2 2 2 5 2 3" xfId="7897" xr:uid="{00000000-0005-0000-0000-0000EF150000}"/>
    <cellStyle name="Comma 2 2 2 5 2 3 2" xfId="14091" xr:uid="{00000000-0005-0000-0000-0000F0150000}"/>
    <cellStyle name="Comma 2 2 2 5 2 3 2 2" xfId="34011" xr:uid="{00000000-0005-0000-0000-0000F1150000}"/>
    <cellStyle name="Comma 2 2 2 5 2 3 3" xfId="20243" xr:uid="{00000000-0005-0000-0000-0000F2150000}"/>
    <cellStyle name="Comma 2 2 2 5 2 3 3 2" xfId="40163" xr:uid="{00000000-0005-0000-0000-0000F3150000}"/>
    <cellStyle name="Comma 2 2 2 5 2 3 4" xfId="27858" xr:uid="{00000000-0005-0000-0000-0000F4150000}"/>
    <cellStyle name="Comma 2 2 2 5 2 4" xfId="11025" xr:uid="{00000000-0005-0000-0000-0000F5150000}"/>
    <cellStyle name="Comma 2 2 2 5 2 4 2" xfId="30945" xr:uid="{00000000-0005-0000-0000-0000F6150000}"/>
    <cellStyle name="Comma 2 2 2 5 2 5" xfId="17177" xr:uid="{00000000-0005-0000-0000-0000F7150000}"/>
    <cellStyle name="Comma 2 2 2 5 2 5 2" xfId="37097" xr:uid="{00000000-0005-0000-0000-0000F8150000}"/>
    <cellStyle name="Comma 2 2 2 5 2 6" xfId="24792" xr:uid="{00000000-0005-0000-0000-0000F9150000}"/>
    <cellStyle name="Comma 2 2 2 5 3" xfId="5560" xr:uid="{00000000-0005-0000-0000-0000FA150000}"/>
    <cellStyle name="Comma 2 2 2 5 3 2" xfId="8663" xr:uid="{00000000-0005-0000-0000-0000FB150000}"/>
    <cellStyle name="Comma 2 2 2 5 3 2 2" xfId="14856" xr:uid="{00000000-0005-0000-0000-0000FC150000}"/>
    <cellStyle name="Comma 2 2 2 5 3 2 2 2" xfId="34776" xr:uid="{00000000-0005-0000-0000-0000FD150000}"/>
    <cellStyle name="Comma 2 2 2 5 3 2 3" xfId="21008" xr:uid="{00000000-0005-0000-0000-0000FE150000}"/>
    <cellStyle name="Comma 2 2 2 5 3 2 3 2" xfId="40928" xr:uid="{00000000-0005-0000-0000-0000FF150000}"/>
    <cellStyle name="Comma 2 2 2 5 3 2 4" xfId="28623" xr:uid="{00000000-0005-0000-0000-000000160000}"/>
    <cellStyle name="Comma 2 2 2 5 3 3" xfId="11790" xr:uid="{00000000-0005-0000-0000-000001160000}"/>
    <cellStyle name="Comma 2 2 2 5 3 3 2" xfId="31710" xr:uid="{00000000-0005-0000-0000-000002160000}"/>
    <cellStyle name="Comma 2 2 2 5 3 4" xfId="17942" xr:uid="{00000000-0005-0000-0000-000003160000}"/>
    <cellStyle name="Comma 2 2 2 5 3 4 2" xfId="37862" xr:uid="{00000000-0005-0000-0000-000004160000}"/>
    <cellStyle name="Comma 2 2 2 5 3 5" xfId="25557" xr:uid="{00000000-0005-0000-0000-000005160000}"/>
    <cellStyle name="Comma 2 2 2 5 4" xfId="7128" xr:uid="{00000000-0005-0000-0000-000006160000}"/>
    <cellStyle name="Comma 2 2 2 5 4 2" xfId="13322" xr:uid="{00000000-0005-0000-0000-000007160000}"/>
    <cellStyle name="Comma 2 2 2 5 4 2 2" xfId="33242" xr:uid="{00000000-0005-0000-0000-000008160000}"/>
    <cellStyle name="Comma 2 2 2 5 4 3" xfId="19474" xr:uid="{00000000-0005-0000-0000-000009160000}"/>
    <cellStyle name="Comma 2 2 2 5 4 3 2" xfId="39394" xr:uid="{00000000-0005-0000-0000-00000A160000}"/>
    <cellStyle name="Comma 2 2 2 5 4 4" xfId="27089" xr:uid="{00000000-0005-0000-0000-00000B160000}"/>
    <cellStyle name="Comma 2 2 2 5 5" xfId="10256" xr:uid="{00000000-0005-0000-0000-00000C160000}"/>
    <cellStyle name="Comma 2 2 2 5 5 2" xfId="30176" xr:uid="{00000000-0005-0000-0000-00000D160000}"/>
    <cellStyle name="Comma 2 2 2 5 6" xfId="16408" xr:uid="{00000000-0005-0000-0000-00000E160000}"/>
    <cellStyle name="Comma 2 2 2 5 6 2" xfId="36328" xr:uid="{00000000-0005-0000-0000-00000F160000}"/>
    <cellStyle name="Comma 2 2 2 5 7" xfId="24023" xr:uid="{00000000-0005-0000-0000-000010160000}"/>
    <cellStyle name="Comma 2 2 2 6" xfId="1507" xr:uid="{00000000-0005-0000-0000-000011160000}"/>
    <cellStyle name="Comma 2 2 2 6 2" xfId="4722" xr:uid="{00000000-0005-0000-0000-000012160000}"/>
    <cellStyle name="Comma 2 2 2 6 2 2" xfId="6347" xr:uid="{00000000-0005-0000-0000-000013160000}"/>
    <cellStyle name="Comma 2 2 2 6 2 2 2" xfId="9433" xr:uid="{00000000-0005-0000-0000-000014160000}"/>
    <cellStyle name="Comma 2 2 2 6 2 2 2 2" xfId="15626" xr:uid="{00000000-0005-0000-0000-000015160000}"/>
    <cellStyle name="Comma 2 2 2 6 2 2 2 2 2" xfId="35546" xr:uid="{00000000-0005-0000-0000-000016160000}"/>
    <cellStyle name="Comma 2 2 2 6 2 2 2 3" xfId="21778" xr:uid="{00000000-0005-0000-0000-000017160000}"/>
    <cellStyle name="Comma 2 2 2 6 2 2 2 3 2" xfId="41698" xr:uid="{00000000-0005-0000-0000-000018160000}"/>
    <cellStyle name="Comma 2 2 2 6 2 2 2 4" xfId="29393" xr:uid="{00000000-0005-0000-0000-000019160000}"/>
    <cellStyle name="Comma 2 2 2 6 2 2 3" xfId="12560" xr:uid="{00000000-0005-0000-0000-00001A160000}"/>
    <cellStyle name="Comma 2 2 2 6 2 2 3 2" xfId="32480" xr:uid="{00000000-0005-0000-0000-00001B160000}"/>
    <cellStyle name="Comma 2 2 2 6 2 2 4" xfId="18712" xr:uid="{00000000-0005-0000-0000-00001C160000}"/>
    <cellStyle name="Comma 2 2 2 6 2 2 4 2" xfId="38632" xr:uid="{00000000-0005-0000-0000-00001D160000}"/>
    <cellStyle name="Comma 2 2 2 6 2 2 5" xfId="26327" xr:uid="{00000000-0005-0000-0000-00001E160000}"/>
    <cellStyle name="Comma 2 2 2 6 2 3" xfId="7898" xr:uid="{00000000-0005-0000-0000-00001F160000}"/>
    <cellStyle name="Comma 2 2 2 6 2 3 2" xfId="14092" xr:uid="{00000000-0005-0000-0000-000020160000}"/>
    <cellStyle name="Comma 2 2 2 6 2 3 2 2" xfId="34012" xr:uid="{00000000-0005-0000-0000-000021160000}"/>
    <cellStyle name="Comma 2 2 2 6 2 3 3" xfId="20244" xr:uid="{00000000-0005-0000-0000-000022160000}"/>
    <cellStyle name="Comma 2 2 2 6 2 3 3 2" xfId="40164" xr:uid="{00000000-0005-0000-0000-000023160000}"/>
    <cellStyle name="Comma 2 2 2 6 2 3 4" xfId="27859" xr:uid="{00000000-0005-0000-0000-000024160000}"/>
    <cellStyle name="Comma 2 2 2 6 2 4" xfId="11026" xr:uid="{00000000-0005-0000-0000-000025160000}"/>
    <cellStyle name="Comma 2 2 2 6 2 4 2" xfId="30946" xr:uid="{00000000-0005-0000-0000-000026160000}"/>
    <cellStyle name="Comma 2 2 2 6 2 5" xfId="17178" xr:uid="{00000000-0005-0000-0000-000027160000}"/>
    <cellStyle name="Comma 2 2 2 6 2 5 2" xfId="37098" xr:uid="{00000000-0005-0000-0000-000028160000}"/>
    <cellStyle name="Comma 2 2 2 6 2 6" xfId="24793" xr:uid="{00000000-0005-0000-0000-000029160000}"/>
    <cellStyle name="Comma 2 2 2 6 3" xfId="5561" xr:uid="{00000000-0005-0000-0000-00002A160000}"/>
    <cellStyle name="Comma 2 2 2 6 3 2" xfId="8664" xr:uid="{00000000-0005-0000-0000-00002B160000}"/>
    <cellStyle name="Comma 2 2 2 6 3 2 2" xfId="14857" xr:uid="{00000000-0005-0000-0000-00002C160000}"/>
    <cellStyle name="Comma 2 2 2 6 3 2 2 2" xfId="34777" xr:uid="{00000000-0005-0000-0000-00002D160000}"/>
    <cellStyle name="Comma 2 2 2 6 3 2 3" xfId="21009" xr:uid="{00000000-0005-0000-0000-00002E160000}"/>
    <cellStyle name="Comma 2 2 2 6 3 2 3 2" xfId="40929" xr:uid="{00000000-0005-0000-0000-00002F160000}"/>
    <cellStyle name="Comma 2 2 2 6 3 2 4" xfId="28624" xr:uid="{00000000-0005-0000-0000-000030160000}"/>
    <cellStyle name="Comma 2 2 2 6 3 3" xfId="11791" xr:uid="{00000000-0005-0000-0000-000031160000}"/>
    <cellStyle name="Comma 2 2 2 6 3 3 2" xfId="31711" xr:uid="{00000000-0005-0000-0000-000032160000}"/>
    <cellStyle name="Comma 2 2 2 6 3 4" xfId="17943" xr:uid="{00000000-0005-0000-0000-000033160000}"/>
    <cellStyle name="Comma 2 2 2 6 3 4 2" xfId="37863" xr:uid="{00000000-0005-0000-0000-000034160000}"/>
    <cellStyle name="Comma 2 2 2 6 3 5" xfId="25558" xr:uid="{00000000-0005-0000-0000-000035160000}"/>
    <cellStyle name="Comma 2 2 2 6 4" xfId="7129" xr:uid="{00000000-0005-0000-0000-000036160000}"/>
    <cellStyle name="Comma 2 2 2 6 4 2" xfId="13323" xr:uid="{00000000-0005-0000-0000-000037160000}"/>
    <cellStyle name="Comma 2 2 2 6 4 2 2" xfId="33243" xr:uid="{00000000-0005-0000-0000-000038160000}"/>
    <cellStyle name="Comma 2 2 2 6 4 3" xfId="19475" xr:uid="{00000000-0005-0000-0000-000039160000}"/>
    <cellStyle name="Comma 2 2 2 6 4 3 2" xfId="39395" xr:uid="{00000000-0005-0000-0000-00003A160000}"/>
    <cellStyle name="Comma 2 2 2 6 4 4" xfId="27090" xr:uid="{00000000-0005-0000-0000-00003B160000}"/>
    <cellStyle name="Comma 2 2 2 6 5" xfId="10257" xr:uid="{00000000-0005-0000-0000-00003C160000}"/>
    <cellStyle name="Comma 2 2 2 6 5 2" xfId="30177" xr:uid="{00000000-0005-0000-0000-00003D160000}"/>
    <cellStyle name="Comma 2 2 2 6 6" xfId="16409" xr:uid="{00000000-0005-0000-0000-00003E160000}"/>
    <cellStyle name="Comma 2 2 2 6 6 2" xfId="36329" xr:uid="{00000000-0005-0000-0000-00003F160000}"/>
    <cellStyle name="Comma 2 2 2 6 7" xfId="24024" xr:uid="{00000000-0005-0000-0000-000040160000}"/>
    <cellStyle name="Comma 2 2 2 7" xfId="1508" xr:uid="{00000000-0005-0000-0000-000041160000}"/>
    <cellStyle name="Comma 2 2 2 8" xfId="1509" xr:uid="{00000000-0005-0000-0000-000042160000}"/>
    <cellStyle name="Comma 2 2 3" xfId="1510" xr:uid="{00000000-0005-0000-0000-000043160000}"/>
    <cellStyle name="Comma 2 2 3 10" xfId="16410" xr:uid="{00000000-0005-0000-0000-000044160000}"/>
    <cellStyle name="Comma 2 2 3 10 2" xfId="36330" xr:uid="{00000000-0005-0000-0000-000045160000}"/>
    <cellStyle name="Comma 2 2 3 11" xfId="24025" xr:uid="{00000000-0005-0000-0000-000046160000}"/>
    <cellStyle name="Comma 2 2 3 2" xfId="1511" xr:uid="{00000000-0005-0000-0000-000047160000}"/>
    <cellStyle name="Comma 2 2 3 2 2" xfId="1512" xr:uid="{00000000-0005-0000-0000-000048160000}"/>
    <cellStyle name="Comma 2 2 3 2 2 2" xfId="4724" xr:uid="{00000000-0005-0000-0000-000049160000}"/>
    <cellStyle name="Comma 2 2 3 2 2 2 2" xfId="6349" xr:uid="{00000000-0005-0000-0000-00004A160000}"/>
    <cellStyle name="Comma 2 2 3 2 2 2 2 2" xfId="9435" xr:uid="{00000000-0005-0000-0000-00004B160000}"/>
    <cellStyle name="Comma 2 2 3 2 2 2 2 2 2" xfId="15628" xr:uid="{00000000-0005-0000-0000-00004C160000}"/>
    <cellStyle name="Comma 2 2 3 2 2 2 2 2 2 2" xfId="35548" xr:uid="{00000000-0005-0000-0000-00004D160000}"/>
    <cellStyle name="Comma 2 2 3 2 2 2 2 2 3" xfId="21780" xr:uid="{00000000-0005-0000-0000-00004E160000}"/>
    <cellStyle name="Comma 2 2 3 2 2 2 2 2 3 2" xfId="41700" xr:uid="{00000000-0005-0000-0000-00004F160000}"/>
    <cellStyle name="Comma 2 2 3 2 2 2 2 2 4" xfId="29395" xr:uid="{00000000-0005-0000-0000-000050160000}"/>
    <cellStyle name="Comma 2 2 3 2 2 2 2 3" xfId="12562" xr:uid="{00000000-0005-0000-0000-000051160000}"/>
    <cellStyle name="Comma 2 2 3 2 2 2 2 3 2" xfId="32482" xr:uid="{00000000-0005-0000-0000-000052160000}"/>
    <cellStyle name="Comma 2 2 3 2 2 2 2 4" xfId="18714" xr:uid="{00000000-0005-0000-0000-000053160000}"/>
    <cellStyle name="Comma 2 2 3 2 2 2 2 4 2" xfId="38634" xr:uid="{00000000-0005-0000-0000-000054160000}"/>
    <cellStyle name="Comma 2 2 3 2 2 2 2 5" xfId="26329" xr:uid="{00000000-0005-0000-0000-000055160000}"/>
    <cellStyle name="Comma 2 2 3 2 2 2 3" xfId="7900" xr:uid="{00000000-0005-0000-0000-000056160000}"/>
    <cellStyle name="Comma 2 2 3 2 2 2 3 2" xfId="14094" xr:uid="{00000000-0005-0000-0000-000057160000}"/>
    <cellStyle name="Comma 2 2 3 2 2 2 3 2 2" xfId="34014" xr:uid="{00000000-0005-0000-0000-000058160000}"/>
    <cellStyle name="Comma 2 2 3 2 2 2 3 3" xfId="20246" xr:uid="{00000000-0005-0000-0000-000059160000}"/>
    <cellStyle name="Comma 2 2 3 2 2 2 3 3 2" xfId="40166" xr:uid="{00000000-0005-0000-0000-00005A160000}"/>
    <cellStyle name="Comma 2 2 3 2 2 2 3 4" xfId="27861" xr:uid="{00000000-0005-0000-0000-00005B160000}"/>
    <cellStyle name="Comma 2 2 3 2 2 2 4" xfId="11028" xr:uid="{00000000-0005-0000-0000-00005C160000}"/>
    <cellStyle name="Comma 2 2 3 2 2 2 4 2" xfId="30948" xr:uid="{00000000-0005-0000-0000-00005D160000}"/>
    <cellStyle name="Comma 2 2 3 2 2 2 5" xfId="17180" xr:uid="{00000000-0005-0000-0000-00005E160000}"/>
    <cellStyle name="Comma 2 2 3 2 2 2 5 2" xfId="37100" xr:uid="{00000000-0005-0000-0000-00005F160000}"/>
    <cellStyle name="Comma 2 2 3 2 2 2 6" xfId="24795" xr:uid="{00000000-0005-0000-0000-000060160000}"/>
    <cellStyle name="Comma 2 2 3 2 2 3" xfId="5563" xr:uid="{00000000-0005-0000-0000-000061160000}"/>
    <cellStyle name="Comma 2 2 3 2 2 3 2" xfId="8666" xr:uid="{00000000-0005-0000-0000-000062160000}"/>
    <cellStyle name="Comma 2 2 3 2 2 3 2 2" xfId="14859" xr:uid="{00000000-0005-0000-0000-000063160000}"/>
    <cellStyle name="Comma 2 2 3 2 2 3 2 2 2" xfId="34779" xr:uid="{00000000-0005-0000-0000-000064160000}"/>
    <cellStyle name="Comma 2 2 3 2 2 3 2 3" xfId="21011" xr:uid="{00000000-0005-0000-0000-000065160000}"/>
    <cellStyle name="Comma 2 2 3 2 2 3 2 3 2" xfId="40931" xr:uid="{00000000-0005-0000-0000-000066160000}"/>
    <cellStyle name="Comma 2 2 3 2 2 3 2 4" xfId="28626" xr:uid="{00000000-0005-0000-0000-000067160000}"/>
    <cellStyle name="Comma 2 2 3 2 2 3 3" xfId="11793" xr:uid="{00000000-0005-0000-0000-000068160000}"/>
    <cellStyle name="Comma 2 2 3 2 2 3 3 2" xfId="31713" xr:uid="{00000000-0005-0000-0000-000069160000}"/>
    <cellStyle name="Comma 2 2 3 2 2 3 4" xfId="17945" xr:uid="{00000000-0005-0000-0000-00006A160000}"/>
    <cellStyle name="Comma 2 2 3 2 2 3 4 2" xfId="37865" xr:uid="{00000000-0005-0000-0000-00006B160000}"/>
    <cellStyle name="Comma 2 2 3 2 2 3 5" xfId="25560" xr:uid="{00000000-0005-0000-0000-00006C160000}"/>
    <cellStyle name="Comma 2 2 3 2 2 4" xfId="7131" xr:uid="{00000000-0005-0000-0000-00006D160000}"/>
    <cellStyle name="Comma 2 2 3 2 2 4 2" xfId="13325" xr:uid="{00000000-0005-0000-0000-00006E160000}"/>
    <cellStyle name="Comma 2 2 3 2 2 4 2 2" xfId="33245" xr:uid="{00000000-0005-0000-0000-00006F160000}"/>
    <cellStyle name="Comma 2 2 3 2 2 4 3" xfId="19477" xr:uid="{00000000-0005-0000-0000-000070160000}"/>
    <cellStyle name="Comma 2 2 3 2 2 4 3 2" xfId="39397" xr:uid="{00000000-0005-0000-0000-000071160000}"/>
    <cellStyle name="Comma 2 2 3 2 2 4 4" xfId="27092" xr:uid="{00000000-0005-0000-0000-000072160000}"/>
    <cellStyle name="Comma 2 2 3 2 2 5" xfId="10259" xr:uid="{00000000-0005-0000-0000-000073160000}"/>
    <cellStyle name="Comma 2 2 3 2 2 5 2" xfId="30179" xr:uid="{00000000-0005-0000-0000-000074160000}"/>
    <cellStyle name="Comma 2 2 3 2 2 6" xfId="16411" xr:uid="{00000000-0005-0000-0000-000075160000}"/>
    <cellStyle name="Comma 2 2 3 2 2 6 2" xfId="36331" xr:uid="{00000000-0005-0000-0000-000076160000}"/>
    <cellStyle name="Comma 2 2 3 2 2 7" xfId="24026" xr:uid="{00000000-0005-0000-0000-000077160000}"/>
    <cellStyle name="Comma 2 2 3 2 3" xfId="1513" xr:uid="{00000000-0005-0000-0000-000078160000}"/>
    <cellStyle name="Comma 2 2 3 2 3 2" xfId="4725" xr:uid="{00000000-0005-0000-0000-000079160000}"/>
    <cellStyle name="Comma 2 2 3 2 3 2 2" xfId="6350" xr:uid="{00000000-0005-0000-0000-00007A160000}"/>
    <cellStyle name="Comma 2 2 3 2 3 2 2 2" xfId="9436" xr:uid="{00000000-0005-0000-0000-00007B160000}"/>
    <cellStyle name="Comma 2 2 3 2 3 2 2 2 2" xfId="15629" xr:uid="{00000000-0005-0000-0000-00007C160000}"/>
    <cellStyle name="Comma 2 2 3 2 3 2 2 2 2 2" xfId="35549" xr:uid="{00000000-0005-0000-0000-00007D160000}"/>
    <cellStyle name="Comma 2 2 3 2 3 2 2 2 3" xfId="21781" xr:uid="{00000000-0005-0000-0000-00007E160000}"/>
    <cellStyle name="Comma 2 2 3 2 3 2 2 2 3 2" xfId="41701" xr:uid="{00000000-0005-0000-0000-00007F160000}"/>
    <cellStyle name="Comma 2 2 3 2 3 2 2 2 4" xfId="29396" xr:uid="{00000000-0005-0000-0000-000080160000}"/>
    <cellStyle name="Comma 2 2 3 2 3 2 2 3" xfId="12563" xr:uid="{00000000-0005-0000-0000-000081160000}"/>
    <cellStyle name="Comma 2 2 3 2 3 2 2 3 2" xfId="32483" xr:uid="{00000000-0005-0000-0000-000082160000}"/>
    <cellStyle name="Comma 2 2 3 2 3 2 2 4" xfId="18715" xr:uid="{00000000-0005-0000-0000-000083160000}"/>
    <cellStyle name="Comma 2 2 3 2 3 2 2 4 2" xfId="38635" xr:uid="{00000000-0005-0000-0000-000084160000}"/>
    <cellStyle name="Comma 2 2 3 2 3 2 2 5" xfId="26330" xr:uid="{00000000-0005-0000-0000-000085160000}"/>
    <cellStyle name="Comma 2 2 3 2 3 2 3" xfId="7901" xr:uid="{00000000-0005-0000-0000-000086160000}"/>
    <cellStyle name="Comma 2 2 3 2 3 2 3 2" xfId="14095" xr:uid="{00000000-0005-0000-0000-000087160000}"/>
    <cellStyle name="Comma 2 2 3 2 3 2 3 2 2" xfId="34015" xr:uid="{00000000-0005-0000-0000-000088160000}"/>
    <cellStyle name="Comma 2 2 3 2 3 2 3 3" xfId="20247" xr:uid="{00000000-0005-0000-0000-000089160000}"/>
    <cellStyle name="Comma 2 2 3 2 3 2 3 3 2" xfId="40167" xr:uid="{00000000-0005-0000-0000-00008A160000}"/>
    <cellStyle name="Comma 2 2 3 2 3 2 3 4" xfId="27862" xr:uid="{00000000-0005-0000-0000-00008B160000}"/>
    <cellStyle name="Comma 2 2 3 2 3 2 4" xfId="11029" xr:uid="{00000000-0005-0000-0000-00008C160000}"/>
    <cellStyle name="Comma 2 2 3 2 3 2 4 2" xfId="30949" xr:uid="{00000000-0005-0000-0000-00008D160000}"/>
    <cellStyle name="Comma 2 2 3 2 3 2 5" xfId="17181" xr:uid="{00000000-0005-0000-0000-00008E160000}"/>
    <cellStyle name="Comma 2 2 3 2 3 2 5 2" xfId="37101" xr:uid="{00000000-0005-0000-0000-00008F160000}"/>
    <cellStyle name="Comma 2 2 3 2 3 2 6" xfId="24796" xr:uid="{00000000-0005-0000-0000-000090160000}"/>
    <cellStyle name="Comma 2 2 3 2 3 3" xfId="5564" xr:uid="{00000000-0005-0000-0000-000091160000}"/>
    <cellStyle name="Comma 2 2 3 2 3 3 2" xfId="8667" xr:uid="{00000000-0005-0000-0000-000092160000}"/>
    <cellStyle name="Comma 2 2 3 2 3 3 2 2" xfId="14860" xr:uid="{00000000-0005-0000-0000-000093160000}"/>
    <cellStyle name="Comma 2 2 3 2 3 3 2 2 2" xfId="34780" xr:uid="{00000000-0005-0000-0000-000094160000}"/>
    <cellStyle name="Comma 2 2 3 2 3 3 2 3" xfId="21012" xr:uid="{00000000-0005-0000-0000-000095160000}"/>
    <cellStyle name="Comma 2 2 3 2 3 3 2 3 2" xfId="40932" xr:uid="{00000000-0005-0000-0000-000096160000}"/>
    <cellStyle name="Comma 2 2 3 2 3 3 2 4" xfId="28627" xr:uid="{00000000-0005-0000-0000-000097160000}"/>
    <cellStyle name="Comma 2 2 3 2 3 3 3" xfId="11794" xr:uid="{00000000-0005-0000-0000-000098160000}"/>
    <cellStyle name="Comma 2 2 3 2 3 3 3 2" xfId="31714" xr:uid="{00000000-0005-0000-0000-000099160000}"/>
    <cellStyle name="Comma 2 2 3 2 3 3 4" xfId="17946" xr:uid="{00000000-0005-0000-0000-00009A160000}"/>
    <cellStyle name="Comma 2 2 3 2 3 3 4 2" xfId="37866" xr:uid="{00000000-0005-0000-0000-00009B160000}"/>
    <cellStyle name="Comma 2 2 3 2 3 3 5" xfId="25561" xr:uid="{00000000-0005-0000-0000-00009C160000}"/>
    <cellStyle name="Comma 2 2 3 2 3 4" xfId="7132" xr:uid="{00000000-0005-0000-0000-00009D160000}"/>
    <cellStyle name="Comma 2 2 3 2 3 4 2" xfId="13326" xr:uid="{00000000-0005-0000-0000-00009E160000}"/>
    <cellStyle name="Comma 2 2 3 2 3 4 2 2" xfId="33246" xr:uid="{00000000-0005-0000-0000-00009F160000}"/>
    <cellStyle name="Comma 2 2 3 2 3 4 3" xfId="19478" xr:uid="{00000000-0005-0000-0000-0000A0160000}"/>
    <cellStyle name="Comma 2 2 3 2 3 4 3 2" xfId="39398" xr:uid="{00000000-0005-0000-0000-0000A1160000}"/>
    <cellStyle name="Comma 2 2 3 2 3 4 4" xfId="27093" xr:uid="{00000000-0005-0000-0000-0000A2160000}"/>
    <cellStyle name="Comma 2 2 3 2 3 5" xfId="10260" xr:uid="{00000000-0005-0000-0000-0000A3160000}"/>
    <cellStyle name="Comma 2 2 3 2 3 5 2" xfId="30180" xr:uid="{00000000-0005-0000-0000-0000A4160000}"/>
    <cellStyle name="Comma 2 2 3 2 3 6" xfId="16412" xr:uid="{00000000-0005-0000-0000-0000A5160000}"/>
    <cellStyle name="Comma 2 2 3 2 3 6 2" xfId="36332" xr:uid="{00000000-0005-0000-0000-0000A6160000}"/>
    <cellStyle name="Comma 2 2 3 2 3 7" xfId="24027" xr:uid="{00000000-0005-0000-0000-0000A7160000}"/>
    <cellStyle name="Comma 2 2 3 2 4" xfId="1514" xr:uid="{00000000-0005-0000-0000-0000A8160000}"/>
    <cellStyle name="Comma 2 2 3 2 4 2" xfId="4726" xr:uid="{00000000-0005-0000-0000-0000A9160000}"/>
    <cellStyle name="Comma 2 2 3 2 4 2 2" xfId="6351" xr:uid="{00000000-0005-0000-0000-0000AA160000}"/>
    <cellStyle name="Comma 2 2 3 2 4 2 2 2" xfId="9437" xr:uid="{00000000-0005-0000-0000-0000AB160000}"/>
    <cellStyle name="Comma 2 2 3 2 4 2 2 2 2" xfId="15630" xr:uid="{00000000-0005-0000-0000-0000AC160000}"/>
    <cellStyle name="Comma 2 2 3 2 4 2 2 2 2 2" xfId="35550" xr:uid="{00000000-0005-0000-0000-0000AD160000}"/>
    <cellStyle name="Comma 2 2 3 2 4 2 2 2 3" xfId="21782" xr:uid="{00000000-0005-0000-0000-0000AE160000}"/>
    <cellStyle name="Comma 2 2 3 2 4 2 2 2 3 2" xfId="41702" xr:uid="{00000000-0005-0000-0000-0000AF160000}"/>
    <cellStyle name="Comma 2 2 3 2 4 2 2 2 4" xfId="29397" xr:uid="{00000000-0005-0000-0000-0000B0160000}"/>
    <cellStyle name="Comma 2 2 3 2 4 2 2 3" xfId="12564" xr:uid="{00000000-0005-0000-0000-0000B1160000}"/>
    <cellStyle name="Comma 2 2 3 2 4 2 2 3 2" xfId="32484" xr:uid="{00000000-0005-0000-0000-0000B2160000}"/>
    <cellStyle name="Comma 2 2 3 2 4 2 2 4" xfId="18716" xr:uid="{00000000-0005-0000-0000-0000B3160000}"/>
    <cellStyle name="Comma 2 2 3 2 4 2 2 4 2" xfId="38636" xr:uid="{00000000-0005-0000-0000-0000B4160000}"/>
    <cellStyle name="Comma 2 2 3 2 4 2 2 5" xfId="26331" xr:uid="{00000000-0005-0000-0000-0000B5160000}"/>
    <cellStyle name="Comma 2 2 3 2 4 2 3" xfId="7902" xr:uid="{00000000-0005-0000-0000-0000B6160000}"/>
    <cellStyle name="Comma 2 2 3 2 4 2 3 2" xfId="14096" xr:uid="{00000000-0005-0000-0000-0000B7160000}"/>
    <cellStyle name="Comma 2 2 3 2 4 2 3 2 2" xfId="34016" xr:uid="{00000000-0005-0000-0000-0000B8160000}"/>
    <cellStyle name="Comma 2 2 3 2 4 2 3 3" xfId="20248" xr:uid="{00000000-0005-0000-0000-0000B9160000}"/>
    <cellStyle name="Comma 2 2 3 2 4 2 3 3 2" xfId="40168" xr:uid="{00000000-0005-0000-0000-0000BA160000}"/>
    <cellStyle name="Comma 2 2 3 2 4 2 3 4" xfId="27863" xr:uid="{00000000-0005-0000-0000-0000BB160000}"/>
    <cellStyle name="Comma 2 2 3 2 4 2 4" xfId="11030" xr:uid="{00000000-0005-0000-0000-0000BC160000}"/>
    <cellStyle name="Comma 2 2 3 2 4 2 4 2" xfId="30950" xr:uid="{00000000-0005-0000-0000-0000BD160000}"/>
    <cellStyle name="Comma 2 2 3 2 4 2 5" xfId="17182" xr:uid="{00000000-0005-0000-0000-0000BE160000}"/>
    <cellStyle name="Comma 2 2 3 2 4 2 5 2" xfId="37102" xr:uid="{00000000-0005-0000-0000-0000BF160000}"/>
    <cellStyle name="Comma 2 2 3 2 4 2 6" xfId="24797" xr:uid="{00000000-0005-0000-0000-0000C0160000}"/>
    <cellStyle name="Comma 2 2 3 2 4 3" xfId="5565" xr:uid="{00000000-0005-0000-0000-0000C1160000}"/>
    <cellStyle name="Comma 2 2 3 2 4 3 2" xfId="8668" xr:uid="{00000000-0005-0000-0000-0000C2160000}"/>
    <cellStyle name="Comma 2 2 3 2 4 3 2 2" xfId="14861" xr:uid="{00000000-0005-0000-0000-0000C3160000}"/>
    <cellStyle name="Comma 2 2 3 2 4 3 2 2 2" xfId="34781" xr:uid="{00000000-0005-0000-0000-0000C4160000}"/>
    <cellStyle name="Comma 2 2 3 2 4 3 2 3" xfId="21013" xr:uid="{00000000-0005-0000-0000-0000C5160000}"/>
    <cellStyle name="Comma 2 2 3 2 4 3 2 3 2" xfId="40933" xr:uid="{00000000-0005-0000-0000-0000C6160000}"/>
    <cellStyle name="Comma 2 2 3 2 4 3 2 4" xfId="28628" xr:uid="{00000000-0005-0000-0000-0000C7160000}"/>
    <cellStyle name="Comma 2 2 3 2 4 3 3" xfId="11795" xr:uid="{00000000-0005-0000-0000-0000C8160000}"/>
    <cellStyle name="Comma 2 2 3 2 4 3 3 2" xfId="31715" xr:uid="{00000000-0005-0000-0000-0000C9160000}"/>
    <cellStyle name="Comma 2 2 3 2 4 3 4" xfId="17947" xr:uid="{00000000-0005-0000-0000-0000CA160000}"/>
    <cellStyle name="Comma 2 2 3 2 4 3 4 2" xfId="37867" xr:uid="{00000000-0005-0000-0000-0000CB160000}"/>
    <cellStyle name="Comma 2 2 3 2 4 3 5" xfId="25562" xr:uid="{00000000-0005-0000-0000-0000CC160000}"/>
    <cellStyle name="Comma 2 2 3 2 4 4" xfId="7133" xr:uid="{00000000-0005-0000-0000-0000CD160000}"/>
    <cellStyle name="Comma 2 2 3 2 4 4 2" xfId="13327" xr:uid="{00000000-0005-0000-0000-0000CE160000}"/>
    <cellStyle name="Comma 2 2 3 2 4 4 2 2" xfId="33247" xr:uid="{00000000-0005-0000-0000-0000CF160000}"/>
    <cellStyle name="Comma 2 2 3 2 4 4 3" xfId="19479" xr:uid="{00000000-0005-0000-0000-0000D0160000}"/>
    <cellStyle name="Comma 2 2 3 2 4 4 3 2" xfId="39399" xr:uid="{00000000-0005-0000-0000-0000D1160000}"/>
    <cellStyle name="Comma 2 2 3 2 4 4 4" xfId="27094" xr:uid="{00000000-0005-0000-0000-0000D2160000}"/>
    <cellStyle name="Comma 2 2 3 2 4 5" xfId="10261" xr:uid="{00000000-0005-0000-0000-0000D3160000}"/>
    <cellStyle name="Comma 2 2 3 2 4 5 2" xfId="30181" xr:uid="{00000000-0005-0000-0000-0000D4160000}"/>
    <cellStyle name="Comma 2 2 3 2 4 6" xfId="16413" xr:uid="{00000000-0005-0000-0000-0000D5160000}"/>
    <cellStyle name="Comma 2 2 3 2 4 6 2" xfId="36333" xr:uid="{00000000-0005-0000-0000-0000D6160000}"/>
    <cellStyle name="Comma 2 2 3 2 4 7" xfId="24028" xr:uid="{00000000-0005-0000-0000-0000D7160000}"/>
    <cellStyle name="Comma 2 2 3 2 5" xfId="1515" xr:uid="{00000000-0005-0000-0000-0000D8160000}"/>
    <cellStyle name="Comma 2 2 3 2 5 2" xfId="4727" xr:uid="{00000000-0005-0000-0000-0000D9160000}"/>
    <cellStyle name="Comma 2 2 3 2 5 2 2" xfId="6352" xr:uid="{00000000-0005-0000-0000-0000DA160000}"/>
    <cellStyle name="Comma 2 2 3 2 5 2 2 2" xfId="9438" xr:uid="{00000000-0005-0000-0000-0000DB160000}"/>
    <cellStyle name="Comma 2 2 3 2 5 2 2 2 2" xfId="15631" xr:uid="{00000000-0005-0000-0000-0000DC160000}"/>
    <cellStyle name="Comma 2 2 3 2 5 2 2 2 2 2" xfId="35551" xr:uid="{00000000-0005-0000-0000-0000DD160000}"/>
    <cellStyle name="Comma 2 2 3 2 5 2 2 2 3" xfId="21783" xr:uid="{00000000-0005-0000-0000-0000DE160000}"/>
    <cellStyle name="Comma 2 2 3 2 5 2 2 2 3 2" xfId="41703" xr:uid="{00000000-0005-0000-0000-0000DF160000}"/>
    <cellStyle name="Comma 2 2 3 2 5 2 2 2 4" xfId="29398" xr:uid="{00000000-0005-0000-0000-0000E0160000}"/>
    <cellStyle name="Comma 2 2 3 2 5 2 2 3" xfId="12565" xr:uid="{00000000-0005-0000-0000-0000E1160000}"/>
    <cellStyle name="Comma 2 2 3 2 5 2 2 3 2" xfId="32485" xr:uid="{00000000-0005-0000-0000-0000E2160000}"/>
    <cellStyle name="Comma 2 2 3 2 5 2 2 4" xfId="18717" xr:uid="{00000000-0005-0000-0000-0000E3160000}"/>
    <cellStyle name="Comma 2 2 3 2 5 2 2 4 2" xfId="38637" xr:uid="{00000000-0005-0000-0000-0000E4160000}"/>
    <cellStyle name="Comma 2 2 3 2 5 2 2 5" xfId="26332" xr:uid="{00000000-0005-0000-0000-0000E5160000}"/>
    <cellStyle name="Comma 2 2 3 2 5 2 3" xfId="7903" xr:uid="{00000000-0005-0000-0000-0000E6160000}"/>
    <cellStyle name="Comma 2 2 3 2 5 2 3 2" xfId="14097" xr:uid="{00000000-0005-0000-0000-0000E7160000}"/>
    <cellStyle name="Comma 2 2 3 2 5 2 3 2 2" xfId="34017" xr:uid="{00000000-0005-0000-0000-0000E8160000}"/>
    <cellStyle name="Comma 2 2 3 2 5 2 3 3" xfId="20249" xr:uid="{00000000-0005-0000-0000-0000E9160000}"/>
    <cellStyle name="Comma 2 2 3 2 5 2 3 3 2" xfId="40169" xr:uid="{00000000-0005-0000-0000-0000EA160000}"/>
    <cellStyle name="Comma 2 2 3 2 5 2 3 4" xfId="27864" xr:uid="{00000000-0005-0000-0000-0000EB160000}"/>
    <cellStyle name="Comma 2 2 3 2 5 2 4" xfId="11031" xr:uid="{00000000-0005-0000-0000-0000EC160000}"/>
    <cellStyle name="Comma 2 2 3 2 5 2 4 2" xfId="30951" xr:uid="{00000000-0005-0000-0000-0000ED160000}"/>
    <cellStyle name="Comma 2 2 3 2 5 2 5" xfId="17183" xr:uid="{00000000-0005-0000-0000-0000EE160000}"/>
    <cellStyle name="Comma 2 2 3 2 5 2 5 2" xfId="37103" xr:uid="{00000000-0005-0000-0000-0000EF160000}"/>
    <cellStyle name="Comma 2 2 3 2 5 2 6" xfId="24798" xr:uid="{00000000-0005-0000-0000-0000F0160000}"/>
    <cellStyle name="Comma 2 2 3 2 5 3" xfId="5566" xr:uid="{00000000-0005-0000-0000-0000F1160000}"/>
    <cellStyle name="Comma 2 2 3 2 5 3 2" xfId="8669" xr:uid="{00000000-0005-0000-0000-0000F2160000}"/>
    <cellStyle name="Comma 2 2 3 2 5 3 2 2" xfId="14862" xr:uid="{00000000-0005-0000-0000-0000F3160000}"/>
    <cellStyle name="Comma 2 2 3 2 5 3 2 2 2" xfId="34782" xr:uid="{00000000-0005-0000-0000-0000F4160000}"/>
    <cellStyle name="Comma 2 2 3 2 5 3 2 3" xfId="21014" xr:uid="{00000000-0005-0000-0000-0000F5160000}"/>
    <cellStyle name="Comma 2 2 3 2 5 3 2 3 2" xfId="40934" xr:uid="{00000000-0005-0000-0000-0000F6160000}"/>
    <cellStyle name="Comma 2 2 3 2 5 3 2 4" xfId="28629" xr:uid="{00000000-0005-0000-0000-0000F7160000}"/>
    <cellStyle name="Comma 2 2 3 2 5 3 3" xfId="11796" xr:uid="{00000000-0005-0000-0000-0000F8160000}"/>
    <cellStyle name="Comma 2 2 3 2 5 3 3 2" xfId="31716" xr:uid="{00000000-0005-0000-0000-0000F9160000}"/>
    <cellStyle name="Comma 2 2 3 2 5 3 4" xfId="17948" xr:uid="{00000000-0005-0000-0000-0000FA160000}"/>
    <cellStyle name="Comma 2 2 3 2 5 3 4 2" xfId="37868" xr:uid="{00000000-0005-0000-0000-0000FB160000}"/>
    <cellStyle name="Comma 2 2 3 2 5 3 5" xfId="25563" xr:uid="{00000000-0005-0000-0000-0000FC160000}"/>
    <cellStyle name="Comma 2 2 3 2 5 4" xfId="7134" xr:uid="{00000000-0005-0000-0000-0000FD160000}"/>
    <cellStyle name="Comma 2 2 3 2 5 4 2" xfId="13328" xr:uid="{00000000-0005-0000-0000-0000FE160000}"/>
    <cellStyle name="Comma 2 2 3 2 5 4 2 2" xfId="33248" xr:uid="{00000000-0005-0000-0000-0000FF160000}"/>
    <cellStyle name="Comma 2 2 3 2 5 4 3" xfId="19480" xr:uid="{00000000-0005-0000-0000-000000170000}"/>
    <cellStyle name="Comma 2 2 3 2 5 4 3 2" xfId="39400" xr:uid="{00000000-0005-0000-0000-000001170000}"/>
    <cellStyle name="Comma 2 2 3 2 5 4 4" xfId="27095" xr:uid="{00000000-0005-0000-0000-000002170000}"/>
    <cellStyle name="Comma 2 2 3 2 5 5" xfId="10262" xr:uid="{00000000-0005-0000-0000-000003170000}"/>
    <cellStyle name="Comma 2 2 3 2 5 5 2" xfId="30182" xr:uid="{00000000-0005-0000-0000-000004170000}"/>
    <cellStyle name="Comma 2 2 3 2 5 6" xfId="16414" xr:uid="{00000000-0005-0000-0000-000005170000}"/>
    <cellStyle name="Comma 2 2 3 2 5 6 2" xfId="36334" xr:uid="{00000000-0005-0000-0000-000006170000}"/>
    <cellStyle name="Comma 2 2 3 2 5 7" xfId="24029" xr:uid="{00000000-0005-0000-0000-000007170000}"/>
    <cellStyle name="Comma 2 2 3 3" xfId="1516" xr:uid="{00000000-0005-0000-0000-000008170000}"/>
    <cellStyle name="Comma 2 2 3 3 2" xfId="4728" xr:uid="{00000000-0005-0000-0000-000009170000}"/>
    <cellStyle name="Comma 2 2 3 3 2 2" xfId="6353" xr:uid="{00000000-0005-0000-0000-00000A170000}"/>
    <cellStyle name="Comma 2 2 3 3 2 2 2" xfId="9439" xr:uid="{00000000-0005-0000-0000-00000B170000}"/>
    <cellStyle name="Comma 2 2 3 3 2 2 2 2" xfId="15632" xr:uid="{00000000-0005-0000-0000-00000C170000}"/>
    <cellStyle name="Comma 2 2 3 3 2 2 2 2 2" xfId="35552" xr:uid="{00000000-0005-0000-0000-00000D170000}"/>
    <cellStyle name="Comma 2 2 3 3 2 2 2 3" xfId="21784" xr:uid="{00000000-0005-0000-0000-00000E170000}"/>
    <cellStyle name="Comma 2 2 3 3 2 2 2 3 2" xfId="41704" xr:uid="{00000000-0005-0000-0000-00000F170000}"/>
    <cellStyle name="Comma 2 2 3 3 2 2 2 4" xfId="29399" xr:uid="{00000000-0005-0000-0000-000010170000}"/>
    <cellStyle name="Comma 2 2 3 3 2 2 3" xfId="12566" xr:uid="{00000000-0005-0000-0000-000011170000}"/>
    <cellStyle name="Comma 2 2 3 3 2 2 3 2" xfId="32486" xr:uid="{00000000-0005-0000-0000-000012170000}"/>
    <cellStyle name="Comma 2 2 3 3 2 2 4" xfId="18718" xr:uid="{00000000-0005-0000-0000-000013170000}"/>
    <cellStyle name="Comma 2 2 3 3 2 2 4 2" xfId="38638" xr:uid="{00000000-0005-0000-0000-000014170000}"/>
    <cellStyle name="Comma 2 2 3 3 2 2 5" xfId="26333" xr:uid="{00000000-0005-0000-0000-000015170000}"/>
    <cellStyle name="Comma 2 2 3 3 2 3" xfId="7904" xr:uid="{00000000-0005-0000-0000-000016170000}"/>
    <cellStyle name="Comma 2 2 3 3 2 3 2" xfId="14098" xr:uid="{00000000-0005-0000-0000-000017170000}"/>
    <cellStyle name="Comma 2 2 3 3 2 3 2 2" xfId="34018" xr:uid="{00000000-0005-0000-0000-000018170000}"/>
    <cellStyle name="Comma 2 2 3 3 2 3 3" xfId="20250" xr:uid="{00000000-0005-0000-0000-000019170000}"/>
    <cellStyle name="Comma 2 2 3 3 2 3 3 2" xfId="40170" xr:uid="{00000000-0005-0000-0000-00001A170000}"/>
    <cellStyle name="Comma 2 2 3 3 2 3 4" xfId="27865" xr:uid="{00000000-0005-0000-0000-00001B170000}"/>
    <cellStyle name="Comma 2 2 3 3 2 4" xfId="11032" xr:uid="{00000000-0005-0000-0000-00001C170000}"/>
    <cellStyle name="Comma 2 2 3 3 2 4 2" xfId="30952" xr:uid="{00000000-0005-0000-0000-00001D170000}"/>
    <cellStyle name="Comma 2 2 3 3 2 5" xfId="17184" xr:uid="{00000000-0005-0000-0000-00001E170000}"/>
    <cellStyle name="Comma 2 2 3 3 2 5 2" xfId="37104" xr:uid="{00000000-0005-0000-0000-00001F170000}"/>
    <cellStyle name="Comma 2 2 3 3 2 6" xfId="24799" xr:uid="{00000000-0005-0000-0000-000020170000}"/>
    <cellStyle name="Comma 2 2 3 3 3" xfId="5567" xr:uid="{00000000-0005-0000-0000-000021170000}"/>
    <cellStyle name="Comma 2 2 3 3 3 2" xfId="8670" xr:uid="{00000000-0005-0000-0000-000022170000}"/>
    <cellStyle name="Comma 2 2 3 3 3 2 2" xfId="14863" xr:uid="{00000000-0005-0000-0000-000023170000}"/>
    <cellStyle name="Comma 2 2 3 3 3 2 2 2" xfId="34783" xr:uid="{00000000-0005-0000-0000-000024170000}"/>
    <cellStyle name="Comma 2 2 3 3 3 2 3" xfId="21015" xr:uid="{00000000-0005-0000-0000-000025170000}"/>
    <cellStyle name="Comma 2 2 3 3 3 2 3 2" xfId="40935" xr:uid="{00000000-0005-0000-0000-000026170000}"/>
    <cellStyle name="Comma 2 2 3 3 3 2 4" xfId="28630" xr:uid="{00000000-0005-0000-0000-000027170000}"/>
    <cellStyle name="Comma 2 2 3 3 3 3" xfId="11797" xr:uid="{00000000-0005-0000-0000-000028170000}"/>
    <cellStyle name="Comma 2 2 3 3 3 3 2" xfId="31717" xr:uid="{00000000-0005-0000-0000-000029170000}"/>
    <cellStyle name="Comma 2 2 3 3 3 4" xfId="17949" xr:uid="{00000000-0005-0000-0000-00002A170000}"/>
    <cellStyle name="Comma 2 2 3 3 3 4 2" xfId="37869" xr:uid="{00000000-0005-0000-0000-00002B170000}"/>
    <cellStyle name="Comma 2 2 3 3 3 5" xfId="25564" xr:uid="{00000000-0005-0000-0000-00002C170000}"/>
    <cellStyle name="Comma 2 2 3 3 4" xfId="7135" xr:uid="{00000000-0005-0000-0000-00002D170000}"/>
    <cellStyle name="Comma 2 2 3 3 4 2" xfId="13329" xr:uid="{00000000-0005-0000-0000-00002E170000}"/>
    <cellStyle name="Comma 2 2 3 3 4 2 2" xfId="33249" xr:uid="{00000000-0005-0000-0000-00002F170000}"/>
    <cellStyle name="Comma 2 2 3 3 4 3" xfId="19481" xr:uid="{00000000-0005-0000-0000-000030170000}"/>
    <cellStyle name="Comma 2 2 3 3 4 3 2" xfId="39401" xr:uid="{00000000-0005-0000-0000-000031170000}"/>
    <cellStyle name="Comma 2 2 3 3 4 4" xfId="27096" xr:uid="{00000000-0005-0000-0000-000032170000}"/>
    <cellStyle name="Comma 2 2 3 3 5" xfId="10263" xr:uid="{00000000-0005-0000-0000-000033170000}"/>
    <cellStyle name="Comma 2 2 3 3 5 2" xfId="30183" xr:uid="{00000000-0005-0000-0000-000034170000}"/>
    <cellStyle name="Comma 2 2 3 3 6" xfId="16415" xr:uid="{00000000-0005-0000-0000-000035170000}"/>
    <cellStyle name="Comma 2 2 3 3 6 2" xfId="36335" xr:uid="{00000000-0005-0000-0000-000036170000}"/>
    <cellStyle name="Comma 2 2 3 3 7" xfId="24030" xr:uid="{00000000-0005-0000-0000-000037170000}"/>
    <cellStyle name="Comma 2 2 3 4" xfId="1517" xr:uid="{00000000-0005-0000-0000-000038170000}"/>
    <cellStyle name="Comma 2 2 3 4 2" xfId="1518" xr:uid="{00000000-0005-0000-0000-000039170000}"/>
    <cellStyle name="Comma 2 2 3 5" xfId="1519" xr:uid="{00000000-0005-0000-0000-00003A170000}"/>
    <cellStyle name="Comma 2 2 3 5 2" xfId="1520" xr:uid="{00000000-0005-0000-0000-00003B170000}"/>
    <cellStyle name="Comma 2 2 3 6" xfId="4723" xr:uid="{00000000-0005-0000-0000-00003C170000}"/>
    <cellStyle name="Comma 2 2 3 6 2" xfId="6348" xr:uid="{00000000-0005-0000-0000-00003D170000}"/>
    <cellStyle name="Comma 2 2 3 6 2 2" xfId="9434" xr:uid="{00000000-0005-0000-0000-00003E170000}"/>
    <cellStyle name="Comma 2 2 3 6 2 2 2" xfId="15627" xr:uid="{00000000-0005-0000-0000-00003F170000}"/>
    <cellStyle name="Comma 2 2 3 6 2 2 2 2" xfId="35547" xr:uid="{00000000-0005-0000-0000-000040170000}"/>
    <cellStyle name="Comma 2 2 3 6 2 2 3" xfId="21779" xr:uid="{00000000-0005-0000-0000-000041170000}"/>
    <cellStyle name="Comma 2 2 3 6 2 2 3 2" xfId="41699" xr:uid="{00000000-0005-0000-0000-000042170000}"/>
    <cellStyle name="Comma 2 2 3 6 2 2 4" xfId="29394" xr:uid="{00000000-0005-0000-0000-000043170000}"/>
    <cellStyle name="Comma 2 2 3 6 2 3" xfId="12561" xr:uid="{00000000-0005-0000-0000-000044170000}"/>
    <cellStyle name="Comma 2 2 3 6 2 3 2" xfId="32481" xr:uid="{00000000-0005-0000-0000-000045170000}"/>
    <cellStyle name="Comma 2 2 3 6 2 4" xfId="18713" xr:uid="{00000000-0005-0000-0000-000046170000}"/>
    <cellStyle name="Comma 2 2 3 6 2 4 2" xfId="38633" xr:uid="{00000000-0005-0000-0000-000047170000}"/>
    <cellStyle name="Comma 2 2 3 6 2 5" xfId="26328" xr:uid="{00000000-0005-0000-0000-000048170000}"/>
    <cellStyle name="Comma 2 2 3 6 3" xfId="7899" xr:uid="{00000000-0005-0000-0000-000049170000}"/>
    <cellStyle name="Comma 2 2 3 6 3 2" xfId="14093" xr:uid="{00000000-0005-0000-0000-00004A170000}"/>
    <cellStyle name="Comma 2 2 3 6 3 2 2" xfId="34013" xr:uid="{00000000-0005-0000-0000-00004B170000}"/>
    <cellStyle name="Comma 2 2 3 6 3 3" xfId="20245" xr:uid="{00000000-0005-0000-0000-00004C170000}"/>
    <cellStyle name="Comma 2 2 3 6 3 3 2" xfId="40165" xr:uid="{00000000-0005-0000-0000-00004D170000}"/>
    <cellStyle name="Comma 2 2 3 6 3 4" xfId="27860" xr:uid="{00000000-0005-0000-0000-00004E170000}"/>
    <cellStyle name="Comma 2 2 3 6 4" xfId="11027" xr:uid="{00000000-0005-0000-0000-00004F170000}"/>
    <cellStyle name="Comma 2 2 3 6 4 2" xfId="30947" xr:uid="{00000000-0005-0000-0000-000050170000}"/>
    <cellStyle name="Comma 2 2 3 6 5" xfId="17179" xr:uid="{00000000-0005-0000-0000-000051170000}"/>
    <cellStyle name="Comma 2 2 3 6 5 2" xfId="37099" xr:uid="{00000000-0005-0000-0000-000052170000}"/>
    <cellStyle name="Comma 2 2 3 6 6" xfId="24794" xr:uid="{00000000-0005-0000-0000-000053170000}"/>
    <cellStyle name="Comma 2 2 3 7" xfId="5562" xr:uid="{00000000-0005-0000-0000-000054170000}"/>
    <cellStyle name="Comma 2 2 3 7 2" xfId="8665" xr:uid="{00000000-0005-0000-0000-000055170000}"/>
    <cellStyle name="Comma 2 2 3 7 2 2" xfId="14858" xr:uid="{00000000-0005-0000-0000-000056170000}"/>
    <cellStyle name="Comma 2 2 3 7 2 2 2" xfId="34778" xr:uid="{00000000-0005-0000-0000-000057170000}"/>
    <cellStyle name="Comma 2 2 3 7 2 3" xfId="21010" xr:uid="{00000000-0005-0000-0000-000058170000}"/>
    <cellStyle name="Comma 2 2 3 7 2 3 2" xfId="40930" xr:uid="{00000000-0005-0000-0000-000059170000}"/>
    <cellStyle name="Comma 2 2 3 7 2 4" xfId="28625" xr:uid="{00000000-0005-0000-0000-00005A170000}"/>
    <cellStyle name="Comma 2 2 3 7 3" xfId="11792" xr:uid="{00000000-0005-0000-0000-00005B170000}"/>
    <cellStyle name="Comma 2 2 3 7 3 2" xfId="31712" xr:uid="{00000000-0005-0000-0000-00005C170000}"/>
    <cellStyle name="Comma 2 2 3 7 4" xfId="17944" xr:uid="{00000000-0005-0000-0000-00005D170000}"/>
    <cellStyle name="Comma 2 2 3 7 4 2" xfId="37864" xr:uid="{00000000-0005-0000-0000-00005E170000}"/>
    <cellStyle name="Comma 2 2 3 7 5" xfId="25559" xr:uid="{00000000-0005-0000-0000-00005F170000}"/>
    <cellStyle name="Comma 2 2 3 8" xfId="7130" xr:uid="{00000000-0005-0000-0000-000060170000}"/>
    <cellStyle name="Comma 2 2 3 8 2" xfId="13324" xr:uid="{00000000-0005-0000-0000-000061170000}"/>
    <cellStyle name="Comma 2 2 3 8 2 2" xfId="33244" xr:uid="{00000000-0005-0000-0000-000062170000}"/>
    <cellStyle name="Comma 2 2 3 8 3" xfId="19476" xr:uid="{00000000-0005-0000-0000-000063170000}"/>
    <cellStyle name="Comma 2 2 3 8 3 2" xfId="39396" xr:uid="{00000000-0005-0000-0000-000064170000}"/>
    <cellStyle name="Comma 2 2 3 8 4" xfId="27091" xr:uid="{00000000-0005-0000-0000-000065170000}"/>
    <cellStyle name="Comma 2 2 3 9" xfId="10258" xr:uid="{00000000-0005-0000-0000-000066170000}"/>
    <cellStyle name="Comma 2 2 3 9 2" xfId="30178" xr:uid="{00000000-0005-0000-0000-000067170000}"/>
    <cellStyle name="Comma 2 2 4" xfId="1521" xr:uid="{00000000-0005-0000-0000-000068170000}"/>
    <cellStyle name="Comma 2 2 4 2" xfId="1522" xr:uid="{00000000-0005-0000-0000-000069170000}"/>
    <cellStyle name="Comma 2 2 4 2 2" xfId="4729" xr:uid="{00000000-0005-0000-0000-00006A170000}"/>
    <cellStyle name="Comma 2 2 4 2 2 2" xfId="6354" xr:uid="{00000000-0005-0000-0000-00006B170000}"/>
    <cellStyle name="Comma 2 2 4 2 2 2 2" xfId="9440" xr:uid="{00000000-0005-0000-0000-00006C170000}"/>
    <cellStyle name="Comma 2 2 4 2 2 2 2 2" xfId="15633" xr:uid="{00000000-0005-0000-0000-00006D170000}"/>
    <cellStyle name="Comma 2 2 4 2 2 2 2 2 2" xfId="35553" xr:uid="{00000000-0005-0000-0000-00006E170000}"/>
    <cellStyle name="Comma 2 2 4 2 2 2 2 3" xfId="21785" xr:uid="{00000000-0005-0000-0000-00006F170000}"/>
    <cellStyle name="Comma 2 2 4 2 2 2 2 3 2" xfId="41705" xr:uid="{00000000-0005-0000-0000-000070170000}"/>
    <cellStyle name="Comma 2 2 4 2 2 2 2 4" xfId="29400" xr:uid="{00000000-0005-0000-0000-000071170000}"/>
    <cellStyle name="Comma 2 2 4 2 2 2 3" xfId="12567" xr:uid="{00000000-0005-0000-0000-000072170000}"/>
    <cellStyle name="Comma 2 2 4 2 2 2 3 2" xfId="32487" xr:uid="{00000000-0005-0000-0000-000073170000}"/>
    <cellStyle name="Comma 2 2 4 2 2 2 4" xfId="18719" xr:uid="{00000000-0005-0000-0000-000074170000}"/>
    <cellStyle name="Comma 2 2 4 2 2 2 4 2" xfId="38639" xr:uid="{00000000-0005-0000-0000-000075170000}"/>
    <cellStyle name="Comma 2 2 4 2 2 2 5" xfId="26334" xr:uid="{00000000-0005-0000-0000-000076170000}"/>
    <cellStyle name="Comma 2 2 4 2 2 3" xfId="7905" xr:uid="{00000000-0005-0000-0000-000077170000}"/>
    <cellStyle name="Comma 2 2 4 2 2 3 2" xfId="14099" xr:uid="{00000000-0005-0000-0000-000078170000}"/>
    <cellStyle name="Comma 2 2 4 2 2 3 2 2" xfId="34019" xr:uid="{00000000-0005-0000-0000-000079170000}"/>
    <cellStyle name="Comma 2 2 4 2 2 3 3" xfId="20251" xr:uid="{00000000-0005-0000-0000-00007A170000}"/>
    <cellStyle name="Comma 2 2 4 2 2 3 3 2" xfId="40171" xr:uid="{00000000-0005-0000-0000-00007B170000}"/>
    <cellStyle name="Comma 2 2 4 2 2 3 4" xfId="27866" xr:uid="{00000000-0005-0000-0000-00007C170000}"/>
    <cellStyle name="Comma 2 2 4 2 2 4" xfId="11033" xr:uid="{00000000-0005-0000-0000-00007D170000}"/>
    <cellStyle name="Comma 2 2 4 2 2 4 2" xfId="30953" xr:uid="{00000000-0005-0000-0000-00007E170000}"/>
    <cellStyle name="Comma 2 2 4 2 2 5" xfId="17185" xr:uid="{00000000-0005-0000-0000-00007F170000}"/>
    <cellStyle name="Comma 2 2 4 2 2 5 2" xfId="37105" xr:uid="{00000000-0005-0000-0000-000080170000}"/>
    <cellStyle name="Comma 2 2 4 2 2 6" xfId="24800" xr:uid="{00000000-0005-0000-0000-000081170000}"/>
    <cellStyle name="Comma 2 2 4 2 3" xfId="5568" xr:uid="{00000000-0005-0000-0000-000082170000}"/>
    <cellStyle name="Comma 2 2 4 2 3 2" xfId="8671" xr:uid="{00000000-0005-0000-0000-000083170000}"/>
    <cellStyle name="Comma 2 2 4 2 3 2 2" xfId="14864" xr:uid="{00000000-0005-0000-0000-000084170000}"/>
    <cellStyle name="Comma 2 2 4 2 3 2 2 2" xfId="34784" xr:uid="{00000000-0005-0000-0000-000085170000}"/>
    <cellStyle name="Comma 2 2 4 2 3 2 3" xfId="21016" xr:uid="{00000000-0005-0000-0000-000086170000}"/>
    <cellStyle name="Comma 2 2 4 2 3 2 3 2" xfId="40936" xr:uid="{00000000-0005-0000-0000-000087170000}"/>
    <cellStyle name="Comma 2 2 4 2 3 2 4" xfId="28631" xr:uid="{00000000-0005-0000-0000-000088170000}"/>
    <cellStyle name="Comma 2 2 4 2 3 3" xfId="11798" xr:uid="{00000000-0005-0000-0000-000089170000}"/>
    <cellStyle name="Comma 2 2 4 2 3 3 2" xfId="31718" xr:uid="{00000000-0005-0000-0000-00008A170000}"/>
    <cellStyle name="Comma 2 2 4 2 3 4" xfId="17950" xr:uid="{00000000-0005-0000-0000-00008B170000}"/>
    <cellStyle name="Comma 2 2 4 2 3 4 2" xfId="37870" xr:uid="{00000000-0005-0000-0000-00008C170000}"/>
    <cellStyle name="Comma 2 2 4 2 3 5" xfId="25565" xr:uid="{00000000-0005-0000-0000-00008D170000}"/>
    <cellStyle name="Comma 2 2 4 2 4" xfId="7136" xr:uid="{00000000-0005-0000-0000-00008E170000}"/>
    <cellStyle name="Comma 2 2 4 2 4 2" xfId="13330" xr:uid="{00000000-0005-0000-0000-00008F170000}"/>
    <cellStyle name="Comma 2 2 4 2 4 2 2" xfId="33250" xr:uid="{00000000-0005-0000-0000-000090170000}"/>
    <cellStyle name="Comma 2 2 4 2 4 3" xfId="19482" xr:uid="{00000000-0005-0000-0000-000091170000}"/>
    <cellStyle name="Comma 2 2 4 2 4 3 2" xfId="39402" xr:uid="{00000000-0005-0000-0000-000092170000}"/>
    <cellStyle name="Comma 2 2 4 2 4 4" xfId="27097" xr:uid="{00000000-0005-0000-0000-000093170000}"/>
    <cellStyle name="Comma 2 2 4 2 5" xfId="10264" xr:uid="{00000000-0005-0000-0000-000094170000}"/>
    <cellStyle name="Comma 2 2 4 2 5 2" xfId="30184" xr:uid="{00000000-0005-0000-0000-000095170000}"/>
    <cellStyle name="Comma 2 2 4 2 6" xfId="16416" xr:uid="{00000000-0005-0000-0000-000096170000}"/>
    <cellStyle name="Comma 2 2 4 2 6 2" xfId="36336" xr:uid="{00000000-0005-0000-0000-000097170000}"/>
    <cellStyle name="Comma 2 2 4 2 7" xfId="24031" xr:uid="{00000000-0005-0000-0000-000098170000}"/>
    <cellStyle name="Comma 2 2 4 3" xfId="1523" xr:uid="{00000000-0005-0000-0000-000099170000}"/>
    <cellStyle name="Comma 2 2 4 4" xfId="1524" xr:uid="{00000000-0005-0000-0000-00009A170000}"/>
    <cellStyle name="Comma 2 2 5" xfId="1525" xr:uid="{00000000-0005-0000-0000-00009B170000}"/>
    <cellStyle name="Comma 2 2 5 2" xfId="4730" xr:uid="{00000000-0005-0000-0000-00009C170000}"/>
    <cellStyle name="Comma 2 2 5 2 2" xfId="6355" xr:uid="{00000000-0005-0000-0000-00009D170000}"/>
    <cellStyle name="Comma 2 2 5 2 2 2" xfId="9441" xr:uid="{00000000-0005-0000-0000-00009E170000}"/>
    <cellStyle name="Comma 2 2 5 2 2 2 2" xfId="15634" xr:uid="{00000000-0005-0000-0000-00009F170000}"/>
    <cellStyle name="Comma 2 2 5 2 2 2 2 2" xfId="35554" xr:uid="{00000000-0005-0000-0000-0000A0170000}"/>
    <cellStyle name="Comma 2 2 5 2 2 2 3" xfId="21786" xr:uid="{00000000-0005-0000-0000-0000A1170000}"/>
    <cellStyle name="Comma 2 2 5 2 2 2 3 2" xfId="41706" xr:uid="{00000000-0005-0000-0000-0000A2170000}"/>
    <cellStyle name="Comma 2 2 5 2 2 2 4" xfId="29401" xr:uid="{00000000-0005-0000-0000-0000A3170000}"/>
    <cellStyle name="Comma 2 2 5 2 2 3" xfId="12568" xr:uid="{00000000-0005-0000-0000-0000A4170000}"/>
    <cellStyle name="Comma 2 2 5 2 2 3 2" xfId="32488" xr:uid="{00000000-0005-0000-0000-0000A5170000}"/>
    <cellStyle name="Comma 2 2 5 2 2 4" xfId="18720" xr:uid="{00000000-0005-0000-0000-0000A6170000}"/>
    <cellStyle name="Comma 2 2 5 2 2 4 2" xfId="38640" xr:uid="{00000000-0005-0000-0000-0000A7170000}"/>
    <cellStyle name="Comma 2 2 5 2 2 5" xfId="26335" xr:uid="{00000000-0005-0000-0000-0000A8170000}"/>
    <cellStyle name="Comma 2 2 5 2 3" xfId="7906" xr:uid="{00000000-0005-0000-0000-0000A9170000}"/>
    <cellStyle name="Comma 2 2 5 2 3 2" xfId="14100" xr:uid="{00000000-0005-0000-0000-0000AA170000}"/>
    <cellStyle name="Comma 2 2 5 2 3 2 2" xfId="34020" xr:uid="{00000000-0005-0000-0000-0000AB170000}"/>
    <cellStyle name="Comma 2 2 5 2 3 3" xfId="20252" xr:uid="{00000000-0005-0000-0000-0000AC170000}"/>
    <cellStyle name="Comma 2 2 5 2 3 3 2" xfId="40172" xr:uid="{00000000-0005-0000-0000-0000AD170000}"/>
    <cellStyle name="Comma 2 2 5 2 3 4" xfId="27867" xr:uid="{00000000-0005-0000-0000-0000AE170000}"/>
    <cellStyle name="Comma 2 2 5 2 4" xfId="11034" xr:uid="{00000000-0005-0000-0000-0000AF170000}"/>
    <cellStyle name="Comma 2 2 5 2 4 2" xfId="30954" xr:uid="{00000000-0005-0000-0000-0000B0170000}"/>
    <cellStyle name="Comma 2 2 5 2 5" xfId="17186" xr:uid="{00000000-0005-0000-0000-0000B1170000}"/>
    <cellStyle name="Comma 2 2 5 2 5 2" xfId="37106" xr:uid="{00000000-0005-0000-0000-0000B2170000}"/>
    <cellStyle name="Comma 2 2 5 2 6" xfId="24801" xr:uid="{00000000-0005-0000-0000-0000B3170000}"/>
    <cellStyle name="Comma 2 2 5 3" xfId="5569" xr:uid="{00000000-0005-0000-0000-0000B4170000}"/>
    <cellStyle name="Comma 2 2 5 3 2" xfId="8672" xr:uid="{00000000-0005-0000-0000-0000B5170000}"/>
    <cellStyle name="Comma 2 2 5 3 2 2" xfId="14865" xr:uid="{00000000-0005-0000-0000-0000B6170000}"/>
    <cellStyle name="Comma 2 2 5 3 2 2 2" xfId="34785" xr:uid="{00000000-0005-0000-0000-0000B7170000}"/>
    <cellStyle name="Comma 2 2 5 3 2 3" xfId="21017" xr:uid="{00000000-0005-0000-0000-0000B8170000}"/>
    <cellStyle name="Comma 2 2 5 3 2 3 2" xfId="40937" xr:uid="{00000000-0005-0000-0000-0000B9170000}"/>
    <cellStyle name="Comma 2 2 5 3 2 4" xfId="28632" xr:uid="{00000000-0005-0000-0000-0000BA170000}"/>
    <cellStyle name="Comma 2 2 5 3 3" xfId="11799" xr:uid="{00000000-0005-0000-0000-0000BB170000}"/>
    <cellStyle name="Comma 2 2 5 3 3 2" xfId="31719" xr:uid="{00000000-0005-0000-0000-0000BC170000}"/>
    <cellStyle name="Comma 2 2 5 3 4" xfId="17951" xr:uid="{00000000-0005-0000-0000-0000BD170000}"/>
    <cellStyle name="Comma 2 2 5 3 4 2" xfId="37871" xr:uid="{00000000-0005-0000-0000-0000BE170000}"/>
    <cellStyle name="Comma 2 2 5 3 5" xfId="25566" xr:uid="{00000000-0005-0000-0000-0000BF170000}"/>
    <cellStyle name="Comma 2 2 5 4" xfId="7137" xr:uid="{00000000-0005-0000-0000-0000C0170000}"/>
    <cellStyle name="Comma 2 2 5 4 2" xfId="13331" xr:uid="{00000000-0005-0000-0000-0000C1170000}"/>
    <cellStyle name="Comma 2 2 5 4 2 2" xfId="33251" xr:uid="{00000000-0005-0000-0000-0000C2170000}"/>
    <cellStyle name="Comma 2 2 5 4 3" xfId="19483" xr:uid="{00000000-0005-0000-0000-0000C3170000}"/>
    <cellStyle name="Comma 2 2 5 4 3 2" xfId="39403" xr:uid="{00000000-0005-0000-0000-0000C4170000}"/>
    <cellStyle name="Comma 2 2 5 4 4" xfId="27098" xr:uid="{00000000-0005-0000-0000-0000C5170000}"/>
    <cellStyle name="Comma 2 2 5 5" xfId="10265" xr:uid="{00000000-0005-0000-0000-0000C6170000}"/>
    <cellStyle name="Comma 2 2 5 5 2" xfId="30185" xr:uid="{00000000-0005-0000-0000-0000C7170000}"/>
    <cellStyle name="Comma 2 2 5 6" xfId="16417" xr:uid="{00000000-0005-0000-0000-0000C8170000}"/>
    <cellStyle name="Comma 2 2 5 6 2" xfId="36337" xr:uid="{00000000-0005-0000-0000-0000C9170000}"/>
    <cellStyle name="Comma 2 2 5 7" xfId="24032" xr:uid="{00000000-0005-0000-0000-0000CA170000}"/>
    <cellStyle name="Comma 2 2 6" xfId="1526" xr:uid="{00000000-0005-0000-0000-0000CB170000}"/>
    <cellStyle name="Comma 2 2 6 2" xfId="4731" xr:uid="{00000000-0005-0000-0000-0000CC170000}"/>
    <cellStyle name="Comma 2 2 6 2 2" xfId="6356" xr:uid="{00000000-0005-0000-0000-0000CD170000}"/>
    <cellStyle name="Comma 2 2 6 2 2 2" xfId="9442" xr:uid="{00000000-0005-0000-0000-0000CE170000}"/>
    <cellStyle name="Comma 2 2 6 2 2 2 2" xfId="15635" xr:uid="{00000000-0005-0000-0000-0000CF170000}"/>
    <cellStyle name="Comma 2 2 6 2 2 2 2 2" xfId="35555" xr:uid="{00000000-0005-0000-0000-0000D0170000}"/>
    <cellStyle name="Comma 2 2 6 2 2 2 3" xfId="21787" xr:uid="{00000000-0005-0000-0000-0000D1170000}"/>
    <cellStyle name="Comma 2 2 6 2 2 2 3 2" xfId="41707" xr:uid="{00000000-0005-0000-0000-0000D2170000}"/>
    <cellStyle name="Comma 2 2 6 2 2 2 4" xfId="29402" xr:uid="{00000000-0005-0000-0000-0000D3170000}"/>
    <cellStyle name="Comma 2 2 6 2 2 3" xfId="12569" xr:uid="{00000000-0005-0000-0000-0000D4170000}"/>
    <cellStyle name="Comma 2 2 6 2 2 3 2" xfId="32489" xr:uid="{00000000-0005-0000-0000-0000D5170000}"/>
    <cellStyle name="Comma 2 2 6 2 2 4" xfId="18721" xr:uid="{00000000-0005-0000-0000-0000D6170000}"/>
    <cellStyle name="Comma 2 2 6 2 2 4 2" xfId="38641" xr:uid="{00000000-0005-0000-0000-0000D7170000}"/>
    <cellStyle name="Comma 2 2 6 2 2 5" xfId="26336" xr:uid="{00000000-0005-0000-0000-0000D8170000}"/>
    <cellStyle name="Comma 2 2 6 2 3" xfId="7907" xr:uid="{00000000-0005-0000-0000-0000D9170000}"/>
    <cellStyle name="Comma 2 2 6 2 3 2" xfId="14101" xr:uid="{00000000-0005-0000-0000-0000DA170000}"/>
    <cellStyle name="Comma 2 2 6 2 3 2 2" xfId="34021" xr:uid="{00000000-0005-0000-0000-0000DB170000}"/>
    <cellStyle name="Comma 2 2 6 2 3 3" xfId="20253" xr:uid="{00000000-0005-0000-0000-0000DC170000}"/>
    <cellStyle name="Comma 2 2 6 2 3 3 2" xfId="40173" xr:uid="{00000000-0005-0000-0000-0000DD170000}"/>
    <cellStyle name="Comma 2 2 6 2 3 4" xfId="27868" xr:uid="{00000000-0005-0000-0000-0000DE170000}"/>
    <cellStyle name="Comma 2 2 6 2 4" xfId="11035" xr:uid="{00000000-0005-0000-0000-0000DF170000}"/>
    <cellStyle name="Comma 2 2 6 2 4 2" xfId="30955" xr:uid="{00000000-0005-0000-0000-0000E0170000}"/>
    <cellStyle name="Comma 2 2 6 2 5" xfId="17187" xr:uid="{00000000-0005-0000-0000-0000E1170000}"/>
    <cellStyle name="Comma 2 2 6 2 5 2" xfId="37107" xr:uid="{00000000-0005-0000-0000-0000E2170000}"/>
    <cellStyle name="Comma 2 2 6 2 6" xfId="24802" xr:uid="{00000000-0005-0000-0000-0000E3170000}"/>
    <cellStyle name="Comma 2 2 6 3" xfId="5570" xr:uid="{00000000-0005-0000-0000-0000E4170000}"/>
    <cellStyle name="Comma 2 2 6 3 2" xfId="8673" xr:uid="{00000000-0005-0000-0000-0000E5170000}"/>
    <cellStyle name="Comma 2 2 6 3 2 2" xfId="14866" xr:uid="{00000000-0005-0000-0000-0000E6170000}"/>
    <cellStyle name="Comma 2 2 6 3 2 2 2" xfId="34786" xr:uid="{00000000-0005-0000-0000-0000E7170000}"/>
    <cellStyle name="Comma 2 2 6 3 2 3" xfId="21018" xr:uid="{00000000-0005-0000-0000-0000E8170000}"/>
    <cellStyle name="Comma 2 2 6 3 2 3 2" xfId="40938" xr:uid="{00000000-0005-0000-0000-0000E9170000}"/>
    <cellStyle name="Comma 2 2 6 3 2 4" xfId="28633" xr:uid="{00000000-0005-0000-0000-0000EA170000}"/>
    <cellStyle name="Comma 2 2 6 3 3" xfId="11800" xr:uid="{00000000-0005-0000-0000-0000EB170000}"/>
    <cellStyle name="Comma 2 2 6 3 3 2" xfId="31720" xr:uid="{00000000-0005-0000-0000-0000EC170000}"/>
    <cellStyle name="Comma 2 2 6 3 4" xfId="17952" xr:uid="{00000000-0005-0000-0000-0000ED170000}"/>
    <cellStyle name="Comma 2 2 6 3 4 2" xfId="37872" xr:uid="{00000000-0005-0000-0000-0000EE170000}"/>
    <cellStyle name="Comma 2 2 6 3 5" xfId="25567" xr:uid="{00000000-0005-0000-0000-0000EF170000}"/>
    <cellStyle name="Comma 2 2 6 4" xfId="7138" xr:uid="{00000000-0005-0000-0000-0000F0170000}"/>
    <cellStyle name="Comma 2 2 6 4 2" xfId="13332" xr:uid="{00000000-0005-0000-0000-0000F1170000}"/>
    <cellStyle name="Comma 2 2 6 4 2 2" xfId="33252" xr:uid="{00000000-0005-0000-0000-0000F2170000}"/>
    <cellStyle name="Comma 2 2 6 4 3" xfId="19484" xr:uid="{00000000-0005-0000-0000-0000F3170000}"/>
    <cellStyle name="Comma 2 2 6 4 3 2" xfId="39404" xr:uid="{00000000-0005-0000-0000-0000F4170000}"/>
    <cellStyle name="Comma 2 2 6 4 4" xfId="27099" xr:uid="{00000000-0005-0000-0000-0000F5170000}"/>
    <cellStyle name="Comma 2 2 6 5" xfId="10266" xr:uid="{00000000-0005-0000-0000-0000F6170000}"/>
    <cellStyle name="Comma 2 2 6 5 2" xfId="30186" xr:uid="{00000000-0005-0000-0000-0000F7170000}"/>
    <cellStyle name="Comma 2 2 6 6" xfId="16418" xr:uid="{00000000-0005-0000-0000-0000F8170000}"/>
    <cellStyle name="Comma 2 2 6 6 2" xfId="36338" xr:uid="{00000000-0005-0000-0000-0000F9170000}"/>
    <cellStyle name="Comma 2 2 6 7" xfId="24033" xr:uid="{00000000-0005-0000-0000-0000FA170000}"/>
    <cellStyle name="Comma 2 2 7" xfId="1527" xr:uid="{00000000-0005-0000-0000-0000FB170000}"/>
    <cellStyle name="Comma 2 2 7 2" xfId="4732" xr:uid="{00000000-0005-0000-0000-0000FC170000}"/>
    <cellStyle name="Comma 2 2 7 2 2" xfId="6357" xr:uid="{00000000-0005-0000-0000-0000FD170000}"/>
    <cellStyle name="Comma 2 2 7 2 2 2" xfId="9443" xr:uid="{00000000-0005-0000-0000-0000FE170000}"/>
    <cellStyle name="Comma 2 2 7 2 2 2 2" xfId="15636" xr:uid="{00000000-0005-0000-0000-0000FF170000}"/>
    <cellStyle name="Comma 2 2 7 2 2 2 2 2" xfId="35556" xr:uid="{00000000-0005-0000-0000-000000180000}"/>
    <cellStyle name="Comma 2 2 7 2 2 2 3" xfId="21788" xr:uid="{00000000-0005-0000-0000-000001180000}"/>
    <cellStyle name="Comma 2 2 7 2 2 2 3 2" xfId="41708" xr:uid="{00000000-0005-0000-0000-000002180000}"/>
    <cellStyle name="Comma 2 2 7 2 2 2 4" xfId="29403" xr:uid="{00000000-0005-0000-0000-000003180000}"/>
    <cellStyle name="Comma 2 2 7 2 2 3" xfId="12570" xr:uid="{00000000-0005-0000-0000-000004180000}"/>
    <cellStyle name="Comma 2 2 7 2 2 3 2" xfId="32490" xr:uid="{00000000-0005-0000-0000-000005180000}"/>
    <cellStyle name="Comma 2 2 7 2 2 4" xfId="18722" xr:uid="{00000000-0005-0000-0000-000006180000}"/>
    <cellStyle name="Comma 2 2 7 2 2 4 2" xfId="38642" xr:uid="{00000000-0005-0000-0000-000007180000}"/>
    <cellStyle name="Comma 2 2 7 2 2 5" xfId="26337" xr:uid="{00000000-0005-0000-0000-000008180000}"/>
    <cellStyle name="Comma 2 2 7 2 3" xfId="7908" xr:uid="{00000000-0005-0000-0000-000009180000}"/>
    <cellStyle name="Comma 2 2 7 2 3 2" xfId="14102" xr:uid="{00000000-0005-0000-0000-00000A180000}"/>
    <cellStyle name="Comma 2 2 7 2 3 2 2" xfId="34022" xr:uid="{00000000-0005-0000-0000-00000B180000}"/>
    <cellStyle name="Comma 2 2 7 2 3 3" xfId="20254" xr:uid="{00000000-0005-0000-0000-00000C180000}"/>
    <cellStyle name="Comma 2 2 7 2 3 3 2" xfId="40174" xr:uid="{00000000-0005-0000-0000-00000D180000}"/>
    <cellStyle name="Comma 2 2 7 2 3 4" xfId="27869" xr:uid="{00000000-0005-0000-0000-00000E180000}"/>
    <cellStyle name="Comma 2 2 7 2 4" xfId="11036" xr:uid="{00000000-0005-0000-0000-00000F180000}"/>
    <cellStyle name="Comma 2 2 7 2 4 2" xfId="30956" xr:uid="{00000000-0005-0000-0000-000010180000}"/>
    <cellStyle name="Comma 2 2 7 2 5" xfId="17188" xr:uid="{00000000-0005-0000-0000-000011180000}"/>
    <cellStyle name="Comma 2 2 7 2 5 2" xfId="37108" xr:uid="{00000000-0005-0000-0000-000012180000}"/>
    <cellStyle name="Comma 2 2 7 2 6" xfId="24803" xr:uid="{00000000-0005-0000-0000-000013180000}"/>
    <cellStyle name="Comma 2 2 7 3" xfId="5571" xr:uid="{00000000-0005-0000-0000-000014180000}"/>
    <cellStyle name="Comma 2 2 7 3 2" xfId="8674" xr:uid="{00000000-0005-0000-0000-000015180000}"/>
    <cellStyle name="Comma 2 2 7 3 2 2" xfId="14867" xr:uid="{00000000-0005-0000-0000-000016180000}"/>
    <cellStyle name="Comma 2 2 7 3 2 2 2" xfId="34787" xr:uid="{00000000-0005-0000-0000-000017180000}"/>
    <cellStyle name="Comma 2 2 7 3 2 3" xfId="21019" xr:uid="{00000000-0005-0000-0000-000018180000}"/>
    <cellStyle name="Comma 2 2 7 3 2 3 2" xfId="40939" xr:uid="{00000000-0005-0000-0000-000019180000}"/>
    <cellStyle name="Comma 2 2 7 3 2 4" xfId="28634" xr:uid="{00000000-0005-0000-0000-00001A180000}"/>
    <cellStyle name="Comma 2 2 7 3 3" xfId="11801" xr:uid="{00000000-0005-0000-0000-00001B180000}"/>
    <cellStyle name="Comma 2 2 7 3 3 2" xfId="31721" xr:uid="{00000000-0005-0000-0000-00001C180000}"/>
    <cellStyle name="Comma 2 2 7 3 4" xfId="17953" xr:uid="{00000000-0005-0000-0000-00001D180000}"/>
    <cellStyle name="Comma 2 2 7 3 4 2" xfId="37873" xr:uid="{00000000-0005-0000-0000-00001E180000}"/>
    <cellStyle name="Comma 2 2 7 3 5" xfId="25568" xr:uid="{00000000-0005-0000-0000-00001F180000}"/>
    <cellStyle name="Comma 2 2 7 4" xfId="7139" xr:uid="{00000000-0005-0000-0000-000020180000}"/>
    <cellStyle name="Comma 2 2 7 4 2" xfId="13333" xr:uid="{00000000-0005-0000-0000-000021180000}"/>
    <cellStyle name="Comma 2 2 7 4 2 2" xfId="33253" xr:uid="{00000000-0005-0000-0000-000022180000}"/>
    <cellStyle name="Comma 2 2 7 4 3" xfId="19485" xr:uid="{00000000-0005-0000-0000-000023180000}"/>
    <cellStyle name="Comma 2 2 7 4 3 2" xfId="39405" xr:uid="{00000000-0005-0000-0000-000024180000}"/>
    <cellStyle name="Comma 2 2 7 4 4" xfId="27100" xr:uid="{00000000-0005-0000-0000-000025180000}"/>
    <cellStyle name="Comma 2 2 7 5" xfId="10267" xr:uid="{00000000-0005-0000-0000-000026180000}"/>
    <cellStyle name="Comma 2 2 7 5 2" xfId="30187" xr:uid="{00000000-0005-0000-0000-000027180000}"/>
    <cellStyle name="Comma 2 2 7 6" xfId="16419" xr:uid="{00000000-0005-0000-0000-000028180000}"/>
    <cellStyle name="Comma 2 2 7 6 2" xfId="36339" xr:uid="{00000000-0005-0000-0000-000029180000}"/>
    <cellStyle name="Comma 2 2 7 7" xfId="24034" xr:uid="{00000000-0005-0000-0000-00002A180000}"/>
    <cellStyle name="Comma 2 2 8" xfId="1528" xr:uid="{00000000-0005-0000-0000-00002B180000}"/>
    <cellStyle name="Comma 2 2 8 2" xfId="4733" xr:uid="{00000000-0005-0000-0000-00002C180000}"/>
    <cellStyle name="Comma 2 2 8 2 2" xfId="6358" xr:uid="{00000000-0005-0000-0000-00002D180000}"/>
    <cellStyle name="Comma 2 2 8 2 2 2" xfId="9444" xr:uid="{00000000-0005-0000-0000-00002E180000}"/>
    <cellStyle name="Comma 2 2 8 2 2 2 2" xfId="15637" xr:uid="{00000000-0005-0000-0000-00002F180000}"/>
    <cellStyle name="Comma 2 2 8 2 2 2 2 2" xfId="35557" xr:uid="{00000000-0005-0000-0000-000030180000}"/>
    <cellStyle name="Comma 2 2 8 2 2 2 3" xfId="21789" xr:uid="{00000000-0005-0000-0000-000031180000}"/>
    <cellStyle name="Comma 2 2 8 2 2 2 3 2" xfId="41709" xr:uid="{00000000-0005-0000-0000-000032180000}"/>
    <cellStyle name="Comma 2 2 8 2 2 2 4" xfId="29404" xr:uid="{00000000-0005-0000-0000-000033180000}"/>
    <cellStyle name="Comma 2 2 8 2 2 3" xfId="12571" xr:uid="{00000000-0005-0000-0000-000034180000}"/>
    <cellStyle name="Comma 2 2 8 2 2 3 2" xfId="32491" xr:uid="{00000000-0005-0000-0000-000035180000}"/>
    <cellStyle name="Comma 2 2 8 2 2 4" xfId="18723" xr:uid="{00000000-0005-0000-0000-000036180000}"/>
    <cellStyle name="Comma 2 2 8 2 2 4 2" xfId="38643" xr:uid="{00000000-0005-0000-0000-000037180000}"/>
    <cellStyle name="Comma 2 2 8 2 2 5" xfId="26338" xr:uid="{00000000-0005-0000-0000-000038180000}"/>
    <cellStyle name="Comma 2 2 8 2 3" xfId="7909" xr:uid="{00000000-0005-0000-0000-000039180000}"/>
    <cellStyle name="Comma 2 2 8 2 3 2" xfId="14103" xr:uid="{00000000-0005-0000-0000-00003A180000}"/>
    <cellStyle name="Comma 2 2 8 2 3 2 2" xfId="34023" xr:uid="{00000000-0005-0000-0000-00003B180000}"/>
    <cellStyle name="Comma 2 2 8 2 3 3" xfId="20255" xr:uid="{00000000-0005-0000-0000-00003C180000}"/>
    <cellStyle name="Comma 2 2 8 2 3 3 2" xfId="40175" xr:uid="{00000000-0005-0000-0000-00003D180000}"/>
    <cellStyle name="Comma 2 2 8 2 3 4" xfId="27870" xr:uid="{00000000-0005-0000-0000-00003E180000}"/>
    <cellStyle name="Comma 2 2 8 2 4" xfId="11037" xr:uid="{00000000-0005-0000-0000-00003F180000}"/>
    <cellStyle name="Comma 2 2 8 2 4 2" xfId="30957" xr:uid="{00000000-0005-0000-0000-000040180000}"/>
    <cellStyle name="Comma 2 2 8 2 5" xfId="17189" xr:uid="{00000000-0005-0000-0000-000041180000}"/>
    <cellStyle name="Comma 2 2 8 2 5 2" xfId="37109" xr:uid="{00000000-0005-0000-0000-000042180000}"/>
    <cellStyle name="Comma 2 2 8 2 6" xfId="24804" xr:uid="{00000000-0005-0000-0000-000043180000}"/>
    <cellStyle name="Comma 2 2 8 3" xfId="5572" xr:uid="{00000000-0005-0000-0000-000044180000}"/>
    <cellStyle name="Comma 2 2 8 3 2" xfId="8675" xr:uid="{00000000-0005-0000-0000-000045180000}"/>
    <cellStyle name="Comma 2 2 8 3 2 2" xfId="14868" xr:uid="{00000000-0005-0000-0000-000046180000}"/>
    <cellStyle name="Comma 2 2 8 3 2 2 2" xfId="34788" xr:uid="{00000000-0005-0000-0000-000047180000}"/>
    <cellStyle name="Comma 2 2 8 3 2 3" xfId="21020" xr:uid="{00000000-0005-0000-0000-000048180000}"/>
    <cellStyle name="Comma 2 2 8 3 2 3 2" xfId="40940" xr:uid="{00000000-0005-0000-0000-000049180000}"/>
    <cellStyle name="Comma 2 2 8 3 2 4" xfId="28635" xr:uid="{00000000-0005-0000-0000-00004A180000}"/>
    <cellStyle name="Comma 2 2 8 3 3" xfId="11802" xr:uid="{00000000-0005-0000-0000-00004B180000}"/>
    <cellStyle name="Comma 2 2 8 3 3 2" xfId="31722" xr:uid="{00000000-0005-0000-0000-00004C180000}"/>
    <cellStyle name="Comma 2 2 8 3 4" xfId="17954" xr:uid="{00000000-0005-0000-0000-00004D180000}"/>
    <cellStyle name="Comma 2 2 8 3 4 2" xfId="37874" xr:uid="{00000000-0005-0000-0000-00004E180000}"/>
    <cellStyle name="Comma 2 2 8 3 5" xfId="25569" xr:uid="{00000000-0005-0000-0000-00004F180000}"/>
    <cellStyle name="Comma 2 2 8 4" xfId="7140" xr:uid="{00000000-0005-0000-0000-000050180000}"/>
    <cellStyle name="Comma 2 2 8 4 2" xfId="13334" xr:uid="{00000000-0005-0000-0000-000051180000}"/>
    <cellStyle name="Comma 2 2 8 4 2 2" xfId="33254" xr:uid="{00000000-0005-0000-0000-000052180000}"/>
    <cellStyle name="Comma 2 2 8 4 3" xfId="19486" xr:uid="{00000000-0005-0000-0000-000053180000}"/>
    <cellStyle name="Comma 2 2 8 4 3 2" xfId="39406" xr:uid="{00000000-0005-0000-0000-000054180000}"/>
    <cellStyle name="Comma 2 2 8 4 4" xfId="27101" xr:uid="{00000000-0005-0000-0000-000055180000}"/>
    <cellStyle name="Comma 2 2 8 5" xfId="10268" xr:uid="{00000000-0005-0000-0000-000056180000}"/>
    <cellStyle name="Comma 2 2 8 5 2" xfId="30188" xr:uid="{00000000-0005-0000-0000-000057180000}"/>
    <cellStyle name="Comma 2 2 8 6" xfId="16420" xr:uid="{00000000-0005-0000-0000-000058180000}"/>
    <cellStyle name="Comma 2 2 8 6 2" xfId="36340" xr:uid="{00000000-0005-0000-0000-000059180000}"/>
    <cellStyle name="Comma 2 2 8 7" xfId="24035" xr:uid="{00000000-0005-0000-0000-00005A180000}"/>
    <cellStyle name="Comma 2 2 9" xfId="1529" xr:uid="{00000000-0005-0000-0000-00005B180000}"/>
    <cellStyle name="Comma 2 2 9 2" xfId="4734" xr:uid="{00000000-0005-0000-0000-00005C180000}"/>
    <cellStyle name="Comma 2 2 9 2 2" xfId="6359" xr:uid="{00000000-0005-0000-0000-00005D180000}"/>
    <cellStyle name="Comma 2 2 9 2 2 2" xfId="9445" xr:uid="{00000000-0005-0000-0000-00005E180000}"/>
    <cellStyle name="Comma 2 2 9 2 2 2 2" xfId="15638" xr:uid="{00000000-0005-0000-0000-00005F180000}"/>
    <cellStyle name="Comma 2 2 9 2 2 2 2 2" xfId="35558" xr:uid="{00000000-0005-0000-0000-000060180000}"/>
    <cellStyle name="Comma 2 2 9 2 2 2 3" xfId="21790" xr:uid="{00000000-0005-0000-0000-000061180000}"/>
    <cellStyle name="Comma 2 2 9 2 2 2 3 2" xfId="41710" xr:uid="{00000000-0005-0000-0000-000062180000}"/>
    <cellStyle name="Comma 2 2 9 2 2 2 4" xfId="29405" xr:uid="{00000000-0005-0000-0000-000063180000}"/>
    <cellStyle name="Comma 2 2 9 2 2 3" xfId="12572" xr:uid="{00000000-0005-0000-0000-000064180000}"/>
    <cellStyle name="Comma 2 2 9 2 2 3 2" xfId="32492" xr:uid="{00000000-0005-0000-0000-000065180000}"/>
    <cellStyle name="Comma 2 2 9 2 2 4" xfId="18724" xr:uid="{00000000-0005-0000-0000-000066180000}"/>
    <cellStyle name="Comma 2 2 9 2 2 4 2" xfId="38644" xr:uid="{00000000-0005-0000-0000-000067180000}"/>
    <cellStyle name="Comma 2 2 9 2 2 5" xfId="26339" xr:uid="{00000000-0005-0000-0000-000068180000}"/>
    <cellStyle name="Comma 2 2 9 2 3" xfId="7910" xr:uid="{00000000-0005-0000-0000-000069180000}"/>
    <cellStyle name="Comma 2 2 9 2 3 2" xfId="14104" xr:uid="{00000000-0005-0000-0000-00006A180000}"/>
    <cellStyle name="Comma 2 2 9 2 3 2 2" xfId="34024" xr:uid="{00000000-0005-0000-0000-00006B180000}"/>
    <cellStyle name="Comma 2 2 9 2 3 3" xfId="20256" xr:uid="{00000000-0005-0000-0000-00006C180000}"/>
    <cellStyle name="Comma 2 2 9 2 3 3 2" xfId="40176" xr:uid="{00000000-0005-0000-0000-00006D180000}"/>
    <cellStyle name="Comma 2 2 9 2 3 4" xfId="27871" xr:uid="{00000000-0005-0000-0000-00006E180000}"/>
    <cellStyle name="Comma 2 2 9 2 4" xfId="11038" xr:uid="{00000000-0005-0000-0000-00006F180000}"/>
    <cellStyle name="Comma 2 2 9 2 4 2" xfId="30958" xr:uid="{00000000-0005-0000-0000-000070180000}"/>
    <cellStyle name="Comma 2 2 9 2 5" xfId="17190" xr:uid="{00000000-0005-0000-0000-000071180000}"/>
    <cellStyle name="Comma 2 2 9 2 5 2" xfId="37110" xr:uid="{00000000-0005-0000-0000-000072180000}"/>
    <cellStyle name="Comma 2 2 9 2 6" xfId="24805" xr:uid="{00000000-0005-0000-0000-000073180000}"/>
    <cellStyle name="Comma 2 2 9 3" xfId="5573" xr:uid="{00000000-0005-0000-0000-000074180000}"/>
    <cellStyle name="Comma 2 2 9 3 2" xfId="8676" xr:uid="{00000000-0005-0000-0000-000075180000}"/>
    <cellStyle name="Comma 2 2 9 3 2 2" xfId="14869" xr:uid="{00000000-0005-0000-0000-000076180000}"/>
    <cellStyle name="Comma 2 2 9 3 2 2 2" xfId="34789" xr:uid="{00000000-0005-0000-0000-000077180000}"/>
    <cellStyle name="Comma 2 2 9 3 2 3" xfId="21021" xr:uid="{00000000-0005-0000-0000-000078180000}"/>
    <cellStyle name="Comma 2 2 9 3 2 3 2" xfId="40941" xr:uid="{00000000-0005-0000-0000-000079180000}"/>
    <cellStyle name="Comma 2 2 9 3 2 4" xfId="28636" xr:uid="{00000000-0005-0000-0000-00007A180000}"/>
    <cellStyle name="Comma 2 2 9 3 3" xfId="11803" xr:uid="{00000000-0005-0000-0000-00007B180000}"/>
    <cellStyle name="Comma 2 2 9 3 3 2" xfId="31723" xr:uid="{00000000-0005-0000-0000-00007C180000}"/>
    <cellStyle name="Comma 2 2 9 3 4" xfId="17955" xr:uid="{00000000-0005-0000-0000-00007D180000}"/>
    <cellStyle name="Comma 2 2 9 3 4 2" xfId="37875" xr:uid="{00000000-0005-0000-0000-00007E180000}"/>
    <cellStyle name="Comma 2 2 9 3 5" xfId="25570" xr:uid="{00000000-0005-0000-0000-00007F180000}"/>
    <cellStyle name="Comma 2 2 9 4" xfId="7141" xr:uid="{00000000-0005-0000-0000-000080180000}"/>
    <cellStyle name="Comma 2 2 9 4 2" xfId="13335" xr:uid="{00000000-0005-0000-0000-000081180000}"/>
    <cellStyle name="Comma 2 2 9 4 2 2" xfId="33255" xr:uid="{00000000-0005-0000-0000-000082180000}"/>
    <cellStyle name="Comma 2 2 9 4 3" xfId="19487" xr:uid="{00000000-0005-0000-0000-000083180000}"/>
    <cellStyle name="Comma 2 2 9 4 3 2" xfId="39407" xr:uid="{00000000-0005-0000-0000-000084180000}"/>
    <cellStyle name="Comma 2 2 9 4 4" xfId="27102" xr:uid="{00000000-0005-0000-0000-000085180000}"/>
    <cellStyle name="Comma 2 2 9 5" xfId="10269" xr:uid="{00000000-0005-0000-0000-000086180000}"/>
    <cellStyle name="Comma 2 2 9 5 2" xfId="30189" xr:uid="{00000000-0005-0000-0000-000087180000}"/>
    <cellStyle name="Comma 2 2 9 6" xfId="16421" xr:uid="{00000000-0005-0000-0000-000088180000}"/>
    <cellStyle name="Comma 2 2 9 6 2" xfId="36341" xr:uid="{00000000-0005-0000-0000-000089180000}"/>
    <cellStyle name="Comma 2 2 9 7" xfId="24036" xr:uid="{00000000-0005-0000-0000-00008A180000}"/>
    <cellStyle name="Comma 2 20" xfId="359" xr:uid="{00000000-0005-0000-0000-00008B180000}"/>
    <cellStyle name="Comma 2 20 2" xfId="1530" xr:uid="{00000000-0005-0000-0000-00008C180000}"/>
    <cellStyle name="Comma 2 21" xfId="372" xr:uid="{00000000-0005-0000-0000-00008D180000}"/>
    <cellStyle name="Comma 2 21 2" xfId="1531" xr:uid="{00000000-0005-0000-0000-00008E180000}"/>
    <cellStyle name="Comma 2 22" xfId="414" xr:uid="{00000000-0005-0000-0000-00008F180000}"/>
    <cellStyle name="Comma 2 22 2" xfId="1532" xr:uid="{00000000-0005-0000-0000-000090180000}"/>
    <cellStyle name="Comma 2 23" xfId="423" xr:uid="{00000000-0005-0000-0000-000091180000}"/>
    <cellStyle name="Comma 2 23 2" xfId="4705" xr:uid="{00000000-0005-0000-0000-000092180000}"/>
    <cellStyle name="Comma 2 23 2 2" xfId="6330" xr:uid="{00000000-0005-0000-0000-000093180000}"/>
    <cellStyle name="Comma 2 23 2 2 2" xfId="9416" xr:uid="{00000000-0005-0000-0000-000094180000}"/>
    <cellStyle name="Comma 2 23 2 2 2 2" xfId="15609" xr:uid="{00000000-0005-0000-0000-000095180000}"/>
    <cellStyle name="Comma 2 23 2 2 2 2 2" xfId="35529" xr:uid="{00000000-0005-0000-0000-000096180000}"/>
    <cellStyle name="Comma 2 23 2 2 2 3" xfId="21761" xr:uid="{00000000-0005-0000-0000-000097180000}"/>
    <cellStyle name="Comma 2 23 2 2 2 3 2" xfId="41681" xr:uid="{00000000-0005-0000-0000-000098180000}"/>
    <cellStyle name="Comma 2 23 2 2 2 4" xfId="29376" xr:uid="{00000000-0005-0000-0000-000099180000}"/>
    <cellStyle name="Comma 2 23 2 2 3" xfId="12543" xr:uid="{00000000-0005-0000-0000-00009A180000}"/>
    <cellStyle name="Comma 2 23 2 2 3 2" xfId="32463" xr:uid="{00000000-0005-0000-0000-00009B180000}"/>
    <cellStyle name="Comma 2 23 2 2 4" xfId="18695" xr:uid="{00000000-0005-0000-0000-00009C180000}"/>
    <cellStyle name="Comma 2 23 2 2 4 2" xfId="38615" xr:uid="{00000000-0005-0000-0000-00009D180000}"/>
    <cellStyle name="Comma 2 23 2 2 5" xfId="26310" xr:uid="{00000000-0005-0000-0000-00009E180000}"/>
    <cellStyle name="Comma 2 23 2 3" xfId="7881" xr:uid="{00000000-0005-0000-0000-00009F180000}"/>
    <cellStyle name="Comma 2 23 2 3 2" xfId="14075" xr:uid="{00000000-0005-0000-0000-0000A0180000}"/>
    <cellStyle name="Comma 2 23 2 3 2 2" xfId="33995" xr:uid="{00000000-0005-0000-0000-0000A1180000}"/>
    <cellStyle name="Comma 2 23 2 3 3" xfId="20227" xr:uid="{00000000-0005-0000-0000-0000A2180000}"/>
    <cellStyle name="Comma 2 23 2 3 3 2" xfId="40147" xr:uid="{00000000-0005-0000-0000-0000A3180000}"/>
    <cellStyle name="Comma 2 23 2 3 4" xfId="27842" xr:uid="{00000000-0005-0000-0000-0000A4180000}"/>
    <cellStyle name="Comma 2 23 2 4" xfId="11009" xr:uid="{00000000-0005-0000-0000-0000A5180000}"/>
    <cellStyle name="Comma 2 23 2 4 2" xfId="30929" xr:uid="{00000000-0005-0000-0000-0000A6180000}"/>
    <cellStyle name="Comma 2 23 2 5" xfId="17161" xr:uid="{00000000-0005-0000-0000-0000A7180000}"/>
    <cellStyle name="Comma 2 23 2 5 2" xfId="37081" xr:uid="{00000000-0005-0000-0000-0000A8180000}"/>
    <cellStyle name="Comma 2 23 2 6" xfId="24776" xr:uid="{00000000-0005-0000-0000-0000A9180000}"/>
    <cellStyle name="Comma 2 23 3" xfId="5544" xr:uid="{00000000-0005-0000-0000-0000AA180000}"/>
    <cellStyle name="Comma 2 23 3 2" xfId="8647" xr:uid="{00000000-0005-0000-0000-0000AB180000}"/>
    <cellStyle name="Comma 2 23 3 2 2" xfId="14840" xr:uid="{00000000-0005-0000-0000-0000AC180000}"/>
    <cellStyle name="Comma 2 23 3 2 2 2" xfId="34760" xr:uid="{00000000-0005-0000-0000-0000AD180000}"/>
    <cellStyle name="Comma 2 23 3 2 3" xfId="20992" xr:uid="{00000000-0005-0000-0000-0000AE180000}"/>
    <cellStyle name="Comma 2 23 3 2 3 2" xfId="40912" xr:uid="{00000000-0005-0000-0000-0000AF180000}"/>
    <cellStyle name="Comma 2 23 3 2 4" xfId="28607" xr:uid="{00000000-0005-0000-0000-0000B0180000}"/>
    <cellStyle name="Comma 2 23 3 3" xfId="11774" xr:uid="{00000000-0005-0000-0000-0000B1180000}"/>
    <cellStyle name="Comma 2 23 3 3 2" xfId="31694" xr:uid="{00000000-0005-0000-0000-0000B2180000}"/>
    <cellStyle name="Comma 2 23 3 4" xfId="17926" xr:uid="{00000000-0005-0000-0000-0000B3180000}"/>
    <cellStyle name="Comma 2 23 3 4 2" xfId="37846" xr:uid="{00000000-0005-0000-0000-0000B4180000}"/>
    <cellStyle name="Comma 2 23 3 5" xfId="25541" xr:uid="{00000000-0005-0000-0000-0000B5180000}"/>
    <cellStyle name="Comma 2 23 4" xfId="7112" xr:uid="{00000000-0005-0000-0000-0000B6180000}"/>
    <cellStyle name="Comma 2 23 4 2" xfId="13306" xr:uid="{00000000-0005-0000-0000-0000B7180000}"/>
    <cellStyle name="Comma 2 23 4 2 2" xfId="33226" xr:uid="{00000000-0005-0000-0000-0000B8180000}"/>
    <cellStyle name="Comma 2 23 4 3" xfId="19458" xr:uid="{00000000-0005-0000-0000-0000B9180000}"/>
    <cellStyle name="Comma 2 23 4 3 2" xfId="39378" xr:uid="{00000000-0005-0000-0000-0000BA180000}"/>
    <cellStyle name="Comma 2 23 4 4" xfId="27073" xr:uid="{00000000-0005-0000-0000-0000BB180000}"/>
    <cellStyle name="Comma 2 23 5" xfId="10240" xr:uid="{00000000-0005-0000-0000-0000BC180000}"/>
    <cellStyle name="Comma 2 23 5 2" xfId="30160" xr:uid="{00000000-0005-0000-0000-0000BD180000}"/>
    <cellStyle name="Comma 2 23 6" xfId="16392" xr:uid="{00000000-0005-0000-0000-0000BE180000}"/>
    <cellStyle name="Comma 2 23 6 2" xfId="36312" xr:uid="{00000000-0005-0000-0000-0000BF180000}"/>
    <cellStyle name="Comma 2 23 7" xfId="1478" xr:uid="{00000000-0005-0000-0000-0000C0180000}"/>
    <cellStyle name="Comma 2 23 7 2" xfId="24007" xr:uid="{00000000-0005-0000-0000-0000C1180000}"/>
    <cellStyle name="Comma 2 24" xfId="505" xr:uid="{00000000-0005-0000-0000-0000C2180000}"/>
    <cellStyle name="Comma 2 24 2" xfId="10105" xr:uid="{00000000-0005-0000-0000-0000C3180000}"/>
    <cellStyle name="Comma 2 25" xfId="557" xr:uid="{00000000-0005-0000-0000-0000C4180000}"/>
    <cellStyle name="Comma 2 26" xfId="559" xr:uid="{00000000-0005-0000-0000-0000C5180000}"/>
    <cellStyle name="Comma 2 27" xfId="457" xr:uid="{00000000-0005-0000-0000-0000C6180000}"/>
    <cellStyle name="Comma 2 28" xfId="579" xr:uid="{00000000-0005-0000-0000-0000C7180000}"/>
    <cellStyle name="Comma 2 29" xfId="611" xr:uid="{00000000-0005-0000-0000-0000C8180000}"/>
    <cellStyle name="Comma 2 3" xfId="87" xr:uid="{00000000-0005-0000-0000-0000C9180000}"/>
    <cellStyle name="Comma 2 3 10" xfId="23016" xr:uid="{00000000-0005-0000-0000-0000CA180000}"/>
    <cellStyle name="Comma 2 3 10 2" xfId="42927" xr:uid="{00000000-0005-0000-0000-0000CB180000}"/>
    <cellStyle name="Comma 2 3 11" xfId="23327" xr:uid="{00000000-0005-0000-0000-0000CC180000}"/>
    <cellStyle name="Comma 2 3 2" xfId="748" xr:uid="{00000000-0005-0000-0000-0000CD180000}"/>
    <cellStyle name="Comma 2 3 2 2" xfId="1534" xr:uid="{00000000-0005-0000-0000-0000CE180000}"/>
    <cellStyle name="Comma 2 3 2 3" xfId="23630" xr:uid="{00000000-0005-0000-0000-0000CF180000}"/>
    <cellStyle name="Comma 2 3 3" xfId="1535" xr:uid="{00000000-0005-0000-0000-0000D0180000}"/>
    <cellStyle name="Comma 2 3 4" xfId="4521" xr:uid="{00000000-0005-0000-0000-0000D1180000}"/>
    <cellStyle name="Comma 2 3 5" xfId="1533" xr:uid="{00000000-0005-0000-0000-0000D2180000}"/>
    <cellStyle name="Comma 2 3 6" xfId="10136" xr:uid="{00000000-0005-0000-0000-0000D3180000}"/>
    <cellStyle name="Comma 2 3 7" xfId="1089" xr:uid="{00000000-0005-0000-0000-0000D4180000}"/>
    <cellStyle name="Comma 2 3 8" xfId="22629" xr:uid="{00000000-0005-0000-0000-0000D5180000}"/>
    <cellStyle name="Comma 2 3 8 2" xfId="42540" xr:uid="{00000000-0005-0000-0000-0000D6180000}"/>
    <cellStyle name="Comma 2 3 9" xfId="22713" xr:uid="{00000000-0005-0000-0000-0000D7180000}"/>
    <cellStyle name="Comma 2 3 9 2" xfId="42624" xr:uid="{00000000-0005-0000-0000-0000D8180000}"/>
    <cellStyle name="Comma 2 30" xfId="637" xr:uid="{00000000-0005-0000-0000-0000D9180000}"/>
    <cellStyle name="Comma 2 4" xfId="124" xr:uid="{00000000-0005-0000-0000-0000DA180000}"/>
    <cellStyle name="Comma 2 4 2" xfId="1537" xr:uid="{00000000-0005-0000-0000-0000DB180000}"/>
    <cellStyle name="Comma 2 4 3" xfId="1538" xr:uid="{00000000-0005-0000-0000-0000DC180000}"/>
    <cellStyle name="Comma 2 4 4" xfId="1539" xr:uid="{00000000-0005-0000-0000-0000DD180000}"/>
    <cellStyle name="Comma 2 4 4 2" xfId="1540" xr:uid="{00000000-0005-0000-0000-0000DE180000}"/>
    <cellStyle name="Comma 2 4 5" xfId="1541" xr:uid="{00000000-0005-0000-0000-0000DF180000}"/>
    <cellStyle name="Comma 2 4 5 2" xfId="1542" xr:uid="{00000000-0005-0000-0000-0000E0180000}"/>
    <cellStyle name="Comma 2 4 6" xfId="1536" xr:uid="{00000000-0005-0000-0000-0000E1180000}"/>
    <cellStyle name="Comma 2 4 7" xfId="1090" xr:uid="{00000000-0005-0000-0000-0000E2180000}"/>
    <cellStyle name="Comma 2 5" xfId="152" xr:uid="{00000000-0005-0000-0000-0000E3180000}"/>
    <cellStyle name="Comma 2 5 2" xfId="1544" xr:uid="{00000000-0005-0000-0000-0000E4180000}"/>
    <cellStyle name="Comma 2 5 3" xfId="1545" xr:uid="{00000000-0005-0000-0000-0000E5180000}"/>
    <cellStyle name="Comma 2 5 4" xfId="4522" xr:uid="{00000000-0005-0000-0000-0000E6180000}"/>
    <cellStyle name="Comma 2 5 5" xfId="1543" xr:uid="{00000000-0005-0000-0000-0000E7180000}"/>
    <cellStyle name="Comma 2 5 6" xfId="1091" xr:uid="{00000000-0005-0000-0000-0000E8180000}"/>
    <cellStyle name="Comma 2 6" xfId="144" xr:uid="{00000000-0005-0000-0000-0000E9180000}"/>
    <cellStyle name="Comma 2 6 2" xfId="1547" xr:uid="{00000000-0005-0000-0000-0000EA180000}"/>
    <cellStyle name="Comma 2 6 3" xfId="1548" xr:uid="{00000000-0005-0000-0000-0000EB180000}"/>
    <cellStyle name="Comma 2 6 4" xfId="1546" xr:uid="{00000000-0005-0000-0000-0000EC180000}"/>
    <cellStyle name="Comma 2 6 5" xfId="1092" xr:uid="{00000000-0005-0000-0000-0000ED180000}"/>
    <cellStyle name="Comma 2 7" xfId="167" xr:uid="{00000000-0005-0000-0000-0000EE180000}"/>
    <cellStyle name="Comma 2 7 2" xfId="4523" xr:uid="{00000000-0005-0000-0000-0000EF180000}"/>
    <cellStyle name="Comma 2 7 3" xfId="1549" xr:uid="{00000000-0005-0000-0000-0000F0180000}"/>
    <cellStyle name="Comma 2 7 4" xfId="1093" xr:uid="{00000000-0005-0000-0000-0000F1180000}"/>
    <cellStyle name="Comma 2 8" xfId="172" xr:uid="{00000000-0005-0000-0000-0000F2180000}"/>
    <cellStyle name="Comma 2 8 2" xfId="4524" xr:uid="{00000000-0005-0000-0000-0000F3180000}"/>
    <cellStyle name="Comma 2 8 3" xfId="1550" xr:uid="{00000000-0005-0000-0000-0000F4180000}"/>
    <cellStyle name="Comma 2 8 4" xfId="1094" xr:uid="{00000000-0005-0000-0000-0000F5180000}"/>
    <cellStyle name="Comma 2 9" xfId="166" xr:uid="{00000000-0005-0000-0000-0000F6180000}"/>
    <cellStyle name="Comma 2 9 2" xfId="4525" xr:uid="{00000000-0005-0000-0000-0000F7180000}"/>
    <cellStyle name="Comma 2 9 3" xfId="1551" xr:uid="{00000000-0005-0000-0000-0000F8180000}"/>
    <cellStyle name="Comma 2 9 4" xfId="1095" xr:uid="{00000000-0005-0000-0000-0000F9180000}"/>
    <cellStyle name="Comma 20" xfId="117" xr:uid="{00000000-0005-0000-0000-0000FA180000}"/>
    <cellStyle name="Comma 20 2" xfId="768" xr:uid="{00000000-0005-0000-0000-0000FB180000}"/>
    <cellStyle name="Comma 20 2 2" xfId="23650" xr:uid="{00000000-0005-0000-0000-0000FC180000}"/>
    <cellStyle name="Comma 20 3" xfId="1552" xr:uid="{00000000-0005-0000-0000-0000FD180000}"/>
    <cellStyle name="Comma 20 4" xfId="22643" xr:uid="{00000000-0005-0000-0000-0000FE180000}"/>
    <cellStyle name="Comma 20 4 2" xfId="42554" xr:uid="{00000000-0005-0000-0000-0000FF180000}"/>
    <cellStyle name="Comma 20 5" xfId="22733" xr:uid="{00000000-0005-0000-0000-000000190000}"/>
    <cellStyle name="Comma 20 5 2" xfId="42644" xr:uid="{00000000-0005-0000-0000-000001190000}"/>
    <cellStyle name="Comma 20 6" xfId="23036" xr:uid="{00000000-0005-0000-0000-000002190000}"/>
    <cellStyle name="Comma 20 6 2" xfId="42947" xr:uid="{00000000-0005-0000-0000-000003190000}"/>
    <cellStyle name="Comma 20 7" xfId="23347" xr:uid="{00000000-0005-0000-0000-000004190000}"/>
    <cellStyle name="Comma 200" xfId="5433" xr:uid="{00000000-0005-0000-0000-000005190000}"/>
    <cellStyle name="Comma 201" xfId="5401" xr:uid="{00000000-0005-0000-0000-000006190000}"/>
    <cellStyle name="Comma 202" xfId="5413" xr:uid="{00000000-0005-0000-0000-000007190000}"/>
    <cellStyle name="Comma 203" xfId="5422" xr:uid="{00000000-0005-0000-0000-000008190000}"/>
    <cellStyle name="Comma 204" xfId="4623" xr:uid="{00000000-0005-0000-0000-000009190000}"/>
    <cellStyle name="Comma 204 2" xfId="6248" xr:uid="{00000000-0005-0000-0000-00000A190000}"/>
    <cellStyle name="Comma 204 2 2" xfId="9334" xr:uid="{00000000-0005-0000-0000-00000B190000}"/>
    <cellStyle name="Comma 204 2 2 2" xfId="15527" xr:uid="{00000000-0005-0000-0000-00000C190000}"/>
    <cellStyle name="Comma 204 2 2 2 2" xfId="35447" xr:uid="{00000000-0005-0000-0000-00000D190000}"/>
    <cellStyle name="Comma 204 2 2 3" xfId="21679" xr:uid="{00000000-0005-0000-0000-00000E190000}"/>
    <cellStyle name="Comma 204 2 2 3 2" xfId="41599" xr:uid="{00000000-0005-0000-0000-00000F190000}"/>
    <cellStyle name="Comma 204 2 2 4" xfId="29294" xr:uid="{00000000-0005-0000-0000-000010190000}"/>
    <cellStyle name="Comma 204 2 3" xfId="12461" xr:uid="{00000000-0005-0000-0000-000011190000}"/>
    <cellStyle name="Comma 204 2 3 2" xfId="32381" xr:uid="{00000000-0005-0000-0000-000012190000}"/>
    <cellStyle name="Comma 204 2 4" xfId="18613" xr:uid="{00000000-0005-0000-0000-000013190000}"/>
    <cellStyle name="Comma 204 2 4 2" xfId="38533" xr:uid="{00000000-0005-0000-0000-000014190000}"/>
    <cellStyle name="Comma 204 2 5" xfId="26228" xr:uid="{00000000-0005-0000-0000-000015190000}"/>
    <cellStyle name="Comma 204 3" xfId="7799" xr:uid="{00000000-0005-0000-0000-000016190000}"/>
    <cellStyle name="Comma 204 3 2" xfId="13993" xr:uid="{00000000-0005-0000-0000-000017190000}"/>
    <cellStyle name="Comma 204 3 2 2" xfId="33913" xr:uid="{00000000-0005-0000-0000-000018190000}"/>
    <cellStyle name="Comma 204 3 3" xfId="20145" xr:uid="{00000000-0005-0000-0000-000019190000}"/>
    <cellStyle name="Comma 204 3 3 2" xfId="40065" xr:uid="{00000000-0005-0000-0000-00001A190000}"/>
    <cellStyle name="Comma 204 3 4" xfId="27760" xr:uid="{00000000-0005-0000-0000-00001B190000}"/>
    <cellStyle name="Comma 204 4" xfId="10927" xr:uid="{00000000-0005-0000-0000-00001C190000}"/>
    <cellStyle name="Comma 204 4 2" xfId="30847" xr:uid="{00000000-0005-0000-0000-00001D190000}"/>
    <cellStyle name="Comma 204 5" xfId="17079" xr:uid="{00000000-0005-0000-0000-00001E190000}"/>
    <cellStyle name="Comma 204 5 2" xfId="36999" xr:uid="{00000000-0005-0000-0000-00001F190000}"/>
    <cellStyle name="Comma 204 6" xfId="24694" xr:uid="{00000000-0005-0000-0000-000020190000}"/>
    <cellStyle name="Comma 205" xfId="5458" xr:uid="{00000000-0005-0000-0000-000021190000}"/>
    <cellStyle name="Comma 205 2" xfId="8562" xr:uid="{00000000-0005-0000-0000-000022190000}"/>
    <cellStyle name="Comma 205 2 2" xfId="14756" xr:uid="{00000000-0005-0000-0000-000023190000}"/>
    <cellStyle name="Comma 205 2 2 2" xfId="34676" xr:uid="{00000000-0005-0000-0000-000024190000}"/>
    <cellStyle name="Comma 205 2 3" xfId="20908" xr:uid="{00000000-0005-0000-0000-000025190000}"/>
    <cellStyle name="Comma 205 2 3 2" xfId="40828" xr:uid="{00000000-0005-0000-0000-000026190000}"/>
    <cellStyle name="Comma 205 2 4" xfId="28523" xr:uid="{00000000-0005-0000-0000-000027190000}"/>
    <cellStyle name="Comma 205 3" xfId="11690" xr:uid="{00000000-0005-0000-0000-000028190000}"/>
    <cellStyle name="Comma 205 3 2" xfId="31610" xr:uid="{00000000-0005-0000-0000-000029190000}"/>
    <cellStyle name="Comma 205 4" xfId="17842" xr:uid="{00000000-0005-0000-0000-00002A190000}"/>
    <cellStyle name="Comma 205 4 2" xfId="37762" xr:uid="{00000000-0005-0000-0000-00002B190000}"/>
    <cellStyle name="Comma 205 5" xfId="25457" xr:uid="{00000000-0005-0000-0000-00002C190000}"/>
    <cellStyle name="Comma 206" xfId="5460" xr:uid="{00000000-0005-0000-0000-00002D190000}"/>
    <cellStyle name="Comma 206 2" xfId="8564" xr:uid="{00000000-0005-0000-0000-00002E190000}"/>
    <cellStyle name="Comma 206 2 2" xfId="14757" xr:uid="{00000000-0005-0000-0000-00002F190000}"/>
    <cellStyle name="Comma 206 2 2 2" xfId="34677" xr:uid="{00000000-0005-0000-0000-000030190000}"/>
    <cellStyle name="Comma 206 2 3" xfId="20909" xr:uid="{00000000-0005-0000-0000-000031190000}"/>
    <cellStyle name="Comma 206 2 3 2" xfId="40829" xr:uid="{00000000-0005-0000-0000-000032190000}"/>
    <cellStyle name="Comma 206 2 4" xfId="28524" xr:uid="{00000000-0005-0000-0000-000033190000}"/>
    <cellStyle name="Comma 206 3" xfId="11691" xr:uid="{00000000-0005-0000-0000-000034190000}"/>
    <cellStyle name="Comma 206 3 2" xfId="31611" xr:uid="{00000000-0005-0000-0000-000035190000}"/>
    <cellStyle name="Comma 206 4" xfId="17843" xr:uid="{00000000-0005-0000-0000-000036190000}"/>
    <cellStyle name="Comma 206 4 2" xfId="37763" xr:uid="{00000000-0005-0000-0000-000037190000}"/>
    <cellStyle name="Comma 206 5" xfId="25458" xr:uid="{00000000-0005-0000-0000-000038190000}"/>
    <cellStyle name="Comma 207" xfId="7027" xr:uid="{00000000-0005-0000-0000-000039190000}"/>
    <cellStyle name="Comma 208" xfId="10098" xr:uid="{00000000-0005-0000-0000-00003A190000}"/>
    <cellStyle name="Comma 209" xfId="10100" xr:uid="{00000000-0005-0000-0000-00003B190000}"/>
    <cellStyle name="Comma 21" xfId="118" xr:uid="{00000000-0005-0000-0000-00003C190000}"/>
    <cellStyle name="Comma 21 2" xfId="769" xr:uid="{00000000-0005-0000-0000-00003D190000}"/>
    <cellStyle name="Comma 21 2 2" xfId="23651" xr:uid="{00000000-0005-0000-0000-00003E190000}"/>
    <cellStyle name="Comma 21 3" xfId="1553" xr:uid="{00000000-0005-0000-0000-00003F190000}"/>
    <cellStyle name="Comma 21 4" xfId="22633" xr:uid="{00000000-0005-0000-0000-000040190000}"/>
    <cellStyle name="Comma 21 4 2" xfId="42544" xr:uid="{00000000-0005-0000-0000-000041190000}"/>
    <cellStyle name="Comma 21 5" xfId="22734" xr:uid="{00000000-0005-0000-0000-000042190000}"/>
    <cellStyle name="Comma 21 5 2" xfId="42645" xr:uid="{00000000-0005-0000-0000-000043190000}"/>
    <cellStyle name="Comma 21 6" xfId="23037" xr:uid="{00000000-0005-0000-0000-000044190000}"/>
    <cellStyle name="Comma 21 6 2" xfId="42948" xr:uid="{00000000-0005-0000-0000-000045190000}"/>
    <cellStyle name="Comma 21 7" xfId="23348" xr:uid="{00000000-0005-0000-0000-000046190000}"/>
    <cellStyle name="Comma 210" xfId="10155" xr:uid="{00000000-0005-0000-0000-000047190000}"/>
    <cellStyle name="Comma 211" xfId="1063" xr:uid="{00000000-0005-0000-0000-000048190000}"/>
    <cellStyle name="Comma 212" xfId="1072" xr:uid="{00000000-0005-0000-0000-000049190000}"/>
    <cellStyle name="Comma 213" xfId="22466" xr:uid="{00000000-0005-0000-0000-00004A190000}"/>
    <cellStyle name="Comma 214" xfId="22464" xr:uid="{00000000-0005-0000-0000-00004B190000}"/>
    <cellStyle name="Comma 215" xfId="22469" xr:uid="{00000000-0005-0000-0000-00004C190000}"/>
    <cellStyle name="Comma 216" xfId="1037" xr:uid="{00000000-0005-0000-0000-00004D190000}"/>
    <cellStyle name="Comma 216 2" xfId="23918" xr:uid="{00000000-0005-0000-0000-00004E190000}"/>
    <cellStyle name="Comma 217" xfId="1044" xr:uid="{00000000-0005-0000-0000-00004F190000}"/>
    <cellStyle name="Comma 217 2" xfId="23923" xr:uid="{00000000-0005-0000-0000-000050190000}"/>
    <cellStyle name="Comma 218" xfId="22510" xr:uid="{00000000-0005-0000-0000-000051190000}"/>
    <cellStyle name="Comma 218 2" xfId="42421" xr:uid="{00000000-0005-0000-0000-000052190000}"/>
    <cellStyle name="Comma 219" xfId="22521" xr:uid="{00000000-0005-0000-0000-000053190000}"/>
    <cellStyle name="Comma 219 2" xfId="42432" xr:uid="{00000000-0005-0000-0000-000054190000}"/>
    <cellStyle name="Comma 22" xfId="114" xr:uid="{00000000-0005-0000-0000-000055190000}"/>
    <cellStyle name="Comma 22 2" xfId="765" xr:uid="{00000000-0005-0000-0000-000056190000}"/>
    <cellStyle name="Comma 22 2 2" xfId="23647" xr:uid="{00000000-0005-0000-0000-000057190000}"/>
    <cellStyle name="Comma 22 3" xfId="1554" xr:uid="{00000000-0005-0000-0000-000058190000}"/>
    <cellStyle name="Comma 22 4" xfId="22518" xr:uid="{00000000-0005-0000-0000-000059190000}"/>
    <cellStyle name="Comma 22 4 2" xfId="42429" xr:uid="{00000000-0005-0000-0000-00005A190000}"/>
    <cellStyle name="Comma 22 5" xfId="22730" xr:uid="{00000000-0005-0000-0000-00005B190000}"/>
    <cellStyle name="Comma 22 5 2" xfId="42641" xr:uid="{00000000-0005-0000-0000-00005C190000}"/>
    <cellStyle name="Comma 22 6" xfId="23033" xr:uid="{00000000-0005-0000-0000-00005D190000}"/>
    <cellStyle name="Comma 22 6 2" xfId="42944" xr:uid="{00000000-0005-0000-0000-00005E190000}"/>
    <cellStyle name="Comma 22 7" xfId="23344" xr:uid="{00000000-0005-0000-0000-00005F190000}"/>
    <cellStyle name="Comma 220" xfId="22635" xr:uid="{00000000-0005-0000-0000-000060190000}"/>
    <cellStyle name="Comma 220 2" xfId="42546" xr:uid="{00000000-0005-0000-0000-000061190000}"/>
    <cellStyle name="Comma 221" xfId="22644" xr:uid="{00000000-0005-0000-0000-000062190000}"/>
    <cellStyle name="Comma 221 2" xfId="42555" xr:uid="{00000000-0005-0000-0000-000063190000}"/>
    <cellStyle name="Comma 222" xfId="22555" xr:uid="{00000000-0005-0000-0000-000064190000}"/>
    <cellStyle name="Comma 222 2" xfId="42466" xr:uid="{00000000-0005-0000-0000-000065190000}"/>
    <cellStyle name="Comma 223" xfId="22499" xr:uid="{00000000-0005-0000-0000-000066190000}"/>
    <cellStyle name="Comma 223 2" xfId="42410" xr:uid="{00000000-0005-0000-0000-000067190000}"/>
    <cellStyle name="Comma 224" xfId="23303" xr:uid="{00000000-0005-0000-0000-000068190000}"/>
    <cellStyle name="Comma 225" xfId="23304" xr:uid="{00000000-0005-0000-0000-000069190000}"/>
    <cellStyle name="Comma 226" xfId="23305" xr:uid="{00000000-0005-0000-0000-00006A190000}"/>
    <cellStyle name="Comma 227" xfId="23320" xr:uid="{00000000-0005-0000-0000-00006B190000}"/>
    <cellStyle name="Comma 228" xfId="23306" xr:uid="{00000000-0005-0000-0000-00006C190000}"/>
    <cellStyle name="Comma 229" xfId="43215" xr:uid="{00000000-0005-0000-0000-00006D190000}"/>
    <cellStyle name="Comma 23" xfId="119" xr:uid="{00000000-0005-0000-0000-00006E190000}"/>
    <cellStyle name="Comma 23 2" xfId="770" xr:uid="{00000000-0005-0000-0000-00006F190000}"/>
    <cellStyle name="Comma 23 2 2" xfId="23652" xr:uid="{00000000-0005-0000-0000-000070190000}"/>
    <cellStyle name="Comma 23 3" xfId="1555" xr:uid="{00000000-0005-0000-0000-000071190000}"/>
    <cellStyle name="Comma 23 4" xfId="22685" xr:uid="{00000000-0005-0000-0000-000072190000}"/>
    <cellStyle name="Comma 23 4 2" xfId="42596" xr:uid="{00000000-0005-0000-0000-000073190000}"/>
    <cellStyle name="Comma 23 5" xfId="22735" xr:uid="{00000000-0005-0000-0000-000074190000}"/>
    <cellStyle name="Comma 23 5 2" xfId="42646" xr:uid="{00000000-0005-0000-0000-000075190000}"/>
    <cellStyle name="Comma 23 6" xfId="23038" xr:uid="{00000000-0005-0000-0000-000076190000}"/>
    <cellStyle name="Comma 23 6 2" xfId="42949" xr:uid="{00000000-0005-0000-0000-000077190000}"/>
    <cellStyle name="Comma 23 7" xfId="23349" xr:uid="{00000000-0005-0000-0000-000078190000}"/>
    <cellStyle name="Comma 230" xfId="43217" xr:uid="{00000000-0005-0000-0000-000079190000}"/>
    <cellStyle name="Comma 231" xfId="43219" xr:uid="{00000000-0005-0000-0000-00007A190000}"/>
    <cellStyle name="Comma 232" xfId="43221" xr:uid="{00000000-0005-0000-0000-00007B190000}"/>
    <cellStyle name="Comma 233" xfId="43223" xr:uid="{00000000-0005-0000-0000-00007C190000}"/>
    <cellStyle name="Comma 234" xfId="43225" xr:uid="{00000000-0005-0000-0000-00007D190000}"/>
    <cellStyle name="Comma 235" xfId="43227" xr:uid="{00000000-0005-0000-0000-00007E190000}"/>
    <cellStyle name="Comma 24" xfId="1556" xr:uid="{00000000-0005-0000-0000-00007F190000}"/>
    <cellStyle name="Comma 25" xfId="1557" xr:uid="{00000000-0005-0000-0000-000080190000}"/>
    <cellStyle name="Comma 26" xfId="1558" xr:uid="{00000000-0005-0000-0000-000081190000}"/>
    <cellStyle name="Comma 27" xfId="1559" xr:uid="{00000000-0005-0000-0000-000082190000}"/>
    <cellStyle name="Comma 28" xfId="1560" xr:uid="{00000000-0005-0000-0000-000083190000}"/>
    <cellStyle name="Comma 29" xfId="1561" xr:uid="{00000000-0005-0000-0000-000084190000}"/>
    <cellStyle name="Comma 3" xfId="11" xr:uid="{00000000-0005-0000-0000-000085190000}"/>
    <cellStyle name="Comma 3 10" xfId="266" xr:uid="{00000000-0005-0000-0000-000086190000}"/>
    <cellStyle name="Comma 3 10 2" xfId="4735" xr:uid="{00000000-0005-0000-0000-000087190000}"/>
    <cellStyle name="Comma 3 10 2 2" xfId="6360" xr:uid="{00000000-0005-0000-0000-000088190000}"/>
    <cellStyle name="Comma 3 10 2 2 2" xfId="9446" xr:uid="{00000000-0005-0000-0000-000089190000}"/>
    <cellStyle name="Comma 3 10 2 2 2 2" xfId="15639" xr:uid="{00000000-0005-0000-0000-00008A190000}"/>
    <cellStyle name="Comma 3 10 2 2 2 2 2" xfId="35559" xr:uid="{00000000-0005-0000-0000-00008B190000}"/>
    <cellStyle name="Comma 3 10 2 2 2 3" xfId="21791" xr:uid="{00000000-0005-0000-0000-00008C190000}"/>
    <cellStyle name="Comma 3 10 2 2 2 3 2" xfId="41711" xr:uid="{00000000-0005-0000-0000-00008D190000}"/>
    <cellStyle name="Comma 3 10 2 2 2 4" xfId="29406" xr:uid="{00000000-0005-0000-0000-00008E190000}"/>
    <cellStyle name="Comma 3 10 2 2 3" xfId="12573" xr:uid="{00000000-0005-0000-0000-00008F190000}"/>
    <cellStyle name="Comma 3 10 2 2 3 2" xfId="32493" xr:uid="{00000000-0005-0000-0000-000090190000}"/>
    <cellStyle name="Comma 3 10 2 2 4" xfId="18725" xr:uid="{00000000-0005-0000-0000-000091190000}"/>
    <cellStyle name="Comma 3 10 2 2 4 2" xfId="38645" xr:uid="{00000000-0005-0000-0000-000092190000}"/>
    <cellStyle name="Comma 3 10 2 2 5" xfId="26340" xr:uid="{00000000-0005-0000-0000-000093190000}"/>
    <cellStyle name="Comma 3 10 2 3" xfId="7911" xr:uid="{00000000-0005-0000-0000-000094190000}"/>
    <cellStyle name="Comma 3 10 2 3 2" xfId="14105" xr:uid="{00000000-0005-0000-0000-000095190000}"/>
    <cellStyle name="Comma 3 10 2 3 2 2" xfId="34025" xr:uid="{00000000-0005-0000-0000-000096190000}"/>
    <cellStyle name="Comma 3 10 2 3 3" xfId="20257" xr:uid="{00000000-0005-0000-0000-000097190000}"/>
    <cellStyle name="Comma 3 10 2 3 3 2" xfId="40177" xr:uid="{00000000-0005-0000-0000-000098190000}"/>
    <cellStyle name="Comma 3 10 2 3 4" xfId="27872" xr:uid="{00000000-0005-0000-0000-000099190000}"/>
    <cellStyle name="Comma 3 10 2 4" xfId="11039" xr:uid="{00000000-0005-0000-0000-00009A190000}"/>
    <cellStyle name="Comma 3 10 2 4 2" xfId="30959" xr:uid="{00000000-0005-0000-0000-00009B190000}"/>
    <cellStyle name="Comma 3 10 2 5" xfId="17191" xr:uid="{00000000-0005-0000-0000-00009C190000}"/>
    <cellStyle name="Comma 3 10 2 5 2" xfId="37111" xr:uid="{00000000-0005-0000-0000-00009D190000}"/>
    <cellStyle name="Comma 3 10 2 6" xfId="24806" xr:uid="{00000000-0005-0000-0000-00009E190000}"/>
    <cellStyle name="Comma 3 10 3" xfId="5574" xr:uid="{00000000-0005-0000-0000-00009F190000}"/>
    <cellStyle name="Comma 3 10 3 2" xfId="8677" xr:uid="{00000000-0005-0000-0000-0000A0190000}"/>
    <cellStyle name="Comma 3 10 3 2 2" xfId="14870" xr:uid="{00000000-0005-0000-0000-0000A1190000}"/>
    <cellStyle name="Comma 3 10 3 2 2 2" xfId="34790" xr:uid="{00000000-0005-0000-0000-0000A2190000}"/>
    <cellStyle name="Comma 3 10 3 2 3" xfId="21022" xr:uid="{00000000-0005-0000-0000-0000A3190000}"/>
    <cellStyle name="Comma 3 10 3 2 3 2" xfId="40942" xr:uid="{00000000-0005-0000-0000-0000A4190000}"/>
    <cellStyle name="Comma 3 10 3 2 4" xfId="28637" xr:uid="{00000000-0005-0000-0000-0000A5190000}"/>
    <cellStyle name="Comma 3 10 3 3" xfId="11804" xr:uid="{00000000-0005-0000-0000-0000A6190000}"/>
    <cellStyle name="Comma 3 10 3 3 2" xfId="31724" xr:uid="{00000000-0005-0000-0000-0000A7190000}"/>
    <cellStyle name="Comma 3 10 3 4" xfId="17956" xr:uid="{00000000-0005-0000-0000-0000A8190000}"/>
    <cellStyle name="Comma 3 10 3 4 2" xfId="37876" xr:uid="{00000000-0005-0000-0000-0000A9190000}"/>
    <cellStyle name="Comma 3 10 3 5" xfId="25571" xr:uid="{00000000-0005-0000-0000-0000AA190000}"/>
    <cellStyle name="Comma 3 10 4" xfId="7142" xr:uid="{00000000-0005-0000-0000-0000AB190000}"/>
    <cellStyle name="Comma 3 10 4 2" xfId="13336" xr:uid="{00000000-0005-0000-0000-0000AC190000}"/>
    <cellStyle name="Comma 3 10 4 2 2" xfId="33256" xr:uid="{00000000-0005-0000-0000-0000AD190000}"/>
    <cellStyle name="Comma 3 10 4 3" xfId="19488" xr:uid="{00000000-0005-0000-0000-0000AE190000}"/>
    <cellStyle name="Comma 3 10 4 3 2" xfId="39408" xr:uid="{00000000-0005-0000-0000-0000AF190000}"/>
    <cellStyle name="Comma 3 10 4 4" xfId="27103" xr:uid="{00000000-0005-0000-0000-0000B0190000}"/>
    <cellStyle name="Comma 3 10 5" xfId="10270" xr:uid="{00000000-0005-0000-0000-0000B1190000}"/>
    <cellStyle name="Comma 3 10 5 2" xfId="30190" xr:uid="{00000000-0005-0000-0000-0000B2190000}"/>
    <cellStyle name="Comma 3 10 6" xfId="16422" xr:uid="{00000000-0005-0000-0000-0000B3190000}"/>
    <cellStyle name="Comma 3 10 6 2" xfId="36342" xr:uid="{00000000-0005-0000-0000-0000B4190000}"/>
    <cellStyle name="Comma 3 10 7" xfId="1562" xr:uid="{00000000-0005-0000-0000-0000B5190000}"/>
    <cellStyle name="Comma 3 10 7 2" xfId="24037" xr:uid="{00000000-0005-0000-0000-0000B6190000}"/>
    <cellStyle name="Comma 3 11" xfId="281" xr:uid="{00000000-0005-0000-0000-0000B7190000}"/>
    <cellStyle name="Comma 3 11 2" xfId="4736" xr:uid="{00000000-0005-0000-0000-0000B8190000}"/>
    <cellStyle name="Comma 3 11 2 2" xfId="6361" xr:uid="{00000000-0005-0000-0000-0000B9190000}"/>
    <cellStyle name="Comma 3 11 2 2 2" xfId="9447" xr:uid="{00000000-0005-0000-0000-0000BA190000}"/>
    <cellStyle name="Comma 3 11 2 2 2 2" xfId="15640" xr:uid="{00000000-0005-0000-0000-0000BB190000}"/>
    <cellStyle name="Comma 3 11 2 2 2 2 2" xfId="35560" xr:uid="{00000000-0005-0000-0000-0000BC190000}"/>
    <cellStyle name="Comma 3 11 2 2 2 3" xfId="21792" xr:uid="{00000000-0005-0000-0000-0000BD190000}"/>
    <cellStyle name="Comma 3 11 2 2 2 3 2" xfId="41712" xr:uid="{00000000-0005-0000-0000-0000BE190000}"/>
    <cellStyle name="Comma 3 11 2 2 2 4" xfId="29407" xr:uid="{00000000-0005-0000-0000-0000BF190000}"/>
    <cellStyle name="Comma 3 11 2 2 3" xfId="12574" xr:uid="{00000000-0005-0000-0000-0000C0190000}"/>
    <cellStyle name="Comma 3 11 2 2 3 2" xfId="32494" xr:uid="{00000000-0005-0000-0000-0000C1190000}"/>
    <cellStyle name="Comma 3 11 2 2 4" xfId="18726" xr:uid="{00000000-0005-0000-0000-0000C2190000}"/>
    <cellStyle name="Comma 3 11 2 2 4 2" xfId="38646" xr:uid="{00000000-0005-0000-0000-0000C3190000}"/>
    <cellStyle name="Comma 3 11 2 2 5" xfId="26341" xr:uid="{00000000-0005-0000-0000-0000C4190000}"/>
    <cellStyle name="Comma 3 11 2 3" xfId="7912" xr:uid="{00000000-0005-0000-0000-0000C5190000}"/>
    <cellStyle name="Comma 3 11 2 3 2" xfId="14106" xr:uid="{00000000-0005-0000-0000-0000C6190000}"/>
    <cellStyle name="Comma 3 11 2 3 2 2" xfId="34026" xr:uid="{00000000-0005-0000-0000-0000C7190000}"/>
    <cellStyle name="Comma 3 11 2 3 3" xfId="20258" xr:uid="{00000000-0005-0000-0000-0000C8190000}"/>
    <cellStyle name="Comma 3 11 2 3 3 2" xfId="40178" xr:uid="{00000000-0005-0000-0000-0000C9190000}"/>
    <cellStyle name="Comma 3 11 2 3 4" xfId="27873" xr:uid="{00000000-0005-0000-0000-0000CA190000}"/>
    <cellStyle name="Comma 3 11 2 4" xfId="11040" xr:uid="{00000000-0005-0000-0000-0000CB190000}"/>
    <cellStyle name="Comma 3 11 2 4 2" xfId="30960" xr:uid="{00000000-0005-0000-0000-0000CC190000}"/>
    <cellStyle name="Comma 3 11 2 5" xfId="17192" xr:uid="{00000000-0005-0000-0000-0000CD190000}"/>
    <cellStyle name="Comma 3 11 2 5 2" xfId="37112" xr:uid="{00000000-0005-0000-0000-0000CE190000}"/>
    <cellStyle name="Comma 3 11 2 6" xfId="24807" xr:uid="{00000000-0005-0000-0000-0000CF190000}"/>
    <cellStyle name="Comma 3 11 3" xfId="5575" xr:uid="{00000000-0005-0000-0000-0000D0190000}"/>
    <cellStyle name="Comma 3 11 3 2" xfId="8678" xr:uid="{00000000-0005-0000-0000-0000D1190000}"/>
    <cellStyle name="Comma 3 11 3 2 2" xfId="14871" xr:uid="{00000000-0005-0000-0000-0000D2190000}"/>
    <cellStyle name="Comma 3 11 3 2 2 2" xfId="34791" xr:uid="{00000000-0005-0000-0000-0000D3190000}"/>
    <cellStyle name="Comma 3 11 3 2 3" xfId="21023" xr:uid="{00000000-0005-0000-0000-0000D4190000}"/>
    <cellStyle name="Comma 3 11 3 2 3 2" xfId="40943" xr:uid="{00000000-0005-0000-0000-0000D5190000}"/>
    <cellStyle name="Comma 3 11 3 2 4" xfId="28638" xr:uid="{00000000-0005-0000-0000-0000D6190000}"/>
    <cellStyle name="Comma 3 11 3 3" xfId="11805" xr:uid="{00000000-0005-0000-0000-0000D7190000}"/>
    <cellStyle name="Comma 3 11 3 3 2" xfId="31725" xr:uid="{00000000-0005-0000-0000-0000D8190000}"/>
    <cellStyle name="Comma 3 11 3 4" xfId="17957" xr:uid="{00000000-0005-0000-0000-0000D9190000}"/>
    <cellStyle name="Comma 3 11 3 4 2" xfId="37877" xr:uid="{00000000-0005-0000-0000-0000DA190000}"/>
    <cellStyle name="Comma 3 11 3 5" xfId="25572" xr:uid="{00000000-0005-0000-0000-0000DB190000}"/>
    <cellStyle name="Comma 3 11 4" xfId="7143" xr:uid="{00000000-0005-0000-0000-0000DC190000}"/>
    <cellStyle name="Comma 3 11 4 2" xfId="13337" xr:uid="{00000000-0005-0000-0000-0000DD190000}"/>
    <cellStyle name="Comma 3 11 4 2 2" xfId="33257" xr:uid="{00000000-0005-0000-0000-0000DE190000}"/>
    <cellStyle name="Comma 3 11 4 3" xfId="19489" xr:uid="{00000000-0005-0000-0000-0000DF190000}"/>
    <cellStyle name="Comma 3 11 4 3 2" xfId="39409" xr:uid="{00000000-0005-0000-0000-0000E0190000}"/>
    <cellStyle name="Comma 3 11 4 4" xfId="27104" xr:uid="{00000000-0005-0000-0000-0000E1190000}"/>
    <cellStyle name="Comma 3 11 5" xfId="10271" xr:uid="{00000000-0005-0000-0000-0000E2190000}"/>
    <cellStyle name="Comma 3 11 5 2" xfId="30191" xr:uid="{00000000-0005-0000-0000-0000E3190000}"/>
    <cellStyle name="Comma 3 11 6" xfId="16423" xr:uid="{00000000-0005-0000-0000-0000E4190000}"/>
    <cellStyle name="Comma 3 11 6 2" xfId="36343" xr:uid="{00000000-0005-0000-0000-0000E5190000}"/>
    <cellStyle name="Comma 3 11 7" xfId="1563" xr:uid="{00000000-0005-0000-0000-0000E6190000}"/>
    <cellStyle name="Comma 3 11 7 2" xfId="24038" xr:uid="{00000000-0005-0000-0000-0000E7190000}"/>
    <cellStyle name="Comma 3 12" xfId="293" xr:uid="{00000000-0005-0000-0000-0000E8190000}"/>
    <cellStyle name="Comma 3 12 2" xfId="4737" xr:uid="{00000000-0005-0000-0000-0000E9190000}"/>
    <cellStyle name="Comma 3 12 2 2" xfId="6362" xr:uid="{00000000-0005-0000-0000-0000EA190000}"/>
    <cellStyle name="Comma 3 12 2 2 2" xfId="9448" xr:uid="{00000000-0005-0000-0000-0000EB190000}"/>
    <cellStyle name="Comma 3 12 2 2 2 2" xfId="15641" xr:uid="{00000000-0005-0000-0000-0000EC190000}"/>
    <cellStyle name="Comma 3 12 2 2 2 2 2" xfId="35561" xr:uid="{00000000-0005-0000-0000-0000ED190000}"/>
    <cellStyle name="Comma 3 12 2 2 2 3" xfId="21793" xr:uid="{00000000-0005-0000-0000-0000EE190000}"/>
    <cellStyle name="Comma 3 12 2 2 2 3 2" xfId="41713" xr:uid="{00000000-0005-0000-0000-0000EF190000}"/>
    <cellStyle name="Comma 3 12 2 2 2 4" xfId="29408" xr:uid="{00000000-0005-0000-0000-0000F0190000}"/>
    <cellStyle name="Comma 3 12 2 2 3" xfId="12575" xr:uid="{00000000-0005-0000-0000-0000F1190000}"/>
    <cellStyle name="Comma 3 12 2 2 3 2" xfId="32495" xr:uid="{00000000-0005-0000-0000-0000F2190000}"/>
    <cellStyle name="Comma 3 12 2 2 4" xfId="18727" xr:uid="{00000000-0005-0000-0000-0000F3190000}"/>
    <cellStyle name="Comma 3 12 2 2 4 2" xfId="38647" xr:uid="{00000000-0005-0000-0000-0000F4190000}"/>
    <cellStyle name="Comma 3 12 2 2 5" xfId="26342" xr:uid="{00000000-0005-0000-0000-0000F5190000}"/>
    <cellStyle name="Comma 3 12 2 3" xfId="7913" xr:uid="{00000000-0005-0000-0000-0000F6190000}"/>
    <cellStyle name="Comma 3 12 2 3 2" xfId="14107" xr:uid="{00000000-0005-0000-0000-0000F7190000}"/>
    <cellStyle name="Comma 3 12 2 3 2 2" xfId="34027" xr:uid="{00000000-0005-0000-0000-0000F8190000}"/>
    <cellStyle name="Comma 3 12 2 3 3" xfId="20259" xr:uid="{00000000-0005-0000-0000-0000F9190000}"/>
    <cellStyle name="Comma 3 12 2 3 3 2" xfId="40179" xr:uid="{00000000-0005-0000-0000-0000FA190000}"/>
    <cellStyle name="Comma 3 12 2 3 4" xfId="27874" xr:uid="{00000000-0005-0000-0000-0000FB190000}"/>
    <cellStyle name="Comma 3 12 2 4" xfId="11041" xr:uid="{00000000-0005-0000-0000-0000FC190000}"/>
    <cellStyle name="Comma 3 12 2 4 2" xfId="30961" xr:uid="{00000000-0005-0000-0000-0000FD190000}"/>
    <cellStyle name="Comma 3 12 2 5" xfId="17193" xr:uid="{00000000-0005-0000-0000-0000FE190000}"/>
    <cellStyle name="Comma 3 12 2 5 2" xfId="37113" xr:uid="{00000000-0005-0000-0000-0000FF190000}"/>
    <cellStyle name="Comma 3 12 2 6" xfId="24808" xr:uid="{00000000-0005-0000-0000-0000001A0000}"/>
    <cellStyle name="Comma 3 12 3" xfId="5576" xr:uid="{00000000-0005-0000-0000-0000011A0000}"/>
    <cellStyle name="Comma 3 12 3 2" xfId="8679" xr:uid="{00000000-0005-0000-0000-0000021A0000}"/>
    <cellStyle name="Comma 3 12 3 2 2" xfId="14872" xr:uid="{00000000-0005-0000-0000-0000031A0000}"/>
    <cellStyle name="Comma 3 12 3 2 2 2" xfId="34792" xr:uid="{00000000-0005-0000-0000-0000041A0000}"/>
    <cellStyle name="Comma 3 12 3 2 3" xfId="21024" xr:uid="{00000000-0005-0000-0000-0000051A0000}"/>
    <cellStyle name="Comma 3 12 3 2 3 2" xfId="40944" xr:uid="{00000000-0005-0000-0000-0000061A0000}"/>
    <cellStyle name="Comma 3 12 3 2 4" xfId="28639" xr:uid="{00000000-0005-0000-0000-0000071A0000}"/>
    <cellStyle name="Comma 3 12 3 3" xfId="11806" xr:uid="{00000000-0005-0000-0000-0000081A0000}"/>
    <cellStyle name="Comma 3 12 3 3 2" xfId="31726" xr:uid="{00000000-0005-0000-0000-0000091A0000}"/>
    <cellStyle name="Comma 3 12 3 4" xfId="17958" xr:uid="{00000000-0005-0000-0000-00000A1A0000}"/>
    <cellStyle name="Comma 3 12 3 4 2" xfId="37878" xr:uid="{00000000-0005-0000-0000-00000B1A0000}"/>
    <cellStyle name="Comma 3 12 3 5" xfId="25573" xr:uid="{00000000-0005-0000-0000-00000C1A0000}"/>
    <cellStyle name="Comma 3 12 4" xfId="7144" xr:uid="{00000000-0005-0000-0000-00000D1A0000}"/>
    <cellStyle name="Comma 3 12 4 2" xfId="13338" xr:uid="{00000000-0005-0000-0000-00000E1A0000}"/>
    <cellStyle name="Comma 3 12 4 2 2" xfId="33258" xr:uid="{00000000-0005-0000-0000-00000F1A0000}"/>
    <cellStyle name="Comma 3 12 4 3" xfId="19490" xr:uid="{00000000-0005-0000-0000-0000101A0000}"/>
    <cellStyle name="Comma 3 12 4 3 2" xfId="39410" xr:uid="{00000000-0005-0000-0000-0000111A0000}"/>
    <cellStyle name="Comma 3 12 4 4" xfId="27105" xr:uid="{00000000-0005-0000-0000-0000121A0000}"/>
    <cellStyle name="Comma 3 12 5" xfId="10272" xr:uid="{00000000-0005-0000-0000-0000131A0000}"/>
    <cellStyle name="Comma 3 12 5 2" xfId="30192" xr:uid="{00000000-0005-0000-0000-0000141A0000}"/>
    <cellStyle name="Comma 3 12 6" xfId="16424" xr:uid="{00000000-0005-0000-0000-0000151A0000}"/>
    <cellStyle name="Comma 3 12 6 2" xfId="36344" xr:uid="{00000000-0005-0000-0000-0000161A0000}"/>
    <cellStyle name="Comma 3 12 7" xfId="1564" xr:uid="{00000000-0005-0000-0000-0000171A0000}"/>
    <cellStyle name="Comma 3 12 7 2" xfId="24039" xr:uid="{00000000-0005-0000-0000-0000181A0000}"/>
    <cellStyle name="Comma 3 13" xfId="305" xr:uid="{00000000-0005-0000-0000-0000191A0000}"/>
    <cellStyle name="Comma 3 13 2" xfId="4738" xr:uid="{00000000-0005-0000-0000-00001A1A0000}"/>
    <cellStyle name="Comma 3 13 2 2" xfId="6363" xr:uid="{00000000-0005-0000-0000-00001B1A0000}"/>
    <cellStyle name="Comma 3 13 2 2 2" xfId="9449" xr:uid="{00000000-0005-0000-0000-00001C1A0000}"/>
    <cellStyle name="Comma 3 13 2 2 2 2" xfId="15642" xr:uid="{00000000-0005-0000-0000-00001D1A0000}"/>
    <cellStyle name="Comma 3 13 2 2 2 2 2" xfId="35562" xr:uid="{00000000-0005-0000-0000-00001E1A0000}"/>
    <cellStyle name="Comma 3 13 2 2 2 3" xfId="21794" xr:uid="{00000000-0005-0000-0000-00001F1A0000}"/>
    <cellStyle name="Comma 3 13 2 2 2 3 2" xfId="41714" xr:uid="{00000000-0005-0000-0000-0000201A0000}"/>
    <cellStyle name="Comma 3 13 2 2 2 4" xfId="29409" xr:uid="{00000000-0005-0000-0000-0000211A0000}"/>
    <cellStyle name="Comma 3 13 2 2 3" xfId="12576" xr:uid="{00000000-0005-0000-0000-0000221A0000}"/>
    <cellStyle name="Comma 3 13 2 2 3 2" xfId="32496" xr:uid="{00000000-0005-0000-0000-0000231A0000}"/>
    <cellStyle name="Comma 3 13 2 2 4" xfId="18728" xr:uid="{00000000-0005-0000-0000-0000241A0000}"/>
    <cellStyle name="Comma 3 13 2 2 4 2" xfId="38648" xr:uid="{00000000-0005-0000-0000-0000251A0000}"/>
    <cellStyle name="Comma 3 13 2 2 5" xfId="26343" xr:uid="{00000000-0005-0000-0000-0000261A0000}"/>
    <cellStyle name="Comma 3 13 2 3" xfId="7914" xr:uid="{00000000-0005-0000-0000-0000271A0000}"/>
    <cellStyle name="Comma 3 13 2 3 2" xfId="14108" xr:uid="{00000000-0005-0000-0000-0000281A0000}"/>
    <cellStyle name="Comma 3 13 2 3 2 2" xfId="34028" xr:uid="{00000000-0005-0000-0000-0000291A0000}"/>
    <cellStyle name="Comma 3 13 2 3 3" xfId="20260" xr:uid="{00000000-0005-0000-0000-00002A1A0000}"/>
    <cellStyle name="Comma 3 13 2 3 3 2" xfId="40180" xr:uid="{00000000-0005-0000-0000-00002B1A0000}"/>
    <cellStyle name="Comma 3 13 2 3 4" xfId="27875" xr:uid="{00000000-0005-0000-0000-00002C1A0000}"/>
    <cellStyle name="Comma 3 13 2 4" xfId="11042" xr:uid="{00000000-0005-0000-0000-00002D1A0000}"/>
    <cellStyle name="Comma 3 13 2 4 2" xfId="30962" xr:uid="{00000000-0005-0000-0000-00002E1A0000}"/>
    <cellStyle name="Comma 3 13 2 5" xfId="17194" xr:uid="{00000000-0005-0000-0000-00002F1A0000}"/>
    <cellStyle name="Comma 3 13 2 5 2" xfId="37114" xr:uid="{00000000-0005-0000-0000-0000301A0000}"/>
    <cellStyle name="Comma 3 13 2 6" xfId="24809" xr:uid="{00000000-0005-0000-0000-0000311A0000}"/>
    <cellStyle name="Comma 3 13 3" xfId="5577" xr:uid="{00000000-0005-0000-0000-0000321A0000}"/>
    <cellStyle name="Comma 3 13 3 2" xfId="8680" xr:uid="{00000000-0005-0000-0000-0000331A0000}"/>
    <cellStyle name="Comma 3 13 3 2 2" xfId="14873" xr:uid="{00000000-0005-0000-0000-0000341A0000}"/>
    <cellStyle name="Comma 3 13 3 2 2 2" xfId="34793" xr:uid="{00000000-0005-0000-0000-0000351A0000}"/>
    <cellStyle name="Comma 3 13 3 2 3" xfId="21025" xr:uid="{00000000-0005-0000-0000-0000361A0000}"/>
    <cellStyle name="Comma 3 13 3 2 3 2" xfId="40945" xr:uid="{00000000-0005-0000-0000-0000371A0000}"/>
    <cellStyle name="Comma 3 13 3 2 4" xfId="28640" xr:uid="{00000000-0005-0000-0000-0000381A0000}"/>
    <cellStyle name="Comma 3 13 3 3" xfId="11807" xr:uid="{00000000-0005-0000-0000-0000391A0000}"/>
    <cellStyle name="Comma 3 13 3 3 2" xfId="31727" xr:uid="{00000000-0005-0000-0000-00003A1A0000}"/>
    <cellStyle name="Comma 3 13 3 4" xfId="17959" xr:uid="{00000000-0005-0000-0000-00003B1A0000}"/>
    <cellStyle name="Comma 3 13 3 4 2" xfId="37879" xr:uid="{00000000-0005-0000-0000-00003C1A0000}"/>
    <cellStyle name="Comma 3 13 3 5" xfId="25574" xr:uid="{00000000-0005-0000-0000-00003D1A0000}"/>
    <cellStyle name="Comma 3 13 4" xfId="7145" xr:uid="{00000000-0005-0000-0000-00003E1A0000}"/>
    <cellStyle name="Comma 3 13 4 2" xfId="13339" xr:uid="{00000000-0005-0000-0000-00003F1A0000}"/>
    <cellStyle name="Comma 3 13 4 2 2" xfId="33259" xr:uid="{00000000-0005-0000-0000-0000401A0000}"/>
    <cellStyle name="Comma 3 13 4 3" xfId="19491" xr:uid="{00000000-0005-0000-0000-0000411A0000}"/>
    <cellStyle name="Comma 3 13 4 3 2" xfId="39411" xr:uid="{00000000-0005-0000-0000-0000421A0000}"/>
    <cellStyle name="Comma 3 13 4 4" xfId="27106" xr:uid="{00000000-0005-0000-0000-0000431A0000}"/>
    <cellStyle name="Comma 3 13 5" xfId="10273" xr:uid="{00000000-0005-0000-0000-0000441A0000}"/>
    <cellStyle name="Comma 3 13 5 2" xfId="30193" xr:uid="{00000000-0005-0000-0000-0000451A0000}"/>
    <cellStyle name="Comma 3 13 6" xfId="16425" xr:uid="{00000000-0005-0000-0000-0000461A0000}"/>
    <cellStyle name="Comma 3 13 6 2" xfId="36345" xr:uid="{00000000-0005-0000-0000-0000471A0000}"/>
    <cellStyle name="Comma 3 13 7" xfId="1565" xr:uid="{00000000-0005-0000-0000-0000481A0000}"/>
    <cellStyle name="Comma 3 13 7 2" xfId="24040" xr:uid="{00000000-0005-0000-0000-0000491A0000}"/>
    <cellStyle name="Comma 3 14" xfId="317" xr:uid="{00000000-0005-0000-0000-00004A1A0000}"/>
    <cellStyle name="Comma 3 14 2" xfId="4739" xr:uid="{00000000-0005-0000-0000-00004B1A0000}"/>
    <cellStyle name="Comma 3 14 2 2" xfId="6364" xr:uid="{00000000-0005-0000-0000-00004C1A0000}"/>
    <cellStyle name="Comma 3 14 2 2 2" xfId="9450" xr:uid="{00000000-0005-0000-0000-00004D1A0000}"/>
    <cellStyle name="Comma 3 14 2 2 2 2" xfId="15643" xr:uid="{00000000-0005-0000-0000-00004E1A0000}"/>
    <cellStyle name="Comma 3 14 2 2 2 2 2" xfId="35563" xr:uid="{00000000-0005-0000-0000-00004F1A0000}"/>
    <cellStyle name="Comma 3 14 2 2 2 3" xfId="21795" xr:uid="{00000000-0005-0000-0000-0000501A0000}"/>
    <cellStyle name="Comma 3 14 2 2 2 3 2" xfId="41715" xr:uid="{00000000-0005-0000-0000-0000511A0000}"/>
    <cellStyle name="Comma 3 14 2 2 2 4" xfId="29410" xr:uid="{00000000-0005-0000-0000-0000521A0000}"/>
    <cellStyle name="Comma 3 14 2 2 3" xfId="12577" xr:uid="{00000000-0005-0000-0000-0000531A0000}"/>
    <cellStyle name="Comma 3 14 2 2 3 2" xfId="32497" xr:uid="{00000000-0005-0000-0000-0000541A0000}"/>
    <cellStyle name="Comma 3 14 2 2 4" xfId="18729" xr:uid="{00000000-0005-0000-0000-0000551A0000}"/>
    <cellStyle name="Comma 3 14 2 2 4 2" xfId="38649" xr:uid="{00000000-0005-0000-0000-0000561A0000}"/>
    <cellStyle name="Comma 3 14 2 2 5" xfId="26344" xr:uid="{00000000-0005-0000-0000-0000571A0000}"/>
    <cellStyle name="Comma 3 14 2 3" xfId="7915" xr:uid="{00000000-0005-0000-0000-0000581A0000}"/>
    <cellStyle name="Comma 3 14 2 3 2" xfId="14109" xr:uid="{00000000-0005-0000-0000-0000591A0000}"/>
    <cellStyle name="Comma 3 14 2 3 2 2" xfId="34029" xr:uid="{00000000-0005-0000-0000-00005A1A0000}"/>
    <cellStyle name="Comma 3 14 2 3 3" xfId="20261" xr:uid="{00000000-0005-0000-0000-00005B1A0000}"/>
    <cellStyle name="Comma 3 14 2 3 3 2" xfId="40181" xr:uid="{00000000-0005-0000-0000-00005C1A0000}"/>
    <cellStyle name="Comma 3 14 2 3 4" xfId="27876" xr:uid="{00000000-0005-0000-0000-00005D1A0000}"/>
    <cellStyle name="Comma 3 14 2 4" xfId="11043" xr:uid="{00000000-0005-0000-0000-00005E1A0000}"/>
    <cellStyle name="Comma 3 14 2 4 2" xfId="30963" xr:uid="{00000000-0005-0000-0000-00005F1A0000}"/>
    <cellStyle name="Comma 3 14 2 5" xfId="17195" xr:uid="{00000000-0005-0000-0000-0000601A0000}"/>
    <cellStyle name="Comma 3 14 2 5 2" xfId="37115" xr:uid="{00000000-0005-0000-0000-0000611A0000}"/>
    <cellStyle name="Comma 3 14 2 6" xfId="24810" xr:uid="{00000000-0005-0000-0000-0000621A0000}"/>
    <cellStyle name="Comma 3 14 3" xfId="5578" xr:uid="{00000000-0005-0000-0000-0000631A0000}"/>
    <cellStyle name="Comma 3 14 3 2" xfId="8681" xr:uid="{00000000-0005-0000-0000-0000641A0000}"/>
    <cellStyle name="Comma 3 14 3 2 2" xfId="14874" xr:uid="{00000000-0005-0000-0000-0000651A0000}"/>
    <cellStyle name="Comma 3 14 3 2 2 2" xfId="34794" xr:uid="{00000000-0005-0000-0000-0000661A0000}"/>
    <cellStyle name="Comma 3 14 3 2 3" xfId="21026" xr:uid="{00000000-0005-0000-0000-0000671A0000}"/>
    <cellStyle name="Comma 3 14 3 2 3 2" xfId="40946" xr:uid="{00000000-0005-0000-0000-0000681A0000}"/>
    <cellStyle name="Comma 3 14 3 2 4" xfId="28641" xr:uid="{00000000-0005-0000-0000-0000691A0000}"/>
    <cellStyle name="Comma 3 14 3 3" xfId="11808" xr:uid="{00000000-0005-0000-0000-00006A1A0000}"/>
    <cellStyle name="Comma 3 14 3 3 2" xfId="31728" xr:uid="{00000000-0005-0000-0000-00006B1A0000}"/>
    <cellStyle name="Comma 3 14 3 4" xfId="17960" xr:uid="{00000000-0005-0000-0000-00006C1A0000}"/>
    <cellStyle name="Comma 3 14 3 4 2" xfId="37880" xr:uid="{00000000-0005-0000-0000-00006D1A0000}"/>
    <cellStyle name="Comma 3 14 3 5" xfId="25575" xr:uid="{00000000-0005-0000-0000-00006E1A0000}"/>
    <cellStyle name="Comma 3 14 4" xfId="7146" xr:uid="{00000000-0005-0000-0000-00006F1A0000}"/>
    <cellStyle name="Comma 3 14 4 2" xfId="13340" xr:uid="{00000000-0005-0000-0000-0000701A0000}"/>
    <cellStyle name="Comma 3 14 4 2 2" xfId="33260" xr:uid="{00000000-0005-0000-0000-0000711A0000}"/>
    <cellStyle name="Comma 3 14 4 3" xfId="19492" xr:uid="{00000000-0005-0000-0000-0000721A0000}"/>
    <cellStyle name="Comma 3 14 4 3 2" xfId="39412" xr:uid="{00000000-0005-0000-0000-0000731A0000}"/>
    <cellStyle name="Comma 3 14 4 4" xfId="27107" xr:uid="{00000000-0005-0000-0000-0000741A0000}"/>
    <cellStyle name="Comma 3 14 5" xfId="10274" xr:uid="{00000000-0005-0000-0000-0000751A0000}"/>
    <cellStyle name="Comma 3 14 5 2" xfId="30194" xr:uid="{00000000-0005-0000-0000-0000761A0000}"/>
    <cellStyle name="Comma 3 14 6" xfId="16426" xr:uid="{00000000-0005-0000-0000-0000771A0000}"/>
    <cellStyle name="Comma 3 14 6 2" xfId="36346" xr:uid="{00000000-0005-0000-0000-0000781A0000}"/>
    <cellStyle name="Comma 3 14 7" xfId="1566" xr:uid="{00000000-0005-0000-0000-0000791A0000}"/>
    <cellStyle name="Comma 3 14 7 2" xfId="24041" xr:uid="{00000000-0005-0000-0000-00007A1A0000}"/>
    <cellStyle name="Comma 3 15" xfId="338" xr:uid="{00000000-0005-0000-0000-00007B1A0000}"/>
    <cellStyle name="Comma 3 15 2" xfId="4740" xr:uid="{00000000-0005-0000-0000-00007C1A0000}"/>
    <cellStyle name="Comma 3 15 2 2" xfId="6365" xr:uid="{00000000-0005-0000-0000-00007D1A0000}"/>
    <cellStyle name="Comma 3 15 2 2 2" xfId="9451" xr:uid="{00000000-0005-0000-0000-00007E1A0000}"/>
    <cellStyle name="Comma 3 15 2 2 2 2" xfId="15644" xr:uid="{00000000-0005-0000-0000-00007F1A0000}"/>
    <cellStyle name="Comma 3 15 2 2 2 2 2" xfId="35564" xr:uid="{00000000-0005-0000-0000-0000801A0000}"/>
    <cellStyle name="Comma 3 15 2 2 2 3" xfId="21796" xr:uid="{00000000-0005-0000-0000-0000811A0000}"/>
    <cellStyle name="Comma 3 15 2 2 2 3 2" xfId="41716" xr:uid="{00000000-0005-0000-0000-0000821A0000}"/>
    <cellStyle name="Comma 3 15 2 2 2 4" xfId="29411" xr:uid="{00000000-0005-0000-0000-0000831A0000}"/>
    <cellStyle name="Comma 3 15 2 2 3" xfId="12578" xr:uid="{00000000-0005-0000-0000-0000841A0000}"/>
    <cellStyle name="Comma 3 15 2 2 3 2" xfId="32498" xr:uid="{00000000-0005-0000-0000-0000851A0000}"/>
    <cellStyle name="Comma 3 15 2 2 4" xfId="18730" xr:uid="{00000000-0005-0000-0000-0000861A0000}"/>
    <cellStyle name="Comma 3 15 2 2 4 2" xfId="38650" xr:uid="{00000000-0005-0000-0000-0000871A0000}"/>
    <cellStyle name="Comma 3 15 2 2 5" xfId="26345" xr:uid="{00000000-0005-0000-0000-0000881A0000}"/>
    <cellStyle name="Comma 3 15 2 3" xfId="7916" xr:uid="{00000000-0005-0000-0000-0000891A0000}"/>
    <cellStyle name="Comma 3 15 2 3 2" xfId="14110" xr:uid="{00000000-0005-0000-0000-00008A1A0000}"/>
    <cellStyle name="Comma 3 15 2 3 2 2" xfId="34030" xr:uid="{00000000-0005-0000-0000-00008B1A0000}"/>
    <cellStyle name="Comma 3 15 2 3 3" xfId="20262" xr:uid="{00000000-0005-0000-0000-00008C1A0000}"/>
    <cellStyle name="Comma 3 15 2 3 3 2" xfId="40182" xr:uid="{00000000-0005-0000-0000-00008D1A0000}"/>
    <cellStyle name="Comma 3 15 2 3 4" xfId="27877" xr:uid="{00000000-0005-0000-0000-00008E1A0000}"/>
    <cellStyle name="Comma 3 15 2 4" xfId="11044" xr:uid="{00000000-0005-0000-0000-00008F1A0000}"/>
    <cellStyle name="Comma 3 15 2 4 2" xfId="30964" xr:uid="{00000000-0005-0000-0000-0000901A0000}"/>
    <cellStyle name="Comma 3 15 2 5" xfId="17196" xr:uid="{00000000-0005-0000-0000-0000911A0000}"/>
    <cellStyle name="Comma 3 15 2 5 2" xfId="37116" xr:uid="{00000000-0005-0000-0000-0000921A0000}"/>
    <cellStyle name="Comma 3 15 2 6" xfId="24811" xr:uid="{00000000-0005-0000-0000-0000931A0000}"/>
    <cellStyle name="Comma 3 15 3" xfId="5579" xr:uid="{00000000-0005-0000-0000-0000941A0000}"/>
    <cellStyle name="Comma 3 15 3 2" xfId="8682" xr:uid="{00000000-0005-0000-0000-0000951A0000}"/>
    <cellStyle name="Comma 3 15 3 2 2" xfId="14875" xr:uid="{00000000-0005-0000-0000-0000961A0000}"/>
    <cellStyle name="Comma 3 15 3 2 2 2" xfId="34795" xr:uid="{00000000-0005-0000-0000-0000971A0000}"/>
    <cellStyle name="Comma 3 15 3 2 3" xfId="21027" xr:uid="{00000000-0005-0000-0000-0000981A0000}"/>
    <cellStyle name="Comma 3 15 3 2 3 2" xfId="40947" xr:uid="{00000000-0005-0000-0000-0000991A0000}"/>
    <cellStyle name="Comma 3 15 3 2 4" xfId="28642" xr:uid="{00000000-0005-0000-0000-00009A1A0000}"/>
    <cellStyle name="Comma 3 15 3 3" xfId="11809" xr:uid="{00000000-0005-0000-0000-00009B1A0000}"/>
    <cellStyle name="Comma 3 15 3 3 2" xfId="31729" xr:uid="{00000000-0005-0000-0000-00009C1A0000}"/>
    <cellStyle name="Comma 3 15 3 4" xfId="17961" xr:uid="{00000000-0005-0000-0000-00009D1A0000}"/>
    <cellStyle name="Comma 3 15 3 4 2" xfId="37881" xr:uid="{00000000-0005-0000-0000-00009E1A0000}"/>
    <cellStyle name="Comma 3 15 3 5" xfId="25576" xr:uid="{00000000-0005-0000-0000-00009F1A0000}"/>
    <cellStyle name="Comma 3 15 4" xfId="7147" xr:uid="{00000000-0005-0000-0000-0000A01A0000}"/>
    <cellStyle name="Comma 3 15 4 2" xfId="13341" xr:uid="{00000000-0005-0000-0000-0000A11A0000}"/>
    <cellStyle name="Comma 3 15 4 2 2" xfId="33261" xr:uid="{00000000-0005-0000-0000-0000A21A0000}"/>
    <cellStyle name="Comma 3 15 4 3" xfId="19493" xr:uid="{00000000-0005-0000-0000-0000A31A0000}"/>
    <cellStyle name="Comma 3 15 4 3 2" xfId="39413" xr:uid="{00000000-0005-0000-0000-0000A41A0000}"/>
    <cellStyle name="Comma 3 15 4 4" xfId="27108" xr:uid="{00000000-0005-0000-0000-0000A51A0000}"/>
    <cellStyle name="Comma 3 15 5" xfId="10275" xr:uid="{00000000-0005-0000-0000-0000A61A0000}"/>
    <cellStyle name="Comma 3 15 5 2" xfId="30195" xr:uid="{00000000-0005-0000-0000-0000A71A0000}"/>
    <cellStyle name="Comma 3 15 6" xfId="16427" xr:uid="{00000000-0005-0000-0000-0000A81A0000}"/>
    <cellStyle name="Comma 3 15 6 2" xfId="36347" xr:uid="{00000000-0005-0000-0000-0000A91A0000}"/>
    <cellStyle name="Comma 3 15 7" xfId="1567" xr:uid="{00000000-0005-0000-0000-0000AA1A0000}"/>
    <cellStyle name="Comma 3 15 7 2" xfId="24042" xr:uid="{00000000-0005-0000-0000-0000AB1A0000}"/>
    <cellStyle name="Comma 3 16" xfId="355" xr:uid="{00000000-0005-0000-0000-0000AC1A0000}"/>
    <cellStyle name="Comma 3 16 2" xfId="4741" xr:uid="{00000000-0005-0000-0000-0000AD1A0000}"/>
    <cellStyle name="Comma 3 16 2 2" xfId="6366" xr:uid="{00000000-0005-0000-0000-0000AE1A0000}"/>
    <cellStyle name="Comma 3 16 2 2 2" xfId="9452" xr:uid="{00000000-0005-0000-0000-0000AF1A0000}"/>
    <cellStyle name="Comma 3 16 2 2 2 2" xfId="15645" xr:uid="{00000000-0005-0000-0000-0000B01A0000}"/>
    <cellStyle name="Comma 3 16 2 2 2 2 2" xfId="35565" xr:uid="{00000000-0005-0000-0000-0000B11A0000}"/>
    <cellStyle name="Comma 3 16 2 2 2 3" xfId="21797" xr:uid="{00000000-0005-0000-0000-0000B21A0000}"/>
    <cellStyle name="Comma 3 16 2 2 2 3 2" xfId="41717" xr:uid="{00000000-0005-0000-0000-0000B31A0000}"/>
    <cellStyle name="Comma 3 16 2 2 2 4" xfId="29412" xr:uid="{00000000-0005-0000-0000-0000B41A0000}"/>
    <cellStyle name="Comma 3 16 2 2 3" xfId="12579" xr:uid="{00000000-0005-0000-0000-0000B51A0000}"/>
    <cellStyle name="Comma 3 16 2 2 3 2" xfId="32499" xr:uid="{00000000-0005-0000-0000-0000B61A0000}"/>
    <cellStyle name="Comma 3 16 2 2 4" xfId="18731" xr:uid="{00000000-0005-0000-0000-0000B71A0000}"/>
    <cellStyle name="Comma 3 16 2 2 4 2" xfId="38651" xr:uid="{00000000-0005-0000-0000-0000B81A0000}"/>
    <cellStyle name="Comma 3 16 2 2 5" xfId="26346" xr:uid="{00000000-0005-0000-0000-0000B91A0000}"/>
    <cellStyle name="Comma 3 16 2 3" xfId="7917" xr:uid="{00000000-0005-0000-0000-0000BA1A0000}"/>
    <cellStyle name="Comma 3 16 2 3 2" xfId="14111" xr:uid="{00000000-0005-0000-0000-0000BB1A0000}"/>
    <cellStyle name="Comma 3 16 2 3 2 2" xfId="34031" xr:uid="{00000000-0005-0000-0000-0000BC1A0000}"/>
    <cellStyle name="Comma 3 16 2 3 3" xfId="20263" xr:uid="{00000000-0005-0000-0000-0000BD1A0000}"/>
    <cellStyle name="Comma 3 16 2 3 3 2" xfId="40183" xr:uid="{00000000-0005-0000-0000-0000BE1A0000}"/>
    <cellStyle name="Comma 3 16 2 3 4" xfId="27878" xr:uid="{00000000-0005-0000-0000-0000BF1A0000}"/>
    <cellStyle name="Comma 3 16 2 4" xfId="11045" xr:uid="{00000000-0005-0000-0000-0000C01A0000}"/>
    <cellStyle name="Comma 3 16 2 4 2" xfId="30965" xr:uid="{00000000-0005-0000-0000-0000C11A0000}"/>
    <cellStyle name="Comma 3 16 2 5" xfId="17197" xr:uid="{00000000-0005-0000-0000-0000C21A0000}"/>
    <cellStyle name="Comma 3 16 2 5 2" xfId="37117" xr:uid="{00000000-0005-0000-0000-0000C31A0000}"/>
    <cellStyle name="Comma 3 16 2 6" xfId="24812" xr:uid="{00000000-0005-0000-0000-0000C41A0000}"/>
    <cellStyle name="Comma 3 16 3" xfId="5580" xr:uid="{00000000-0005-0000-0000-0000C51A0000}"/>
    <cellStyle name="Comma 3 16 3 2" xfId="8683" xr:uid="{00000000-0005-0000-0000-0000C61A0000}"/>
    <cellStyle name="Comma 3 16 3 2 2" xfId="14876" xr:uid="{00000000-0005-0000-0000-0000C71A0000}"/>
    <cellStyle name="Comma 3 16 3 2 2 2" xfId="34796" xr:uid="{00000000-0005-0000-0000-0000C81A0000}"/>
    <cellStyle name="Comma 3 16 3 2 3" xfId="21028" xr:uid="{00000000-0005-0000-0000-0000C91A0000}"/>
    <cellStyle name="Comma 3 16 3 2 3 2" xfId="40948" xr:uid="{00000000-0005-0000-0000-0000CA1A0000}"/>
    <cellStyle name="Comma 3 16 3 2 4" xfId="28643" xr:uid="{00000000-0005-0000-0000-0000CB1A0000}"/>
    <cellStyle name="Comma 3 16 3 3" xfId="11810" xr:uid="{00000000-0005-0000-0000-0000CC1A0000}"/>
    <cellStyle name="Comma 3 16 3 3 2" xfId="31730" xr:uid="{00000000-0005-0000-0000-0000CD1A0000}"/>
    <cellStyle name="Comma 3 16 3 4" xfId="17962" xr:uid="{00000000-0005-0000-0000-0000CE1A0000}"/>
    <cellStyle name="Comma 3 16 3 4 2" xfId="37882" xr:uid="{00000000-0005-0000-0000-0000CF1A0000}"/>
    <cellStyle name="Comma 3 16 3 5" xfId="25577" xr:uid="{00000000-0005-0000-0000-0000D01A0000}"/>
    <cellStyle name="Comma 3 16 4" xfId="7148" xr:uid="{00000000-0005-0000-0000-0000D11A0000}"/>
    <cellStyle name="Comma 3 16 4 2" xfId="13342" xr:uid="{00000000-0005-0000-0000-0000D21A0000}"/>
    <cellStyle name="Comma 3 16 4 2 2" xfId="33262" xr:uid="{00000000-0005-0000-0000-0000D31A0000}"/>
    <cellStyle name="Comma 3 16 4 3" xfId="19494" xr:uid="{00000000-0005-0000-0000-0000D41A0000}"/>
    <cellStyle name="Comma 3 16 4 3 2" xfId="39414" xr:uid="{00000000-0005-0000-0000-0000D51A0000}"/>
    <cellStyle name="Comma 3 16 4 4" xfId="27109" xr:uid="{00000000-0005-0000-0000-0000D61A0000}"/>
    <cellStyle name="Comma 3 16 5" xfId="10276" xr:uid="{00000000-0005-0000-0000-0000D71A0000}"/>
    <cellStyle name="Comma 3 16 5 2" xfId="30196" xr:uid="{00000000-0005-0000-0000-0000D81A0000}"/>
    <cellStyle name="Comma 3 16 6" xfId="16428" xr:uid="{00000000-0005-0000-0000-0000D91A0000}"/>
    <cellStyle name="Comma 3 16 6 2" xfId="36348" xr:uid="{00000000-0005-0000-0000-0000DA1A0000}"/>
    <cellStyle name="Comma 3 16 7" xfId="1568" xr:uid="{00000000-0005-0000-0000-0000DB1A0000}"/>
    <cellStyle name="Comma 3 16 7 2" xfId="24043" xr:uid="{00000000-0005-0000-0000-0000DC1A0000}"/>
    <cellStyle name="Comma 3 17" xfId="369" xr:uid="{00000000-0005-0000-0000-0000DD1A0000}"/>
    <cellStyle name="Comma 3 17 2" xfId="4742" xr:uid="{00000000-0005-0000-0000-0000DE1A0000}"/>
    <cellStyle name="Comma 3 17 2 2" xfId="6367" xr:uid="{00000000-0005-0000-0000-0000DF1A0000}"/>
    <cellStyle name="Comma 3 17 2 2 2" xfId="9453" xr:uid="{00000000-0005-0000-0000-0000E01A0000}"/>
    <cellStyle name="Comma 3 17 2 2 2 2" xfId="15646" xr:uid="{00000000-0005-0000-0000-0000E11A0000}"/>
    <cellStyle name="Comma 3 17 2 2 2 2 2" xfId="35566" xr:uid="{00000000-0005-0000-0000-0000E21A0000}"/>
    <cellStyle name="Comma 3 17 2 2 2 3" xfId="21798" xr:uid="{00000000-0005-0000-0000-0000E31A0000}"/>
    <cellStyle name="Comma 3 17 2 2 2 3 2" xfId="41718" xr:uid="{00000000-0005-0000-0000-0000E41A0000}"/>
    <cellStyle name="Comma 3 17 2 2 2 4" xfId="29413" xr:uid="{00000000-0005-0000-0000-0000E51A0000}"/>
    <cellStyle name="Comma 3 17 2 2 3" xfId="12580" xr:uid="{00000000-0005-0000-0000-0000E61A0000}"/>
    <cellStyle name="Comma 3 17 2 2 3 2" xfId="32500" xr:uid="{00000000-0005-0000-0000-0000E71A0000}"/>
    <cellStyle name="Comma 3 17 2 2 4" xfId="18732" xr:uid="{00000000-0005-0000-0000-0000E81A0000}"/>
    <cellStyle name="Comma 3 17 2 2 4 2" xfId="38652" xr:uid="{00000000-0005-0000-0000-0000E91A0000}"/>
    <cellStyle name="Comma 3 17 2 2 5" xfId="26347" xr:uid="{00000000-0005-0000-0000-0000EA1A0000}"/>
    <cellStyle name="Comma 3 17 2 3" xfId="7918" xr:uid="{00000000-0005-0000-0000-0000EB1A0000}"/>
    <cellStyle name="Comma 3 17 2 3 2" xfId="14112" xr:uid="{00000000-0005-0000-0000-0000EC1A0000}"/>
    <cellStyle name="Comma 3 17 2 3 2 2" xfId="34032" xr:uid="{00000000-0005-0000-0000-0000ED1A0000}"/>
    <cellStyle name="Comma 3 17 2 3 3" xfId="20264" xr:uid="{00000000-0005-0000-0000-0000EE1A0000}"/>
    <cellStyle name="Comma 3 17 2 3 3 2" xfId="40184" xr:uid="{00000000-0005-0000-0000-0000EF1A0000}"/>
    <cellStyle name="Comma 3 17 2 3 4" xfId="27879" xr:uid="{00000000-0005-0000-0000-0000F01A0000}"/>
    <cellStyle name="Comma 3 17 2 4" xfId="11046" xr:uid="{00000000-0005-0000-0000-0000F11A0000}"/>
    <cellStyle name="Comma 3 17 2 4 2" xfId="30966" xr:uid="{00000000-0005-0000-0000-0000F21A0000}"/>
    <cellStyle name="Comma 3 17 2 5" xfId="17198" xr:uid="{00000000-0005-0000-0000-0000F31A0000}"/>
    <cellStyle name="Comma 3 17 2 5 2" xfId="37118" xr:uid="{00000000-0005-0000-0000-0000F41A0000}"/>
    <cellStyle name="Comma 3 17 2 6" xfId="24813" xr:uid="{00000000-0005-0000-0000-0000F51A0000}"/>
    <cellStyle name="Comma 3 17 3" xfId="5581" xr:uid="{00000000-0005-0000-0000-0000F61A0000}"/>
    <cellStyle name="Comma 3 17 3 2" xfId="8684" xr:uid="{00000000-0005-0000-0000-0000F71A0000}"/>
    <cellStyle name="Comma 3 17 3 2 2" xfId="14877" xr:uid="{00000000-0005-0000-0000-0000F81A0000}"/>
    <cellStyle name="Comma 3 17 3 2 2 2" xfId="34797" xr:uid="{00000000-0005-0000-0000-0000F91A0000}"/>
    <cellStyle name="Comma 3 17 3 2 3" xfId="21029" xr:uid="{00000000-0005-0000-0000-0000FA1A0000}"/>
    <cellStyle name="Comma 3 17 3 2 3 2" xfId="40949" xr:uid="{00000000-0005-0000-0000-0000FB1A0000}"/>
    <cellStyle name="Comma 3 17 3 2 4" xfId="28644" xr:uid="{00000000-0005-0000-0000-0000FC1A0000}"/>
    <cellStyle name="Comma 3 17 3 3" xfId="11811" xr:uid="{00000000-0005-0000-0000-0000FD1A0000}"/>
    <cellStyle name="Comma 3 17 3 3 2" xfId="31731" xr:uid="{00000000-0005-0000-0000-0000FE1A0000}"/>
    <cellStyle name="Comma 3 17 3 4" xfId="17963" xr:uid="{00000000-0005-0000-0000-0000FF1A0000}"/>
    <cellStyle name="Comma 3 17 3 4 2" xfId="37883" xr:uid="{00000000-0005-0000-0000-0000001B0000}"/>
    <cellStyle name="Comma 3 17 3 5" xfId="25578" xr:uid="{00000000-0005-0000-0000-0000011B0000}"/>
    <cellStyle name="Comma 3 17 4" xfId="7149" xr:uid="{00000000-0005-0000-0000-0000021B0000}"/>
    <cellStyle name="Comma 3 17 4 2" xfId="13343" xr:uid="{00000000-0005-0000-0000-0000031B0000}"/>
    <cellStyle name="Comma 3 17 4 2 2" xfId="33263" xr:uid="{00000000-0005-0000-0000-0000041B0000}"/>
    <cellStyle name="Comma 3 17 4 3" xfId="19495" xr:uid="{00000000-0005-0000-0000-0000051B0000}"/>
    <cellStyle name="Comma 3 17 4 3 2" xfId="39415" xr:uid="{00000000-0005-0000-0000-0000061B0000}"/>
    <cellStyle name="Comma 3 17 4 4" xfId="27110" xr:uid="{00000000-0005-0000-0000-0000071B0000}"/>
    <cellStyle name="Comma 3 17 5" xfId="10277" xr:uid="{00000000-0005-0000-0000-0000081B0000}"/>
    <cellStyle name="Comma 3 17 5 2" xfId="30197" xr:uid="{00000000-0005-0000-0000-0000091B0000}"/>
    <cellStyle name="Comma 3 17 6" xfId="16429" xr:uid="{00000000-0005-0000-0000-00000A1B0000}"/>
    <cellStyle name="Comma 3 17 6 2" xfId="36349" xr:uid="{00000000-0005-0000-0000-00000B1B0000}"/>
    <cellStyle name="Comma 3 17 7" xfId="1569" xr:uid="{00000000-0005-0000-0000-00000C1B0000}"/>
    <cellStyle name="Comma 3 17 7 2" xfId="24044" xr:uid="{00000000-0005-0000-0000-00000D1B0000}"/>
    <cellStyle name="Comma 3 18" xfId="411" xr:uid="{00000000-0005-0000-0000-00000E1B0000}"/>
    <cellStyle name="Comma 3 18 2" xfId="4743" xr:uid="{00000000-0005-0000-0000-00000F1B0000}"/>
    <cellStyle name="Comma 3 18 2 2" xfId="6368" xr:uid="{00000000-0005-0000-0000-0000101B0000}"/>
    <cellStyle name="Comma 3 18 2 2 2" xfId="9454" xr:uid="{00000000-0005-0000-0000-0000111B0000}"/>
    <cellStyle name="Comma 3 18 2 2 2 2" xfId="15647" xr:uid="{00000000-0005-0000-0000-0000121B0000}"/>
    <cellStyle name="Comma 3 18 2 2 2 2 2" xfId="35567" xr:uid="{00000000-0005-0000-0000-0000131B0000}"/>
    <cellStyle name="Comma 3 18 2 2 2 3" xfId="21799" xr:uid="{00000000-0005-0000-0000-0000141B0000}"/>
    <cellStyle name="Comma 3 18 2 2 2 3 2" xfId="41719" xr:uid="{00000000-0005-0000-0000-0000151B0000}"/>
    <cellStyle name="Comma 3 18 2 2 2 4" xfId="29414" xr:uid="{00000000-0005-0000-0000-0000161B0000}"/>
    <cellStyle name="Comma 3 18 2 2 3" xfId="12581" xr:uid="{00000000-0005-0000-0000-0000171B0000}"/>
    <cellStyle name="Comma 3 18 2 2 3 2" xfId="32501" xr:uid="{00000000-0005-0000-0000-0000181B0000}"/>
    <cellStyle name="Comma 3 18 2 2 4" xfId="18733" xr:uid="{00000000-0005-0000-0000-0000191B0000}"/>
    <cellStyle name="Comma 3 18 2 2 4 2" xfId="38653" xr:uid="{00000000-0005-0000-0000-00001A1B0000}"/>
    <cellStyle name="Comma 3 18 2 2 5" xfId="26348" xr:uid="{00000000-0005-0000-0000-00001B1B0000}"/>
    <cellStyle name="Comma 3 18 2 3" xfId="7919" xr:uid="{00000000-0005-0000-0000-00001C1B0000}"/>
    <cellStyle name="Comma 3 18 2 3 2" xfId="14113" xr:uid="{00000000-0005-0000-0000-00001D1B0000}"/>
    <cellStyle name="Comma 3 18 2 3 2 2" xfId="34033" xr:uid="{00000000-0005-0000-0000-00001E1B0000}"/>
    <cellStyle name="Comma 3 18 2 3 3" xfId="20265" xr:uid="{00000000-0005-0000-0000-00001F1B0000}"/>
    <cellStyle name="Comma 3 18 2 3 3 2" xfId="40185" xr:uid="{00000000-0005-0000-0000-0000201B0000}"/>
    <cellStyle name="Comma 3 18 2 3 4" xfId="27880" xr:uid="{00000000-0005-0000-0000-0000211B0000}"/>
    <cellStyle name="Comma 3 18 2 4" xfId="11047" xr:uid="{00000000-0005-0000-0000-0000221B0000}"/>
    <cellStyle name="Comma 3 18 2 4 2" xfId="30967" xr:uid="{00000000-0005-0000-0000-0000231B0000}"/>
    <cellStyle name="Comma 3 18 2 5" xfId="17199" xr:uid="{00000000-0005-0000-0000-0000241B0000}"/>
    <cellStyle name="Comma 3 18 2 5 2" xfId="37119" xr:uid="{00000000-0005-0000-0000-0000251B0000}"/>
    <cellStyle name="Comma 3 18 2 6" xfId="24814" xr:uid="{00000000-0005-0000-0000-0000261B0000}"/>
    <cellStyle name="Comma 3 18 3" xfId="5582" xr:uid="{00000000-0005-0000-0000-0000271B0000}"/>
    <cellStyle name="Comma 3 18 3 2" xfId="8685" xr:uid="{00000000-0005-0000-0000-0000281B0000}"/>
    <cellStyle name="Comma 3 18 3 2 2" xfId="14878" xr:uid="{00000000-0005-0000-0000-0000291B0000}"/>
    <cellStyle name="Comma 3 18 3 2 2 2" xfId="34798" xr:uid="{00000000-0005-0000-0000-00002A1B0000}"/>
    <cellStyle name="Comma 3 18 3 2 3" xfId="21030" xr:uid="{00000000-0005-0000-0000-00002B1B0000}"/>
    <cellStyle name="Comma 3 18 3 2 3 2" xfId="40950" xr:uid="{00000000-0005-0000-0000-00002C1B0000}"/>
    <cellStyle name="Comma 3 18 3 2 4" xfId="28645" xr:uid="{00000000-0005-0000-0000-00002D1B0000}"/>
    <cellStyle name="Comma 3 18 3 3" xfId="11812" xr:uid="{00000000-0005-0000-0000-00002E1B0000}"/>
    <cellStyle name="Comma 3 18 3 3 2" xfId="31732" xr:uid="{00000000-0005-0000-0000-00002F1B0000}"/>
    <cellStyle name="Comma 3 18 3 4" xfId="17964" xr:uid="{00000000-0005-0000-0000-0000301B0000}"/>
    <cellStyle name="Comma 3 18 3 4 2" xfId="37884" xr:uid="{00000000-0005-0000-0000-0000311B0000}"/>
    <cellStyle name="Comma 3 18 3 5" xfId="25579" xr:uid="{00000000-0005-0000-0000-0000321B0000}"/>
    <cellStyle name="Comma 3 18 4" xfId="7150" xr:uid="{00000000-0005-0000-0000-0000331B0000}"/>
    <cellStyle name="Comma 3 18 4 2" xfId="13344" xr:uid="{00000000-0005-0000-0000-0000341B0000}"/>
    <cellStyle name="Comma 3 18 4 2 2" xfId="33264" xr:uid="{00000000-0005-0000-0000-0000351B0000}"/>
    <cellStyle name="Comma 3 18 4 3" xfId="19496" xr:uid="{00000000-0005-0000-0000-0000361B0000}"/>
    <cellStyle name="Comma 3 18 4 3 2" xfId="39416" xr:uid="{00000000-0005-0000-0000-0000371B0000}"/>
    <cellStyle name="Comma 3 18 4 4" xfId="27111" xr:uid="{00000000-0005-0000-0000-0000381B0000}"/>
    <cellStyle name="Comma 3 18 5" xfId="10278" xr:uid="{00000000-0005-0000-0000-0000391B0000}"/>
    <cellStyle name="Comma 3 18 5 2" xfId="30198" xr:uid="{00000000-0005-0000-0000-00003A1B0000}"/>
    <cellStyle name="Comma 3 18 6" xfId="16430" xr:uid="{00000000-0005-0000-0000-00003B1B0000}"/>
    <cellStyle name="Comma 3 18 6 2" xfId="36350" xr:uid="{00000000-0005-0000-0000-00003C1B0000}"/>
    <cellStyle name="Comma 3 18 7" xfId="1570" xr:uid="{00000000-0005-0000-0000-00003D1B0000}"/>
    <cellStyle name="Comma 3 18 7 2" xfId="24045" xr:uid="{00000000-0005-0000-0000-00003E1B0000}"/>
    <cellStyle name="Comma 3 19" xfId="438" xr:uid="{00000000-0005-0000-0000-00003F1B0000}"/>
    <cellStyle name="Comma 3 19 2" xfId="4744" xr:uid="{00000000-0005-0000-0000-0000401B0000}"/>
    <cellStyle name="Comma 3 19 2 2" xfId="6369" xr:uid="{00000000-0005-0000-0000-0000411B0000}"/>
    <cellStyle name="Comma 3 19 2 2 2" xfId="9455" xr:uid="{00000000-0005-0000-0000-0000421B0000}"/>
    <cellStyle name="Comma 3 19 2 2 2 2" xfId="15648" xr:uid="{00000000-0005-0000-0000-0000431B0000}"/>
    <cellStyle name="Comma 3 19 2 2 2 2 2" xfId="35568" xr:uid="{00000000-0005-0000-0000-0000441B0000}"/>
    <cellStyle name="Comma 3 19 2 2 2 3" xfId="21800" xr:uid="{00000000-0005-0000-0000-0000451B0000}"/>
    <cellStyle name="Comma 3 19 2 2 2 3 2" xfId="41720" xr:uid="{00000000-0005-0000-0000-0000461B0000}"/>
    <cellStyle name="Comma 3 19 2 2 2 4" xfId="29415" xr:uid="{00000000-0005-0000-0000-0000471B0000}"/>
    <cellStyle name="Comma 3 19 2 2 3" xfId="12582" xr:uid="{00000000-0005-0000-0000-0000481B0000}"/>
    <cellStyle name="Comma 3 19 2 2 3 2" xfId="32502" xr:uid="{00000000-0005-0000-0000-0000491B0000}"/>
    <cellStyle name="Comma 3 19 2 2 4" xfId="18734" xr:uid="{00000000-0005-0000-0000-00004A1B0000}"/>
    <cellStyle name="Comma 3 19 2 2 4 2" xfId="38654" xr:uid="{00000000-0005-0000-0000-00004B1B0000}"/>
    <cellStyle name="Comma 3 19 2 2 5" xfId="26349" xr:uid="{00000000-0005-0000-0000-00004C1B0000}"/>
    <cellStyle name="Comma 3 19 2 3" xfId="7920" xr:uid="{00000000-0005-0000-0000-00004D1B0000}"/>
    <cellStyle name="Comma 3 19 2 3 2" xfId="14114" xr:uid="{00000000-0005-0000-0000-00004E1B0000}"/>
    <cellStyle name="Comma 3 19 2 3 2 2" xfId="34034" xr:uid="{00000000-0005-0000-0000-00004F1B0000}"/>
    <cellStyle name="Comma 3 19 2 3 3" xfId="20266" xr:uid="{00000000-0005-0000-0000-0000501B0000}"/>
    <cellStyle name="Comma 3 19 2 3 3 2" xfId="40186" xr:uid="{00000000-0005-0000-0000-0000511B0000}"/>
    <cellStyle name="Comma 3 19 2 3 4" xfId="27881" xr:uid="{00000000-0005-0000-0000-0000521B0000}"/>
    <cellStyle name="Comma 3 19 2 4" xfId="11048" xr:uid="{00000000-0005-0000-0000-0000531B0000}"/>
    <cellStyle name="Comma 3 19 2 4 2" xfId="30968" xr:uid="{00000000-0005-0000-0000-0000541B0000}"/>
    <cellStyle name="Comma 3 19 2 5" xfId="17200" xr:uid="{00000000-0005-0000-0000-0000551B0000}"/>
    <cellStyle name="Comma 3 19 2 5 2" xfId="37120" xr:uid="{00000000-0005-0000-0000-0000561B0000}"/>
    <cellStyle name="Comma 3 19 2 6" xfId="24815" xr:uid="{00000000-0005-0000-0000-0000571B0000}"/>
    <cellStyle name="Comma 3 19 3" xfId="5583" xr:uid="{00000000-0005-0000-0000-0000581B0000}"/>
    <cellStyle name="Comma 3 19 3 2" xfId="8686" xr:uid="{00000000-0005-0000-0000-0000591B0000}"/>
    <cellStyle name="Comma 3 19 3 2 2" xfId="14879" xr:uid="{00000000-0005-0000-0000-00005A1B0000}"/>
    <cellStyle name="Comma 3 19 3 2 2 2" xfId="34799" xr:uid="{00000000-0005-0000-0000-00005B1B0000}"/>
    <cellStyle name="Comma 3 19 3 2 3" xfId="21031" xr:uid="{00000000-0005-0000-0000-00005C1B0000}"/>
    <cellStyle name="Comma 3 19 3 2 3 2" xfId="40951" xr:uid="{00000000-0005-0000-0000-00005D1B0000}"/>
    <cellStyle name="Comma 3 19 3 2 4" xfId="28646" xr:uid="{00000000-0005-0000-0000-00005E1B0000}"/>
    <cellStyle name="Comma 3 19 3 3" xfId="11813" xr:uid="{00000000-0005-0000-0000-00005F1B0000}"/>
    <cellStyle name="Comma 3 19 3 3 2" xfId="31733" xr:uid="{00000000-0005-0000-0000-0000601B0000}"/>
    <cellStyle name="Comma 3 19 3 4" xfId="17965" xr:uid="{00000000-0005-0000-0000-0000611B0000}"/>
    <cellStyle name="Comma 3 19 3 4 2" xfId="37885" xr:uid="{00000000-0005-0000-0000-0000621B0000}"/>
    <cellStyle name="Comma 3 19 3 5" xfId="25580" xr:uid="{00000000-0005-0000-0000-0000631B0000}"/>
    <cellStyle name="Comma 3 19 4" xfId="7151" xr:uid="{00000000-0005-0000-0000-0000641B0000}"/>
    <cellStyle name="Comma 3 19 4 2" xfId="13345" xr:uid="{00000000-0005-0000-0000-0000651B0000}"/>
    <cellStyle name="Comma 3 19 4 2 2" xfId="33265" xr:uid="{00000000-0005-0000-0000-0000661B0000}"/>
    <cellStyle name="Comma 3 19 4 3" xfId="19497" xr:uid="{00000000-0005-0000-0000-0000671B0000}"/>
    <cellStyle name="Comma 3 19 4 3 2" xfId="39417" xr:uid="{00000000-0005-0000-0000-0000681B0000}"/>
    <cellStyle name="Comma 3 19 4 4" xfId="27112" xr:uid="{00000000-0005-0000-0000-0000691B0000}"/>
    <cellStyle name="Comma 3 19 5" xfId="10279" xr:uid="{00000000-0005-0000-0000-00006A1B0000}"/>
    <cellStyle name="Comma 3 19 5 2" xfId="30199" xr:uid="{00000000-0005-0000-0000-00006B1B0000}"/>
    <cellStyle name="Comma 3 19 6" xfId="16431" xr:uid="{00000000-0005-0000-0000-00006C1B0000}"/>
    <cellStyle name="Comma 3 19 6 2" xfId="36351" xr:uid="{00000000-0005-0000-0000-00006D1B0000}"/>
    <cellStyle name="Comma 3 19 7" xfId="1571" xr:uid="{00000000-0005-0000-0000-00006E1B0000}"/>
    <cellStyle name="Comma 3 19 7 2" xfId="24046" xr:uid="{00000000-0005-0000-0000-00006F1B0000}"/>
    <cellStyle name="Comma 3 2" xfId="18" xr:uid="{00000000-0005-0000-0000-0000701B0000}"/>
    <cellStyle name="Comma 3 2 2" xfId="129" xr:uid="{00000000-0005-0000-0000-0000711B0000}"/>
    <cellStyle name="Comma 3 2 2 2" xfId="4745" xr:uid="{00000000-0005-0000-0000-0000721B0000}"/>
    <cellStyle name="Comma 3 2 2 2 2" xfId="6370" xr:uid="{00000000-0005-0000-0000-0000731B0000}"/>
    <cellStyle name="Comma 3 2 2 2 2 2" xfId="9456" xr:uid="{00000000-0005-0000-0000-0000741B0000}"/>
    <cellStyle name="Comma 3 2 2 2 2 2 2" xfId="15649" xr:uid="{00000000-0005-0000-0000-0000751B0000}"/>
    <cellStyle name="Comma 3 2 2 2 2 2 2 2" xfId="35569" xr:uid="{00000000-0005-0000-0000-0000761B0000}"/>
    <cellStyle name="Comma 3 2 2 2 2 2 3" xfId="21801" xr:uid="{00000000-0005-0000-0000-0000771B0000}"/>
    <cellStyle name="Comma 3 2 2 2 2 2 3 2" xfId="41721" xr:uid="{00000000-0005-0000-0000-0000781B0000}"/>
    <cellStyle name="Comma 3 2 2 2 2 2 4" xfId="29416" xr:uid="{00000000-0005-0000-0000-0000791B0000}"/>
    <cellStyle name="Comma 3 2 2 2 2 3" xfId="12583" xr:uid="{00000000-0005-0000-0000-00007A1B0000}"/>
    <cellStyle name="Comma 3 2 2 2 2 3 2" xfId="32503" xr:uid="{00000000-0005-0000-0000-00007B1B0000}"/>
    <cellStyle name="Comma 3 2 2 2 2 4" xfId="18735" xr:uid="{00000000-0005-0000-0000-00007C1B0000}"/>
    <cellStyle name="Comma 3 2 2 2 2 4 2" xfId="38655" xr:uid="{00000000-0005-0000-0000-00007D1B0000}"/>
    <cellStyle name="Comma 3 2 2 2 2 5" xfId="26350" xr:uid="{00000000-0005-0000-0000-00007E1B0000}"/>
    <cellStyle name="Comma 3 2 2 2 3" xfId="7921" xr:uid="{00000000-0005-0000-0000-00007F1B0000}"/>
    <cellStyle name="Comma 3 2 2 2 3 2" xfId="14115" xr:uid="{00000000-0005-0000-0000-0000801B0000}"/>
    <cellStyle name="Comma 3 2 2 2 3 2 2" xfId="34035" xr:uid="{00000000-0005-0000-0000-0000811B0000}"/>
    <cellStyle name="Comma 3 2 2 2 3 3" xfId="20267" xr:uid="{00000000-0005-0000-0000-0000821B0000}"/>
    <cellStyle name="Comma 3 2 2 2 3 3 2" xfId="40187" xr:uid="{00000000-0005-0000-0000-0000831B0000}"/>
    <cellStyle name="Comma 3 2 2 2 3 4" xfId="27882" xr:uid="{00000000-0005-0000-0000-0000841B0000}"/>
    <cellStyle name="Comma 3 2 2 2 4" xfId="11049" xr:uid="{00000000-0005-0000-0000-0000851B0000}"/>
    <cellStyle name="Comma 3 2 2 2 4 2" xfId="30969" xr:uid="{00000000-0005-0000-0000-0000861B0000}"/>
    <cellStyle name="Comma 3 2 2 2 5" xfId="17201" xr:uid="{00000000-0005-0000-0000-0000871B0000}"/>
    <cellStyle name="Comma 3 2 2 2 5 2" xfId="37121" xr:uid="{00000000-0005-0000-0000-0000881B0000}"/>
    <cellStyle name="Comma 3 2 2 2 6" xfId="24816" xr:uid="{00000000-0005-0000-0000-0000891B0000}"/>
    <cellStyle name="Comma 3 2 2 3" xfId="5584" xr:uid="{00000000-0005-0000-0000-00008A1B0000}"/>
    <cellStyle name="Comma 3 2 2 3 2" xfId="8687" xr:uid="{00000000-0005-0000-0000-00008B1B0000}"/>
    <cellStyle name="Comma 3 2 2 3 2 2" xfId="14880" xr:uid="{00000000-0005-0000-0000-00008C1B0000}"/>
    <cellStyle name="Comma 3 2 2 3 2 2 2" xfId="34800" xr:uid="{00000000-0005-0000-0000-00008D1B0000}"/>
    <cellStyle name="Comma 3 2 2 3 2 3" xfId="21032" xr:uid="{00000000-0005-0000-0000-00008E1B0000}"/>
    <cellStyle name="Comma 3 2 2 3 2 3 2" xfId="40952" xr:uid="{00000000-0005-0000-0000-00008F1B0000}"/>
    <cellStyle name="Comma 3 2 2 3 2 4" xfId="28647" xr:uid="{00000000-0005-0000-0000-0000901B0000}"/>
    <cellStyle name="Comma 3 2 2 3 3" xfId="11814" xr:uid="{00000000-0005-0000-0000-0000911B0000}"/>
    <cellStyle name="Comma 3 2 2 3 3 2" xfId="31734" xr:uid="{00000000-0005-0000-0000-0000921B0000}"/>
    <cellStyle name="Comma 3 2 2 3 4" xfId="17966" xr:uid="{00000000-0005-0000-0000-0000931B0000}"/>
    <cellStyle name="Comma 3 2 2 3 4 2" xfId="37886" xr:uid="{00000000-0005-0000-0000-0000941B0000}"/>
    <cellStyle name="Comma 3 2 2 3 5" xfId="25581" xr:uid="{00000000-0005-0000-0000-0000951B0000}"/>
    <cellStyle name="Comma 3 2 2 4" xfId="7152" xr:uid="{00000000-0005-0000-0000-0000961B0000}"/>
    <cellStyle name="Comma 3 2 2 4 2" xfId="13346" xr:uid="{00000000-0005-0000-0000-0000971B0000}"/>
    <cellStyle name="Comma 3 2 2 4 2 2" xfId="33266" xr:uid="{00000000-0005-0000-0000-0000981B0000}"/>
    <cellStyle name="Comma 3 2 2 4 3" xfId="19498" xr:uid="{00000000-0005-0000-0000-0000991B0000}"/>
    <cellStyle name="Comma 3 2 2 4 3 2" xfId="39418" xr:uid="{00000000-0005-0000-0000-00009A1B0000}"/>
    <cellStyle name="Comma 3 2 2 4 4" xfId="27113" xr:uid="{00000000-0005-0000-0000-00009B1B0000}"/>
    <cellStyle name="Comma 3 2 2 5" xfId="10280" xr:uid="{00000000-0005-0000-0000-00009C1B0000}"/>
    <cellStyle name="Comma 3 2 2 5 2" xfId="30200" xr:uid="{00000000-0005-0000-0000-00009D1B0000}"/>
    <cellStyle name="Comma 3 2 2 6" xfId="16432" xr:uid="{00000000-0005-0000-0000-00009E1B0000}"/>
    <cellStyle name="Comma 3 2 2 6 2" xfId="36352" xr:uid="{00000000-0005-0000-0000-00009F1B0000}"/>
    <cellStyle name="Comma 3 2 2 7" xfId="1573" xr:uid="{00000000-0005-0000-0000-0000A01B0000}"/>
    <cellStyle name="Comma 3 2 2 7 2" xfId="24047" xr:uid="{00000000-0005-0000-0000-0000A11B0000}"/>
    <cellStyle name="Comma 3 2 3" xfId="1574" xr:uid="{00000000-0005-0000-0000-0000A21B0000}"/>
    <cellStyle name="Comma 3 2 3 2" xfId="4746" xr:uid="{00000000-0005-0000-0000-0000A31B0000}"/>
    <cellStyle name="Comma 3 2 3 2 2" xfId="6371" xr:uid="{00000000-0005-0000-0000-0000A41B0000}"/>
    <cellStyle name="Comma 3 2 3 2 2 2" xfId="9457" xr:uid="{00000000-0005-0000-0000-0000A51B0000}"/>
    <cellStyle name="Comma 3 2 3 2 2 2 2" xfId="15650" xr:uid="{00000000-0005-0000-0000-0000A61B0000}"/>
    <cellStyle name="Comma 3 2 3 2 2 2 2 2" xfId="35570" xr:uid="{00000000-0005-0000-0000-0000A71B0000}"/>
    <cellStyle name="Comma 3 2 3 2 2 2 3" xfId="21802" xr:uid="{00000000-0005-0000-0000-0000A81B0000}"/>
    <cellStyle name="Comma 3 2 3 2 2 2 3 2" xfId="41722" xr:uid="{00000000-0005-0000-0000-0000A91B0000}"/>
    <cellStyle name="Comma 3 2 3 2 2 2 4" xfId="29417" xr:uid="{00000000-0005-0000-0000-0000AA1B0000}"/>
    <cellStyle name="Comma 3 2 3 2 2 3" xfId="12584" xr:uid="{00000000-0005-0000-0000-0000AB1B0000}"/>
    <cellStyle name="Comma 3 2 3 2 2 3 2" xfId="32504" xr:uid="{00000000-0005-0000-0000-0000AC1B0000}"/>
    <cellStyle name="Comma 3 2 3 2 2 4" xfId="18736" xr:uid="{00000000-0005-0000-0000-0000AD1B0000}"/>
    <cellStyle name="Comma 3 2 3 2 2 4 2" xfId="38656" xr:uid="{00000000-0005-0000-0000-0000AE1B0000}"/>
    <cellStyle name="Comma 3 2 3 2 2 5" xfId="26351" xr:uid="{00000000-0005-0000-0000-0000AF1B0000}"/>
    <cellStyle name="Comma 3 2 3 2 3" xfId="7922" xr:uid="{00000000-0005-0000-0000-0000B01B0000}"/>
    <cellStyle name="Comma 3 2 3 2 3 2" xfId="14116" xr:uid="{00000000-0005-0000-0000-0000B11B0000}"/>
    <cellStyle name="Comma 3 2 3 2 3 2 2" xfId="34036" xr:uid="{00000000-0005-0000-0000-0000B21B0000}"/>
    <cellStyle name="Comma 3 2 3 2 3 3" xfId="20268" xr:uid="{00000000-0005-0000-0000-0000B31B0000}"/>
    <cellStyle name="Comma 3 2 3 2 3 3 2" xfId="40188" xr:uid="{00000000-0005-0000-0000-0000B41B0000}"/>
    <cellStyle name="Comma 3 2 3 2 3 4" xfId="27883" xr:uid="{00000000-0005-0000-0000-0000B51B0000}"/>
    <cellStyle name="Comma 3 2 3 2 4" xfId="11050" xr:uid="{00000000-0005-0000-0000-0000B61B0000}"/>
    <cellStyle name="Comma 3 2 3 2 4 2" xfId="30970" xr:uid="{00000000-0005-0000-0000-0000B71B0000}"/>
    <cellStyle name="Comma 3 2 3 2 5" xfId="17202" xr:uid="{00000000-0005-0000-0000-0000B81B0000}"/>
    <cellStyle name="Comma 3 2 3 2 5 2" xfId="37122" xr:uid="{00000000-0005-0000-0000-0000B91B0000}"/>
    <cellStyle name="Comma 3 2 3 2 6" xfId="24817" xr:uid="{00000000-0005-0000-0000-0000BA1B0000}"/>
    <cellStyle name="Comma 3 2 3 3" xfId="5585" xr:uid="{00000000-0005-0000-0000-0000BB1B0000}"/>
    <cellStyle name="Comma 3 2 3 3 2" xfId="8688" xr:uid="{00000000-0005-0000-0000-0000BC1B0000}"/>
    <cellStyle name="Comma 3 2 3 3 2 2" xfId="14881" xr:uid="{00000000-0005-0000-0000-0000BD1B0000}"/>
    <cellStyle name="Comma 3 2 3 3 2 2 2" xfId="34801" xr:uid="{00000000-0005-0000-0000-0000BE1B0000}"/>
    <cellStyle name="Comma 3 2 3 3 2 3" xfId="21033" xr:uid="{00000000-0005-0000-0000-0000BF1B0000}"/>
    <cellStyle name="Comma 3 2 3 3 2 3 2" xfId="40953" xr:uid="{00000000-0005-0000-0000-0000C01B0000}"/>
    <cellStyle name="Comma 3 2 3 3 2 4" xfId="28648" xr:uid="{00000000-0005-0000-0000-0000C11B0000}"/>
    <cellStyle name="Comma 3 2 3 3 3" xfId="11815" xr:uid="{00000000-0005-0000-0000-0000C21B0000}"/>
    <cellStyle name="Comma 3 2 3 3 3 2" xfId="31735" xr:uid="{00000000-0005-0000-0000-0000C31B0000}"/>
    <cellStyle name="Comma 3 2 3 3 4" xfId="17967" xr:uid="{00000000-0005-0000-0000-0000C41B0000}"/>
    <cellStyle name="Comma 3 2 3 3 4 2" xfId="37887" xr:uid="{00000000-0005-0000-0000-0000C51B0000}"/>
    <cellStyle name="Comma 3 2 3 3 5" xfId="25582" xr:uid="{00000000-0005-0000-0000-0000C61B0000}"/>
    <cellStyle name="Comma 3 2 3 4" xfId="7153" xr:uid="{00000000-0005-0000-0000-0000C71B0000}"/>
    <cellStyle name="Comma 3 2 3 4 2" xfId="13347" xr:uid="{00000000-0005-0000-0000-0000C81B0000}"/>
    <cellStyle name="Comma 3 2 3 4 2 2" xfId="33267" xr:uid="{00000000-0005-0000-0000-0000C91B0000}"/>
    <cellStyle name="Comma 3 2 3 4 3" xfId="19499" xr:uid="{00000000-0005-0000-0000-0000CA1B0000}"/>
    <cellStyle name="Comma 3 2 3 4 3 2" xfId="39419" xr:uid="{00000000-0005-0000-0000-0000CB1B0000}"/>
    <cellStyle name="Comma 3 2 3 4 4" xfId="27114" xr:uid="{00000000-0005-0000-0000-0000CC1B0000}"/>
    <cellStyle name="Comma 3 2 3 5" xfId="10281" xr:uid="{00000000-0005-0000-0000-0000CD1B0000}"/>
    <cellStyle name="Comma 3 2 3 5 2" xfId="30201" xr:uid="{00000000-0005-0000-0000-0000CE1B0000}"/>
    <cellStyle name="Comma 3 2 3 6" xfId="16433" xr:uid="{00000000-0005-0000-0000-0000CF1B0000}"/>
    <cellStyle name="Comma 3 2 3 6 2" xfId="36353" xr:uid="{00000000-0005-0000-0000-0000D01B0000}"/>
    <cellStyle name="Comma 3 2 3 7" xfId="24048" xr:uid="{00000000-0005-0000-0000-0000D11B0000}"/>
    <cellStyle name="Comma 3 2 4" xfId="1575" xr:uid="{00000000-0005-0000-0000-0000D21B0000}"/>
    <cellStyle name="Comma 3 2 4 2" xfId="4747" xr:uid="{00000000-0005-0000-0000-0000D31B0000}"/>
    <cellStyle name="Comma 3 2 4 2 2" xfId="6372" xr:uid="{00000000-0005-0000-0000-0000D41B0000}"/>
    <cellStyle name="Comma 3 2 4 2 2 2" xfId="9458" xr:uid="{00000000-0005-0000-0000-0000D51B0000}"/>
    <cellStyle name="Comma 3 2 4 2 2 2 2" xfId="15651" xr:uid="{00000000-0005-0000-0000-0000D61B0000}"/>
    <cellStyle name="Comma 3 2 4 2 2 2 2 2" xfId="35571" xr:uid="{00000000-0005-0000-0000-0000D71B0000}"/>
    <cellStyle name="Comma 3 2 4 2 2 2 3" xfId="21803" xr:uid="{00000000-0005-0000-0000-0000D81B0000}"/>
    <cellStyle name="Comma 3 2 4 2 2 2 3 2" xfId="41723" xr:uid="{00000000-0005-0000-0000-0000D91B0000}"/>
    <cellStyle name="Comma 3 2 4 2 2 2 4" xfId="29418" xr:uid="{00000000-0005-0000-0000-0000DA1B0000}"/>
    <cellStyle name="Comma 3 2 4 2 2 3" xfId="12585" xr:uid="{00000000-0005-0000-0000-0000DB1B0000}"/>
    <cellStyle name="Comma 3 2 4 2 2 3 2" xfId="32505" xr:uid="{00000000-0005-0000-0000-0000DC1B0000}"/>
    <cellStyle name="Comma 3 2 4 2 2 4" xfId="18737" xr:uid="{00000000-0005-0000-0000-0000DD1B0000}"/>
    <cellStyle name="Comma 3 2 4 2 2 4 2" xfId="38657" xr:uid="{00000000-0005-0000-0000-0000DE1B0000}"/>
    <cellStyle name="Comma 3 2 4 2 2 5" xfId="26352" xr:uid="{00000000-0005-0000-0000-0000DF1B0000}"/>
    <cellStyle name="Comma 3 2 4 2 3" xfId="7923" xr:uid="{00000000-0005-0000-0000-0000E01B0000}"/>
    <cellStyle name="Comma 3 2 4 2 3 2" xfId="14117" xr:uid="{00000000-0005-0000-0000-0000E11B0000}"/>
    <cellStyle name="Comma 3 2 4 2 3 2 2" xfId="34037" xr:uid="{00000000-0005-0000-0000-0000E21B0000}"/>
    <cellStyle name="Comma 3 2 4 2 3 3" xfId="20269" xr:uid="{00000000-0005-0000-0000-0000E31B0000}"/>
    <cellStyle name="Comma 3 2 4 2 3 3 2" xfId="40189" xr:uid="{00000000-0005-0000-0000-0000E41B0000}"/>
    <cellStyle name="Comma 3 2 4 2 3 4" xfId="27884" xr:uid="{00000000-0005-0000-0000-0000E51B0000}"/>
    <cellStyle name="Comma 3 2 4 2 4" xfId="11051" xr:uid="{00000000-0005-0000-0000-0000E61B0000}"/>
    <cellStyle name="Comma 3 2 4 2 4 2" xfId="30971" xr:uid="{00000000-0005-0000-0000-0000E71B0000}"/>
    <cellStyle name="Comma 3 2 4 2 5" xfId="17203" xr:uid="{00000000-0005-0000-0000-0000E81B0000}"/>
    <cellStyle name="Comma 3 2 4 2 5 2" xfId="37123" xr:uid="{00000000-0005-0000-0000-0000E91B0000}"/>
    <cellStyle name="Comma 3 2 4 2 6" xfId="24818" xr:uid="{00000000-0005-0000-0000-0000EA1B0000}"/>
    <cellStyle name="Comma 3 2 4 3" xfId="5586" xr:uid="{00000000-0005-0000-0000-0000EB1B0000}"/>
    <cellStyle name="Comma 3 2 4 3 2" xfId="8689" xr:uid="{00000000-0005-0000-0000-0000EC1B0000}"/>
    <cellStyle name="Comma 3 2 4 3 2 2" xfId="14882" xr:uid="{00000000-0005-0000-0000-0000ED1B0000}"/>
    <cellStyle name="Comma 3 2 4 3 2 2 2" xfId="34802" xr:uid="{00000000-0005-0000-0000-0000EE1B0000}"/>
    <cellStyle name="Comma 3 2 4 3 2 3" xfId="21034" xr:uid="{00000000-0005-0000-0000-0000EF1B0000}"/>
    <cellStyle name="Comma 3 2 4 3 2 3 2" xfId="40954" xr:uid="{00000000-0005-0000-0000-0000F01B0000}"/>
    <cellStyle name="Comma 3 2 4 3 2 4" xfId="28649" xr:uid="{00000000-0005-0000-0000-0000F11B0000}"/>
    <cellStyle name="Comma 3 2 4 3 3" xfId="11816" xr:uid="{00000000-0005-0000-0000-0000F21B0000}"/>
    <cellStyle name="Comma 3 2 4 3 3 2" xfId="31736" xr:uid="{00000000-0005-0000-0000-0000F31B0000}"/>
    <cellStyle name="Comma 3 2 4 3 4" xfId="17968" xr:uid="{00000000-0005-0000-0000-0000F41B0000}"/>
    <cellStyle name="Comma 3 2 4 3 4 2" xfId="37888" xr:uid="{00000000-0005-0000-0000-0000F51B0000}"/>
    <cellStyle name="Comma 3 2 4 3 5" xfId="25583" xr:uid="{00000000-0005-0000-0000-0000F61B0000}"/>
    <cellStyle name="Comma 3 2 4 4" xfId="7154" xr:uid="{00000000-0005-0000-0000-0000F71B0000}"/>
    <cellStyle name="Comma 3 2 4 4 2" xfId="13348" xr:uid="{00000000-0005-0000-0000-0000F81B0000}"/>
    <cellStyle name="Comma 3 2 4 4 2 2" xfId="33268" xr:uid="{00000000-0005-0000-0000-0000F91B0000}"/>
    <cellStyle name="Comma 3 2 4 4 3" xfId="19500" xr:uid="{00000000-0005-0000-0000-0000FA1B0000}"/>
    <cellStyle name="Comma 3 2 4 4 3 2" xfId="39420" xr:uid="{00000000-0005-0000-0000-0000FB1B0000}"/>
    <cellStyle name="Comma 3 2 4 4 4" xfId="27115" xr:uid="{00000000-0005-0000-0000-0000FC1B0000}"/>
    <cellStyle name="Comma 3 2 4 5" xfId="10282" xr:uid="{00000000-0005-0000-0000-0000FD1B0000}"/>
    <cellStyle name="Comma 3 2 4 5 2" xfId="30202" xr:uid="{00000000-0005-0000-0000-0000FE1B0000}"/>
    <cellStyle name="Comma 3 2 4 6" xfId="16434" xr:uid="{00000000-0005-0000-0000-0000FF1B0000}"/>
    <cellStyle name="Comma 3 2 4 6 2" xfId="36354" xr:uid="{00000000-0005-0000-0000-0000001C0000}"/>
    <cellStyle name="Comma 3 2 4 7" xfId="24049" xr:uid="{00000000-0005-0000-0000-0000011C0000}"/>
    <cellStyle name="Comma 3 2 5" xfId="1576" xr:uid="{00000000-0005-0000-0000-0000021C0000}"/>
    <cellStyle name="Comma 3 2 5 2" xfId="4748" xr:uid="{00000000-0005-0000-0000-0000031C0000}"/>
    <cellStyle name="Comma 3 2 5 2 2" xfId="6373" xr:uid="{00000000-0005-0000-0000-0000041C0000}"/>
    <cellStyle name="Comma 3 2 5 2 2 2" xfId="9459" xr:uid="{00000000-0005-0000-0000-0000051C0000}"/>
    <cellStyle name="Comma 3 2 5 2 2 2 2" xfId="15652" xr:uid="{00000000-0005-0000-0000-0000061C0000}"/>
    <cellStyle name="Comma 3 2 5 2 2 2 2 2" xfId="35572" xr:uid="{00000000-0005-0000-0000-0000071C0000}"/>
    <cellStyle name="Comma 3 2 5 2 2 2 3" xfId="21804" xr:uid="{00000000-0005-0000-0000-0000081C0000}"/>
    <cellStyle name="Comma 3 2 5 2 2 2 3 2" xfId="41724" xr:uid="{00000000-0005-0000-0000-0000091C0000}"/>
    <cellStyle name="Comma 3 2 5 2 2 2 4" xfId="29419" xr:uid="{00000000-0005-0000-0000-00000A1C0000}"/>
    <cellStyle name="Comma 3 2 5 2 2 3" xfId="12586" xr:uid="{00000000-0005-0000-0000-00000B1C0000}"/>
    <cellStyle name="Comma 3 2 5 2 2 3 2" xfId="32506" xr:uid="{00000000-0005-0000-0000-00000C1C0000}"/>
    <cellStyle name="Comma 3 2 5 2 2 4" xfId="18738" xr:uid="{00000000-0005-0000-0000-00000D1C0000}"/>
    <cellStyle name="Comma 3 2 5 2 2 4 2" xfId="38658" xr:uid="{00000000-0005-0000-0000-00000E1C0000}"/>
    <cellStyle name="Comma 3 2 5 2 2 5" xfId="26353" xr:uid="{00000000-0005-0000-0000-00000F1C0000}"/>
    <cellStyle name="Comma 3 2 5 2 3" xfId="7924" xr:uid="{00000000-0005-0000-0000-0000101C0000}"/>
    <cellStyle name="Comma 3 2 5 2 3 2" xfId="14118" xr:uid="{00000000-0005-0000-0000-0000111C0000}"/>
    <cellStyle name="Comma 3 2 5 2 3 2 2" xfId="34038" xr:uid="{00000000-0005-0000-0000-0000121C0000}"/>
    <cellStyle name="Comma 3 2 5 2 3 3" xfId="20270" xr:uid="{00000000-0005-0000-0000-0000131C0000}"/>
    <cellStyle name="Comma 3 2 5 2 3 3 2" xfId="40190" xr:uid="{00000000-0005-0000-0000-0000141C0000}"/>
    <cellStyle name="Comma 3 2 5 2 3 4" xfId="27885" xr:uid="{00000000-0005-0000-0000-0000151C0000}"/>
    <cellStyle name="Comma 3 2 5 2 4" xfId="11052" xr:uid="{00000000-0005-0000-0000-0000161C0000}"/>
    <cellStyle name="Comma 3 2 5 2 4 2" xfId="30972" xr:uid="{00000000-0005-0000-0000-0000171C0000}"/>
    <cellStyle name="Comma 3 2 5 2 5" xfId="17204" xr:uid="{00000000-0005-0000-0000-0000181C0000}"/>
    <cellStyle name="Comma 3 2 5 2 5 2" xfId="37124" xr:uid="{00000000-0005-0000-0000-0000191C0000}"/>
    <cellStyle name="Comma 3 2 5 2 6" xfId="24819" xr:uid="{00000000-0005-0000-0000-00001A1C0000}"/>
    <cellStyle name="Comma 3 2 5 3" xfId="5587" xr:uid="{00000000-0005-0000-0000-00001B1C0000}"/>
    <cellStyle name="Comma 3 2 5 3 2" xfId="8690" xr:uid="{00000000-0005-0000-0000-00001C1C0000}"/>
    <cellStyle name="Comma 3 2 5 3 2 2" xfId="14883" xr:uid="{00000000-0005-0000-0000-00001D1C0000}"/>
    <cellStyle name="Comma 3 2 5 3 2 2 2" xfId="34803" xr:uid="{00000000-0005-0000-0000-00001E1C0000}"/>
    <cellStyle name="Comma 3 2 5 3 2 3" xfId="21035" xr:uid="{00000000-0005-0000-0000-00001F1C0000}"/>
    <cellStyle name="Comma 3 2 5 3 2 3 2" xfId="40955" xr:uid="{00000000-0005-0000-0000-0000201C0000}"/>
    <cellStyle name="Comma 3 2 5 3 2 4" xfId="28650" xr:uid="{00000000-0005-0000-0000-0000211C0000}"/>
    <cellStyle name="Comma 3 2 5 3 3" xfId="11817" xr:uid="{00000000-0005-0000-0000-0000221C0000}"/>
    <cellStyle name="Comma 3 2 5 3 3 2" xfId="31737" xr:uid="{00000000-0005-0000-0000-0000231C0000}"/>
    <cellStyle name="Comma 3 2 5 3 4" xfId="17969" xr:uid="{00000000-0005-0000-0000-0000241C0000}"/>
    <cellStyle name="Comma 3 2 5 3 4 2" xfId="37889" xr:uid="{00000000-0005-0000-0000-0000251C0000}"/>
    <cellStyle name="Comma 3 2 5 3 5" xfId="25584" xr:uid="{00000000-0005-0000-0000-0000261C0000}"/>
    <cellStyle name="Comma 3 2 5 4" xfId="7155" xr:uid="{00000000-0005-0000-0000-0000271C0000}"/>
    <cellStyle name="Comma 3 2 5 4 2" xfId="13349" xr:uid="{00000000-0005-0000-0000-0000281C0000}"/>
    <cellStyle name="Comma 3 2 5 4 2 2" xfId="33269" xr:uid="{00000000-0005-0000-0000-0000291C0000}"/>
    <cellStyle name="Comma 3 2 5 4 3" xfId="19501" xr:uid="{00000000-0005-0000-0000-00002A1C0000}"/>
    <cellStyle name="Comma 3 2 5 4 3 2" xfId="39421" xr:uid="{00000000-0005-0000-0000-00002B1C0000}"/>
    <cellStyle name="Comma 3 2 5 4 4" xfId="27116" xr:uid="{00000000-0005-0000-0000-00002C1C0000}"/>
    <cellStyle name="Comma 3 2 5 5" xfId="10283" xr:uid="{00000000-0005-0000-0000-00002D1C0000}"/>
    <cellStyle name="Comma 3 2 5 5 2" xfId="30203" xr:uid="{00000000-0005-0000-0000-00002E1C0000}"/>
    <cellStyle name="Comma 3 2 5 6" xfId="16435" xr:uid="{00000000-0005-0000-0000-00002F1C0000}"/>
    <cellStyle name="Comma 3 2 5 6 2" xfId="36355" xr:uid="{00000000-0005-0000-0000-0000301C0000}"/>
    <cellStyle name="Comma 3 2 5 7" xfId="24050" xr:uid="{00000000-0005-0000-0000-0000311C0000}"/>
    <cellStyle name="Comma 3 2 6" xfId="1577" xr:uid="{00000000-0005-0000-0000-0000321C0000}"/>
    <cellStyle name="Comma 3 2 7" xfId="1578" xr:uid="{00000000-0005-0000-0000-0000331C0000}"/>
    <cellStyle name="Comma 3 2 7 2" xfId="1579" xr:uid="{00000000-0005-0000-0000-0000341C0000}"/>
    <cellStyle name="Comma 3 2 7 3" xfId="1580" xr:uid="{00000000-0005-0000-0000-0000351C0000}"/>
    <cellStyle name="Comma 3 2 7 4" xfId="1581" xr:uid="{00000000-0005-0000-0000-0000361C0000}"/>
    <cellStyle name="Comma 3 2 8" xfId="1572" xr:uid="{00000000-0005-0000-0000-0000371C0000}"/>
    <cellStyle name="Comma 3 20" xfId="465" xr:uid="{00000000-0005-0000-0000-0000381C0000}"/>
    <cellStyle name="Comma 3 20 2" xfId="4749" xr:uid="{00000000-0005-0000-0000-0000391C0000}"/>
    <cellStyle name="Comma 3 20 2 2" xfId="6374" xr:uid="{00000000-0005-0000-0000-00003A1C0000}"/>
    <cellStyle name="Comma 3 20 2 2 2" xfId="9460" xr:uid="{00000000-0005-0000-0000-00003B1C0000}"/>
    <cellStyle name="Comma 3 20 2 2 2 2" xfId="15653" xr:uid="{00000000-0005-0000-0000-00003C1C0000}"/>
    <cellStyle name="Comma 3 20 2 2 2 2 2" xfId="35573" xr:uid="{00000000-0005-0000-0000-00003D1C0000}"/>
    <cellStyle name="Comma 3 20 2 2 2 3" xfId="21805" xr:uid="{00000000-0005-0000-0000-00003E1C0000}"/>
    <cellStyle name="Comma 3 20 2 2 2 3 2" xfId="41725" xr:uid="{00000000-0005-0000-0000-00003F1C0000}"/>
    <cellStyle name="Comma 3 20 2 2 2 4" xfId="29420" xr:uid="{00000000-0005-0000-0000-0000401C0000}"/>
    <cellStyle name="Comma 3 20 2 2 3" xfId="12587" xr:uid="{00000000-0005-0000-0000-0000411C0000}"/>
    <cellStyle name="Comma 3 20 2 2 3 2" xfId="32507" xr:uid="{00000000-0005-0000-0000-0000421C0000}"/>
    <cellStyle name="Comma 3 20 2 2 4" xfId="18739" xr:uid="{00000000-0005-0000-0000-0000431C0000}"/>
    <cellStyle name="Comma 3 20 2 2 4 2" xfId="38659" xr:uid="{00000000-0005-0000-0000-0000441C0000}"/>
    <cellStyle name="Comma 3 20 2 2 5" xfId="26354" xr:uid="{00000000-0005-0000-0000-0000451C0000}"/>
    <cellStyle name="Comma 3 20 2 3" xfId="7925" xr:uid="{00000000-0005-0000-0000-0000461C0000}"/>
    <cellStyle name="Comma 3 20 2 3 2" xfId="14119" xr:uid="{00000000-0005-0000-0000-0000471C0000}"/>
    <cellStyle name="Comma 3 20 2 3 2 2" xfId="34039" xr:uid="{00000000-0005-0000-0000-0000481C0000}"/>
    <cellStyle name="Comma 3 20 2 3 3" xfId="20271" xr:uid="{00000000-0005-0000-0000-0000491C0000}"/>
    <cellStyle name="Comma 3 20 2 3 3 2" xfId="40191" xr:uid="{00000000-0005-0000-0000-00004A1C0000}"/>
    <cellStyle name="Comma 3 20 2 3 4" xfId="27886" xr:uid="{00000000-0005-0000-0000-00004B1C0000}"/>
    <cellStyle name="Comma 3 20 2 4" xfId="11053" xr:uid="{00000000-0005-0000-0000-00004C1C0000}"/>
    <cellStyle name="Comma 3 20 2 4 2" xfId="30973" xr:uid="{00000000-0005-0000-0000-00004D1C0000}"/>
    <cellStyle name="Comma 3 20 2 5" xfId="17205" xr:uid="{00000000-0005-0000-0000-00004E1C0000}"/>
    <cellStyle name="Comma 3 20 2 5 2" xfId="37125" xr:uid="{00000000-0005-0000-0000-00004F1C0000}"/>
    <cellStyle name="Comma 3 20 2 6" xfId="24820" xr:uid="{00000000-0005-0000-0000-0000501C0000}"/>
    <cellStyle name="Comma 3 20 3" xfId="5588" xr:uid="{00000000-0005-0000-0000-0000511C0000}"/>
    <cellStyle name="Comma 3 20 3 2" xfId="8691" xr:uid="{00000000-0005-0000-0000-0000521C0000}"/>
    <cellStyle name="Comma 3 20 3 2 2" xfId="14884" xr:uid="{00000000-0005-0000-0000-0000531C0000}"/>
    <cellStyle name="Comma 3 20 3 2 2 2" xfId="34804" xr:uid="{00000000-0005-0000-0000-0000541C0000}"/>
    <cellStyle name="Comma 3 20 3 2 3" xfId="21036" xr:uid="{00000000-0005-0000-0000-0000551C0000}"/>
    <cellStyle name="Comma 3 20 3 2 3 2" xfId="40956" xr:uid="{00000000-0005-0000-0000-0000561C0000}"/>
    <cellStyle name="Comma 3 20 3 2 4" xfId="28651" xr:uid="{00000000-0005-0000-0000-0000571C0000}"/>
    <cellStyle name="Comma 3 20 3 3" xfId="11818" xr:uid="{00000000-0005-0000-0000-0000581C0000}"/>
    <cellStyle name="Comma 3 20 3 3 2" xfId="31738" xr:uid="{00000000-0005-0000-0000-0000591C0000}"/>
    <cellStyle name="Comma 3 20 3 4" xfId="17970" xr:uid="{00000000-0005-0000-0000-00005A1C0000}"/>
    <cellStyle name="Comma 3 20 3 4 2" xfId="37890" xr:uid="{00000000-0005-0000-0000-00005B1C0000}"/>
    <cellStyle name="Comma 3 20 3 5" xfId="25585" xr:uid="{00000000-0005-0000-0000-00005C1C0000}"/>
    <cellStyle name="Comma 3 20 4" xfId="7156" xr:uid="{00000000-0005-0000-0000-00005D1C0000}"/>
    <cellStyle name="Comma 3 20 4 2" xfId="13350" xr:uid="{00000000-0005-0000-0000-00005E1C0000}"/>
    <cellStyle name="Comma 3 20 4 2 2" xfId="33270" xr:uid="{00000000-0005-0000-0000-00005F1C0000}"/>
    <cellStyle name="Comma 3 20 4 3" xfId="19502" xr:uid="{00000000-0005-0000-0000-0000601C0000}"/>
    <cellStyle name="Comma 3 20 4 3 2" xfId="39422" xr:uid="{00000000-0005-0000-0000-0000611C0000}"/>
    <cellStyle name="Comma 3 20 4 4" xfId="27117" xr:uid="{00000000-0005-0000-0000-0000621C0000}"/>
    <cellStyle name="Comma 3 20 5" xfId="10284" xr:uid="{00000000-0005-0000-0000-0000631C0000}"/>
    <cellStyle name="Comma 3 20 5 2" xfId="30204" xr:uid="{00000000-0005-0000-0000-0000641C0000}"/>
    <cellStyle name="Comma 3 20 6" xfId="16436" xr:uid="{00000000-0005-0000-0000-0000651C0000}"/>
    <cellStyle name="Comma 3 20 6 2" xfId="36356" xr:uid="{00000000-0005-0000-0000-0000661C0000}"/>
    <cellStyle name="Comma 3 20 7" xfId="1582" xr:uid="{00000000-0005-0000-0000-0000671C0000}"/>
    <cellStyle name="Comma 3 20 7 2" xfId="24051" xr:uid="{00000000-0005-0000-0000-0000681C0000}"/>
    <cellStyle name="Comma 3 21" xfId="487" xr:uid="{00000000-0005-0000-0000-0000691C0000}"/>
    <cellStyle name="Comma 3 21 2" xfId="4750" xr:uid="{00000000-0005-0000-0000-00006A1C0000}"/>
    <cellStyle name="Comma 3 21 2 2" xfId="6375" xr:uid="{00000000-0005-0000-0000-00006B1C0000}"/>
    <cellStyle name="Comma 3 21 2 2 2" xfId="9461" xr:uid="{00000000-0005-0000-0000-00006C1C0000}"/>
    <cellStyle name="Comma 3 21 2 2 2 2" xfId="15654" xr:uid="{00000000-0005-0000-0000-00006D1C0000}"/>
    <cellStyle name="Comma 3 21 2 2 2 2 2" xfId="35574" xr:uid="{00000000-0005-0000-0000-00006E1C0000}"/>
    <cellStyle name="Comma 3 21 2 2 2 3" xfId="21806" xr:uid="{00000000-0005-0000-0000-00006F1C0000}"/>
    <cellStyle name="Comma 3 21 2 2 2 3 2" xfId="41726" xr:uid="{00000000-0005-0000-0000-0000701C0000}"/>
    <cellStyle name="Comma 3 21 2 2 2 4" xfId="29421" xr:uid="{00000000-0005-0000-0000-0000711C0000}"/>
    <cellStyle name="Comma 3 21 2 2 3" xfId="12588" xr:uid="{00000000-0005-0000-0000-0000721C0000}"/>
    <cellStyle name="Comma 3 21 2 2 3 2" xfId="32508" xr:uid="{00000000-0005-0000-0000-0000731C0000}"/>
    <cellStyle name="Comma 3 21 2 2 4" xfId="18740" xr:uid="{00000000-0005-0000-0000-0000741C0000}"/>
    <cellStyle name="Comma 3 21 2 2 4 2" xfId="38660" xr:uid="{00000000-0005-0000-0000-0000751C0000}"/>
    <cellStyle name="Comma 3 21 2 2 5" xfId="26355" xr:uid="{00000000-0005-0000-0000-0000761C0000}"/>
    <cellStyle name="Comma 3 21 2 3" xfId="7926" xr:uid="{00000000-0005-0000-0000-0000771C0000}"/>
    <cellStyle name="Comma 3 21 2 3 2" xfId="14120" xr:uid="{00000000-0005-0000-0000-0000781C0000}"/>
    <cellStyle name="Comma 3 21 2 3 2 2" xfId="34040" xr:uid="{00000000-0005-0000-0000-0000791C0000}"/>
    <cellStyle name="Comma 3 21 2 3 3" xfId="20272" xr:uid="{00000000-0005-0000-0000-00007A1C0000}"/>
    <cellStyle name="Comma 3 21 2 3 3 2" xfId="40192" xr:uid="{00000000-0005-0000-0000-00007B1C0000}"/>
    <cellStyle name="Comma 3 21 2 3 4" xfId="27887" xr:uid="{00000000-0005-0000-0000-00007C1C0000}"/>
    <cellStyle name="Comma 3 21 2 4" xfId="11054" xr:uid="{00000000-0005-0000-0000-00007D1C0000}"/>
    <cellStyle name="Comma 3 21 2 4 2" xfId="30974" xr:uid="{00000000-0005-0000-0000-00007E1C0000}"/>
    <cellStyle name="Comma 3 21 2 5" xfId="17206" xr:uid="{00000000-0005-0000-0000-00007F1C0000}"/>
    <cellStyle name="Comma 3 21 2 5 2" xfId="37126" xr:uid="{00000000-0005-0000-0000-0000801C0000}"/>
    <cellStyle name="Comma 3 21 2 6" xfId="24821" xr:uid="{00000000-0005-0000-0000-0000811C0000}"/>
    <cellStyle name="Comma 3 21 3" xfId="5589" xr:uid="{00000000-0005-0000-0000-0000821C0000}"/>
    <cellStyle name="Comma 3 21 3 2" xfId="8692" xr:uid="{00000000-0005-0000-0000-0000831C0000}"/>
    <cellStyle name="Comma 3 21 3 2 2" xfId="14885" xr:uid="{00000000-0005-0000-0000-0000841C0000}"/>
    <cellStyle name="Comma 3 21 3 2 2 2" xfId="34805" xr:uid="{00000000-0005-0000-0000-0000851C0000}"/>
    <cellStyle name="Comma 3 21 3 2 3" xfId="21037" xr:uid="{00000000-0005-0000-0000-0000861C0000}"/>
    <cellStyle name="Comma 3 21 3 2 3 2" xfId="40957" xr:uid="{00000000-0005-0000-0000-0000871C0000}"/>
    <cellStyle name="Comma 3 21 3 2 4" xfId="28652" xr:uid="{00000000-0005-0000-0000-0000881C0000}"/>
    <cellStyle name="Comma 3 21 3 3" xfId="11819" xr:uid="{00000000-0005-0000-0000-0000891C0000}"/>
    <cellStyle name="Comma 3 21 3 3 2" xfId="31739" xr:uid="{00000000-0005-0000-0000-00008A1C0000}"/>
    <cellStyle name="Comma 3 21 3 4" xfId="17971" xr:uid="{00000000-0005-0000-0000-00008B1C0000}"/>
    <cellStyle name="Comma 3 21 3 4 2" xfId="37891" xr:uid="{00000000-0005-0000-0000-00008C1C0000}"/>
    <cellStyle name="Comma 3 21 3 5" xfId="25586" xr:uid="{00000000-0005-0000-0000-00008D1C0000}"/>
    <cellStyle name="Comma 3 21 4" xfId="7157" xr:uid="{00000000-0005-0000-0000-00008E1C0000}"/>
    <cellStyle name="Comma 3 21 4 2" xfId="13351" xr:uid="{00000000-0005-0000-0000-00008F1C0000}"/>
    <cellStyle name="Comma 3 21 4 2 2" xfId="33271" xr:uid="{00000000-0005-0000-0000-0000901C0000}"/>
    <cellStyle name="Comma 3 21 4 3" xfId="19503" xr:uid="{00000000-0005-0000-0000-0000911C0000}"/>
    <cellStyle name="Comma 3 21 4 3 2" xfId="39423" xr:uid="{00000000-0005-0000-0000-0000921C0000}"/>
    <cellStyle name="Comma 3 21 4 4" xfId="27118" xr:uid="{00000000-0005-0000-0000-0000931C0000}"/>
    <cellStyle name="Comma 3 21 5" xfId="10285" xr:uid="{00000000-0005-0000-0000-0000941C0000}"/>
    <cellStyle name="Comma 3 21 5 2" xfId="30205" xr:uid="{00000000-0005-0000-0000-0000951C0000}"/>
    <cellStyle name="Comma 3 21 6" xfId="16437" xr:uid="{00000000-0005-0000-0000-0000961C0000}"/>
    <cellStyle name="Comma 3 21 6 2" xfId="36357" xr:uid="{00000000-0005-0000-0000-0000971C0000}"/>
    <cellStyle name="Comma 3 21 7" xfId="1583" xr:uid="{00000000-0005-0000-0000-0000981C0000}"/>
    <cellStyle name="Comma 3 21 7 2" xfId="24052" xr:uid="{00000000-0005-0000-0000-0000991C0000}"/>
    <cellStyle name="Comma 3 22" xfId="518" xr:uid="{00000000-0005-0000-0000-00009A1C0000}"/>
    <cellStyle name="Comma 3 22 2" xfId="1584" xr:uid="{00000000-0005-0000-0000-00009B1C0000}"/>
    <cellStyle name="Comma 3 23" xfId="552" xr:uid="{00000000-0005-0000-0000-00009C1C0000}"/>
    <cellStyle name="Comma 3 23 2" xfId="1585" xr:uid="{00000000-0005-0000-0000-00009D1C0000}"/>
    <cellStyle name="Comma 3 24" xfId="576" xr:uid="{00000000-0005-0000-0000-00009E1C0000}"/>
    <cellStyle name="Comma 3 25" xfId="608" xr:uid="{00000000-0005-0000-0000-00009F1C0000}"/>
    <cellStyle name="Comma 3 26" xfId="634" xr:uid="{00000000-0005-0000-0000-0000A01C0000}"/>
    <cellStyle name="Comma 3 27" xfId="660" xr:uid="{00000000-0005-0000-0000-0000A11C0000}"/>
    <cellStyle name="Comma 3 28" xfId="684" xr:uid="{00000000-0005-0000-0000-0000A21C0000}"/>
    <cellStyle name="Comma 3 29" xfId="729" xr:uid="{00000000-0005-0000-0000-0000A31C0000}"/>
    <cellStyle name="Comma 3 3" xfId="90" xr:uid="{00000000-0005-0000-0000-0000A41C0000}"/>
    <cellStyle name="Comma 3 3 10" xfId="16438" xr:uid="{00000000-0005-0000-0000-0000A51C0000}"/>
    <cellStyle name="Comma 3 3 10 2" xfId="36358" xr:uid="{00000000-0005-0000-0000-0000A61C0000}"/>
    <cellStyle name="Comma 3 3 11" xfId="1586" xr:uid="{00000000-0005-0000-0000-0000A71C0000}"/>
    <cellStyle name="Comma 3 3 11 2" xfId="24053" xr:uid="{00000000-0005-0000-0000-0000A81C0000}"/>
    <cellStyle name="Comma 3 3 2" xfId="154" xr:uid="{00000000-0005-0000-0000-0000A91C0000}"/>
    <cellStyle name="Comma 3 3 2 2" xfId="4752" xr:uid="{00000000-0005-0000-0000-0000AA1C0000}"/>
    <cellStyle name="Comma 3 3 2 2 2" xfId="6377" xr:uid="{00000000-0005-0000-0000-0000AB1C0000}"/>
    <cellStyle name="Comma 3 3 2 2 2 2" xfId="9463" xr:uid="{00000000-0005-0000-0000-0000AC1C0000}"/>
    <cellStyle name="Comma 3 3 2 2 2 2 2" xfId="15656" xr:uid="{00000000-0005-0000-0000-0000AD1C0000}"/>
    <cellStyle name="Comma 3 3 2 2 2 2 2 2" xfId="35576" xr:uid="{00000000-0005-0000-0000-0000AE1C0000}"/>
    <cellStyle name="Comma 3 3 2 2 2 2 3" xfId="21808" xr:uid="{00000000-0005-0000-0000-0000AF1C0000}"/>
    <cellStyle name="Comma 3 3 2 2 2 2 3 2" xfId="41728" xr:uid="{00000000-0005-0000-0000-0000B01C0000}"/>
    <cellStyle name="Comma 3 3 2 2 2 2 4" xfId="29423" xr:uid="{00000000-0005-0000-0000-0000B11C0000}"/>
    <cellStyle name="Comma 3 3 2 2 2 3" xfId="12590" xr:uid="{00000000-0005-0000-0000-0000B21C0000}"/>
    <cellStyle name="Comma 3 3 2 2 2 3 2" xfId="32510" xr:uid="{00000000-0005-0000-0000-0000B31C0000}"/>
    <cellStyle name="Comma 3 3 2 2 2 4" xfId="18742" xr:uid="{00000000-0005-0000-0000-0000B41C0000}"/>
    <cellStyle name="Comma 3 3 2 2 2 4 2" xfId="38662" xr:uid="{00000000-0005-0000-0000-0000B51C0000}"/>
    <cellStyle name="Comma 3 3 2 2 2 5" xfId="26357" xr:uid="{00000000-0005-0000-0000-0000B61C0000}"/>
    <cellStyle name="Comma 3 3 2 2 3" xfId="7928" xr:uid="{00000000-0005-0000-0000-0000B71C0000}"/>
    <cellStyle name="Comma 3 3 2 2 3 2" xfId="14122" xr:uid="{00000000-0005-0000-0000-0000B81C0000}"/>
    <cellStyle name="Comma 3 3 2 2 3 2 2" xfId="34042" xr:uid="{00000000-0005-0000-0000-0000B91C0000}"/>
    <cellStyle name="Comma 3 3 2 2 3 3" xfId="20274" xr:uid="{00000000-0005-0000-0000-0000BA1C0000}"/>
    <cellStyle name="Comma 3 3 2 2 3 3 2" xfId="40194" xr:uid="{00000000-0005-0000-0000-0000BB1C0000}"/>
    <cellStyle name="Comma 3 3 2 2 3 4" xfId="27889" xr:uid="{00000000-0005-0000-0000-0000BC1C0000}"/>
    <cellStyle name="Comma 3 3 2 2 4" xfId="11056" xr:uid="{00000000-0005-0000-0000-0000BD1C0000}"/>
    <cellStyle name="Comma 3 3 2 2 4 2" xfId="30976" xr:uid="{00000000-0005-0000-0000-0000BE1C0000}"/>
    <cellStyle name="Comma 3 3 2 2 5" xfId="17208" xr:uid="{00000000-0005-0000-0000-0000BF1C0000}"/>
    <cellStyle name="Comma 3 3 2 2 5 2" xfId="37128" xr:uid="{00000000-0005-0000-0000-0000C01C0000}"/>
    <cellStyle name="Comma 3 3 2 2 6" xfId="24823" xr:uid="{00000000-0005-0000-0000-0000C11C0000}"/>
    <cellStyle name="Comma 3 3 2 3" xfId="5591" xr:uid="{00000000-0005-0000-0000-0000C21C0000}"/>
    <cellStyle name="Comma 3 3 2 3 2" xfId="8694" xr:uid="{00000000-0005-0000-0000-0000C31C0000}"/>
    <cellStyle name="Comma 3 3 2 3 2 2" xfId="14887" xr:uid="{00000000-0005-0000-0000-0000C41C0000}"/>
    <cellStyle name="Comma 3 3 2 3 2 2 2" xfId="34807" xr:uid="{00000000-0005-0000-0000-0000C51C0000}"/>
    <cellStyle name="Comma 3 3 2 3 2 3" xfId="21039" xr:uid="{00000000-0005-0000-0000-0000C61C0000}"/>
    <cellStyle name="Comma 3 3 2 3 2 3 2" xfId="40959" xr:uid="{00000000-0005-0000-0000-0000C71C0000}"/>
    <cellStyle name="Comma 3 3 2 3 2 4" xfId="28654" xr:uid="{00000000-0005-0000-0000-0000C81C0000}"/>
    <cellStyle name="Comma 3 3 2 3 3" xfId="11821" xr:uid="{00000000-0005-0000-0000-0000C91C0000}"/>
    <cellStyle name="Comma 3 3 2 3 3 2" xfId="31741" xr:uid="{00000000-0005-0000-0000-0000CA1C0000}"/>
    <cellStyle name="Comma 3 3 2 3 4" xfId="17973" xr:uid="{00000000-0005-0000-0000-0000CB1C0000}"/>
    <cellStyle name="Comma 3 3 2 3 4 2" xfId="37893" xr:uid="{00000000-0005-0000-0000-0000CC1C0000}"/>
    <cellStyle name="Comma 3 3 2 3 5" xfId="25588" xr:uid="{00000000-0005-0000-0000-0000CD1C0000}"/>
    <cellStyle name="Comma 3 3 2 4" xfId="7159" xr:uid="{00000000-0005-0000-0000-0000CE1C0000}"/>
    <cellStyle name="Comma 3 3 2 4 2" xfId="13353" xr:uid="{00000000-0005-0000-0000-0000CF1C0000}"/>
    <cellStyle name="Comma 3 3 2 4 2 2" xfId="33273" xr:uid="{00000000-0005-0000-0000-0000D01C0000}"/>
    <cellStyle name="Comma 3 3 2 4 3" xfId="19505" xr:uid="{00000000-0005-0000-0000-0000D11C0000}"/>
    <cellStyle name="Comma 3 3 2 4 3 2" xfId="39425" xr:uid="{00000000-0005-0000-0000-0000D21C0000}"/>
    <cellStyle name="Comma 3 3 2 4 4" xfId="27120" xr:uid="{00000000-0005-0000-0000-0000D31C0000}"/>
    <cellStyle name="Comma 3 3 2 5" xfId="10287" xr:uid="{00000000-0005-0000-0000-0000D41C0000}"/>
    <cellStyle name="Comma 3 3 2 5 2" xfId="30207" xr:uid="{00000000-0005-0000-0000-0000D51C0000}"/>
    <cellStyle name="Comma 3 3 2 6" xfId="16439" xr:uid="{00000000-0005-0000-0000-0000D61C0000}"/>
    <cellStyle name="Comma 3 3 2 6 2" xfId="36359" xr:uid="{00000000-0005-0000-0000-0000D71C0000}"/>
    <cellStyle name="Comma 3 3 2 7" xfId="1587" xr:uid="{00000000-0005-0000-0000-0000D81C0000}"/>
    <cellStyle name="Comma 3 3 2 7 2" xfId="24054" xr:uid="{00000000-0005-0000-0000-0000D91C0000}"/>
    <cellStyle name="Comma 3 3 3" xfId="1588" xr:uid="{00000000-0005-0000-0000-0000DA1C0000}"/>
    <cellStyle name="Comma 3 3 3 2" xfId="4753" xr:uid="{00000000-0005-0000-0000-0000DB1C0000}"/>
    <cellStyle name="Comma 3 3 3 2 2" xfId="6378" xr:uid="{00000000-0005-0000-0000-0000DC1C0000}"/>
    <cellStyle name="Comma 3 3 3 2 2 2" xfId="9464" xr:uid="{00000000-0005-0000-0000-0000DD1C0000}"/>
    <cellStyle name="Comma 3 3 3 2 2 2 2" xfId="15657" xr:uid="{00000000-0005-0000-0000-0000DE1C0000}"/>
    <cellStyle name="Comma 3 3 3 2 2 2 2 2" xfId="35577" xr:uid="{00000000-0005-0000-0000-0000DF1C0000}"/>
    <cellStyle name="Comma 3 3 3 2 2 2 3" xfId="21809" xr:uid="{00000000-0005-0000-0000-0000E01C0000}"/>
    <cellStyle name="Comma 3 3 3 2 2 2 3 2" xfId="41729" xr:uid="{00000000-0005-0000-0000-0000E11C0000}"/>
    <cellStyle name="Comma 3 3 3 2 2 2 4" xfId="29424" xr:uid="{00000000-0005-0000-0000-0000E21C0000}"/>
    <cellStyle name="Comma 3 3 3 2 2 3" xfId="12591" xr:uid="{00000000-0005-0000-0000-0000E31C0000}"/>
    <cellStyle name="Comma 3 3 3 2 2 3 2" xfId="32511" xr:uid="{00000000-0005-0000-0000-0000E41C0000}"/>
    <cellStyle name="Comma 3 3 3 2 2 4" xfId="18743" xr:uid="{00000000-0005-0000-0000-0000E51C0000}"/>
    <cellStyle name="Comma 3 3 3 2 2 4 2" xfId="38663" xr:uid="{00000000-0005-0000-0000-0000E61C0000}"/>
    <cellStyle name="Comma 3 3 3 2 2 5" xfId="26358" xr:uid="{00000000-0005-0000-0000-0000E71C0000}"/>
    <cellStyle name="Comma 3 3 3 2 3" xfId="7929" xr:uid="{00000000-0005-0000-0000-0000E81C0000}"/>
    <cellStyle name="Comma 3 3 3 2 3 2" xfId="14123" xr:uid="{00000000-0005-0000-0000-0000E91C0000}"/>
    <cellStyle name="Comma 3 3 3 2 3 2 2" xfId="34043" xr:uid="{00000000-0005-0000-0000-0000EA1C0000}"/>
    <cellStyle name="Comma 3 3 3 2 3 3" xfId="20275" xr:uid="{00000000-0005-0000-0000-0000EB1C0000}"/>
    <cellStyle name="Comma 3 3 3 2 3 3 2" xfId="40195" xr:uid="{00000000-0005-0000-0000-0000EC1C0000}"/>
    <cellStyle name="Comma 3 3 3 2 3 4" xfId="27890" xr:uid="{00000000-0005-0000-0000-0000ED1C0000}"/>
    <cellStyle name="Comma 3 3 3 2 4" xfId="11057" xr:uid="{00000000-0005-0000-0000-0000EE1C0000}"/>
    <cellStyle name="Comma 3 3 3 2 4 2" xfId="30977" xr:uid="{00000000-0005-0000-0000-0000EF1C0000}"/>
    <cellStyle name="Comma 3 3 3 2 5" xfId="17209" xr:uid="{00000000-0005-0000-0000-0000F01C0000}"/>
    <cellStyle name="Comma 3 3 3 2 5 2" xfId="37129" xr:uid="{00000000-0005-0000-0000-0000F11C0000}"/>
    <cellStyle name="Comma 3 3 3 2 6" xfId="24824" xr:uid="{00000000-0005-0000-0000-0000F21C0000}"/>
    <cellStyle name="Comma 3 3 3 3" xfId="5592" xr:uid="{00000000-0005-0000-0000-0000F31C0000}"/>
    <cellStyle name="Comma 3 3 3 3 2" xfId="8695" xr:uid="{00000000-0005-0000-0000-0000F41C0000}"/>
    <cellStyle name="Comma 3 3 3 3 2 2" xfId="14888" xr:uid="{00000000-0005-0000-0000-0000F51C0000}"/>
    <cellStyle name="Comma 3 3 3 3 2 2 2" xfId="34808" xr:uid="{00000000-0005-0000-0000-0000F61C0000}"/>
    <cellStyle name="Comma 3 3 3 3 2 3" xfId="21040" xr:uid="{00000000-0005-0000-0000-0000F71C0000}"/>
    <cellStyle name="Comma 3 3 3 3 2 3 2" xfId="40960" xr:uid="{00000000-0005-0000-0000-0000F81C0000}"/>
    <cellStyle name="Comma 3 3 3 3 2 4" xfId="28655" xr:uid="{00000000-0005-0000-0000-0000F91C0000}"/>
    <cellStyle name="Comma 3 3 3 3 3" xfId="11822" xr:uid="{00000000-0005-0000-0000-0000FA1C0000}"/>
    <cellStyle name="Comma 3 3 3 3 3 2" xfId="31742" xr:uid="{00000000-0005-0000-0000-0000FB1C0000}"/>
    <cellStyle name="Comma 3 3 3 3 4" xfId="17974" xr:uid="{00000000-0005-0000-0000-0000FC1C0000}"/>
    <cellStyle name="Comma 3 3 3 3 4 2" xfId="37894" xr:uid="{00000000-0005-0000-0000-0000FD1C0000}"/>
    <cellStyle name="Comma 3 3 3 3 5" xfId="25589" xr:uid="{00000000-0005-0000-0000-0000FE1C0000}"/>
    <cellStyle name="Comma 3 3 3 4" xfId="7160" xr:uid="{00000000-0005-0000-0000-0000FF1C0000}"/>
    <cellStyle name="Comma 3 3 3 4 2" xfId="13354" xr:uid="{00000000-0005-0000-0000-0000001D0000}"/>
    <cellStyle name="Comma 3 3 3 4 2 2" xfId="33274" xr:uid="{00000000-0005-0000-0000-0000011D0000}"/>
    <cellStyle name="Comma 3 3 3 4 3" xfId="19506" xr:uid="{00000000-0005-0000-0000-0000021D0000}"/>
    <cellStyle name="Comma 3 3 3 4 3 2" xfId="39426" xr:uid="{00000000-0005-0000-0000-0000031D0000}"/>
    <cellStyle name="Comma 3 3 3 4 4" xfId="27121" xr:uid="{00000000-0005-0000-0000-0000041D0000}"/>
    <cellStyle name="Comma 3 3 3 5" xfId="10288" xr:uid="{00000000-0005-0000-0000-0000051D0000}"/>
    <cellStyle name="Comma 3 3 3 5 2" xfId="30208" xr:uid="{00000000-0005-0000-0000-0000061D0000}"/>
    <cellStyle name="Comma 3 3 3 6" xfId="16440" xr:uid="{00000000-0005-0000-0000-0000071D0000}"/>
    <cellStyle name="Comma 3 3 3 6 2" xfId="36360" xr:uid="{00000000-0005-0000-0000-0000081D0000}"/>
    <cellStyle name="Comma 3 3 3 7" xfId="24055" xr:uid="{00000000-0005-0000-0000-0000091D0000}"/>
    <cellStyle name="Comma 3 3 4" xfId="1589" xr:uid="{00000000-0005-0000-0000-00000A1D0000}"/>
    <cellStyle name="Comma 3 3 4 2" xfId="4754" xr:uid="{00000000-0005-0000-0000-00000B1D0000}"/>
    <cellStyle name="Comma 3 3 4 2 2" xfId="6379" xr:uid="{00000000-0005-0000-0000-00000C1D0000}"/>
    <cellStyle name="Comma 3 3 4 2 2 2" xfId="9465" xr:uid="{00000000-0005-0000-0000-00000D1D0000}"/>
    <cellStyle name="Comma 3 3 4 2 2 2 2" xfId="15658" xr:uid="{00000000-0005-0000-0000-00000E1D0000}"/>
    <cellStyle name="Comma 3 3 4 2 2 2 2 2" xfId="35578" xr:uid="{00000000-0005-0000-0000-00000F1D0000}"/>
    <cellStyle name="Comma 3 3 4 2 2 2 3" xfId="21810" xr:uid="{00000000-0005-0000-0000-0000101D0000}"/>
    <cellStyle name="Comma 3 3 4 2 2 2 3 2" xfId="41730" xr:uid="{00000000-0005-0000-0000-0000111D0000}"/>
    <cellStyle name="Comma 3 3 4 2 2 2 4" xfId="29425" xr:uid="{00000000-0005-0000-0000-0000121D0000}"/>
    <cellStyle name="Comma 3 3 4 2 2 3" xfId="12592" xr:uid="{00000000-0005-0000-0000-0000131D0000}"/>
    <cellStyle name="Comma 3 3 4 2 2 3 2" xfId="32512" xr:uid="{00000000-0005-0000-0000-0000141D0000}"/>
    <cellStyle name="Comma 3 3 4 2 2 4" xfId="18744" xr:uid="{00000000-0005-0000-0000-0000151D0000}"/>
    <cellStyle name="Comma 3 3 4 2 2 4 2" xfId="38664" xr:uid="{00000000-0005-0000-0000-0000161D0000}"/>
    <cellStyle name="Comma 3 3 4 2 2 5" xfId="26359" xr:uid="{00000000-0005-0000-0000-0000171D0000}"/>
    <cellStyle name="Comma 3 3 4 2 3" xfId="7930" xr:uid="{00000000-0005-0000-0000-0000181D0000}"/>
    <cellStyle name="Comma 3 3 4 2 3 2" xfId="14124" xr:uid="{00000000-0005-0000-0000-0000191D0000}"/>
    <cellStyle name="Comma 3 3 4 2 3 2 2" xfId="34044" xr:uid="{00000000-0005-0000-0000-00001A1D0000}"/>
    <cellStyle name="Comma 3 3 4 2 3 3" xfId="20276" xr:uid="{00000000-0005-0000-0000-00001B1D0000}"/>
    <cellStyle name="Comma 3 3 4 2 3 3 2" xfId="40196" xr:uid="{00000000-0005-0000-0000-00001C1D0000}"/>
    <cellStyle name="Comma 3 3 4 2 3 4" xfId="27891" xr:uid="{00000000-0005-0000-0000-00001D1D0000}"/>
    <cellStyle name="Comma 3 3 4 2 4" xfId="11058" xr:uid="{00000000-0005-0000-0000-00001E1D0000}"/>
    <cellStyle name="Comma 3 3 4 2 4 2" xfId="30978" xr:uid="{00000000-0005-0000-0000-00001F1D0000}"/>
    <cellStyle name="Comma 3 3 4 2 5" xfId="17210" xr:uid="{00000000-0005-0000-0000-0000201D0000}"/>
    <cellStyle name="Comma 3 3 4 2 5 2" xfId="37130" xr:uid="{00000000-0005-0000-0000-0000211D0000}"/>
    <cellStyle name="Comma 3 3 4 2 6" xfId="24825" xr:uid="{00000000-0005-0000-0000-0000221D0000}"/>
    <cellStyle name="Comma 3 3 4 3" xfId="5593" xr:uid="{00000000-0005-0000-0000-0000231D0000}"/>
    <cellStyle name="Comma 3 3 4 3 2" xfId="8696" xr:uid="{00000000-0005-0000-0000-0000241D0000}"/>
    <cellStyle name="Comma 3 3 4 3 2 2" xfId="14889" xr:uid="{00000000-0005-0000-0000-0000251D0000}"/>
    <cellStyle name="Comma 3 3 4 3 2 2 2" xfId="34809" xr:uid="{00000000-0005-0000-0000-0000261D0000}"/>
    <cellStyle name="Comma 3 3 4 3 2 3" xfId="21041" xr:uid="{00000000-0005-0000-0000-0000271D0000}"/>
    <cellStyle name="Comma 3 3 4 3 2 3 2" xfId="40961" xr:uid="{00000000-0005-0000-0000-0000281D0000}"/>
    <cellStyle name="Comma 3 3 4 3 2 4" xfId="28656" xr:uid="{00000000-0005-0000-0000-0000291D0000}"/>
    <cellStyle name="Comma 3 3 4 3 3" xfId="11823" xr:uid="{00000000-0005-0000-0000-00002A1D0000}"/>
    <cellStyle name="Comma 3 3 4 3 3 2" xfId="31743" xr:uid="{00000000-0005-0000-0000-00002B1D0000}"/>
    <cellStyle name="Comma 3 3 4 3 4" xfId="17975" xr:uid="{00000000-0005-0000-0000-00002C1D0000}"/>
    <cellStyle name="Comma 3 3 4 3 4 2" xfId="37895" xr:uid="{00000000-0005-0000-0000-00002D1D0000}"/>
    <cellStyle name="Comma 3 3 4 3 5" xfId="25590" xr:uid="{00000000-0005-0000-0000-00002E1D0000}"/>
    <cellStyle name="Comma 3 3 4 4" xfId="7161" xr:uid="{00000000-0005-0000-0000-00002F1D0000}"/>
    <cellStyle name="Comma 3 3 4 4 2" xfId="13355" xr:uid="{00000000-0005-0000-0000-0000301D0000}"/>
    <cellStyle name="Comma 3 3 4 4 2 2" xfId="33275" xr:uid="{00000000-0005-0000-0000-0000311D0000}"/>
    <cellStyle name="Comma 3 3 4 4 3" xfId="19507" xr:uid="{00000000-0005-0000-0000-0000321D0000}"/>
    <cellStyle name="Comma 3 3 4 4 3 2" xfId="39427" xr:uid="{00000000-0005-0000-0000-0000331D0000}"/>
    <cellStyle name="Comma 3 3 4 4 4" xfId="27122" xr:uid="{00000000-0005-0000-0000-0000341D0000}"/>
    <cellStyle name="Comma 3 3 4 5" xfId="10289" xr:uid="{00000000-0005-0000-0000-0000351D0000}"/>
    <cellStyle name="Comma 3 3 4 5 2" xfId="30209" xr:uid="{00000000-0005-0000-0000-0000361D0000}"/>
    <cellStyle name="Comma 3 3 4 6" xfId="16441" xr:uid="{00000000-0005-0000-0000-0000371D0000}"/>
    <cellStyle name="Comma 3 3 4 6 2" xfId="36361" xr:uid="{00000000-0005-0000-0000-0000381D0000}"/>
    <cellStyle name="Comma 3 3 4 7" xfId="24056" xr:uid="{00000000-0005-0000-0000-0000391D0000}"/>
    <cellStyle name="Comma 3 3 5" xfId="1590" xr:uid="{00000000-0005-0000-0000-00003A1D0000}"/>
    <cellStyle name="Comma 3 3 5 2" xfId="4755" xr:uid="{00000000-0005-0000-0000-00003B1D0000}"/>
    <cellStyle name="Comma 3 3 5 2 2" xfId="6380" xr:uid="{00000000-0005-0000-0000-00003C1D0000}"/>
    <cellStyle name="Comma 3 3 5 2 2 2" xfId="9466" xr:uid="{00000000-0005-0000-0000-00003D1D0000}"/>
    <cellStyle name="Comma 3 3 5 2 2 2 2" xfId="15659" xr:uid="{00000000-0005-0000-0000-00003E1D0000}"/>
    <cellStyle name="Comma 3 3 5 2 2 2 2 2" xfId="35579" xr:uid="{00000000-0005-0000-0000-00003F1D0000}"/>
    <cellStyle name="Comma 3 3 5 2 2 2 3" xfId="21811" xr:uid="{00000000-0005-0000-0000-0000401D0000}"/>
    <cellStyle name="Comma 3 3 5 2 2 2 3 2" xfId="41731" xr:uid="{00000000-0005-0000-0000-0000411D0000}"/>
    <cellStyle name="Comma 3 3 5 2 2 2 4" xfId="29426" xr:uid="{00000000-0005-0000-0000-0000421D0000}"/>
    <cellStyle name="Comma 3 3 5 2 2 3" xfId="12593" xr:uid="{00000000-0005-0000-0000-0000431D0000}"/>
    <cellStyle name="Comma 3 3 5 2 2 3 2" xfId="32513" xr:uid="{00000000-0005-0000-0000-0000441D0000}"/>
    <cellStyle name="Comma 3 3 5 2 2 4" xfId="18745" xr:uid="{00000000-0005-0000-0000-0000451D0000}"/>
    <cellStyle name="Comma 3 3 5 2 2 4 2" xfId="38665" xr:uid="{00000000-0005-0000-0000-0000461D0000}"/>
    <cellStyle name="Comma 3 3 5 2 2 5" xfId="26360" xr:uid="{00000000-0005-0000-0000-0000471D0000}"/>
    <cellStyle name="Comma 3 3 5 2 3" xfId="7931" xr:uid="{00000000-0005-0000-0000-0000481D0000}"/>
    <cellStyle name="Comma 3 3 5 2 3 2" xfId="14125" xr:uid="{00000000-0005-0000-0000-0000491D0000}"/>
    <cellStyle name="Comma 3 3 5 2 3 2 2" xfId="34045" xr:uid="{00000000-0005-0000-0000-00004A1D0000}"/>
    <cellStyle name="Comma 3 3 5 2 3 3" xfId="20277" xr:uid="{00000000-0005-0000-0000-00004B1D0000}"/>
    <cellStyle name="Comma 3 3 5 2 3 3 2" xfId="40197" xr:uid="{00000000-0005-0000-0000-00004C1D0000}"/>
    <cellStyle name="Comma 3 3 5 2 3 4" xfId="27892" xr:uid="{00000000-0005-0000-0000-00004D1D0000}"/>
    <cellStyle name="Comma 3 3 5 2 4" xfId="11059" xr:uid="{00000000-0005-0000-0000-00004E1D0000}"/>
    <cellStyle name="Comma 3 3 5 2 4 2" xfId="30979" xr:uid="{00000000-0005-0000-0000-00004F1D0000}"/>
    <cellStyle name="Comma 3 3 5 2 5" xfId="17211" xr:uid="{00000000-0005-0000-0000-0000501D0000}"/>
    <cellStyle name="Comma 3 3 5 2 5 2" xfId="37131" xr:uid="{00000000-0005-0000-0000-0000511D0000}"/>
    <cellStyle name="Comma 3 3 5 2 6" xfId="24826" xr:uid="{00000000-0005-0000-0000-0000521D0000}"/>
    <cellStyle name="Comma 3 3 5 3" xfId="5594" xr:uid="{00000000-0005-0000-0000-0000531D0000}"/>
    <cellStyle name="Comma 3 3 5 3 2" xfId="8697" xr:uid="{00000000-0005-0000-0000-0000541D0000}"/>
    <cellStyle name="Comma 3 3 5 3 2 2" xfId="14890" xr:uid="{00000000-0005-0000-0000-0000551D0000}"/>
    <cellStyle name="Comma 3 3 5 3 2 2 2" xfId="34810" xr:uid="{00000000-0005-0000-0000-0000561D0000}"/>
    <cellStyle name="Comma 3 3 5 3 2 3" xfId="21042" xr:uid="{00000000-0005-0000-0000-0000571D0000}"/>
    <cellStyle name="Comma 3 3 5 3 2 3 2" xfId="40962" xr:uid="{00000000-0005-0000-0000-0000581D0000}"/>
    <cellStyle name="Comma 3 3 5 3 2 4" xfId="28657" xr:uid="{00000000-0005-0000-0000-0000591D0000}"/>
    <cellStyle name="Comma 3 3 5 3 3" xfId="11824" xr:uid="{00000000-0005-0000-0000-00005A1D0000}"/>
    <cellStyle name="Comma 3 3 5 3 3 2" xfId="31744" xr:uid="{00000000-0005-0000-0000-00005B1D0000}"/>
    <cellStyle name="Comma 3 3 5 3 4" xfId="17976" xr:uid="{00000000-0005-0000-0000-00005C1D0000}"/>
    <cellStyle name="Comma 3 3 5 3 4 2" xfId="37896" xr:uid="{00000000-0005-0000-0000-00005D1D0000}"/>
    <cellStyle name="Comma 3 3 5 3 5" xfId="25591" xr:uid="{00000000-0005-0000-0000-00005E1D0000}"/>
    <cellStyle name="Comma 3 3 5 4" xfId="7162" xr:uid="{00000000-0005-0000-0000-00005F1D0000}"/>
    <cellStyle name="Comma 3 3 5 4 2" xfId="13356" xr:uid="{00000000-0005-0000-0000-0000601D0000}"/>
    <cellStyle name="Comma 3 3 5 4 2 2" xfId="33276" xr:uid="{00000000-0005-0000-0000-0000611D0000}"/>
    <cellStyle name="Comma 3 3 5 4 3" xfId="19508" xr:uid="{00000000-0005-0000-0000-0000621D0000}"/>
    <cellStyle name="Comma 3 3 5 4 3 2" xfId="39428" xr:uid="{00000000-0005-0000-0000-0000631D0000}"/>
    <cellStyle name="Comma 3 3 5 4 4" xfId="27123" xr:uid="{00000000-0005-0000-0000-0000641D0000}"/>
    <cellStyle name="Comma 3 3 5 5" xfId="10290" xr:uid="{00000000-0005-0000-0000-0000651D0000}"/>
    <cellStyle name="Comma 3 3 5 5 2" xfId="30210" xr:uid="{00000000-0005-0000-0000-0000661D0000}"/>
    <cellStyle name="Comma 3 3 5 6" xfId="16442" xr:uid="{00000000-0005-0000-0000-0000671D0000}"/>
    <cellStyle name="Comma 3 3 5 6 2" xfId="36362" xr:uid="{00000000-0005-0000-0000-0000681D0000}"/>
    <cellStyle name="Comma 3 3 5 7" xfId="24057" xr:uid="{00000000-0005-0000-0000-0000691D0000}"/>
    <cellStyle name="Comma 3 3 6" xfId="4751" xr:uid="{00000000-0005-0000-0000-00006A1D0000}"/>
    <cellStyle name="Comma 3 3 6 2" xfId="6376" xr:uid="{00000000-0005-0000-0000-00006B1D0000}"/>
    <cellStyle name="Comma 3 3 6 2 2" xfId="9462" xr:uid="{00000000-0005-0000-0000-00006C1D0000}"/>
    <cellStyle name="Comma 3 3 6 2 2 2" xfId="15655" xr:uid="{00000000-0005-0000-0000-00006D1D0000}"/>
    <cellStyle name="Comma 3 3 6 2 2 2 2" xfId="35575" xr:uid="{00000000-0005-0000-0000-00006E1D0000}"/>
    <cellStyle name="Comma 3 3 6 2 2 3" xfId="21807" xr:uid="{00000000-0005-0000-0000-00006F1D0000}"/>
    <cellStyle name="Comma 3 3 6 2 2 3 2" xfId="41727" xr:uid="{00000000-0005-0000-0000-0000701D0000}"/>
    <cellStyle name="Comma 3 3 6 2 2 4" xfId="29422" xr:uid="{00000000-0005-0000-0000-0000711D0000}"/>
    <cellStyle name="Comma 3 3 6 2 3" xfId="12589" xr:uid="{00000000-0005-0000-0000-0000721D0000}"/>
    <cellStyle name="Comma 3 3 6 2 3 2" xfId="32509" xr:uid="{00000000-0005-0000-0000-0000731D0000}"/>
    <cellStyle name="Comma 3 3 6 2 4" xfId="18741" xr:uid="{00000000-0005-0000-0000-0000741D0000}"/>
    <cellStyle name="Comma 3 3 6 2 4 2" xfId="38661" xr:uid="{00000000-0005-0000-0000-0000751D0000}"/>
    <cellStyle name="Comma 3 3 6 2 5" xfId="26356" xr:uid="{00000000-0005-0000-0000-0000761D0000}"/>
    <cellStyle name="Comma 3 3 6 3" xfId="7927" xr:uid="{00000000-0005-0000-0000-0000771D0000}"/>
    <cellStyle name="Comma 3 3 6 3 2" xfId="14121" xr:uid="{00000000-0005-0000-0000-0000781D0000}"/>
    <cellStyle name="Comma 3 3 6 3 2 2" xfId="34041" xr:uid="{00000000-0005-0000-0000-0000791D0000}"/>
    <cellStyle name="Comma 3 3 6 3 3" xfId="20273" xr:uid="{00000000-0005-0000-0000-00007A1D0000}"/>
    <cellStyle name="Comma 3 3 6 3 3 2" xfId="40193" xr:uid="{00000000-0005-0000-0000-00007B1D0000}"/>
    <cellStyle name="Comma 3 3 6 3 4" xfId="27888" xr:uid="{00000000-0005-0000-0000-00007C1D0000}"/>
    <cellStyle name="Comma 3 3 6 4" xfId="11055" xr:uid="{00000000-0005-0000-0000-00007D1D0000}"/>
    <cellStyle name="Comma 3 3 6 4 2" xfId="30975" xr:uid="{00000000-0005-0000-0000-00007E1D0000}"/>
    <cellStyle name="Comma 3 3 6 5" xfId="17207" xr:uid="{00000000-0005-0000-0000-00007F1D0000}"/>
    <cellStyle name="Comma 3 3 6 5 2" xfId="37127" xr:uid="{00000000-0005-0000-0000-0000801D0000}"/>
    <cellStyle name="Comma 3 3 6 6" xfId="24822" xr:uid="{00000000-0005-0000-0000-0000811D0000}"/>
    <cellStyle name="Comma 3 3 7" xfId="5590" xr:uid="{00000000-0005-0000-0000-0000821D0000}"/>
    <cellStyle name="Comma 3 3 7 2" xfId="8693" xr:uid="{00000000-0005-0000-0000-0000831D0000}"/>
    <cellStyle name="Comma 3 3 7 2 2" xfId="14886" xr:uid="{00000000-0005-0000-0000-0000841D0000}"/>
    <cellStyle name="Comma 3 3 7 2 2 2" xfId="34806" xr:uid="{00000000-0005-0000-0000-0000851D0000}"/>
    <cellStyle name="Comma 3 3 7 2 3" xfId="21038" xr:uid="{00000000-0005-0000-0000-0000861D0000}"/>
    <cellStyle name="Comma 3 3 7 2 3 2" xfId="40958" xr:uid="{00000000-0005-0000-0000-0000871D0000}"/>
    <cellStyle name="Comma 3 3 7 2 4" xfId="28653" xr:uid="{00000000-0005-0000-0000-0000881D0000}"/>
    <cellStyle name="Comma 3 3 7 3" xfId="11820" xr:uid="{00000000-0005-0000-0000-0000891D0000}"/>
    <cellStyle name="Comma 3 3 7 3 2" xfId="31740" xr:uid="{00000000-0005-0000-0000-00008A1D0000}"/>
    <cellStyle name="Comma 3 3 7 4" xfId="17972" xr:uid="{00000000-0005-0000-0000-00008B1D0000}"/>
    <cellStyle name="Comma 3 3 7 4 2" xfId="37892" xr:uid="{00000000-0005-0000-0000-00008C1D0000}"/>
    <cellStyle name="Comma 3 3 7 5" xfId="25587" xr:uid="{00000000-0005-0000-0000-00008D1D0000}"/>
    <cellStyle name="Comma 3 3 8" xfId="7158" xr:uid="{00000000-0005-0000-0000-00008E1D0000}"/>
    <cellStyle name="Comma 3 3 8 2" xfId="13352" xr:uid="{00000000-0005-0000-0000-00008F1D0000}"/>
    <cellStyle name="Comma 3 3 8 2 2" xfId="33272" xr:uid="{00000000-0005-0000-0000-0000901D0000}"/>
    <cellStyle name="Comma 3 3 8 3" xfId="19504" xr:uid="{00000000-0005-0000-0000-0000911D0000}"/>
    <cellStyle name="Comma 3 3 8 3 2" xfId="39424" xr:uid="{00000000-0005-0000-0000-0000921D0000}"/>
    <cellStyle name="Comma 3 3 8 4" xfId="27119" xr:uid="{00000000-0005-0000-0000-0000931D0000}"/>
    <cellStyle name="Comma 3 3 9" xfId="10286" xr:uid="{00000000-0005-0000-0000-0000941D0000}"/>
    <cellStyle name="Comma 3 3 9 2" xfId="30206" xr:uid="{00000000-0005-0000-0000-0000951D0000}"/>
    <cellStyle name="Comma 3 30" xfId="732" xr:uid="{00000000-0005-0000-0000-0000961D0000}"/>
    <cellStyle name="Comma 3 30 2" xfId="23614" xr:uid="{00000000-0005-0000-0000-0000971D0000}"/>
    <cellStyle name="Comma 3 31" xfId="22697" xr:uid="{00000000-0005-0000-0000-0000981D0000}"/>
    <cellStyle name="Comma 3 31 2" xfId="42608" xr:uid="{00000000-0005-0000-0000-0000991D0000}"/>
    <cellStyle name="Comma 3 32" xfId="23000" xr:uid="{00000000-0005-0000-0000-00009A1D0000}"/>
    <cellStyle name="Comma 3 32 2" xfId="42911" xr:uid="{00000000-0005-0000-0000-00009B1D0000}"/>
    <cellStyle name="Comma 3 33" xfId="23323" xr:uid="{00000000-0005-0000-0000-00009C1D0000}"/>
    <cellStyle name="Comma 3 36" xfId="43229" xr:uid="{2908A2B6-3DCD-4055-B24A-FD28AE8ED070}"/>
    <cellStyle name="Comma 3 4" xfId="161" xr:uid="{00000000-0005-0000-0000-00009D1D0000}"/>
    <cellStyle name="Comma 3 4 2" xfId="1592" xr:uid="{00000000-0005-0000-0000-00009E1D0000}"/>
    <cellStyle name="Comma 3 4 2 2" xfId="4757" xr:uid="{00000000-0005-0000-0000-00009F1D0000}"/>
    <cellStyle name="Comma 3 4 2 2 2" xfId="6382" xr:uid="{00000000-0005-0000-0000-0000A01D0000}"/>
    <cellStyle name="Comma 3 4 2 2 2 2" xfId="9468" xr:uid="{00000000-0005-0000-0000-0000A11D0000}"/>
    <cellStyle name="Comma 3 4 2 2 2 2 2" xfId="15661" xr:uid="{00000000-0005-0000-0000-0000A21D0000}"/>
    <cellStyle name="Comma 3 4 2 2 2 2 2 2" xfId="35581" xr:uid="{00000000-0005-0000-0000-0000A31D0000}"/>
    <cellStyle name="Comma 3 4 2 2 2 2 3" xfId="21813" xr:uid="{00000000-0005-0000-0000-0000A41D0000}"/>
    <cellStyle name="Comma 3 4 2 2 2 2 3 2" xfId="41733" xr:uid="{00000000-0005-0000-0000-0000A51D0000}"/>
    <cellStyle name="Comma 3 4 2 2 2 2 4" xfId="29428" xr:uid="{00000000-0005-0000-0000-0000A61D0000}"/>
    <cellStyle name="Comma 3 4 2 2 2 3" xfId="12595" xr:uid="{00000000-0005-0000-0000-0000A71D0000}"/>
    <cellStyle name="Comma 3 4 2 2 2 3 2" xfId="32515" xr:uid="{00000000-0005-0000-0000-0000A81D0000}"/>
    <cellStyle name="Comma 3 4 2 2 2 4" xfId="18747" xr:uid="{00000000-0005-0000-0000-0000A91D0000}"/>
    <cellStyle name="Comma 3 4 2 2 2 4 2" xfId="38667" xr:uid="{00000000-0005-0000-0000-0000AA1D0000}"/>
    <cellStyle name="Comma 3 4 2 2 2 5" xfId="26362" xr:uid="{00000000-0005-0000-0000-0000AB1D0000}"/>
    <cellStyle name="Comma 3 4 2 2 3" xfId="7933" xr:uid="{00000000-0005-0000-0000-0000AC1D0000}"/>
    <cellStyle name="Comma 3 4 2 2 3 2" xfId="14127" xr:uid="{00000000-0005-0000-0000-0000AD1D0000}"/>
    <cellStyle name="Comma 3 4 2 2 3 2 2" xfId="34047" xr:uid="{00000000-0005-0000-0000-0000AE1D0000}"/>
    <cellStyle name="Comma 3 4 2 2 3 3" xfId="20279" xr:uid="{00000000-0005-0000-0000-0000AF1D0000}"/>
    <cellStyle name="Comma 3 4 2 2 3 3 2" xfId="40199" xr:uid="{00000000-0005-0000-0000-0000B01D0000}"/>
    <cellStyle name="Comma 3 4 2 2 3 4" xfId="27894" xr:uid="{00000000-0005-0000-0000-0000B11D0000}"/>
    <cellStyle name="Comma 3 4 2 2 4" xfId="11061" xr:uid="{00000000-0005-0000-0000-0000B21D0000}"/>
    <cellStyle name="Comma 3 4 2 2 4 2" xfId="30981" xr:uid="{00000000-0005-0000-0000-0000B31D0000}"/>
    <cellStyle name="Comma 3 4 2 2 5" xfId="17213" xr:uid="{00000000-0005-0000-0000-0000B41D0000}"/>
    <cellStyle name="Comma 3 4 2 2 5 2" xfId="37133" xr:uid="{00000000-0005-0000-0000-0000B51D0000}"/>
    <cellStyle name="Comma 3 4 2 2 6" xfId="24828" xr:uid="{00000000-0005-0000-0000-0000B61D0000}"/>
    <cellStyle name="Comma 3 4 2 3" xfId="5596" xr:uid="{00000000-0005-0000-0000-0000B71D0000}"/>
    <cellStyle name="Comma 3 4 2 3 2" xfId="8699" xr:uid="{00000000-0005-0000-0000-0000B81D0000}"/>
    <cellStyle name="Comma 3 4 2 3 2 2" xfId="14892" xr:uid="{00000000-0005-0000-0000-0000B91D0000}"/>
    <cellStyle name="Comma 3 4 2 3 2 2 2" xfId="34812" xr:uid="{00000000-0005-0000-0000-0000BA1D0000}"/>
    <cellStyle name="Comma 3 4 2 3 2 3" xfId="21044" xr:uid="{00000000-0005-0000-0000-0000BB1D0000}"/>
    <cellStyle name="Comma 3 4 2 3 2 3 2" xfId="40964" xr:uid="{00000000-0005-0000-0000-0000BC1D0000}"/>
    <cellStyle name="Comma 3 4 2 3 2 4" xfId="28659" xr:uid="{00000000-0005-0000-0000-0000BD1D0000}"/>
    <cellStyle name="Comma 3 4 2 3 3" xfId="11826" xr:uid="{00000000-0005-0000-0000-0000BE1D0000}"/>
    <cellStyle name="Comma 3 4 2 3 3 2" xfId="31746" xr:uid="{00000000-0005-0000-0000-0000BF1D0000}"/>
    <cellStyle name="Comma 3 4 2 3 4" xfId="17978" xr:uid="{00000000-0005-0000-0000-0000C01D0000}"/>
    <cellStyle name="Comma 3 4 2 3 4 2" xfId="37898" xr:uid="{00000000-0005-0000-0000-0000C11D0000}"/>
    <cellStyle name="Comma 3 4 2 3 5" xfId="25593" xr:uid="{00000000-0005-0000-0000-0000C21D0000}"/>
    <cellStyle name="Comma 3 4 2 4" xfId="7164" xr:uid="{00000000-0005-0000-0000-0000C31D0000}"/>
    <cellStyle name="Comma 3 4 2 4 2" xfId="13358" xr:uid="{00000000-0005-0000-0000-0000C41D0000}"/>
    <cellStyle name="Comma 3 4 2 4 2 2" xfId="33278" xr:uid="{00000000-0005-0000-0000-0000C51D0000}"/>
    <cellStyle name="Comma 3 4 2 4 3" xfId="19510" xr:uid="{00000000-0005-0000-0000-0000C61D0000}"/>
    <cellStyle name="Comma 3 4 2 4 3 2" xfId="39430" xr:uid="{00000000-0005-0000-0000-0000C71D0000}"/>
    <cellStyle name="Comma 3 4 2 4 4" xfId="27125" xr:uid="{00000000-0005-0000-0000-0000C81D0000}"/>
    <cellStyle name="Comma 3 4 2 5" xfId="10292" xr:uid="{00000000-0005-0000-0000-0000C91D0000}"/>
    <cellStyle name="Comma 3 4 2 5 2" xfId="30212" xr:uid="{00000000-0005-0000-0000-0000CA1D0000}"/>
    <cellStyle name="Comma 3 4 2 6" xfId="16444" xr:uid="{00000000-0005-0000-0000-0000CB1D0000}"/>
    <cellStyle name="Comma 3 4 2 6 2" xfId="36364" xr:uid="{00000000-0005-0000-0000-0000CC1D0000}"/>
    <cellStyle name="Comma 3 4 2 7" xfId="24059" xr:uid="{00000000-0005-0000-0000-0000CD1D0000}"/>
    <cellStyle name="Comma 3 4 3" xfId="4756" xr:uid="{00000000-0005-0000-0000-0000CE1D0000}"/>
    <cellStyle name="Comma 3 4 3 2" xfId="6381" xr:uid="{00000000-0005-0000-0000-0000CF1D0000}"/>
    <cellStyle name="Comma 3 4 3 2 2" xfId="9467" xr:uid="{00000000-0005-0000-0000-0000D01D0000}"/>
    <cellStyle name="Comma 3 4 3 2 2 2" xfId="15660" xr:uid="{00000000-0005-0000-0000-0000D11D0000}"/>
    <cellStyle name="Comma 3 4 3 2 2 2 2" xfId="35580" xr:uid="{00000000-0005-0000-0000-0000D21D0000}"/>
    <cellStyle name="Comma 3 4 3 2 2 3" xfId="21812" xr:uid="{00000000-0005-0000-0000-0000D31D0000}"/>
    <cellStyle name="Comma 3 4 3 2 2 3 2" xfId="41732" xr:uid="{00000000-0005-0000-0000-0000D41D0000}"/>
    <cellStyle name="Comma 3 4 3 2 2 4" xfId="29427" xr:uid="{00000000-0005-0000-0000-0000D51D0000}"/>
    <cellStyle name="Comma 3 4 3 2 3" xfId="12594" xr:uid="{00000000-0005-0000-0000-0000D61D0000}"/>
    <cellStyle name="Comma 3 4 3 2 3 2" xfId="32514" xr:uid="{00000000-0005-0000-0000-0000D71D0000}"/>
    <cellStyle name="Comma 3 4 3 2 4" xfId="18746" xr:uid="{00000000-0005-0000-0000-0000D81D0000}"/>
    <cellStyle name="Comma 3 4 3 2 4 2" xfId="38666" xr:uid="{00000000-0005-0000-0000-0000D91D0000}"/>
    <cellStyle name="Comma 3 4 3 2 5" xfId="26361" xr:uid="{00000000-0005-0000-0000-0000DA1D0000}"/>
    <cellStyle name="Comma 3 4 3 3" xfId="7932" xr:uid="{00000000-0005-0000-0000-0000DB1D0000}"/>
    <cellStyle name="Comma 3 4 3 3 2" xfId="14126" xr:uid="{00000000-0005-0000-0000-0000DC1D0000}"/>
    <cellStyle name="Comma 3 4 3 3 2 2" xfId="34046" xr:uid="{00000000-0005-0000-0000-0000DD1D0000}"/>
    <cellStyle name="Comma 3 4 3 3 3" xfId="20278" xr:uid="{00000000-0005-0000-0000-0000DE1D0000}"/>
    <cellStyle name="Comma 3 4 3 3 3 2" xfId="40198" xr:uid="{00000000-0005-0000-0000-0000DF1D0000}"/>
    <cellStyle name="Comma 3 4 3 3 4" xfId="27893" xr:uid="{00000000-0005-0000-0000-0000E01D0000}"/>
    <cellStyle name="Comma 3 4 3 4" xfId="11060" xr:uid="{00000000-0005-0000-0000-0000E11D0000}"/>
    <cellStyle name="Comma 3 4 3 4 2" xfId="30980" xr:uid="{00000000-0005-0000-0000-0000E21D0000}"/>
    <cellStyle name="Comma 3 4 3 5" xfId="17212" xr:uid="{00000000-0005-0000-0000-0000E31D0000}"/>
    <cellStyle name="Comma 3 4 3 5 2" xfId="37132" xr:uid="{00000000-0005-0000-0000-0000E41D0000}"/>
    <cellStyle name="Comma 3 4 3 6" xfId="24827" xr:uid="{00000000-0005-0000-0000-0000E51D0000}"/>
    <cellStyle name="Comma 3 4 4" xfId="5595" xr:uid="{00000000-0005-0000-0000-0000E61D0000}"/>
    <cellStyle name="Comma 3 4 4 2" xfId="8698" xr:uid="{00000000-0005-0000-0000-0000E71D0000}"/>
    <cellStyle name="Comma 3 4 4 2 2" xfId="14891" xr:uid="{00000000-0005-0000-0000-0000E81D0000}"/>
    <cellStyle name="Comma 3 4 4 2 2 2" xfId="34811" xr:uid="{00000000-0005-0000-0000-0000E91D0000}"/>
    <cellStyle name="Comma 3 4 4 2 3" xfId="21043" xr:uid="{00000000-0005-0000-0000-0000EA1D0000}"/>
    <cellStyle name="Comma 3 4 4 2 3 2" xfId="40963" xr:uid="{00000000-0005-0000-0000-0000EB1D0000}"/>
    <cellStyle name="Comma 3 4 4 2 4" xfId="28658" xr:uid="{00000000-0005-0000-0000-0000EC1D0000}"/>
    <cellStyle name="Comma 3 4 4 3" xfId="11825" xr:uid="{00000000-0005-0000-0000-0000ED1D0000}"/>
    <cellStyle name="Comma 3 4 4 3 2" xfId="31745" xr:uid="{00000000-0005-0000-0000-0000EE1D0000}"/>
    <cellStyle name="Comma 3 4 4 4" xfId="17977" xr:uid="{00000000-0005-0000-0000-0000EF1D0000}"/>
    <cellStyle name="Comma 3 4 4 4 2" xfId="37897" xr:uid="{00000000-0005-0000-0000-0000F01D0000}"/>
    <cellStyle name="Comma 3 4 4 5" xfId="25592" xr:uid="{00000000-0005-0000-0000-0000F11D0000}"/>
    <cellStyle name="Comma 3 4 5" xfId="7163" xr:uid="{00000000-0005-0000-0000-0000F21D0000}"/>
    <cellStyle name="Comma 3 4 5 2" xfId="13357" xr:uid="{00000000-0005-0000-0000-0000F31D0000}"/>
    <cellStyle name="Comma 3 4 5 2 2" xfId="33277" xr:uid="{00000000-0005-0000-0000-0000F41D0000}"/>
    <cellStyle name="Comma 3 4 5 3" xfId="19509" xr:uid="{00000000-0005-0000-0000-0000F51D0000}"/>
    <cellStyle name="Comma 3 4 5 3 2" xfId="39429" xr:uid="{00000000-0005-0000-0000-0000F61D0000}"/>
    <cellStyle name="Comma 3 4 5 4" xfId="27124" xr:uid="{00000000-0005-0000-0000-0000F71D0000}"/>
    <cellStyle name="Comma 3 4 6" xfId="10291" xr:uid="{00000000-0005-0000-0000-0000F81D0000}"/>
    <cellStyle name="Comma 3 4 6 2" xfId="30211" xr:uid="{00000000-0005-0000-0000-0000F91D0000}"/>
    <cellStyle name="Comma 3 4 7" xfId="16443" xr:uid="{00000000-0005-0000-0000-0000FA1D0000}"/>
    <cellStyle name="Comma 3 4 7 2" xfId="36363" xr:uid="{00000000-0005-0000-0000-0000FB1D0000}"/>
    <cellStyle name="Comma 3 4 8" xfId="1591" xr:uid="{00000000-0005-0000-0000-0000FC1D0000}"/>
    <cellStyle name="Comma 3 4 8 2" xfId="24058" xr:uid="{00000000-0005-0000-0000-0000FD1D0000}"/>
    <cellStyle name="Comma 3 5" xfId="174" xr:uid="{00000000-0005-0000-0000-0000FE1D0000}"/>
    <cellStyle name="Comma 3 5 2" xfId="1594" xr:uid="{00000000-0005-0000-0000-0000FF1D0000}"/>
    <cellStyle name="Comma 3 5 2 2" xfId="4759" xr:uid="{00000000-0005-0000-0000-0000001E0000}"/>
    <cellStyle name="Comma 3 5 2 2 2" xfId="6384" xr:uid="{00000000-0005-0000-0000-0000011E0000}"/>
    <cellStyle name="Comma 3 5 2 2 2 2" xfId="9470" xr:uid="{00000000-0005-0000-0000-0000021E0000}"/>
    <cellStyle name="Comma 3 5 2 2 2 2 2" xfId="15663" xr:uid="{00000000-0005-0000-0000-0000031E0000}"/>
    <cellStyle name="Comma 3 5 2 2 2 2 2 2" xfId="35583" xr:uid="{00000000-0005-0000-0000-0000041E0000}"/>
    <cellStyle name="Comma 3 5 2 2 2 2 3" xfId="21815" xr:uid="{00000000-0005-0000-0000-0000051E0000}"/>
    <cellStyle name="Comma 3 5 2 2 2 2 3 2" xfId="41735" xr:uid="{00000000-0005-0000-0000-0000061E0000}"/>
    <cellStyle name="Comma 3 5 2 2 2 2 4" xfId="29430" xr:uid="{00000000-0005-0000-0000-0000071E0000}"/>
    <cellStyle name="Comma 3 5 2 2 2 3" xfId="12597" xr:uid="{00000000-0005-0000-0000-0000081E0000}"/>
    <cellStyle name="Comma 3 5 2 2 2 3 2" xfId="32517" xr:uid="{00000000-0005-0000-0000-0000091E0000}"/>
    <cellStyle name="Comma 3 5 2 2 2 4" xfId="18749" xr:uid="{00000000-0005-0000-0000-00000A1E0000}"/>
    <cellStyle name="Comma 3 5 2 2 2 4 2" xfId="38669" xr:uid="{00000000-0005-0000-0000-00000B1E0000}"/>
    <cellStyle name="Comma 3 5 2 2 2 5" xfId="26364" xr:uid="{00000000-0005-0000-0000-00000C1E0000}"/>
    <cellStyle name="Comma 3 5 2 2 3" xfId="7935" xr:uid="{00000000-0005-0000-0000-00000D1E0000}"/>
    <cellStyle name="Comma 3 5 2 2 3 2" xfId="14129" xr:uid="{00000000-0005-0000-0000-00000E1E0000}"/>
    <cellStyle name="Comma 3 5 2 2 3 2 2" xfId="34049" xr:uid="{00000000-0005-0000-0000-00000F1E0000}"/>
    <cellStyle name="Comma 3 5 2 2 3 3" xfId="20281" xr:uid="{00000000-0005-0000-0000-0000101E0000}"/>
    <cellStyle name="Comma 3 5 2 2 3 3 2" xfId="40201" xr:uid="{00000000-0005-0000-0000-0000111E0000}"/>
    <cellStyle name="Comma 3 5 2 2 3 4" xfId="27896" xr:uid="{00000000-0005-0000-0000-0000121E0000}"/>
    <cellStyle name="Comma 3 5 2 2 4" xfId="11063" xr:uid="{00000000-0005-0000-0000-0000131E0000}"/>
    <cellStyle name="Comma 3 5 2 2 4 2" xfId="30983" xr:uid="{00000000-0005-0000-0000-0000141E0000}"/>
    <cellStyle name="Comma 3 5 2 2 5" xfId="17215" xr:uid="{00000000-0005-0000-0000-0000151E0000}"/>
    <cellStyle name="Comma 3 5 2 2 5 2" xfId="37135" xr:uid="{00000000-0005-0000-0000-0000161E0000}"/>
    <cellStyle name="Comma 3 5 2 2 6" xfId="24830" xr:uid="{00000000-0005-0000-0000-0000171E0000}"/>
    <cellStyle name="Comma 3 5 2 3" xfId="5598" xr:uid="{00000000-0005-0000-0000-0000181E0000}"/>
    <cellStyle name="Comma 3 5 2 3 2" xfId="8701" xr:uid="{00000000-0005-0000-0000-0000191E0000}"/>
    <cellStyle name="Comma 3 5 2 3 2 2" xfId="14894" xr:uid="{00000000-0005-0000-0000-00001A1E0000}"/>
    <cellStyle name="Comma 3 5 2 3 2 2 2" xfId="34814" xr:uid="{00000000-0005-0000-0000-00001B1E0000}"/>
    <cellStyle name="Comma 3 5 2 3 2 3" xfId="21046" xr:uid="{00000000-0005-0000-0000-00001C1E0000}"/>
    <cellStyle name="Comma 3 5 2 3 2 3 2" xfId="40966" xr:uid="{00000000-0005-0000-0000-00001D1E0000}"/>
    <cellStyle name="Comma 3 5 2 3 2 4" xfId="28661" xr:uid="{00000000-0005-0000-0000-00001E1E0000}"/>
    <cellStyle name="Comma 3 5 2 3 3" xfId="11828" xr:uid="{00000000-0005-0000-0000-00001F1E0000}"/>
    <cellStyle name="Comma 3 5 2 3 3 2" xfId="31748" xr:uid="{00000000-0005-0000-0000-0000201E0000}"/>
    <cellStyle name="Comma 3 5 2 3 4" xfId="17980" xr:uid="{00000000-0005-0000-0000-0000211E0000}"/>
    <cellStyle name="Comma 3 5 2 3 4 2" xfId="37900" xr:uid="{00000000-0005-0000-0000-0000221E0000}"/>
    <cellStyle name="Comma 3 5 2 3 5" xfId="25595" xr:uid="{00000000-0005-0000-0000-0000231E0000}"/>
    <cellStyle name="Comma 3 5 2 4" xfId="7166" xr:uid="{00000000-0005-0000-0000-0000241E0000}"/>
    <cellStyle name="Comma 3 5 2 4 2" xfId="13360" xr:uid="{00000000-0005-0000-0000-0000251E0000}"/>
    <cellStyle name="Comma 3 5 2 4 2 2" xfId="33280" xr:uid="{00000000-0005-0000-0000-0000261E0000}"/>
    <cellStyle name="Comma 3 5 2 4 3" xfId="19512" xr:uid="{00000000-0005-0000-0000-0000271E0000}"/>
    <cellStyle name="Comma 3 5 2 4 3 2" xfId="39432" xr:uid="{00000000-0005-0000-0000-0000281E0000}"/>
    <cellStyle name="Comma 3 5 2 4 4" xfId="27127" xr:uid="{00000000-0005-0000-0000-0000291E0000}"/>
    <cellStyle name="Comma 3 5 2 5" xfId="10294" xr:uid="{00000000-0005-0000-0000-00002A1E0000}"/>
    <cellStyle name="Comma 3 5 2 5 2" xfId="30214" xr:uid="{00000000-0005-0000-0000-00002B1E0000}"/>
    <cellStyle name="Comma 3 5 2 6" xfId="16446" xr:uid="{00000000-0005-0000-0000-00002C1E0000}"/>
    <cellStyle name="Comma 3 5 2 6 2" xfId="36366" xr:uid="{00000000-0005-0000-0000-00002D1E0000}"/>
    <cellStyle name="Comma 3 5 2 7" xfId="24061" xr:uid="{00000000-0005-0000-0000-00002E1E0000}"/>
    <cellStyle name="Comma 3 5 3" xfId="4758" xr:uid="{00000000-0005-0000-0000-00002F1E0000}"/>
    <cellStyle name="Comma 3 5 3 2" xfId="6383" xr:uid="{00000000-0005-0000-0000-0000301E0000}"/>
    <cellStyle name="Comma 3 5 3 2 2" xfId="9469" xr:uid="{00000000-0005-0000-0000-0000311E0000}"/>
    <cellStyle name="Comma 3 5 3 2 2 2" xfId="15662" xr:uid="{00000000-0005-0000-0000-0000321E0000}"/>
    <cellStyle name="Comma 3 5 3 2 2 2 2" xfId="35582" xr:uid="{00000000-0005-0000-0000-0000331E0000}"/>
    <cellStyle name="Comma 3 5 3 2 2 3" xfId="21814" xr:uid="{00000000-0005-0000-0000-0000341E0000}"/>
    <cellStyle name="Comma 3 5 3 2 2 3 2" xfId="41734" xr:uid="{00000000-0005-0000-0000-0000351E0000}"/>
    <cellStyle name="Comma 3 5 3 2 2 4" xfId="29429" xr:uid="{00000000-0005-0000-0000-0000361E0000}"/>
    <cellStyle name="Comma 3 5 3 2 3" xfId="12596" xr:uid="{00000000-0005-0000-0000-0000371E0000}"/>
    <cellStyle name="Comma 3 5 3 2 3 2" xfId="32516" xr:uid="{00000000-0005-0000-0000-0000381E0000}"/>
    <cellStyle name="Comma 3 5 3 2 4" xfId="18748" xr:uid="{00000000-0005-0000-0000-0000391E0000}"/>
    <cellStyle name="Comma 3 5 3 2 4 2" xfId="38668" xr:uid="{00000000-0005-0000-0000-00003A1E0000}"/>
    <cellStyle name="Comma 3 5 3 2 5" xfId="26363" xr:uid="{00000000-0005-0000-0000-00003B1E0000}"/>
    <cellStyle name="Comma 3 5 3 3" xfId="7934" xr:uid="{00000000-0005-0000-0000-00003C1E0000}"/>
    <cellStyle name="Comma 3 5 3 3 2" xfId="14128" xr:uid="{00000000-0005-0000-0000-00003D1E0000}"/>
    <cellStyle name="Comma 3 5 3 3 2 2" xfId="34048" xr:uid="{00000000-0005-0000-0000-00003E1E0000}"/>
    <cellStyle name="Comma 3 5 3 3 3" xfId="20280" xr:uid="{00000000-0005-0000-0000-00003F1E0000}"/>
    <cellStyle name="Comma 3 5 3 3 3 2" xfId="40200" xr:uid="{00000000-0005-0000-0000-0000401E0000}"/>
    <cellStyle name="Comma 3 5 3 3 4" xfId="27895" xr:uid="{00000000-0005-0000-0000-0000411E0000}"/>
    <cellStyle name="Comma 3 5 3 4" xfId="11062" xr:uid="{00000000-0005-0000-0000-0000421E0000}"/>
    <cellStyle name="Comma 3 5 3 4 2" xfId="30982" xr:uid="{00000000-0005-0000-0000-0000431E0000}"/>
    <cellStyle name="Comma 3 5 3 5" xfId="17214" xr:uid="{00000000-0005-0000-0000-0000441E0000}"/>
    <cellStyle name="Comma 3 5 3 5 2" xfId="37134" xr:uid="{00000000-0005-0000-0000-0000451E0000}"/>
    <cellStyle name="Comma 3 5 3 6" xfId="24829" xr:uid="{00000000-0005-0000-0000-0000461E0000}"/>
    <cellStyle name="Comma 3 5 4" xfId="5597" xr:uid="{00000000-0005-0000-0000-0000471E0000}"/>
    <cellStyle name="Comma 3 5 4 2" xfId="8700" xr:uid="{00000000-0005-0000-0000-0000481E0000}"/>
    <cellStyle name="Comma 3 5 4 2 2" xfId="14893" xr:uid="{00000000-0005-0000-0000-0000491E0000}"/>
    <cellStyle name="Comma 3 5 4 2 2 2" xfId="34813" xr:uid="{00000000-0005-0000-0000-00004A1E0000}"/>
    <cellStyle name="Comma 3 5 4 2 3" xfId="21045" xr:uid="{00000000-0005-0000-0000-00004B1E0000}"/>
    <cellStyle name="Comma 3 5 4 2 3 2" xfId="40965" xr:uid="{00000000-0005-0000-0000-00004C1E0000}"/>
    <cellStyle name="Comma 3 5 4 2 4" xfId="28660" xr:uid="{00000000-0005-0000-0000-00004D1E0000}"/>
    <cellStyle name="Comma 3 5 4 3" xfId="11827" xr:uid="{00000000-0005-0000-0000-00004E1E0000}"/>
    <cellStyle name="Comma 3 5 4 3 2" xfId="31747" xr:uid="{00000000-0005-0000-0000-00004F1E0000}"/>
    <cellStyle name="Comma 3 5 4 4" xfId="17979" xr:uid="{00000000-0005-0000-0000-0000501E0000}"/>
    <cellStyle name="Comma 3 5 4 4 2" xfId="37899" xr:uid="{00000000-0005-0000-0000-0000511E0000}"/>
    <cellStyle name="Comma 3 5 4 5" xfId="25594" xr:uid="{00000000-0005-0000-0000-0000521E0000}"/>
    <cellStyle name="Comma 3 5 5" xfId="7165" xr:uid="{00000000-0005-0000-0000-0000531E0000}"/>
    <cellStyle name="Comma 3 5 5 2" xfId="13359" xr:uid="{00000000-0005-0000-0000-0000541E0000}"/>
    <cellStyle name="Comma 3 5 5 2 2" xfId="33279" xr:uid="{00000000-0005-0000-0000-0000551E0000}"/>
    <cellStyle name="Comma 3 5 5 3" xfId="19511" xr:uid="{00000000-0005-0000-0000-0000561E0000}"/>
    <cellStyle name="Comma 3 5 5 3 2" xfId="39431" xr:uid="{00000000-0005-0000-0000-0000571E0000}"/>
    <cellStyle name="Comma 3 5 5 4" xfId="27126" xr:uid="{00000000-0005-0000-0000-0000581E0000}"/>
    <cellStyle name="Comma 3 5 6" xfId="10293" xr:uid="{00000000-0005-0000-0000-0000591E0000}"/>
    <cellStyle name="Comma 3 5 6 2" xfId="30213" xr:uid="{00000000-0005-0000-0000-00005A1E0000}"/>
    <cellStyle name="Comma 3 5 7" xfId="16445" xr:uid="{00000000-0005-0000-0000-00005B1E0000}"/>
    <cellStyle name="Comma 3 5 7 2" xfId="36365" xr:uid="{00000000-0005-0000-0000-00005C1E0000}"/>
    <cellStyle name="Comma 3 5 8" xfId="1593" xr:uid="{00000000-0005-0000-0000-00005D1E0000}"/>
    <cellStyle name="Comma 3 5 8 2" xfId="24060" xr:uid="{00000000-0005-0000-0000-00005E1E0000}"/>
    <cellStyle name="Comma 3 6" xfId="182" xr:uid="{00000000-0005-0000-0000-00005F1E0000}"/>
    <cellStyle name="Comma 3 6 2" xfId="1596" xr:uid="{00000000-0005-0000-0000-0000601E0000}"/>
    <cellStyle name="Comma 3 6 2 2" xfId="4761" xr:uid="{00000000-0005-0000-0000-0000611E0000}"/>
    <cellStyle name="Comma 3 6 2 2 2" xfId="6386" xr:uid="{00000000-0005-0000-0000-0000621E0000}"/>
    <cellStyle name="Comma 3 6 2 2 2 2" xfId="9472" xr:uid="{00000000-0005-0000-0000-0000631E0000}"/>
    <cellStyle name="Comma 3 6 2 2 2 2 2" xfId="15665" xr:uid="{00000000-0005-0000-0000-0000641E0000}"/>
    <cellStyle name="Comma 3 6 2 2 2 2 2 2" xfId="35585" xr:uid="{00000000-0005-0000-0000-0000651E0000}"/>
    <cellStyle name="Comma 3 6 2 2 2 2 3" xfId="21817" xr:uid="{00000000-0005-0000-0000-0000661E0000}"/>
    <cellStyle name="Comma 3 6 2 2 2 2 3 2" xfId="41737" xr:uid="{00000000-0005-0000-0000-0000671E0000}"/>
    <cellStyle name="Comma 3 6 2 2 2 2 4" xfId="29432" xr:uid="{00000000-0005-0000-0000-0000681E0000}"/>
    <cellStyle name="Comma 3 6 2 2 2 3" xfId="12599" xr:uid="{00000000-0005-0000-0000-0000691E0000}"/>
    <cellStyle name="Comma 3 6 2 2 2 3 2" xfId="32519" xr:uid="{00000000-0005-0000-0000-00006A1E0000}"/>
    <cellStyle name="Comma 3 6 2 2 2 4" xfId="18751" xr:uid="{00000000-0005-0000-0000-00006B1E0000}"/>
    <cellStyle name="Comma 3 6 2 2 2 4 2" xfId="38671" xr:uid="{00000000-0005-0000-0000-00006C1E0000}"/>
    <cellStyle name="Comma 3 6 2 2 2 5" xfId="26366" xr:uid="{00000000-0005-0000-0000-00006D1E0000}"/>
    <cellStyle name="Comma 3 6 2 2 3" xfId="7937" xr:uid="{00000000-0005-0000-0000-00006E1E0000}"/>
    <cellStyle name="Comma 3 6 2 2 3 2" xfId="14131" xr:uid="{00000000-0005-0000-0000-00006F1E0000}"/>
    <cellStyle name="Comma 3 6 2 2 3 2 2" xfId="34051" xr:uid="{00000000-0005-0000-0000-0000701E0000}"/>
    <cellStyle name="Comma 3 6 2 2 3 3" xfId="20283" xr:uid="{00000000-0005-0000-0000-0000711E0000}"/>
    <cellStyle name="Comma 3 6 2 2 3 3 2" xfId="40203" xr:uid="{00000000-0005-0000-0000-0000721E0000}"/>
    <cellStyle name="Comma 3 6 2 2 3 4" xfId="27898" xr:uid="{00000000-0005-0000-0000-0000731E0000}"/>
    <cellStyle name="Comma 3 6 2 2 4" xfId="11065" xr:uid="{00000000-0005-0000-0000-0000741E0000}"/>
    <cellStyle name="Comma 3 6 2 2 4 2" xfId="30985" xr:uid="{00000000-0005-0000-0000-0000751E0000}"/>
    <cellStyle name="Comma 3 6 2 2 5" xfId="17217" xr:uid="{00000000-0005-0000-0000-0000761E0000}"/>
    <cellStyle name="Comma 3 6 2 2 5 2" xfId="37137" xr:uid="{00000000-0005-0000-0000-0000771E0000}"/>
    <cellStyle name="Comma 3 6 2 2 6" xfId="24832" xr:uid="{00000000-0005-0000-0000-0000781E0000}"/>
    <cellStyle name="Comma 3 6 2 3" xfId="5600" xr:uid="{00000000-0005-0000-0000-0000791E0000}"/>
    <cellStyle name="Comma 3 6 2 3 2" xfId="8703" xr:uid="{00000000-0005-0000-0000-00007A1E0000}"/>
    <cellStyle name="Comma 3 6 2 3 2 2" xfId="14896" xr:uid="{00000000-0005-0000-0000-00007B1E0000}"/>
    <cellStyle name="Comma 3 6 2 3 2 2 2" xfId="34816" xr:uid="{00000000-0005-0000-0000-00007C1E0000}"/>
    <cellStyle name="Comma 3 6 2 3 2 3" xfId="21048" xr:uid="{00000000-0005-0000-0000-00007D1E0000}"/>
    <cellStyle name="Comma 3 6 2 3 2 3 2" xfId="40968" xr:uid="{00000000-0005-0000-0000-00007E1E0000}"/>
    <cellStyle name="Comma 3 6 2 3 2 4" xfId="28663" xr:uid="{00000000-0005-0000-0000-00007F1E0000}"/>
    <cellStyle name="Comma 3 6 2 3 3" xfId="11830" xr:uid="{00000000-0005-0000-0000-0000801E0000}"/>
    <cellStyle name="Comma 3 6 2 3 3 2" xfId="31750" xr:uid="{00000000-0005-0000-0000-0000811E0000}"/>
    <cellStyle name="Comma 3 6 2 3 4" xfId="17982" xr:uid="{00000000-0005-0000-0000-0000821E0000}"/>
    <cellStyle name="Comma 3 6 2 3 4 2" xfId="37902" xr:uid="{00000000-0005-0000-0000-0000831E0000}"/>
    <cellStyle name="Comma 3 6 2 3 5" xfId="25597" xr:uid="{00000000-0005-0000-0000-0000841E0000}"/>
    <cellStyle name="Comma 3 6 2 4" xfId="7168" xr:uid="{00000000-0005-0000-0000-0000851E0000}"/>
    <cellStyle name="Comma 3 6 2 4 2" xfId="13362" xr:uid="{00000000-0005-0000-0000-0000861E0000}"/>
    <cellStyle name="Comma 3 6 2 4 2 2" xfId="33282" xr:uid="{00000000-0005-0000-0000-0000871E0000}"/>
    <cellStyle name="Comma 3 6 2 4 3" xfId="19514" xr:uid="{00000000-0005-0000-0000-0000881E0000}"/>
    <cellStyle name="Comma 3 6 2 4 3 2" xfId="39434" xr:uid="{00000000-0005-0000-0000-0000891E0000}"/>
    <cellStyle name="Comma 3 6 2 4 4" xfId="27129" xr:uid="{00000000-0005-0000-0000-00008A1E0000}"/>
    <cellStyle name="Comma 3 6 2 5" xfId="10296" xr:uid="{00000000-0005-0000-0000-00008B1E0000}"/>
    <cellStyle name="Comma 3 6 2 5 2" xfId="30216" xr:uid="{00000000-0005-0000-0000-00008C1E0000}"/>
    <cellStyle name="Comma 3 6 2 6" xfId="16448" xr:uid="{00000000-0005-0000-0000-00008D1E0000}"/>
    <cellStyle name="Comma 3 6 2 6 2" xfId="36368" xr:uid="{00000000-0005-0000-0000-00008E1E0000}"/>
    <cellStyle name="Comma 3 6 2 7" xfId="24063" xr:uid="{00000000-0005-0000-0000-00008F1E0000}"/>
    <cellStyle name="Comma 3 6 3" xfId="4760" xr:uid="{00000000-0005-0000-0000-0000901E0000}"/>
    <cellStyle name="Comma 3 6 3 2" xfId="6385" xr:uid="{00000000-0005-0000-0000-0000911E0000}"/>
    <cellStyle name="Comma 3 6 3 2 2" xfId="9471" xr:uid="{00000000-0005-0000-0000-0000921E0000}"/>
    <cellStyle name="Comma 3 6 3 2 2 2" xfId="15664" xr:uid="{00000000-0005-0000-0000-0000931E0000}"/>
    <cellStyle name="Comma 3 6 3 2 2 2 2" xfId="35584" xr:uid="{00000000-0005-0000-0000-0000941E0000}"/>
    <cellStyle name="Comma 3 6 3 2 2 3" xfId="21816" xr:uid="{00000000-0005-0000-0000-0000951E0000}"/>
    <cellStyle name="Comma 3 6 3 2 2 3 2" xfId="41736" xr:uid="{00000000-0005-0000-0000-0000961E0000}"/>
    <cellStyle name="Comma 3 6 3 2 2 4" xfId="29431" xr:uid="{00000000-0005-0000-0000-0000971E0000}"/>
    <cellStyle name="Comma 3 6 3 2 3" xfId="12598" xr:uid="{00000000-0005-0000-0000-0000981E0000}"/>
    <cellStyle name="Comma 3 6 3 2 3 2" xfId="32518" xr:uid="{00000000-0005-0000-0000-0000991E0000}"/>
    <cellStyle name="Comma 3 6 3 2 4" xfId="18750" xr:uid="{00000000-0005-0000-0000-00009A1E0000}"/>
    <cellStyle name="Comma 3 6 3 2 4 2" xfId="38670" xr:uid="{00000000-0005-0000-0000-00009B1E0000}"/>
    <cellStyle name="Comma 3 6 3 2 5" xfId="26365" xr:uid="{00000000-0005-0000-0000-00009C1E0000}"/>
    <cellStyle name="Comma 3 6 3 3" xfId="7936" xr:uid="{00000000-0005-0000-0000-00009D1E0000}"/>
    <cellStyle name="Comma 3 6 3 3 2" xfId="14130" xr:uid="{00000000-0005-0000-0000-00009E1E0000}"/>
    <cellStyle name="Comma 3 6 3 3 2 2" xfId="34050" xr:uid="{00000000-0005-0000-0000-00009F1E0000}"/>
    <cellStyle name="Comma 3 6 3 3 3" xfId="20282" xr:uid="{00000000-0005-0000-0000-0000A01E0000}"/>
    <cellStyle name="Comma 3 6 3 3 3 2" xfId="40202" xr:uid="{00000000-0005-0000-0000-0000A11E0000}"/>
    <cellStyle name="Comma 3 6 3 3 4" xfId="27897" xr:uid="{00000000-0005-0000-0000-0000A21E0000}"/>
    <cellStyle name="Comma 3 6 3 4" xfId="11064" xr:uid="{00000000-0005-0000-0000-0000A31E0000}"/>
    <cellStyle name="Comma 3 6 3 4 2" xfId="30984" xr:uid="{00000000-0005-0000-0000-0000A41E0000}"/>
    <cellStyle name="Comma 3 6 3 5" xfId="17216" xr:uid="{00000000-0005-0000-0000-0000A51E0000}"/>
    <cellStyle name="Comma 3 6 3 5 2" xfId="37136" xr:uid="{00000000-0005-0000-0000-0000A61E0000}"/>
    <cellStyle name="Comma 3 6 3 6" xfId="24831" xr:uid="{00000000-0005-0000-0000-0000A71E0000}"/>
    <cellStyle name="Comma 3 6 4" xfId="5599" xr:uid="{00000000-0005-0000-0000-0000A81E0000}"/>
    <cellStyle name="Comma 3 6 4 2" xfId="8702" xr:uid="{00000000-0005-0000-0000-0000A91E0000}"/>
    <cellStyle name="Comma 3 6 4 2 2" xfId="14895" xr:uid="{00000000-0005-0000-0000-0000AA1E0000}"/>
    <cellStyle name="Comma 3 6 4 2 2 2" xfId="34815" xr:uid="{00000000-0005-0000-0000-0000AB1E0000}"/>
    <cellStyle name="Comma 3 6 4 2 3" xfId="21047" xr:uid="{00000000-0005-0000-0000-0000AC1E0000}"/>
    <cellStyle name="Comma 3 6 4 2 3 2" xfId="40967" xr:uid="{00000000-0005-0000-0000-0000AD1E0000}"/>
    <cellStyle name="Comma 3 6 4 2 4" xfId="28662" xr:uid="{00000000-0005-0000-0000-0000AE1E0000}"/>
    <cellStyle name="Comma 3 6 4 3" xfId="11829" xr:uid="{00000000-0005-0000-0000-0000AF1E0000}"/>
    <cellStyle name="Comma 3 6 4 3 2" xfId="31749" xr:uid="{00000000-0005-0000-0000-0000B01E0000}"/>
    <cellStyle name="Comma 3 6 4 4" xfId="17981" xr:uid="{00000000-0005-0000-0000-0000B11E0000}"/>
    <cellStyle name="Comma 3 6 4 4 2" xfId="37901" xr:uid="{00000000-0005-0000-0000-0000B21E0000}"/>
    <cellStyle name="Comma 3 6 4 5" xfId="25596" xr:uid="{00000000-0005-0000-0000-0000B31E0000}"/>
    <cellStyle name="Comma 3 6 5" xfId="7167" xr:uid="{00000000-0005-0000-0000-0000B41E0000}"/>
    <cellStyle name="Comma 3 6 5 2" xfId="13361" xr:uid="{00000000-0005-0000-0000-0000B51E0000}"/>
    <cellStyle name="Comma 3 6 5 2 2" xfId="33281" xr:uid="{00000000-0005-0000-0000-0000B61E0000}"/>
    <cellStyle name="Comma 3 6 5 3" xfId="19513" xr:uid="{00000000-0005-0000-0000-0000B71E0000}"/>
    <cellStyle name="Comma 3 6 5 3 2" xfId="39433" xr:uid="{00000000-0005-0000-0000-0000B81E0000}"/>
    <cellStyle name="Comma 3 6 5 4" xfId="27128" xr:uid="{00000000-0005-0000-0000-0000B91E0000}"/>
    <cellStyle name="Comma 3 6 6" xfId="10295" xr:uid="{00000000-0005-0000-0000-0000BA1E0000}"/>
    <cellStyle name="Comma 3 6 6 2" xfId="30215" xr:uid="{00000000-0005-0000-0000-0000BB1E0000}"/>
    <cellStyle name="Comma 3 6 7" xfId="16447" xr:uid="{00000000-0005-0000-0000-0000BC1E0000}"/>
    <cellStyle name="Comma 3 6 7 2" xfId="36367" xr:uid="{00000000-0005-0000-0000-0000BD1E0000}"/>
    <cellStyle name="Comma 3 6 8" xfId="1595" xr:uid="{00000000-0005-0000-0000-0000BE1E0000}"/>
    <cellStyle name="Comma 3 6 8 2" xfId="24062" xr:uid="{00000000-0005-0000-0000-0000BF1E0000}"/>
    <cellStyle name="Comma 3 7" xfId="217" xr:uid="{00000000-0005-0000-0000-0000C01E0000}"/>
    <cellStyle name="Comma 3 7 2" xfId="4762" xr:uid="{00000000-0005-0000-0000-0000C11E0000}"/>
    <cellStyle name="Comma 3 7 2 2" xfId="6387" xr:uid="{00000000-0005-0000-0000-0000C21E0000}"/>
    <cellStyle name="Comma 3 7 2 2 2" xfId="9473" xr:uid="{00000000-0005-0000-0000-0000C31E0000}"/>
    <cellStyle name="Comma 3 7 2 2 2 2" xfId="15666" xr:uid="{00000000-0005-0000-0000-0000C41E0000}"/>
    <cellStyle name="Comma 3 7 2 2 2 2 2" xfId="35586" xr:uid="{00000000-0005-0000-0000-0000C51E0000}"/>
    <cellStyle name="Comma 3 7 2 2 2 3" xfId="21818" xr:uid="{00000000-0005-0000-0000-0000C61E0000}"/>
    <cellStyle name="Comma 3 7 2 2 2 3 2" xfId="41738" xr:uid="{00000000-0005-0000-0000-0000C71E0000}"/>
    <cellStyle name="Comma 3 7 2 2 2 4" xfId="29433" xr:uid="{00000000-0005-0000-0000-0000C81E0000}"/>
    <cellStyle name="Comma 3 7 2 2 3" xfId="12600" xr:uid="{00000000-0005-0000-0000-0000C91E0000}"/>
    <cellStyle name="Comma 3 7 2 2 3 2" xfId="32520" xr:uid="{00000000-0005-0000-0000-0000CA1E0000}"/>
    <cellStyle name="Comma 3 7 2 2 4" xfId="18752" xr:uid="{00000000-0005-0000-0000-0000CB1E0000}"/>
    <cellStyle name="Comma 3 7 2 2 4 2" xfId="38672" xr:uid="{00000000-0005-0000-0000-0000CC1E0000}"/>
    <cellStyle name="Comma 3 7 2 2 5" xfId="26367" xr:uid="{00000000-0005-0000-0000-0000CD1E0000}"/>
    <cellStyle name="Comma 3 7 2 3" xfId="7938" xr:uid="{00000000-0005-0000-0000-0000CE1E0000}"/>
    <cellStyle name="Comma 3 7 2 3 2" xfId="14132" xr:uid="{00000000-0005-0000-0000-0000CF1E0000}"/>
    <cellStyle name="Comma 3 7 2 3 2 2" xfId="34052" xr:uid="{00000000-0005-0000-0000-0000D01E0000}"/>
    <cellStyle name="Comma 3 7 2 3 3" xfId="20284" xr:uid="{00000000-0005-0000-0000-0000D11E0000}"/>
    <cellStyle name="Comma 3 7 2 3 3 2" xfId="40204" xr:uid="{00000000-0005-0000-0000-0000D21E0000}"/>
    <cellStyle name="Comma 3 7 2 3 4" xfId="27899" xr:uid="{00000000-0005-0000-0000-0000D31E0000}"/>
    <cellStyle name="Comma 3 7 2 4" xfId="11066" xr:uid="{00000000-0005-0000-0000-0000D41E0000}"/>
    <cellStyle name="Comma 3 7 2 4 2" xfId="30986" xr:uid="{00000000-0005-0000-0000-0000D51E0000}"/>
    <cellStyle name="Comma 3 7 2 5" xfId="17218" xr:uid="{00000000-0005-0000-0000-0000D61E0000}"/>
    <cellStyle name="Comma 3 7 2 5 2" xfId="37138" xr:uid="{00000000-0005-0000-0000-0000D71E0000}"/>
    <cellStyle name="Comma 3 7 2 6" xfId="24833" xr:uid="{00000000-0005-0000-0000-0000D81E0000}"/>
    <cellStyle name="Comma 3 7 3" xfId="5601" xr:uid="{00000000-0005-0000-0000-0000D91E0000}"/>
    <cellStyle name="Comma 3 7 3 2" xfId="8704" xr:uid="{00000000-0005-0000-0000-0000DA1E0000}"/>
    <cellStyle name="Comma 3 7 3 2 2" xfId="14897" xr:uid="{00000000-0005-0000-0000-0000DB1E0000}"/>
    <cellStyle name="Comma 3 7 3 2 2 2" xfId="34817" xr:uid="{00000000-0005-0000-0000-0000DC1E0000}"/>
    <cellStyle name="Comma 3 7 3 2 3" xfId="21049" xr:uid="{00000000-0005-0000-0000-0000DD1E0000}"/>
    <cellStyle name="Comma 3 7 3 2 3 2" xfId="40969" xr:uid="{00000000-0005-0000-0000-0000DE1E0000}"/>
    <cellStyle name="Comma 3 7 3 2 4" xfId="28664" xr:uid="{00000000-0005-0000-0000-0000DF1E0000}"/>
    <cellStyle name="Comma 3 7 3 3" xfId="11831" xr:uid="{00000000-0005-0000-0000-0000E01E0000}"/>
    <cellStyle name="Comma 3 7 3 3 2" xfId="31751" xr:uid="{00000000-0005-0000-0000-0000E11E0000}"/>
    <cellStyle name="Comma 3 7 3 4" xfId="17983" xr:uid="{00000000-0005-0000-0000-0000E21E0000}"/>
    <cellStyle name="Comma 3 7 3 4 2" xfId="37903" xr:uid="{00000000-0005-0000-0000-0000E31E0000}"/>
    <cellStyle name="Comma 3 7 3 5" xfId="25598" xr:uid="{00000000-0005-0000-0000-0000E41E0000}"/>
    <cellStyle name="Comma 3 7 4" xfId="7169" xr:uid="{00000000-0005-0000-0000-0000E51E0000}"/>
    <cellStyle name="Comma 3 7 4 2" xfId="13363" xr:uid="{00000000-0005-0000-0000-0000E61E0000}"/>
    <cellStyle name="Comma 3 7 4 2 2" xfId="33283" xr:uid="{00000000-0005-0000-0000-0000E71E0000}"/>
    <cellStyle name="Comma 3 7 4 3" xfId="19515" xr:uid="{00000000-0005-0000-0000-0000E81E0000}"/>
    <cellStyle name="Comma 3 7 4 3 2" xfId="39435" xr:uid="{00000000-0005-0000-0000-0000E91E0000}"/>
    <cellStyle name="Comma 3 7 4 4" xfId="27130" xr:uid="{00000000-0005-0000-0000-0000EA1E0000}"/>
    <cellStyle name="Comma 3 7 5" xfId="10297" xr:uid="{00000000-0005-0000-0000-0000EB1E0000}"/>
    <cellStyle name="Comma 3 7 5 2" xfId="30217" xr:uid="{00000000-0005-0000-0000-0000EC1E0000}"/>
    <cellStyle name="Comma 3 7 6" xfId="16449" xr:uid="{00000000-0005-0000-0000-0000ED1E0000}"/>
    <cellStyle name="Comma 3 7 6 2" xfId="36369" xr:uid="{00000000-0005-0000-0000-0000EE1E0000}"/>
    <cellStyle name="Comma 3 7 7" xfId="1597" xr:uid="{00000000-0005-0000-0000-0000EF1E0000}"/>
    <cellStyle name="Comma 3 7 7 2" xfId="24064" xr:uid="{00000000-0005-0000-0000-0000F01E0000}"/>
    <cellStyle name="Comma 3 8" xfId="236" xr:uid="{00000000-0005-0000-0000-0000F11E0000}"/>
    <cellStyle name="Comma 3 8 2" xfId="4763" xr:uid="{00000000-0005-0000-0000-0000F21E0000}"/>
    <cellStyle name="Comma 3 8 2 2" xfId="6388" xr:uid="{00000000-0005-0000-0000-0000F31E0000}"/>
    <cellStyle name="Comma 3 8 2 2 2" xfId="9474" xr:uid="{00000000-0005-0000-0000-0000F41E0000}"/>
    <cellStyle name="Comma 3 8 2 2 2 2" xfId="15667" xr:uid="{00000000-0005-0000-0000-0000F51E0000}"/>
    <cellStyle name="Comma 3 8 2 2 2 2 2" xfId="35587" xr:uid="{00000000-0005-0000-0000-0000F61E0000}"/>
    <cellStyle name="Comma 3 8 2 2 2 3" xfId="21819" xr:uid="{00000000-0005-0000-0000-0000F71E0000}"/>
    <cellStyle name="Comma 3 8 2 2 2 3 2" xfId="41739" xr:uid="{00000000-0005-0000-0000-0000F81E0000}"/>
    <cellStyle name="Comma 3 8 2 2 2 4" xfId="29434" xr:uid="{00000000-0005-0000-0000-0000F91E0000}"/>
    <cellStyle name="Comma 3 8 2 2 3" xfId="12601" xr:uid="{00000000-0005-0000-0000-0000FA1E0000}"/>
    <cellStyle name="Comma 3 8 2 2 3 2" xfId="32521" xr:uid="{00000000-0005-0000-0000-0000FB1E0000}"/>
    <cellStyle name="Comma 3 8 2 2 4" xfId="18753" xr:uid="{00000000-0005-0000-0000-0000FC1E0000}"/>
    <cellStyle name="Comma 3 8 2 2 4 2" xfId="38673" xr:uid="{00000000-0005-0000-0000-0000FD1E0000}"/>
    <cellStyle name="Comma 3 8 2 2 5" xfId="26368" xr:uid="{00000000-0005-0000-0000-0000FE1E0000}"/>
    <cellStyle name="Comma 3 8 2 3" xfId="7939" xr:uid="{00000000-0005-0000-0000-0000FF1E0000}"/>
    <cellStyle name="Comma 3 8 2 3 2" xfId="14133" xr:uid="{00000000-0005-0000-0000-0000001F0000}"/>
    <cellStyle name="Comma 3 8 2 3 2 2" xfId="34053" xr:uid="{00000000-0005-0000-0000-0000011F0000}"/>
    <cellStyle name="Comma 3 8 2 3 3" xfId="20285" xr:uid="{00000000-0005-0000-0000-0000021F0000}"/>
    <cellStyle name="Comma 3 8 2 3 3 2" xfId="40205" xr:uid="{00000000-0005-0000-0000-0000031F0000}"/>
    <cellStyle name="Comma 3 8 2 3 4" xfId="27900" xr:uid="{00000000-0005-0000-0000-0000041F0000}"/>
    <cellStyle name="Comma 3 8 2 4" xfId="11067" xr:uid="{00000000-0005-0000-0000-0000051F0000}"/>
    <cellStyle name="Comma 3 8 2 4 2" xfId="30987" xr:uid="{00000000-0005-0000-0000-0000061F0000}"/>
    <cellStyle name="Comma 3 8 2 5" xfId="17219" xr:uid="{00000000-0005-0000-0000-0000071F0000}"/>
    <cellStyle name="Comma 3 8 2 5 2" xfId="37139" xr:uid="{00000000-0005-0000-0000-0000081F0000}"/>
    <cellStyle name="Comma 3 8 2 6" xfId="24834" xr:uid="{00000000-0005-0000-0000-0000091F0000}"/>
    <cellStyle name="Comma 3 8 3" xfId="5602" xr:uid="{00000000-0005-0000-0000-00000A1F0000}"/>
    <cellStyle name="Comma 3 8 3 2" xfId="8705" xr:uid="{00000000-0005-0000-0000-00000B1F0000}"/>
    <cellStyle name="Comma 3 8 3 2 2" xfId="14898" xr:uid="{00000000-0005-0000-0000-00000C1F0000}"/>
    <cellStyle name="Comma 3 8 3 2 2 2" xfId="34818" xr:uid="{00000000-0005-0000-0000-00000D1F0000}"/>
    <cellStyle name="Comma 3 8 3 2 3" xfId="21050" xr:uid="{00000000-0005-0000-0000-00000E1F0000}"/>
    <cellStyle name="Comma 3 8 3 2 3 2" xfId="40970" xr:uid="{00000000-0005-0000-0000-00000F1F0000}"/>
    <cellStyle name="Comma 3 8 3 2 4" xfId="28665" xr:uid="{00000000-0005-0000-0000-0000101F0000}"/>
    <cellStyle name="Comma 3 8 3 3" xfId="11832" xr:uid="{00000000-0005-0000-0000-0000111F0000}"/>
    <cellStyle name="Comma 3 8 3 3 2" xfId="31752" xr:uid="{00000000-0005-0000-0000-0000121F0000}"/>
    <cellStyle name="Comma 3 8 3 4" xfId="17984" xr:uid="{00000000-0005-0000-0000-0000131F0000}"/>
    <cellStyle name="Comma 3 8 3 4 2" xfId="37904" xr:uid="{00000000-0005-0000-0000-0000141F0000}"/>
    <cellStyle name="Comma 3 8 3 5" xfId="25599" xr:uid="{00000000-0005-0000-0000-0000151F0000}"/>
    <cellStyle name="Comma 3 8 4" xfId="7170" xr:uid="{00000000-0005-0000-0000-0000161F0000}"/>
    <cellStyle name="Comma 3 8 4 2" xfId="13364" xr:uid="{00000000-0005-0000-0000-0000171F0000}"/>
    <cellStyle name="Comma 3 8 4 2 2" xfId="33284" xr:uid="{00000000-0005-0000-0000-0000181F0000}"/>
    <cellStyle name="Comma 3 8 4 3" xfId="19516" xr:uid="{00000000-0005-0000-0000-0000191F0000}"/>
    <cellStyle name="Comma 3 8 4 3 2" xfId="39436" xr:uid="{00000000-0005-0000-0000-00001A1F0000}"/>
    <cellStyle name="Comma 3 8 4 4" xfId="27131" xr:uid="{00000000-0005-0000-0000-00001B1F0000}"/>
    <cellStyle name="Comma 3 8 5" xfId="10298" xr:uid="{00000000-0005-0000-0000-00001C1F0000}"/>
    <cellStyle name="Comma 3 8 5 2" xfId="30218" xr:uid="{00000000-0005-0000-0000-00001D1F0000}"/>
    <cellStyle name="Comma 3 8 6" xfId="16450" xr:uid="{00000000-0005-0000-0000-00001E1F0000}"/>
    <cellStyle name="Comma 3 8 6 2" xfId="36370" xr:uid="{00000000-0005-0000-0000-00001F1F0000}"/>
    <cellStyle name="Comma 3 8 7" xfId="1598" xr:uid="{00000000-0005-0000-0000-0000201F0000}"/>
    <cellStyle name="Comma 3 8 7 2" xfId="24065" xr:uid="{00000000-0005-0000-0000-0000211F0000}"/>
    <cellStyle name="Comma 3 9" xfId="251" xr:uid="{00000000-0005-0000-0000-0000221F0000}"/>
    <cellStyle name="Comma 3 9 2" xfId="4764" xr:uid="{00000000-0005-0000-0000-0000231F0000}"/>
    <cellStyle name="Comma 3 9 2 2" xfId="6389" xr:uid="{00000000-0005-0000-0000-0000241F0000}"/>
    <cellStyle name="Comma 3 9 2 2 2" xfId="9475" xr:uid="{00000000-0005-0000-0000-0000251F0000}"/>
    <cellStyle name="Comma 3 9 2 2 2 2" xfId="15668" xr:uid="{00000000-0005-0000-0000-0000261F0000}"/>
    <cellStyle name="Comma 3 9 2 2 2 2 2" xfId="35588" xr:uid="{00000000-0005-0000-0000-0000271F0000}"/>
    <cellStyle name="Comma 3 9 2 2 2 3" xfId="21820" xr:uid="{00000000-0005-0000-0000-0000281F0000}"/>
    <cellStyle name="Comma 3 9 2 2 2 3 2" xfId="41740" xr:uid="{00000000-0005-0000-0000-0000291F0000}"/>
    <cellStyle name="Comma 3 9 2 2 2 4" xfId="29435" xr:uid="{00000000-0005-0000-0000-00002A1F0000}"/>
    <cellStyle name="Comma 3 9 2 2 3" xfId="12602" xr:uid="{00000000-0005-0000-0000-00002B1F0000}"/>
    <cellStyle name="Comma 3 9 2 2 3 2" xfId="32522" xr:uid="{00000000-0005-0000-0000-00002C1F0000}"/>
    <cellStyle name="Comma 3 9 2 2 4" xfId="18754" xr:uid="{00000000-0005-0000-0000-00002D1F0000}"/>
    <cellStyle name="Comma 3 9 2 2 4 2" xfId="38674" xr:uid="{00000000-0005-0000-0000-00002E1F0000}"/>
    <cellStyle name="Comma 3 9 2 2 5" xfId="26369" xr:uid="{00000000-0005-0000-0000-00002F1F0000}"/>
    <cellStyle name="Comma 3 9 2 3" xfId="7940" xr:uid="{00000000-0005-0000-0000-0000301F0000}"/>
    <cellStyle name="Comma 3 9 2 3 2" xfId="14134" xr:uid="{00000000-0005-0000-0000-0000311F0000}"/>
    <cellStyle name="Comma 3 9 2 3 2 2" xfId="34054" xr:uid="{00000000-0005-0000-0000-0000321F0000}"/>
    <cellStyle name="Comma 3 9 2 3 3" xfId="20286" xr:uid="{00000000-0005-0000-0000-0000331F0000}"/>
    <cellStyle name="Comma 3 9 2 3 3 2" xfId="40206" xr:uid="{00000000-0005-0000-0000-0000341F0000}"/>
    <cellStyle name="Comma 3 9 2 3 4" xfId="27901" xr:uid="{00000000-0005-0000-0000-0000351F0000}"/>
    <cellStyle name="Comma 3 9 2 4" xfId="11068" xr:uid="{00000000-0005-0000-0000-0000361F0000}"/>
    <cellStyle name="Comma 3 9 2 4 2" xfId="30988" xr:uid="{00000000-0005-0000-0000-0000371F0000}"/>
    <cellStyle name="Comma 3 9 2 5" xfId="17220" xr:uid="{00000000-0005-0000-0000-0000381F0000}"/>
    <cellStyle name="Comma 3 9 2 5 2" xfId="37140" xr:uid="{00000000-0005-0000-0000-0000391F0000}"/>
    <cellStyle name="Comma 3 9 2 6" xfId="24835" xr:uid="{00000000-0005-0000-0000-00003A1F0000}"/>
    <cellStyle name="Comma 3 9 3" xfId="5603" xr:uid="{00000000-0005-0000-0000-00003B1F0000}"/>
    <cellStyle name="Comma 3 9 3 2" xfId="8706" xr:uid="{00000000-0005-0000-0000-00003C1F0000}"/>
    <cellStyle name="Comma 3 9 3 2 2" xfId="14899" xr:uid="{00000000-0005-0000-0000-00003D1F0000}"/>
    <cellStyle name="Comma 3 9 3 2 2 2" xfId="34819" xr:uid="{00000000-0005-0000-0000-00003E1F0000}"/>
    <cellStyle name="Comma 3 9 3 2 3" xfId="21051" xr:uid="{00000000-0005-0000-0000-00003F1F0000}"/>
    <cellStyle name="Comma 3 9 3 2 3 2" xfId="40971" xr:uid="{00000000-0005-0000-0000-0000401F0000}"/>
    <cellStyle name="Comma 3 9 3 2 4" xfId="28666" xr:uid="{00000000-0005-0000-0000-0000411F0000}"/>
    <cellStyle name="Comma 3 9 3 3" xfId="11833" xr:uid="{00000000-0005-0000-0000-0000421F0000}"/>
    <cellStyle name="Comma 3 9 3 3 2" xfId="31753" xr:uid="{00000000-0005-0000-0000-0000431F0000}"/>
    <cellStyle name="Comma 3 9 3 4" xfId="17985" xr:uid="{00000000-0005-0000-0000-0000441F0000}"/>
    <cellStyle name="Comma 3 9 3 4 2" xfId="37905" xr:uid="{00000000-0005-0000-0000-0000451F0000}"/>
    <cellStyle name="Comma 3 9 3 5" xfId="25600" xr:uid="{00000000-0005-0000-0000-0000461F0000}"/>
    <cellStyle name="Comma 3 9 4" xfId="7171" xr:uid="{00000000-0005-0000-0000-0000471F0000}"/>
    <cellStyle name="Comma 3 9 4 2" xfId="13365" xr:uid="{00000000-0005-0000-0000-0000481F0000}"/>
    <cellStyle name="Comma 3 9 4 2 2" xfId="33285" xr:uid="{00000000-0005-0000-0000-0000491F0000}"/>
    <cellStyle name="Comma 3 9 4 3" xfId="19517" xr:uid="{00000000-0005-0000-0000-00004A1F0000}"/>
    <cellStyle name="Comma 3 9 4 3 2" xfId="39437" xr:uid="{00000000-0005-0000-0000-00004B1F0000}"/>
    <cellStyle name="Comma 3 9 4 4" xfId="27132" xr:uid="{00000000-0005-0000-0000-00004C1F0000}"/>
    <cellStyle name="Comma 3 9 5" xfId="10299" xr:uid="{00000000-0005-0000-0000-00004D1F0000}"/>
    <cellStyle name="Comma 3 9 5 2" xfId="30219" xr:uid="{00000000-0005-0000-0000-00004E1F0000}"/>
    <cellStyle name="Comma 3 9 6" xfId="16451" xr:uid="{00000000-0005-0000-0000-00004F1F0000}"/>
    <cellStyle name="Comma 3 9 6 2" xfId="36371" xr:uid="{00000000-0005-0000-0000-0000501F0000}"/>
    <cellStyle name="Comma 3 9 7" xfId="1599" xr:uid="{00000000-0005-0000-0000-0000511F0000}"/>
    <cellStyle name="Comma 3 9 7 2" xfId="24066" xr:uid="{00000000-0005-0000-0000-0000521F0000}"/>
    <cellStyle name="Comma 30" xfId="1600" xr:uid="{00000000-0005-0000-0000-0000531F0000}"/>
    <cellStyle name="Comma 31" xfId="1601" xr:uid="{00000000-0005-0000-0000-0000541F0000}"/>
    <cellStyle name="Comma 32" xfId="1602" xr:uid="{00000000-0005-0000-0000-0000551F0000}"/>
    <cellStyle name="Comma 33" xfId="1603" xr:uid="{00000000-0005-0000-0000-0000561F0000}"/>
    <cellStyle name="Comma 34" xfId="1604" xr:uid="{00000000-0005-0000-0000-0000571F0000}"/>
    <cellStyle name="Comma 35" xfId="1605" xr:uid="{00000000-0005-0000-0000-0000581F0000}"/>
    <cellStyle name="Comma 36" xfId="1606" xr:uid="{00000000-0005-0000-0000-0000591F0000}"/>
    <cellStyle name="Comma 37" xfId="1607" xr:uid="{00000000-0005-0000-0000-00005A1F0000}"/>
    <cellStyle name="Comma 38" xfId="1608" xr:uid="{00000000-0005-0000-0000-00005B1F0000}"/>
    <cellStyle name="Comma 39" xfId="1609" xr:uid="{00000000-0005-0000-0000-00005C1F0000}"/>
    <cellStyle name="Comma 4" xfId="94" xr:uid="{00000000-0005-0000-0000-00005D1F0000}"/>
    <cellStyle name="Comma 4 10" xfId="253" xr:uid="{00000000-0005-0000-0000-00005E1F0000}"/>
    <cellStyle name="Comma 4 11" xfId="269" xr:uid="{00000000-0005-0000-0000-00005F1F0000}"/>
    <cellStyle name="Comma 4 12" xfId="283" xr:uid="{00000000-0005-0000-0000-0000601F0000}"/>
    <cellStyle name="Comma 4 13" xfId="295" xr:uid="{00000000-0005-0000-0000-0000611F0000}"/>
    <cellStyle name="Comma 4 14" xfId="314" xr:uid="{00000000-0005-0000-0000-0000621F0000}"/>
    <cellStyle name="Comma 4 15" xfId="341" xr:uid="{00000000-0005-0000-0000-0000631F0000}"/>
    <cellStyle name="Comma 4 16" xfId="345" xr:uid="{00000000-0005-0000-0000-0000641F0000}"/>
    <cellStyle name="Comma 4 17" xfId="388" xr:uid="{00000000-0005-0000-0000-0000651F0000}"/>
    <cellStyle name="Comma 4 18" xfId="403" xr:uid="{00000000-0005-0000-0000-0000661F0000}"/>
    <cellStyle name="Comma 4 19" xfId="430" xr:uid="{00000000-0005-0000-0000-0000671F0000}"/>
    <cellStyle name="Comma 4 2" xfId="132" xr:uid="{00000000-0005-0000-0000-0000681F0000}"/>
    <cellStyle name="Comma 4 2 2" xfId="1611" xr:uid="{00000000-0005-0000-0000-0000691F0000}"/>
    <cellStyle name="Comma 4 2 2 2" xfId="1612" xr:uid="{00000000-0005-0000-0000-00006A1F0000}"/>
    <cellStyle name="Comma 4 2 2 3" xfId="1613" xr:uid="{00000000-0005-0000-0000-00006B1F0000}"/>
    <cellStyle name="Comma 4 2 3" xfId="10126" xr:uid="{00000000-0005-0000-0000-00006C1F0000}"/>
    <cellStyle name="Comma 4 2 3 2" xfId="16298" xr:uid="{00000000-0005-0000-0000-00006D1F0000}"/>
    <cellStyle name="Comma 4 2 3 2 2" xfId="36218" xr:uid="{00000000-0005-0000-0000-00006E1F0000}"/>
    <cellStyle name="Comma 4 2 3 3" xfId="22450" xr:uid="{00000000-0005-0000-0000-00006F1F0000}"/>
    <cellStyle name="Comma 4 2 3 3 2" xfId="42370" xr:uid="{00000000-0005-0000-0000-0000701F0000}"/>
    <cellStyle name="Comma 4 2 3 4" xfId="30065" xr:uid="{00000000-0005-0000-0000-0000711F0000}"/>
    <cellStyle name="Comma 4 2 4" xfId="1610" xr:uid="{00000000-0005-0000-0000-0000721F0000}"/>
    <cellStyle name="Comma 4 20" xfId="458" xr:uid="{00000000-0005-0000-0000-0000731F0000}"/>
    <cellStyle name="Comma 4 21" xfId="454" xr:uid="{00000000-0005-0000-0000-0000741F0000}"/>
    <cellStyle name="Comma 4 22" xfId="540" xr:uid="{00000000-0005-0000-0000-0000751F0000}"/>
    <cellStyle name="Comma 4 23" xfId="547" xr:uid="{00000000-0005-0000-0000-0000761F0000}"/>
    <cellStyle name="Comma 4 24" xfId="568" xr:uid="{00000000-0005-0000-0000-0000771F0000}"/>
    <cellStyle name="Comma 4 25" xfId="600" xr:uid="{00000000-0005-0000-0000-0000781F0000}"/>
    <cellStyle name="Comma 4 26" xfId="627" xr:uid="{00000000-0005-0000-0000-0000791F0000}"/>
    <cellStyle name="Comma 4 27" xfId="653" xr:uid="{00000000-0005-0000-0000-00007A1F0000}"/>
    <cellStyle name="Comma 4 28" xfId="677" xr:uid="{00000000-0005-0000-0000-00007B1F0000}"/>
    <cellStyle name="Comma 4 29" xfId="751" xr:uid="{00000000-0005-0000-0000-00007C1F0000}"/>
    <cellStyle name="Comma 4 29 2" xfId="23633" xr:uid="{00000000-0005-0000-0000-00007D1F0000}"/>
    <cellStyle name="Comma 4 3" xfId="153" xr:uid="{00000000-0005-0000-0000-00007E1F0000}"/>
    <cellStyle name="Comma 4 30" xfId="1046" xr:uid="{00000000-0005-0000-0000-00007F1F0000}"/>
    <cellStyle name="Comma 4 31" xfId="22716" xr:uid="{00000000-0005-0000-0000-0000801F0000}"/>
    <cellStyle name="Comma 4 31 2" xfId="42627" xr:uid="{00000000-0005-0000-0000-0000811F0000}"/>
    <cellStyle name="Comma 4 32" xfId="23019" xr:uid="{00000000-0005-0000-0000-0000821F0000}"/>
    <cellStyle name="Comma 4 32 2" xfId="42930" xr:uid="{00000000-0005-0000-0000-0000831F0000}"/>
    <cellStyle name="Comma 4 33" xfId="23330" xr:uid="{00000000-0005-0000-0000-0000841F0000}"/>
    <cellStyle name="Comma 4 4" xfId="171" xr:uid="{00000000-0005-0000-0000-0000851F0000}"/>
    <cellStyle name="Comma 4 4 2" xfId="1614" xr:uid="{00000000-0005-0000-0000-0000861F0000}"/>
    <cellStyle name="Comma 4 5" xfId="173" xr:uid="{00000000-0005-0000-0000-0000871F0000}"/>
    <cellStyle name="Comma 4 5 2" xfId="4526" xr:uid="{00000000-0005-0000-0000-0000881F0000}"/>
    <cellStyle name="Comma 4 6" xfId="205" xr:uid="{00000000-0005-0000-0000-0000891F0000}"/>
    <cellStyle name="Comma 4 7" xfId="202" xr:uid="{00000000-0005-0000-0000-00008A1F0000}"/>
    <cellStyle name="Comma 4 7 2" xfId="16289" xr:uid="{00000000-0005-0000-0000-00008B1F0000}"/>
    <cellStyle name="Comma 4 7 2 2" xfId="36209" xr:uid="{00000000-0005-0000-0000-00008C1F0000}"/>
    <cellStyle name="Comma 4 7 3" xfId="22441" xr:uid="{00000000-0005-0000-0000-00008D1F0000}"/>
    <cellStyle name="Comma 4 7 3 2" xfId="42361" xr:uid="{00000000-0005-0000-0000-00008E1F0000}"/>
    <cellStyle name="Comma 4 7 4" xfId="10106" xr:uid="{00000000-0005-0000-0000-00008F1F0000}"/>
    <cellStyle name="Comma 4 7 4 2" xfId="30056" xr:uid="{00000000-0005-0000-0000-0000901F0000}"/>
    <cellStyle name="Comma 4 8" xfId="219" xr:uid="{00000000-0005-0000-0000-0000911F0000}"/>
    <cellStyle name="Comma 4 8 2" xfId="1096" xr:uid="{00000000-0005-0000-0000-0000921F0000}"/>
    <cellStyle name="Comma 4 9" xfId="238" xr:uid="{00000000-0005-0000-0000-0000931F0000}"/>
    <cellStyle name="Comma 40" xfId="1615" xr:uid="{00000000-0005-0000-0000-0000941F0000}"/>
    <cellStyle name="Comma 41" xfId="1616" xr:uid="{00000000-0005-0000-0000-0000951F0000}"/>
    <cellStyle name="Comma 42" xfId="1617" xr:uid="{00000000-0005-0000-0000-0000961F0000}"/>
    <cellStyle name="Comma 43" xfId="1618" xr:uid="{00000000-0005-0000-0000-0000971F0000}"/>
    <cellStyle name="Comma 43 10" xfId="1619" xr:uid="{00000000-0005-0000-0000-0000981F0000}"/>
    <cellStyle name="Comma 43 10 2" xfId="1620" xr:uid="{00000000-0005-0000-0000-0000991F0000}"/>
    <cellStyle name="Comma 43 11" xfId="1621" xr:uid="{00000000-0005-0000-0000-00009A1F0000}"/>
    <cellStyle name="Comma 43 11 2" xfId="1622" xr:uid="{00000000-0005-0000-0000-00009B1F0000}"/>
    <cellStyle name="Comma 43 12" xfId="1623" xr:uid="{00000000-0005-0000-0000-00009C1F0000}"/>
    <cellStyle name="Comma 43 2" xfId="1624" xr:uid="{00000000-0005-0000-0000-00009D1F0000}"/>
    <cellStyle name="Comma 43 2 2" xfId="1625" xr:uid="{00000000-0005-0000-0000-00009E1F0000}"/>
    <cellStyle name="Comma 43 2 2 2" xfId="1626" xr:uid="{00000000-0005-0000-0000-00009F1F0000}"/>
    <cellStyle name="Comma 43 2 2 2 2" xfId="1627" xr:uid="{00000000-0005-0000-0000-0000A01F0000}"/>
    <cellStyle name="Comma 43 2 2 3" xfId="1628" xr:uid="{00000000-0005-0000-0000-0000A11F0000}"/>
    <cellStyle name="Comma 43 2 3" xfId="1629" xr:uid="{00000000-0005-0000-0000-0000A21F0000}"/>
    <cellStyle name="Comma 43 2 3 2" xfId="1630" xr:uid="{00000000-0005-0000-0000-0000A31F0000}"/>
    <cellStyle name="Comma 43 2 4" xfId="1631" xr:uid="{00000000-0005-0000-0000-0000A41F0000}"/>
    <cellStyle name="Comma 43 2 4 2" xfId="1632" xr:uid="{00000000-0005-0000-0000-0000A51F0000}"/>
    <cellStyle name="Comma 43 2 5" xfId="1633" xr:uid="{00000000-0005-0000-0000-0000A61F0000}"/>
    <cellStyle name="Comma 43 3" xfId="1634" xr:uid="{00000000-0005-0000-0000-0000A71F0000}"/>
    <cellStyle name="Comma 43 3 2" xfId="1635" xr:uid="{00000000-0005-0000-0000-0000A81F0000}"/>
    <cellStyle name="Comma 43 3 2 2" xfId="1636" xr:uid="{00000000-0005-0000-0000-0000A91F0000}"/>
    <cellStyle name="Comma 43 3 2 2 2" xfId="1637" xr:uid="{00000000-0005-0000-0000-0000AA1F0000}"/>
    <cellStyle name="Comma 43 3 2 3" xfId="1638" xr:uid="{00000000-0005-0000-0000-0000AB1F0000}"/>
    <cellStyle name="Comma 43 3 3" xfId="1639" xr:uid="{00000000-0005-0000-0000-0000AC1F0000}"/>
    <cellStyle name="Comma 43 3 3 2" xfId="1640" xr:uid="{00000000-0005-0000-0000-0000AD1F0000}"/>
    <cellStyle name="Comma 43 3 4" xfId="1641" xr:uid="{00000000-0005-0000-0000-0000AE1F0000}"/>
    <cellStyle name="Comma 43 3 4 2" xfId="1642" xr:uid="{00000000-0005-0000-0000-0000AF1F0000}"/>
    <cellStyle name="Comma 43 3 5" xfId="1643" xr:uid="{00000000-0005-0000-0000-0000B01F0000}"/>
    <cellStyle name="Comma 43 4" xfId="1644" xr:uid="{00000000-0005-0000-0000-0000B11F0000}"/>
    <cellStyle name="Comma 43 4 2" xfId="1645" xr:uid="{00000000-0005-0000-0000-0000B21F0000}"/>
    <cellStyle name="Comma 43 4 2 2" xfId="1646" xr:uid="{00000000-0005-0000-0000-0000B31F0000}"/>
    <cellStyle name="Comma 43 4 2 2 2" xfId="1647" xr:uid="{00000000-0005-0000-0000-0000B41F0000}"/>
    <cellStyle name="Comma 43 4 2 3" xfId="1648" xr:uid="{00000000-0005-0000-0000-0000B51F0000}"/>
    <cellStyle name="Comma 43 4 3" xfId="1649" xr:uid="{00000000-0005-0000-0000-0000B61F0000}"/>
    <cellStyle name="Comma 43 4 3 2" xfId="1650" xr:uid="{00000000-0005-0000-0000-0000B71F0000}"/>
    <cellStyle name="Comma 43 4 4" xfId="1651" xr:uid="{00000000-0005-0000-0000-0000B81F0000}"/>
    <cellStyle name="Comma 43 4 4 2" xfId="1652" xr:uid="{00000000-0005-0000-0000-0000B91F0000}"/>
    <cellStyle name="Comma 43 4 5" xfId="1653" xr:uid="{00000000-0005-0000-0000-0000BA1F0000}"/>
    <cellStyle name="Comma 43 5" xfId="1654" xr:uid="{00000000-0005-0000-0000-0000BB1F0000}"/>
    <cellStyle name="Comma 43 5 2" xfId="1655" xr:uid="{00000000-0005-0000-0000-0000BC1F0000}"/>
    <cellStyle name="Comma 43 5 2 2" xfId="1656" xr:uid="{00000000-0005-0000-0000-0000BD1F0000}"/>
    <cellStyle name="Comma 43 5 2 2 2" xfId="1657" xr:uid="{00000000-0005-0000-0000-0000BE1F0000}"/>
    <cellStyle name="Comma 43 5 2 3" xfId="1658" xr:uid="{00000000-0005-0000-0000-0000BF1F0000}"/>
    <cellStyle name="Comma 43 5 3" xfId="1659" xr:uid="{00000000-0005-0000-0000-0000C01F0000}"/>
    <cellStyle name="Comma 43 5 3 2" xfId="1660" xr:uid="{00000000-0005-0000-0000-0000C11F0000}"/>
    <cellStyle name="Comma 43 5 4" xfId="1661" xr:uid="{00000000-0005-0000-0000-0000C21F0000}"/>
    <cellStyle name="Comma 43 5 4 2" xfId="1662" xr:uid="{00000000-0005-0000-0000-0000C31F0000}"/>
    <cellStyle name="Comma 43 5 5" xfId="1663" xr:uid="{00000000-0005-0000-0000-0000C41F0000}"/>
    <cellStyle name="Comma 43 6" xfId="1664" xr:uid="{00000000-0005-0000-0000-0000C51F0000}"/>
    <cellStyle name="Comma 43 6 2" xfId="1665" xr:uid="{00000000-0005-0000-0000-0000C61F0000}"/>
    <cellStyle name="Comma 43 6 2 2" xfId="1666" xr:uid="{00000000-0005-0000-0000-0000C71F0000}"/>
    <cellStyle name="Comma 43 6 2 2 2" xfId="1667" xr:uid="{00000000-0005-0000-0000-0000C81F0000}"/>
    <cellStyle name="Comma 43 6 2 3" xfId="1668" xr:uid="{00000000-0005-0000-0000-0000C91F0000}"/>
    <cellStyle name="Comma 43 6 3" xfId="1669" xr:uid="{00000000-0005-0000-0000-0000CA1F0000}"/>
    <cellStyle name="Comma 43 6 3 2" xfId="1670" xr:uid="{00000000-0005-0000-0000-0000CB1F0000}"/>
    <cellStyle name="Comma 43 6 4" xfId="1671" xr:uid="{00000000-0005-0000-0000-0000CC1F0000}"/>
    <cellStyle name="Comma 43 6 4 2" xfId="1672" xr:uid="{00000000-0005-0000-0000-0000CD1F0000}"/>
    <cellStyle name="Comma 43 6 5" xfId="1673" xr:uid="{00000000-0005-0000-0000-0000CE1F0000}"/>
    <cellStyle name="Comma 43 7" xfId="1674" xr:uid="{00000000-0005-0000-0000-0000CF1F0000}"/>
    <cellStyle name="Comma 43 7 2" xfId="1675" xr:uid="{00000000-0005-0000-0000-0000D01F0000}"/>
    <cellStyle name="Comma 43 7 2 2" xfId="1676" xr:uid="{00000000-0005-0000-0000-0000D11F0000}"/>
    <cellStyle name="Comma 43 7 2 2 2" xfId="1677" xr:uid="{00000000-0005-0000-0000-0000D21F0000}"/>
    <cellStyle name="Comma 43 7 2 3" xfId="1678" xr:uid="{00000000-0005-0000-0000-0000D31F0000}"/>
    <cellStyle name="Comma 43 7 3" xfId="1679" xr:uid="{00000000-0005-0000-0000-0000D41F0000}"/>
    <cellStyle name="Comma 43 7 3 2" xfId="1680" xr:uid="{00000000-0005-0000-0000-0000D51F0000}"/>
    <cellStyle name="Comma 43 7 4" xfId="1681" xr:uid="{00000000-0005-0000-0000-0000D61F0000}"/>
    <cellStyle name="Comma 43 8" xfId="1682" xr:uid="{00000000-0005-0000-0000-0000D71F0000}"/>
    <cellStyle name="Comma 43 8 2" xfId="1683" xr:uid="{00000000-0005-0000-0000-0000D81F0000}"/>
    <cellStyle name="Comma 43 8 2 2" xfId="1684" xr:uid="{00000000-0005-0000-0000-0000D91F0000}"/>
    <cellStyle name="Comma 43 8 2 2 2" xfId="1685" xr:uid="{00000000-0005-0000-0000-0000DA1F0000}"/>
    <cellStyle name="Comma 43 8 2 3" xfId="1686" xr:uid="{00000000-0005-0000-0000-0000DB1F0000}"/>
    <cellStyle name="Comma 43 8 3" xfId="1687" xr:uid="{00000000-0005-0000-0000-0000DC1F0000}"/>
    <cellStyle name="Comma 43 8 3 2" xfId="1688" xr:uid="{00000000-0005-0000-0000-0000DD1F0000}"/>
    <cellStyle name="Comma 43 8 4" xfId="1689" xr:uid="{00000000-0005-0000-0000-0000DE1F0000}"/>
    <cellStyle name="Comma 43 9" xfId="1690" xr:uid="{00000000-0005-0000-0000-0000DF1F0000}"/>
    <cellStyle name="Comma 43 9 2" xfId="1691" xr:uid="{00000000-0005-0000-0000-0000E01F0000}"/>
    <cellStyle name="Comma 43 9 2 2" xfId="1692" xr:uid="{00000000-0005-0000-0000-0000E11F0000}"/>
    <cellStyle name="Comma 43 9 3" xfId="1693" xr:uid="{00000000-0005-0000-0000-0000E21F0000}"/>
    <cellStyle name="Comma 44" xfId="1694" xr:uid="{00000000-0005-0000-0000-0000E31F0000}"/>
    <cellStyle name="Comma 44 10" xfId="1695" xr:uid="{00000000-0005-0000-0000-0000E41F0000}"/>
    <cellStyle name="Comma 44 10 2" xfId="1696" xr:uid="{00000000-0005-0000-0000-0000E51F0000}"/>
    <cellStyle name="Comma 44 11" xfId="1697" xr:uid="{00000000-0005-0000-0000-0000E61F0000}"/>
    <cellStyle name="Comma 44 11 2" xfId="1698" xr:uid="{00000000-0005-0000-0000-0000E71F0000}"/>
    <cellStyle name="Comma 44 12" xfId="1699" xr:uid="{00000000-0005-0000-0000-0000E81F0000}"/>
    <cellStyle name="Comma 44 2" xfId="1700" xr:uid="{00000000-0005-0000-0000-0000E91F0000}"/>
    <cellStyle name="Comma 44 2 2" xfId="1701" xr:uid="{00000000-0005-0000-0000-0000EA1F0000}"/>
    <cellStyle name="Comma 44 2 2 2" xfId="1702" xr:uid="{00000000-0005-0000-0000-0000EB1F0000}"/>
    <cellStyle name="Comma 44 2 2 2 2" xfId="1703" xr:uid="{00000000-0005-0000-0000-0000EC1F0000}"/>
    <cellStyle name="Comma 44 2 2 3" xfId="1704" xr:uid="{00000000-0005-0000-0000-0000ED1F0000}"/>
    <cellStyle name="Comma 44 2 3" xfId="1705" xr:uid="{00000000-0005-0000-0000-0000EE1F0000}"/>
    <cellStyle name="Comma 44 2 3 2" xfId="1706" xr:uid="{00000000-0005-0000-0000-0000EF1F0000}"/>
    <cellStyle name="Comma 44 2 4" xfId="1707" xr:uid="{00000000-0005-0000-0000-0000F01F0000}"/>
    <cellStyle name="Comma 44 2 4 2" xfId="1708" xr:uid="{00000000-0005-0000-0000-0000F11F0000}"/>
    <cellStyle name="Comma 44 2 5" xfId="1709" xr:uid="{00000000-0005-0000-0000-0000F21F0000}"/>
    <cellStyle name="Comma 44 3" xfId="1710" xr:uid="{00000000-0005-0000-0000-0000F31F0000}"/>
    <cellStyle name="Comma 44 3 2" xfId="1711" xr:uid="{00000000-0005-0000-0000-0000F41F0000}"/>
    <cellStyle name="Comma 44 3 2 2" xfId="1712" xr:uid="{00000000-0005-0000-0000-0000F51F0000}"/>
    <cellStyle name="Comma 44 3 2 2 2" xfId="1713" xr:uid="{00000000-0005-0000-0000-0000F61F0000}"/>
    <cellStyle name="Comma 44 3 2 3" xfId="1714" xr:uid="{00000000-0005-0000-0000-0000F71F0000}"/>
    <cellStyle name="Comma 44 3 3" xfId="1715" xr:uid="{00000000-0005-0000-0000-0000F81F0000}"/>
    <cellStyle name="Comma 44 3 3 2" xfId="1716" xr:uid="{00000000-0005-0000-0000-0000F91F0000}"/>
    <cellStyle name="Comma 44 3 4" xfId="1717" xr:uid="{00000000-0005-0000-0000-0000FA1F0000}"/>
    <cellStyle name="Comma 44 3 4 2" xfId="1718" xr:uid="{00000000-0005-0000-0000-0000FB1F0000}"/>
    <cellStyle name="Comma 44 3 5" xfId="1719" xr:uid="{00000000-0005-0000-0000-0000FC1F0000}"/>
    <cellStyle name="Comma 44 4" xfId="1720" xr:uid="{00000000-0005-0000-0000-0000FD1F0000}"/>
    <cellStyle name="Comma 44 4 2" xfId="1721" xr:uid="{00000000-0005-0000-0000-0000FE1F0000}"/>
    <cellStyle name="Comma 44 4 2 2" xfId="1722" xr:uid="{00000000-0005-0000-0000-0000FF1F0000}"/>
    <cellStyle name="Comma 44 4 2 2 2" xfId="1723" xr:uid="{00000000-0005-0000-0000-000000200000}"/>
    <cellStyle name="Comma 44 4 2 3" xfId="1724" xr:uid="{00000000-0005-0000-0000-000001200000}"/>
    <cellStyle name="Comma 44 4 3" xfId="1725" xr:uid="{00000000-0005-0000-0000-000002200000}"/>
    <cellStyle name="Comma 44 4 3 2" xfId="1726" xr:uid="{00000000-0005-0000-0000-000003200000}"/>
    <cellStyle name="Comma 44 4 4" xfId="1727" xr:uid="{00000000-0005-0000-0000-000004200000}"/>
    <cellStyle name="Comma 44 4 4 2" xfId="1728" xr:uid="{00000000-0005-0000-0000-000005200000}"/>
    <cellStyle name="Comma 44 4 5" xfId="1729" xr:uid="{00000000-0005-0000-0000-000006200000}"/>
    <cellStyle name="Comma 44 5" xfId="1730" xr:uid="{00000000-0005-0000-0000-000007200000}"/>
    <cellStyle name="Comma 44 5 2" xfId="1731" xr:uid="{00000000-0005-0000-0000-000008200000}"/>
    <cellStyle name="Comma 44 5 2 2" xfId="1732" xr:uid="{00000000-0005-0000-0000-000009200000}"/>
    <cellStyle name="Comma 44 5 2 2 2" xfId="1733" xr:uid="{00000000-0005-0000-0000-00000A200000}"/>
    <cellStyle name="Comma 44 5 2 3" xfId="1734" xr:uid="{00000000-0005-0000-0000-00000B200000}"/>
    <cellStyle name="Comma 44 5 3" xfId="1735" xr:uid="{00000000-0005-0000-0000-00000C200000}"/>
    <cellStyle name="Comma 44 5 3 2" xfId="1736" xr:uid="{00000000-0005-0000-0000-00000D200000}"/>
    <cellStyle name="Comma 44 5 4" xfId="1737" xr:uid="{00000000-0005-0000-0000-00000E200000}"/>
    <cellStyle name="Comma 44 5 4 2" xfId="1738" xr:uid="{00000000-0005-0000-0000-00000F200000}"/>
    <cellStyle name="Comma 44 5 5" xfId="1739" xr:uid="{00000000-0005-0000-0000-000010200000}"/>
    <cellStyle name="Comma 44 6" xfId="1740" xr:uid="{00000000-0005-0000-0000-000011200000}"/>
    <cellStyle name="Comma 44 6 2" xfId="1741" xr:uid="{00000000-0005-0000-0000-000012200000}"/>
    <cellStyle name="Comma 44 6 2 2" xfId="1742" xr:uid="{00000000-0005-0000-0000-000013200000}"/>
    <cellStyle name="Comma 44 6 2 2 2" xfId="1743" xr:uid="{00000000-0005-0000-0000-000014200000}"/>
    <cellStyle name="Comma 44 6 2 3" xfId="1744" xr:uid="{00000000-0005-0000-0000-000015200000}"/>
    <cellStyle name="Comma 44 6 3" xfId="1745" xr:uid="{00000000-0005-0000-0000-000016200000}"/>
    <cellStyle name="Comma 44 6 3 2" xfId="1746" xr:uid="{00000000-0005-0000-0000-000017200000}"/>
    <cellStyle name="Comma 44 6 4" xfId="1747" xr:uid="{00000000-0005-0000-0000-000018200000}"/>
    <cellStyle name="Comma 44 6 4 2" xfId="1748" xr:uid="{00000000-0005-0000-0000-000019200000}"/>
    <cellStyle name="Comma 44 6 5" xfId="1749" xr:uid="{00000000-0005-0000-0000-00001A200000}"/>
    <cellStyle name="Comma 44 7" xfId="1750" xr:uid="{00000000-0005-0000-0000-00001B200000}"/>
    <cellStyle name="Comma 44 7 2" xfId="1751" xr:uid="{00000000-0005-0000-0000-00001C200000}"/>
    <cellStyle name="Comma 44 7 2 2" xfId="1752" xr:uid="{00000000-0005-0000-0000-00001D200000}"/>
    <cellStyle name="Comma 44 7 2 2 2" xfId="1753" xr:uid="{00000000-0005-0000-0000-00001E200000}"/>
    <cellStyle name="Comma 44 7 2 3" xfId="1754" xr:uid="{00000000-0005-0000-0000-00001F200000}"/>
    <cellStyle name="Comma 44 7 3" xfId="1755" xr:uid="{00000000-0005-0000-0000-000020200000}"/>
    <cellStyle name="Comma 44 7 3 2" xfId="1756" xr:uid="{00000000-0005-0000-0000-000021200000}"/>
    <cellStyle name="Comma 44 7 4" xfId="1757" xr:uid="{00000000-0005-0000-0000-000022200000}"/>
    <cellStyle name="Comma 44 8" xfId="1758" xr:uid="{00000000-0005-0000-0000-000023200000}"/>
    <cellStyle name="Comma 44 8 2" xfId="1759" xr:uid="{00000000-0005-0000-0000-000024200000}"/>
    <cellStyle name="Comma 44 8 2 2" xfId="1760" xr:uid="{00000000-0005-0000-0000-000025200000}"/>
    <cellStyle name="Comma 44 8 2 2 2" xfId="1761" xr:uid="{00000000-0005-0000-0000-000026200000}"/>
    <cellStyle name="Comma 44 8 2 3" xfId="1762" xr:uid="{00000000-0005-0000-0000-000027200000}"/>
    <cellStyle name="Comma 44 8 3" xfId="1763" xr:uid="{00000000-0005-0000-0000-000028200000}"/>
    <cellStyle name="Comma 44 8 3 2" xfId="1764" xr:uid="{00000000-0005-0000-0000-000029200000}"/>
    <cellStyle name="Comma 44 8 4" xfId="1765" xr:uid="{00000000-0005-0000-0000-00002A200000}"/>
    <cellStyle name="Comma 44 9" xfId="1766" xr:uid="{00000000-0005-0000-0000-00002B200000}"/>
    <cellStyle name="Comma 44 9 2" xfId="1767" xr:uid="{00000000-0005-0000-0000-00002C200000}"/>
    <cellStyle name="Comma 44 9 2 2" xfId="1768" xr:uid="{00000000-0005-0000-0000-00002D200000}"/>
    <cellStyle name="Comma 44 9 3" xfId="1769" xr:uid="{00000000-0005-0000-0000-00002E200000}"/>
    <cellStyle name="Comma 45" xfId="1770" xr:uid="{00000000-0005-0000-0000-00002F200000}"/>
    <cellStyle name="Comma 45 10" xfId="1771" xr:uid="{00000000-0005-0000-0000-000030200000}"/>
    <cellStyle name="Comma 45 10 2" xfId="1772" xr:uid="{00000000-0005-0000-0000-000031200000}"/>
    <cellStyle name="Comma 45 11" xfId="1773" xr:uid="{00000000-0005-0000-0000-000032200000}"/>
    <cellStyle name="Comma 45 11 2" xfId="1774" xr:uid="{00000000-0005-0000-0000-000033200000}"/>
    <cellStyle name="Comma 45 12" xfId="1775" xr:uid="{00000000-0005-0000-0000-000034200000}"/>
    <cellStyle name="Comma 45 2" xfId="1776" xr:uid="{00000000-0005-0000-0000-000035200000}"/>
    <cellStyle name="Comma 45 2 2" xfId="1777" xr:uid="{00000000-0005-0000-0000-000036200000}"/>
    <cellStyle name="Comma 45 2 2 2" xfId="1778" xr:uid="{00000000-0005-0000-0000-000037200000}"/>
    <cellStyle name="Comma 45 2 2 2 2" xfId="1779" xr:uid="{00000000-0005-0000-0000-000038200000}"/>
    <cellStyle name="Comma 45 2 2 3" xfId="1780" xr:uid="{00000000-0005-0000-0000-000039200000}"/>
    <cellStyle name="Comma 45 2 3" xfId="1781" xr:uid="{00000000-0005-0000-0000-00003A200000}"/>
    <cellStyle name="Comma 45 2 3 2" xfId="1782" xr:uid="{00000000-0005-0000-0000-00003B200000}"/>
    <cellStyle name="Comma 45 2 4" xfId="1783" xr:uid="{00000000-0005-0000-0000-00003C200000}"/>
    <cellStyle name="Comma 45 2 4 2" xfId="1784" xr:uid="{00000000-0005-0000-0000-00003D200000}"/>
    <cellStyle name="Comma 45 2 5" xfId="1785" xr:uid="{00000000-0005-0000-0000-00003E200000}"/>
    <cellStyle name="Comma 45 3" xfId="1786" xr:uid="{00000000-0005-0000-0000-00003F200000}"/>
    <cellStyle name="Comma 45 3 2" xfId="1787" xr:uid="{00000000-0005-0000-0000-000040200000}"/>
    <cellStyle name="Comma 45 3 2 2" xfId="1788" xr:uid="{00000000-0005-0000-0000-000041200000}"/>
    <cellStyle name="Comma 45 3 2 2 2" xfId="1789" xr:uid="{00000000-0005-0000-0000-000042200000}"/>
    <cellStyle name="Comma 45 3 2 3" xfId="1790" xr:uid="{00000000-0005-0000-0000-000043200000}"/>
    <cellStyle name="Comma 45 3 3" xfId="1791" xr:uid="{00000000-0005-0000-0000-000044200000}"/>
    <cellStyle name="Comma 45 3 3 2" xfId="1792" xr:uid="{00000000-0005-0000-0000-000045200000}"/>
    <cellStyle name="Comma 45 3 4" xfId="1793" xr:uid="{00000000-0005-0000-0000-000046200000}"/>
    <cellStyle name="Comma 45 3 4 2" xfId="1794" xr:uid="{00000000-0005-0000-0000-000047200000}"/>
    <cellStyle name="Comma 45 3 5" xfId="1795" xr:uid="{00000000-0005-0000-0000-000048200000}"/>
    <cellStyle name="Comma 45 4" xfId="1796" xr:uid="{00000000-0005-0000-0000-000049200000}"/>
    <cellStyle name="Comma 45 4 2" xfId="1797" xr:uid="{00000000-0005-0000-0000-00004A200000}"/>
    <cellStyle name="Comma 45 4 2 2" xfId="1798" xr:uid="{00000000-0005-0000-0000-00004B200000}"/>
    <cellStyle name="Comma 45 4 2 2 2" xfId="1799" xr:uid="{00000000-0005-0000-0000-00004C200000}"/>
    <cellStyle name="Comma 45 4 2 3" xfId="1800" xr:uid="{00000000-0005-0000-0000-00004D200000}"/>
    <cellStyle name="Comma 45 4 3" xfId="1801" xr:uid="{00000000-0005-0000-0000-00004E200000}"/>
    <cellStyle name="Comma 45 4 3 2" xfId="1802" xr:uid="{00000000-0005-0000-0000-00004F200000}"/>
    <cellStyle name="Comma 45 4 4" xfId="1803" xr:uid="{00000000-0005-0000-0000-000050200000}"/>
    <cellStyle name="Comma 45 4 4 2" xfId="1804" xr:uid="{00000000-0005-0000-0000-000051200000}"/>
    <cellStyle name="Comma 45 4 5" xfId="1805" xr:uid="{00000000-0005-0000-0000-000052200000}"/>
    <cellStyle name="Comma 45 5" xfId="1806" xr:uid="{00000000-0005-0000-0000-000053200000}"/>
    <cellStyle name="Comma 45 5 2" xfId="1807" xr:uid="{00000000-0005-0000-0000-000054200000}"/>
    <cellStyle name="Comma 45 5 2 2" xfId="1808" xr:uid="{00000000-0005-0000-0000-000055200000}"/>
    <cellStyle name="Comma 45 5 2 2 2" xfId="1809" xr:uid="{00000000-0005-0000-0000-000056200000}"/>
    <cellStyle name="Comma 45 5 2 3" xfId="1810" xr:uid="{00000000-0005-0000-0000-000057200000}"/>
    <cellStyle name="Comma 45 5 3" xfId="1811" xr:uid="{00000000-0005-0000-0000-000058200000}"/>
    <cellStyle name="Comma 45 5 3 2" xfId="1812" xr:uid="{00000000-0005-0000-0000-000059200000}"/>
    <cellStyle name="Comma 45 5 4" xfId="1813" xr:uid="{00000000-0005-0000-0000-00005A200000}"/>
    <cellStyle name="Comma 45 5 4 2" xfId="1814" xr:uid="{00000000-0005-0000-0000-00005B200000}"/>
    <cellStyle name="Comma 45 5 5" xfId="1815" xr:uid="{00000000-0005-0000-0000-00005C200000}"/>
    <cellStyle name="Comma 45 6" xfId="1816" xr:uid="{00000000-0005-0000-0000-00005D200000}"/>
    <cellStyle name="Comma 45 6 2" xfId="1817" xr:uid="{00000000-0005-0000-0000-00005E200000}"/>
    <cellStyle name="Comma 45 6 2 2" xfId="1818" xr:uid="{00000000-0005-0000-0000-00005F200000}"/>
    <cellStyle name="Comma 45 6 2 2 2" xfId="1819" xr:uid="{00000000-0005-0000-0000-000060200000}"/>
    <cellStyle name="Comma 45 6 2 3" xfId="1820" xr:uid="{00000000-0005-0000-0000-000061200000}"/>
    <cellStyle name="Comma 45 6 3" xfId="1821" xr:uid="{00000000-0005-0000-0000-000062200000}"/>
    <cellStyle name="Comma 45 6 3 2" xfId="1822" xr:uid="{00000000-0005-0000-0000-000063200000}"/>
    <cellStyle name="Comma 45 6 4" xfId="1823" xr:uid="{00000000-0005-0000-0000-000064200000}"/>
    <cellStyle name="Comma 45 6 4 2" xfId="1824" xr:uid="{00000000-0005-0000-0000-000065200000}"/>
    <cellStyle name="Comma 45 6 5" xfId="1825" xr:uid="{00000000-0005-0000-0000-000066200000}"/>
    <cellStyle name="Comma 45 7" xfId="1826" xr:uid="{00000000-0005-0000-0000-000067200000}"/>
    <cellStyle name="Comma 45 7 2" xfId="1827" xr:uid="{00000000-0005-0000-0000-000068200000}"/>
    <cellStyle name="Comma 45 7 2 2" xfId="1828" xr:uid="{00000000-0005-0000-0000-000069200000}"/>
    <cellStyle name="Comma 45 7 2 2 2" xfId="1829" xr:uid="{00000000-0005-0000-0000-00006A200000}"/>
    <cellStyle name="Comma 45 7 2 3" xfId="1830" xr:uid="{00000000-0005-0000-0000-00006B200000}"/>
    <cellStyle name="Comma 45 7 3" xfId="1831" xr:uid="{00000000-0005-0000-0000-00006C200000}"/>
    <cellStyle name="Comma 45 7 3 2" xfId="1832" xr:uid="{00000000-0005-0000-0000-00006D200000}"/>
    <cellStyle name="Comma 45 7 4" xfId="1833" xr:uid="{00000000-0005-0000-0000-00006E200000}"/>
    <cellStyle name="Comma 45 8" xfId="1834" xr:uid="{00000000-0005-0000-0000-00006F200000}"/>
    <cellStyle name="Comma 45 8 2" xfId="1835" xr:uid="{00000000-0005-0000-0000-000070200000}"/>
    <cellStyle name="Comma 45 8 2 2" xfId="1836" xr:uid="{00000000-0005-0000-0000-000071200000}"/>
    <cellStyle name="Comma 45 8 2 2 2" xfId="1837" xr:uid="{00000000-0005-0000-0000-000072200000}"/>
    <cellStyle name="Comma 45 8 2 3" xfId="1838" xr:uid="{00000000-0005-0000-0000-000073200000}"/>
    <cellStyle name="Comma 45 8 3" xfId="1839" xr:uid="{00000000-0005-0000-0000-000074200000}"/>
    <cellStyle name="Comma 45 8 3 2" xfId="1840" xr:uid="{00000000-0005-0000-0000-000075200000}"/>
    <cellStyle name="Comma 45 8 4" xfId="1841" xr:uid="{00000000-0005-0000-0000-000076200000}"/>
    <cellStyle name="Comma 45 9" xfId="1842" xr:uid="{00000000-0005-0000-0000-000077200000}"/>
    <cellStyle name="Comma 45 9 2" xfId="1843" xr:uid="{00000000-0005-0000-0000-000078200000}"/>
    <cellStyle name="Comma 45 9 2 2" xfId="1844" xr:uid="{00000000-0005-0000-0000-000079200000}"/>
    <cellStyle name="Comma 45 9 3" xfId="1845" xr:uid="{00000000-0005-0000-0000-00007A200000}"/>
    <cellStyle name="Comma 46" xfId="1846" xr:uid="{00000000-0005-0000-0000-00007B200000}"/>
    <cellStyle name="Comma 46 10" xfId="1847" xr:uid="{00000000-0005-0000-0000-00007C200000}"/>
    <cellStyle name="Comma 46 10 2" xfId="1848" xr:uid="{00000000-0005-0000-0000-00007D200000}"/>
    <cellStyle name="Comma 46 11" xfId="1849" xr:uid="{00000000-0005-0000-0000-00007E200000}"/>
    <cellStyle name="Comma 46 11 2" xfId="1850" xr:uid="{00000000-0005-0000-0000-00007F200000}"/>
    <cellStyle name="Comma 46 12" xfId="1851" xr:uid="{00000000-0005-0000-0000-000080200000}"/>
    <cellStyle name="Comma 46 2" xfId="1852" xr:uid="{00000000-0005-0000-0000-000081200000}"/>
    <cellStyle name="Comma 46 2 2" xfId="1853" xr:uid="{00000000-0005-0000-0000-000082200000}"/>
    <cellStyle name="Comma 46 2 2 2" xfId="1854" xr:uid="{00000000-0005-0000-0000-000083200000}"/>
    <cellStyle name="Comma 46 2 2 2 2" xfId="1855" xr:uid="{00000000-0005-0000-0000-000084200000}"/>
    <cellStyle name="Comma 46 2 2 3" xfId="1856" xr:uid="{00000000-0005-0000-0000-000085200000}"/>
    <cellStyle name="Comma 46 2 3" xfId="1857" xr:uid="{00000000-0005-0000-0000-000086200000}"/>
    <cellStyle name="Comma 46 2 3 2" xfId="1858" xr:uid="{00000000-0005-0000-0000-000087200000}"/>
    <cellStyle name="Comma 46 2 4" xfId="1859" xr:uid="{00000000-0005-0000-0000-000088200000}"/>
    <cellStyle name="Comma 46 2 4 2" xfId="1860" xr:uid="{00000000-0005-0000-0000-000089200000}"/>
    <cellStyle name="Comma 46 2 5" xfId="1861" xr:uid="{00000000-0005-0000-0000-00008A200000}"/>
    <cellStyle name="Comma 46 3" xfId="1862" xr:uid="{00000000-0005-0000-0000-00008B200000}"/>
    <cellStyle name="Comma 46 3 2" xfId="1863" xr:uid="{00000000-0005-0000-0000-00008C200000}"/>
    <cellStyle name="Comma 46 3 2 2" xfId="1864" xr:uid="{00000000-0005-0000-0000-00008D200000}"/>
    <cellStyle name="Comma 46 3 2 2 2" xfId="1865" xr:uid="{00000000-0005-0000-0000-00008E200000}"/>
    <cellStyle name="Comma 46 3 2 3" xfId="1866" xr:uid="{00000000-0005-0000-0000-00008F200000}"/>
    <cellStyle name="Comma 46 3 3" xfId="1867" xr:uid="{00000000-0005-0000-0000-000090200000}"/>
    <cellStyle name="Comma 46 3 3 2" xfId="1868" xr:uid="{00000000-0005-0000-0000-000091200000}"/>
    <cellStyle name="Comma 46 3 4" xfId="1869" xr:uid="{00000000-0005-0000-0000-000092200000}"/>
    <cellStyle name="Comma 46 3 4 2" xfId="1870" xr:uid="{00000000-0005-0000-0000-000093200000}"/>
    <cellStyle name="Comma 46 3 5" xfId="1871" xr:uid="{00000000-0005-0000-0000-000094200000}"/>
    <cellStyle name="Comma 46 4" xfId="1872" xr:uid="{00000000-0005-0000-0000-000095200000}"/>
    <cellStyle name="Comma 46 4 2" xfId="1873" xr:uid="{00000000-0005-0000-0000-000096200000}"/>
    <cellStyle name="Comma 46 4 2 2" xfId="1874" xr:uid="{00000000-0005-0000-0000-000097200000}"/>
    <cellStyle name="Comma 46 4 2 2 2" xfId="1875" xr:uid="{00000000-0005-0000-0000-000098200000}"/>
    <cellStyle name="Comma 46 4 2 3" xfId="1876" xr:uid="{00000000-0005-0000-0000-000099200000}"/>
    <cellStyle name="Comma 46 4 3" xfId="1877" xr:uid="{00000000-0005-0000-0000-00009A200000}"/>
    <cellStyle name="Comma 46 4 3 2" xfId="1878" xr:uid="{00000000-0005-0000-0000-00009B200000}"/>
    <cellStyle name="Comma 46 4 4" xfId="1879" xr:uid="{00000000-0005-0000-0000-00009C200000}"/>
    <cellStyle name="Comma 46 4 4 2" xfId="1880" xr:uid="{00000000-0005-0000-0000-00009D200000}"/>
    <cellStyle name="Comma 46 4 5" xfId="1881" xr:uid="{00000000-0005-0000-0000-00009E200000}"/>
    <cellStyle name="Comma 46 5" xfId="1882" xr:uid="{00000000-0005-0000-0000-00009F200000}"/>
    <cellStyle name="Comma 46 5 2" xfId="1883" xr:uid="{00000000-0005-0000-0000-0000A0200000}"/>
    <cellStyle name="Comma 46 5 2 2" xfId="1884" xr:uid="{00000000-0005-0000-0000-0000A1200000}"/>
    <cellStyle name="Comma 46 5 2 2 2" xfId="1885" xr:uid="{00000000-0005-0000-0000-0000A2200000}"/>
    <cellStyle name="Comma 46 5 2 3" xfId="1886" xr:uid="{00000000-0005-0000-0000-0000A3200000}"/>
    <cellStyle name="Comma 46 5 3" xfId="1887" xr:uid="{00000000-0005-0000-0000-0000A4200000}"/>
    <cellStyle name="Comma 46 5 3 2" xfId="1888" xr:uid="{00000000-0005-0000-0000-0000A5200000}"/>
    <cellStyle name="Comma 46 5 4" xfId="1889" xr:uid="{00000000-0005-0000-0000-0000A6200000}"/>
    <cellStyle name="Comma 46 5 4 2" xfId="1890" xr:uid="{00000000-0005-0000-0000-0000A7200000}"/>
    <cellStyle name="Comma 46 5 5" xfId="1891" xr:uid="{00000000-0005-0000-0000-0000A8200000}"/>
    <cellStyle name="Comma 46 6" xfId="1892" xr:uid="{00000000-0005-0000-0000-0000A9200000}"/>
    <cellStyle name="Comma 46 6 2" xfId="1893" xr:uid="{00000000-0005-0000-0000-0000AA200000}"/>
    <cellStyle name="Comma 46 6 2 2" xfId="1894" xr:uid="{00000000-0005-0000-0000-0000AB200000}"/>
    <cellStyle name="Comma 46 6 2 2 2" xfId="1895" xr:uid="{00000000-0005-0000-0000-0000AC200000}"/>
    <cellStyle name="Comma 46 6 2 3" xfId="1896" xr:uid="{00000000-0005-0000-0000-0000AD200000}"/>
    <cellStyle name="Comma 46 6 3" xfId="1897" xr:uid="{00000000-0005-0000-0000-0000AE200000}"/>
    <cellStyle name="Comma 46 6 3 2" xfId="1898" xr:uid="{00000000-0005-0000-0000-0000AF200000}"/>
    <cellStyle name="Comma 46 6 4" xfId="1899" xr:uid="{00000000-0005-0000-0000-0000B0200000}"/>
    <cellStyle name="Comma 46 6 4 2" xfId="1900" xr:uid="{00000000-0005-0000-0000-0000B1200000}"/>
    <cellStyle name="Comma 46 6 5" xfId="1901" xr:uid="{00000000-0005-0000-0000-0000B2200000}"/>
    <cellStyle name="Comma 46 7" xfId="1902" xr:uid="{00000000-0005-0000-0000-0000B3200000}"/>
    <cellStyle name="Comma 46 7 2" xfId="1903" xr:uid="{00000000-0005-0000-0000-0000B4200000}"/>
    <cellStyle name="Comma 46 7 2 2" xfId="1904" xr:uid="{00000000-0005-0000-0000-0000B5200000}"/>
    <cellStyle name="Comma 46 7 2 2 2" xfId="1905" xr:uid="{00000000-0005-0000-0000-0000B6200000}"/>
    <cellStyle name="Comma 46 7 2 3" xfId="1906" xr:uid="{00000000-0005-0000-0000-0000B7200000}"/>
    <cellStyle name="Comma 46 7 3" xfId="1907" xr:uid="{00000000-0005-0000-0000-0000B8200000}"/>
    <cellStyle name="Comma 46 7 3 2" xfId="1908" xr:uid="{00000000-0005-0000-0000-0000B9200000}"/>
    <cellStyle name="Comma 46 7 4" xfId="1909" xr:uid="{00000000-0005-0000-0000-0000BA200000}"/>
    <cellStyle name="Comma 46 8" xfId="1910" xr:uid="{00000000-0005-0000-0000-0000BB200000}"/>
    <cellStyle name="Comma 46 8 2" xfId="1911" xr:uid="{00000000-0005-0000-0000-0000BC200000}"/>
    <cellStyle name="Comma 46 8 2 2" xfId="1912" xr:uid="{00000000-0005-0000-0000-0000BD200000}"/>
    <cellStyle name="Comma 46 8 2 2 2" xfId="1913" xr:uid="{00000000-0005-0000-0000-0000BE200000}"/>
    <cellStyle name="Comma 46 8 2 3" xfId="1914" xr:uid="{00000000-0005-0000-0000-0000BF200000}"/>
    <cellStyle name="Comma 46 8 3" xfId="1915" xr:uid="{00000000-0005-0000-0000-0000C0200000}"/>
    <cellStyle name="Comma 46 8 3 2" xfId="1916" xr:uid="{00000000-0005-0000-0000-0000C1200000}"/>
    <cellStyle name="Comma 46 8 4" xfId="1917" xr:uid="{00000000-0005-0000-0000-0000C2200000}"/>
    <cellStyle name="Comma 46 9" xfId="1918" xr:uid="{00000000-0005-0000-0000-0000C3200000}"/>
    <cellStyle name="Comma 46 9 2" xfId="1919" xr:uid="{00000000-0005-0000-0000-0000C4200000}"/>
    <cellStyle name="Comma 46 9 2 2" xfId="1920" xr:uid="{00000000-0005-0000-0000-0000C5200000}"/>
    <cellStyle name="Comma 46 9 3" xfId="1921" xr:uid="{00000000-0005-0000-0000-0000C6200000}"/>
    <cellStyle name="Comma 47" xfId="1922" xr:uid="{00000000-0005-0000-0000-0000C7200000}"/>
    <cellStyle name="Comma 47 10" xfId="1923" xr:uid="{00000000-0005-0000-0000-0000C8200000}"/>
    <cellStyle name="Comma 47 10 2" xfId="1924" xr:uid="{00000000-0005-0000-0000-0000C9200000}"/>
    <cellStyle name="Comma 47 11" xfId="1925" xr:uid="{00000000-0005-0000-0000-0000CA200000}"/>
    <cellStyle name="Comma 47 11 2" xfId="1926" xr:uid="{00000000-0005-0000-0000-0000CB200000}"/>
    <cellStyle name="Comma 47 12" xfId="1927" xr:uid="{00000000-0005-0000-0000-0000CC200000}"/>
    <cellStyle name="Comma 47 2" xfId="1928" xr:uid="{00000000-0005-0000-0000-0000CD200000}"/>
    <cellStyle name="Comma 47 2 2" xfId="1929" xr:uid="{00000000-0005-0000-0000-0000CE200000}"/>
    <cellStyle name="Comma 47 2 2 2" xfId="1930" xr:uid="{00000000-0005-0000-0000-0000CF200000}"/>
    <cellStyle name="Comma 47 2 2 2 2" xfId="1931" xr:uid="{00000000-0005-0000-0000-0000D0200000}"/>
    <cellStyle name="Comma 47 2 2 3" xfId="1932" xr:uid="{00000000-0005-0000-0000-0000D1200000}"/>
    <cellStyle name="Comma 47 2 3" xfId="1933" xr:uid="{00000000-0005-0000-0000-0000D2200000}"/>
    <cellStyle name="Comma 47 2 3 2" xfId="1934" xr:uid="{00000000-0005-0000-0000-0000D3200000}"/>
    <cellStyle name="Comma 47 2 4" xfId="1935" xr:uid="{00000000-0005-0000-0000-0000D4200000}"/>
    <cellStyle name="Comma 47 2 4 2" xfId="1936" xr:uid="{00000000-0005-0000-0000-0000D5200000}"/>
    <cellStyle name="Comma 47 2 5" xfId="1937" xr:uid="{00000000-0005-0000-0000-0000D6200000}"/>
    <cellStyle name="Comma 47 3" xfId="1938" xr:uid="{00000000-0005-0000-0000-0000D7200000}"/>
    <cellStyle name="Comma 47 3 2" xfId="1939" xr:uid="{00000000-0005-0000-0000-0000D8200000}"/>
    <cellStyle name="Comma 47 3 2 2" xfId="1940" xr:uid="{00000000-0005-0000-0000-0000D9200000}"/>
    <cellStyle name="Comma 47 3 2 2 2" xfId="1941" xr:uid="{00000000-0005-0000-0000-0000DA200000}"/>
    <cellStyle name="Comma 47 3 2 3" xfId="1942" xr:uid="{00000000-0005-0000-0000-0000DB200000}"/>
    <cellStyle name="Comma 47 3 3" xfId="1943" xr:uid="{00000000-0005-0000-0000-0000DC200000}"/>
    <cellStyle name="Comma 47 3 3 2" xfId="1944" xr:uid="{00000000-0005-0000-0000-0000DD200000}"/>
    <cellStyle name="Comma 47 3 4" xfId="1945" xr:uid="{00000000-0005-0000-0000-0000DE200000}"/>
    <cellStyle name="Comma 47 3 4 2" xfId="1946" xr:uid="{00000000-0005-0000-0000-0000DF200000}"/>
    <cellStyle name="Comma 47 3 5" xfId="1947" xr:uid="{00000000-0005-0000-0000-0000E0200000}"/>
    <cellStyle name="Comma 47 4" xfId="1948" xr:uid="{00000000-0005-0000-0000-0000E1200000}"/>
    <cellStyle name="Comma 47 4 2" xfId="1949" xr:uid="{00000000-0005-0000-0000-0000E2200000}"/>
    <cellStyle name="Comma 47 4 2 2" xfId="1950" xr:uid="{00000000-0005-0000-0000-0000E3200000}"/>
    <cellStyle name="Comma 47 4 2 2 2" xfId="1951" xr:uid="{00000000-0005-0000-0000-0000E4200000}"/>
    <cellStyle name="Comma 47 4 2 3" xfId="1952" xr:uid="{00000000-0005-0000-0000-0000E5200000}"/>
    <cellStyle name="Comma 47 4 3" xfId="1953" xr:uid="{00000000-0005-0000-0000-0000E6200000}"/>
    <cellStyle name="Comma 47 4 3 2" xfId="1954" xr:uid="{00000000-0005-0000-0000-0000E7200000}"/>
    <cellStyle name="Comma 47 4 4" xfId="1955" xr:uid="{00000000-0005-0000-0000-0000E8200000}"/>
    <cellStyle name="Comma 47 4 4 2" xfId="1956" xr:uid="{00000000-0005-0000-0000-0000E9200000}"/>
    <cellStyle name="Comma 47 4 5" xfId="1957" xr:uid="{00000000-0005-0000-0000-0000EA200000}"/>
    <cellStyle name="Comma 47 5" xfId="1958" xr:uid="{00000000-0005-0000-0000-0000EB200000}"/>
    <cellStyle name="Comma 47 5 2" xfId="1959" xr:uid="{00000000-0005-0000-0000-0000EC200000}"/>
    <cellStyle name="Comma 47 5 2 2" xfId="1960" xr:uid="{00000000-0005-0000-0000-0000ED200000}"/>
    <cellStyle name="Comma 47 5 2 2 2" xfId="1961" xr:uid="{00000000-0005-0000-0000-0000EE200000}"/>
    <cellStyle name="Comma 47 5 2 3" xfId="1962" xr:uid="{00000000-0005-0000-0000-0000EF200000}"/>
    <cellStyle name="Comma 47 5 3" xfId="1963" xr:uid="{00000000-0005-0000-0000-0000F0200000}"/>
    <cellStyle name="Comma 47 5 3 2" xfId="1964" xr:uid="{00000000-0005-0000-0000-0000F1200000}"/>
    <cellStyle name="Comma 47 5 4" xfId="1965" xr:uid="{00000000-0005-0000-0000-0000F2200000}"/>
    <cellStyle name="Comma 47 5 4 2" xfId="1966" xr:uid="{00000000-0005-0000-0000-0000F3200000}"/>
    <cellStyle name="Comma 47 5 5" xfId="1967" xr:uid="{00000000-0005-0000-0000-0000F4200000}"/>
    <cellStyle name="Comma 47 6" xfId="1968" xr:uid="{00000000-0005-0000-0000-0000F5200000}"/>
    <cellStyle name="Comma 47 6 2" xfId="1969" xr:uid="{00000000-0005-0000-0000-0000F6200000}"/>
    <cellStyle name="Comma 47 6 2 2" xfId="1970" xr:uid="{00000000-0005-0000-0000-0000F7200000}"/>
    <cellStyle name="Comma 47 6 2 2 2" xfId="1971" xr:uid="{00000000-0005-0000-0000-0000F8200000}"/>
    <cellStyle name="Comma 47 6 2 3" xfId="1972" xr:uid="{00000000-0005-0000-0000-0000F9200000}"/>
    <cellStyle name="Comma 47 6 3" xfId="1973" xr:uid="{00000000-0005-0000-0000-0000FA200000}"/>
    <cellStyle name="Comma 47 6 3 2" xfId="1974" xr:uid="{00000000-0005-0000-0000-0000FB200000}"/>
    <cellStyle name="Comma 47 6 4" xfId="1975" xr:uid="{00000000-0005-0000-0000-0000FC200000}"/>
    <cellStyle name="Comma 47 6 4 2" xfId="1976" xr:uid="{00000000-0005-0000-0000-0000FD200000}"/>
    <cellStyle name="Comma 47 6 5" xfId="1977" xr:uid="{00000000-0005-0000-0000-0000FE200000}"/>
    <cellStyle name="Comma 47 7" xfId="1978" xr:uid="{00000000-0005-0000-0000-0000FF200000}"/>
    <cellStyle name="Comma 47 7 2" xfId="1979" xr:uid="{00000000-0005-0000-0000-000000210000}"/>
    <cellStyle name="Comma 47 7 2 2" xfId="1980" xr:uid="{00000000-0005-0000-0000-000001210000}"/>
    <cellStyle name="Comma 47 7 2 2 2" xfId="1981" xr:uid="{00000000-0005-0000-0000-000002210000}"/>
    <cellStyle name="Comma 47 7 2 3" xfId="1982" xr:uid="{00000000-0005-0000-0000-000003210000}"/>
    <cellStyle name="Comma 47 7 3" xfId="1983" xr:uid="{00000000-0005-0000-0000-000004210000}"/>
    <cellStyle name="Comma 47 7 3 2" xfId="1984" xr:uid="{00000000-0005-0000-0000-000005210000}"/>
    <cellStyle name="Comma 47 7 4" xfId="1985" xr:uid="{00000000-0005-0000-0000-000006210000}"/>
    <cellStyle name="Comma 47 8" xfId="1986" xr:uid="{00000000-0005-0000-0000-000007210000}"/>
    <cellStyle name="Comma 47 8 2" xfId="1987" xr:uid="{00000000-0005-0000-0000-000008210000}"/>
    <cellStyle name="Comma 47 8 2 2" xfId="1988" xr:uid="{00000000-0005-0000-0000-000009210000}"/>
    <cellStyle name="Comma 47 8 2 2 2" xfId="1989" xr:uid="{00000000-0005-0000-0000-00000A210000}"/>
    <cellStyle name="Comma 47 8 2 3" xfId="1990" xr:uid="{00000000-0005-0000-0000-00000B210000}"/>
    <cellStyle name="Comma 47 8 3" xfId="1991" xr:uid="{00000000-0005-0000-0000-00000C210000}"/>
    <cellStyle name="Comma 47 8 3 2" xfId="1992" xr:uid="{00000000-0005-0000-0000-00000D210000}"/>
    <cellStyle name="Comma 47 8 4" xfId="1993" xr:uid="{00000000-0005-0000-0000-00000E210000}"/>
    <cellStyle name="Comma 47 9" xfId="1994" xr:uid="{00000000-0005-0000-0000-00000F210000}"/>
    <cellStyle name="Comma 47 9 2" xfId="1995" xr:uid="{00000000-0005-0000-0000-000010210000}"/>
    <cellStyle name="Comma 47 9 2 2" xfId="1996" xr:uid="{00000000-0005-0000-0000-000011210000}"/>
    <cellStyle name="Comma 47 9 3" xfId="1997" xr:uid="{00000000-0005-0000-0000-000012210000}"/>
    <cellStyle name="Comma 48" xfId="1998" xr:uid="{00000000-0005-0000-0000-000013210000}"/>
    <cellStyle name="Comma 48 10" xfId="1999" xr:uid="{00000000-0005-0000-0000-000014210000}"/>
    <cellStyle name="Comma 48 10 2" xfId="2000" xr:uid="{00000000-0005-0000-0000-000015210000}"/>
    <cellStyle name="Comma 48 11" xfId="2001" xr:uid="{00000000-0005-0000-0000-000016210000}"/>
    <cellStyle name="Comma 48 11 2" xfId="2002" xr:uid="{00000000-0005-0000-0000-000017210000}"/>
    <cellStyle name="Comma 48 12" xfId="2003" xr:uid="{00000000-0005-0000-0000-000018210000}"/>
    <cellStyle name="Comma 48 2" xfId="2004" xr:uid="{00000000-0005-0000-0000-000019210000}"/>
    <cellStyle name="Comma 48 2 2" xfId="2005" xr:uid="{00000000-0005-0000-0000-00001A210000}"/>
    <cellStyle name="Comma 48 2 2 2" xfId="2006" xr:uid="{00000000-0005-0000-0000-00001B210000}"/>
    <cellStyle name="Comma 48 2 2 2 2" xfId="2007" xr:uid="{00000000-0005-0000-0000-00001C210000}"/>
    <cellStyle name="Comma 48 2 2 3" xfId="2008" xr:uid="{00000000-0005-0000-0000-00001D210000}"/>
    <cellStyle name="Comma 48 2 3" xfId="2009" xr:uid="{00000000-0005-0000-0000-00001E210000}"/>
    <cellStyle name="Comma 48 2 3 2" xfId="2010" xr:uid="{00000000-0005-0000-0000-00001F210000}"/>
    <cellStyle name="Comma 48 2 4" xfId="2011" xr:uid="{00000000-0005-0000-0000-000020210000}"/>
    <cellStyle name="Comma 48 2 4 2" xfId="2012" xr:uid="{00000000-0005-0000-0000-000021210000}"/>
    <cellStyle name="Comma 48 2 5" xfId="2013" xr:uid="{00000000-0005-0000-0000-000022210000}"/>
    <cellStyle name="Comma 48 3" xfId="2014" xr:uid="{00000000-0005-0000-0000-000023210000}"/>
    <cellStyle name="Comma 48 3 2" xfId="2015" xr:uid="{00000000-0005-0000-0000-000024210000}"/>
    <cellStyle name="Comma 48 3 2 2" xfId="2016" xr:uid="{00000000-0005-0000-0000-000025210000}"/>
    <cellStyle name="Comma 48 3 2 2 2" xfId="2017" xr:uid="{00000000-0005-0000-0000-000026210000}"/>
    <cellStyle name="Comma 48 3 2 3" xfId="2018" xr:uid="{00000000-0005-0000-0000-000027210000}"/>
    <cellStyle name="Comma 48 3 3" xfId="2019" xr:uid="{00000000-0005-0000-0000-000028210000}"/>
    <cellStyle name="Comma 48 3 3 2" xfId="2020" xr:uid="{00000000-0005-0000-0000-000029210000}"/>
    <cellStyle name="Comma 48 3 4" xfId="2021" xr:uid="{00000000-0005-0000-0000-00002A210000}"/>
    <cellStyle name="Comma 48 3 4 2" xfId="2022" xr:uid="{00000000-0005-0000-0000-00002B210000}"/>
    <cellStyle name="Comma 48 3 5" xfId="2023" xr:uid="{00000000-0005-0000-0000-00002C210000}"/>
    <cellStyle name="Comma 48 4" xfId="2024" xr:uid="{00000000-0005-0000-0000-00002D210000}"/>
    <cellStyle name="Comma 48 4 2" xfId="2025" xr:uid="{00000000-0005-0000-0000-00002E210000}"/>
    <cellStyle name="Comma 48 4 2 2" xfId="2026" xr:uid="{00000000-0005-0000-0000-00002F210000}"/>
    <cellStyle name="Comma 48 4 2 2 2" xfId="2027" xr:uid="{00000000-0005-0000-0000-000030210000}"/>
    <cellStyle name="Comma 48 4 2 3" xfId="2028" xr:uid="{00000000-0005-0000-0000-000031210000}"/>
    <cellStyle name="Comma 48 4 3" xfId="2029" xr:uid="{00000000-0005-0000-0000-000032210000}"/>
    <cellStyle name="Comma 48 4 3 2" xfId="2030" xr:uid="{00000000-0005-0000-0000-000033210000}"/>
    <cellStyle name="Comma 48 4 4" xfId="2031" xr:uid="{00000000-0005-0000-0000-000034210000}"/>
    <cellStyle name="Comma 48 4 4 2" xfId="2032" xr:uid="{00000000-0005-0000-0000-000035210000}"/>
    <cellStyle name="Comma 48 4 5" xfId="2033" xr:uid="{00000000-0005-0000-0000-000036210000}"/>
    <cellStyle name="Comma 48 5" xfId="2034" xr:uid="{00000000-0005-0000-0000-000037210000}"/>
    <cellStyle name="Comma 48 5 2" xfId="2035" xr:uid="{00000000-0005-0000-0000-000038210000}"/>
    <cellStyle name="Comma 48 5 2 2" xfId="2036" xr:uid="{00000000-0005-0000-0000-000039210000}"/>
    <cellStyle name="Comma 48 5 2 2 2" xfId="2037" xr:uid="{00000000-0005-0000-0000-00003A210000}"/>
    <cellStyle name="Comma 48 5 2 3" xfId="2038" xr:uid="{00000000-0005-0000-0000-00003B210000}"/>
    <cellStyle name="Comma 48 5 3" xfId="2039" xr:uid="{00000000-0005-0000-0000-00003C210000}"/>
    <cellStyle name="Comma 48 5 3 2" xfId="2040" xr:uid="{00000000-0005-0000-0000-00003D210000}"/>
    <cellStyle name="Comma 48 5 4" xfId="2041" xr:uid="{00000000-0005-0000-0000-00003E210000}"/>
    <cellStyle name="Comma 48 5 4 2" xfId="2042" xr:uid="{00000000-0005-0000-0000-00003F210000}"/>
    <cellStyle name="Comma 48 5 5" xfId="2043" xr:uid="{00000000-0005-0000-0000-000040210000}"/>
    <cellStyle name="Comma 48 6" xfId="2044" xr:uid="{00000000-0005-0000-0000-000041210000}"/>
    <cellStyle name="Comma 48 6 2" xfId="2045" xr:uid="{00000000-0005-0000-0000-000042210000}"/>
    <cellStyle name="Comma 48 6 2 2" xfId="2046" xr:uid="{00000000-0005-0000-0000-000043210000}"/>
    <cellStyle name="Comma 48 6 2 2 2" xfId="2047" xr:uid="{00000000-0005-0000-0000-000044210000}"/>
    <cellStyle name="Comma 48 6 2 3" xfId="2048" xr:uid="{00000000-0005-0000-0000-000045210000}"/>
    <cellStyle name="Comma 48 6 3" xfId="2049" xr:uid="{00000000-0005-0000-0000-000046210000}"/>
    <cellStyle name="Comma 48 6 3 2" xfId="2050" xr:uid="{00000000-0005-0000-0000-000047210000}"/>
    <cellStyle name="Comma 48 6 4" xfId="2051" xr:uid="{00000000-0005-0000-0000-000048210000}"/>
    <cellStyle name="Comma 48 6 4 2" xfId="2052" xr:uid="{00000000-0005-0000-0000-000049210000}"/>
    <cellStyle name="Comma 48 6 5" xfId="2053" xr:uid="{00000000-0005-0000-0000-00004A210000}"/>
    <cellStyle name="Comma 48 7" xfId="2054" xr:uid="{00000000-0005-0000-0000-00004B210000}"/>
    <cellStyle name="Comma 48 7 2" xfId="2055" xr:uid="{00000000-0005-0000-0000-00004C210000}"/>
    <cellStyle name="Comma 48 7 2 2" xfId="2056" xr:uid="{00000000-0005-0000-0000-00004D210000}"/>
    <cellStyle name="Comma 48 7 2 2 2" xfId="2057" xr:uid="{00000000-0005-0000-0000-00004E210000}"/>
    <cellStyle name="Comma 48 7 2 3" xfId="2058" xr:uid="{00000000-0005-0000-0000-00004F210000}"/>
    <cellStyle name="Comma 48 7 3" xfId="2059" xr:uid="{00000000-0005-0000-0000-000050210000}"/>
    <cellStyle name="Comma 48 7 3 2" xfId="2060" xr:uid="{00000000-0005-0000-0000-000051210000}"/>
    <cellStyle name="Comma 48 7 4" xfId="2061" xr:uid="{00000000-0005-0000-0000-000052210000}"/>
    <cellStyle name="Comma 48 8" xfId="2062" xr:uid="{00000000-0005-0000-0000-000053210000}"/>
    <cellStyle name="Comma 48 8 2" xfId="2063" xr:uid="{00000000-0005-0000-0000-000054210000}"/>
    <cellStyle name="Comma 48 8 2 2" xfId="2064" xr:uid="{00000000-0005-0000-0000-000055210000}"/>
    <cellStyle name="Comma 48 8 2 2 2" xfId="2065" xr:uid="{00000000-0005-0000-0000-000056210000}"/>
    <cellStyle name="Comma 48 8 2 3" xfId="2066" xr:uid="{00000000-0005-0000-0000-000057210000}"/>
    <cellStyle name="Comma 48 8 3" xfId="2067" xr:uid="{00000000-0005-0000-0000-000058210000}"/>
    <cellStyle name="Comma 48 8 3 2" xfId="2068" xr:uid="{00000000-0005-0000-0000-000059210000}"/>
    <cellStyle name="Comma 48 8 4" xfId="2069" xr:uid="{00000000-0005-0000-0000-00005A210000}"/>
    <cellStyle name="Comma 48 9" xfId="2070" xr:uid="{00000000-0005-0000-0000-00005B210000}"/>
    <cellStyle name="Comma 48 9 2" xfId="2071" xr:uid="{00000000-0005-0000-0000-00005C210000}"/>
    <cellStyle name="Comma 48 9 2 2" xfId="2072" xr:uid="{00000000-0005-0000-0000-00005D210000}"/>
    <cellStyle name="Comma 48 9 3" xfId="2073" xr:uid="{00000000-0005-0000-0000-00005E210000}"/>
    <cellStyle name="Comma 49" xfId="2074" xr:uid="{00000000-0005-0000-0000-00005F210000}"/>
    <cellStyle name="Comma 49 10" xfId="2075" xr:uid="{00000000-0005-0000-0000-000060210000}"/>
    <cellStyle name="Comma 49 10 2" xfId="2076" xr:uid="{00000000-0005-0000-0000-000061210000}"/>
    <cellStyle name="Comma 49 11" xfId="2077" xr:uid="{00000000-0005-0000-0000-000062210000}"/>
    <cellStyle name="Comma 49 11 2" xfId="2078" xr:uid="{00000000-0005-0000-0000-000063210000}"/>
    <cellStyle name="Comma 49 12" xfId="2079" xr:uid="{00000000-0005-0000-0000-000064210000}"/>
    <cellStyle name="Comma 49 2" xfId="2080" xr:uid="{00000000-0005-0000-0000-000065210000}"/>
    <cellStyle name="Comma 49 2 2" xfId="2081" xr:uid="{00000000-0005-0000-0000-000066210000}"/>
    <cellStyle name="Comma 49 2 2 2" xfId="2082" xr:uid="{00000000-0005-0000-0000-000067210000}"/>
    <cellStyle name="Comma 49 2 2 2 2" xfId="2083" xr:uid="{00000000-0005-0000-0000-000068210000}"/>
    <cellStyle name="Comma 49 2 2 3" xfId="2084" xr:uid="{00000000-0005-0000-0000-000069210000}"/>
    <cellStyle name="Comma 49 2 3" xfId="2085" xr:uid="{00000000-0005-0000-0000-00006A210000}"/>
    <cellStyle name="Comma 49 2 3 2" xfId="2086" xr:uid="{00000000-0005-0000-0000-00006B210000}"/>
    <cellStyle name="Comma 49 2 4" xfId="2087" xr:uid="{00000000-0005-0000-0000-00006C210000}"/>
    <cellStyle name="Comma 49 2 4 2" xfId="2088" xr:uid="{00000000-0005-0000-0000-00006D210000}"/>
    <cellStyle name="Comma 49 2 5" xfId="2089" xr:uid="{00000000-0005-0000-0000-00006E210000}"/>
    <cellStyle name="Comma 49 3" xfId="2090" xr:uid="{00000000-0005-0000-0000-00006F210000}"/>
    <cellStyle name="Comma 49 3 2" xfId="2091" xr:uid="{00000000-0005-0000-0000-000070210000}"/>
    <cellStyle name="Comma 49 3 2 2" xfId="2092" xr:uid="{00000000-0005-0000-0000-000071210000}"/>
    <cellStyle name="Comma 49 3 2 2 2" xfId="2093" xr:uid="{00000000-0005-0000-0000-000072210000}"/>
    <cellStyle name="Comma 49 3 2 3" xfId="2094" xr:uid="{00000000-0005-0000-0000-000073210000}"/>
    <cellStyle name="Comma 49 3 3" xfId="2095" xr:uid="{00000000-0005-0000-0000-000074210000}"/>
    <cellStyle name="Comma 49 3 3 2" xfId="2096" xr:uid="{00000000-0005-0000-0000-000075210000}"/>
    <cellStyle name="Comma 49 3 4" xfId="2097" xr:uid="{00000000-0005-0000-0000-000076210000}"/>
    <cellStyle name="Comma 49 3 4 2" xfId="2098" xr:uid="{00000000-0005-0000-0000-000077210000}"/>
    <cellStyle name="Comma 49 3 5" xfId="2099" xr:uid="{00000000-0005-0000-0000-000078210000}"/>
    <cellStyle name="Comma 49 4" xfId="2100" xr:uid="{00000000-0005-0000-0000-000079210000}"/>
    <cellStyle name="Comma 49 4 2" xfId="2101" xr:uid="{00000000-0005-0000-0000-00007A210000}"/>
    <cellStyle name="Comma 49 4 2 2" xfId="2102" xr:uid="{00000000-0005-0000-0000-00007B210000}"/>
    <cellStyle name="Comma 49 4 2 2 2" xfId="2103" xr:uid="{00000000-0005-0000-0000-00007C210000}"/>
    <cellStyle name="Comma 49 4 2 3" xfId="2104" xr:uid="{00000000-0005-0000-0000-00007D210000}"/>
    <cellStyle name="Comma 49 4 3" xfId="2105" xr:uid="{00000000-0005-0000-0000-00007E210000}"/>
    <cellStyle name="Comma 49 4 3 2" xfId="2106" xr:uid="{00000000-0005-0000-0000-00007F210000}"/>
    <cellStyle name="Comma 49 4 4" xfId="2107" xr:uid="{00000000-0005-0000-0000-000080210000}"/>
    <cellStyle name="Comma 49 4 4 2" xfId="2108" xr:uid="{00000000-0005-0000-0000-000081210000}"/>
    <cellStyle name="Comma 49 4 5" xfId="2109" xr:uid="{00000000-0005-0000-0000-000082210000}"/>
    <cellStyle name="Comma 49 5" xfId="2110" xr:uid="{00000000-0005-0000-0000-000083210000}"/>
    <cellStyle name="Comma 49 5 2" xfId="2111" xr:uid="{00000000-0005-0000-0000-000084210000}"/>
    <cellStyle name="Comma 49 5 2 2" xfId="2112" xr:uid="{00000000-0005-0000-0000-000085210000}"/>
    <cellStyle name="Comma 49 5 2 2 2" xfId="2113" xr:uid="{00000000-0005-0000-0000-000086210000}"/>
    <cellStyle name="Comma 49 5 2 3" xfId="2114" xr:uid="{00000000-0005-0000-0000-000087210000}"/>
    <cellStyle name="Comma 49 5 3" xfId="2115" xr:uid="{00000000-0005-0000-0000-000088210000}"/>
    <cellStyle name="Comma 49 5 3 2" xfId="2116" xr:uid="{00000000-0005-0000-0000-000089210000}"/>
    <cellStyle name="Comma 49 5 4" xfId="2117" xr:uid="{00000000-0005-0000-0000-00008A210000}"/>
    <cellStyle name="Comma 49 5 4 2" xfId="2118" xr:uid="{00000000-0005-0000-0000-00008B210000}"/>
    <cellStyle name="Comma 49 5 5" xfId="2119" xr:uid="{00000000-0005-0000-0000-00008C210000}"/>
    <cellStyle name="Comma 49 6" xfId="2120" xr:uid="{00000000-0005-0000-0000-00008D210000}"/>
    <cellStyle name="Comma 49 6 2" xfId="2121" xr:uid="{00000000-0005-0000-0000-00008E210000}"/>
    <cellStyle name="Comma 49 6 2 2" xfId="2122" xr:uid="{00000000-0005-0000-0000-00008F210000}"/>
    <cellStyle name="Comma 49 6 2 2 2" xfId="2123" xr:uid="{00000000-0005-0000-0000-000090210000}"/>
    <cellStyle name="Comma 49 6 2 3" xfId="2124" xr:uid="{00000000-0005-0000-0000-000091210000}"/>
    <cellStyle name="Comma 49 6 3" xfId="2125" xr:uid="{00000000-0005-0000-0000-000092210000}"/>
    <cellStyle name="Comma 49 6 3 2" xfId="2126" xr:uid="{00000000-0005-0000-0000-000093210000}"/>
    <cellStyle name="Comma 49 6 4" xfId="2127" xr:uid="{00000000-0005-0000-0000-000094210000}"/>
    <cellStyle name="Comma 49 6 4 2" xfId="2128" xr:uid="{00000000-0005-0000-0000-000095210000}"/>
    <cellStyle name="Comma 49 6 5" xfId="2129" xr:uid="{00000000-0005-0000-0000-000096210000}"/>
    <cellStyle name="Comma 49 7" xfId="2130" xr:uid="{00000000-0005-0000-0000-000097210000}"/>
    <cellStyle name="Comma 49 7 2" xfId="2131" xr:uid="{00000000-0005-0000-0000-000098210000}"/>
    <cellStyle name="Comma 49 7 2 2" xfId="2132" xr:uid="{00000000-0005-0000-0000-000099210000}"/>
    <cellStyle name="Comma 49 7 2 2 2" xfId="2133" xr:uid="{00000000-0005-0000-0000-00009A210000}"/>
    <cellStyle name="Comma 49 7 2 3" xfId="2134" xr:uid="{00000000-0005-0000-0000-00009B210000}"/>
    <cellStyle name="Comma 49 7 3" xfId="2135" xr:uid="{00000000-0005-0000-0000-00009C210000}"/>
    <cellStyle name="Comma 49 7 3 2" xfId="2136" xr:uid="{00000000-0005-0000-0000-00009D210000}"/>
    <cellStyle name="Comma 49 7 4" xfId="2137" xr:uid="{00000000-0005-0000-0000-00009E210000}"/>
    <cellStyle name="Comma 49 8" xfId="2138" xr:uid="{00000000-0005-0000-0000-00009F210000}"/>
    <cellStyle name="Comma 49 8 2" xfId="2139" xr:uid="{00000000-0005-0000-0000-0000A0210000}"/>
    <cellStyle name="Comma 49 8 2 2" xfId="2140" xr:uid="{00000000-0005-0000-0000-0000A1210000}"/>
    <cellStyle name="Comma 49 8 2 2 2" xfId="2141" xr:uid="{00000000-0005-0000-0000-0000A2210000}"/>
    <cellStyle name="Comma 49 8 2 3" xfId="2142" xr:uid="{00000000-0005-0000-0000-0000A3210000}"/>
    <cellStyle name="Comma 49 8 3" xfId="2143" xr:uid="{00000000-0005-0000-0000-0000A4210000}"/>
    <cellStyle name="Comma 49 8 3 2" xfId="2144" xr:uid="{00000000-0005-0000-0000-0000A5210000}"/>
    <cellStyle name="Comma 49 8 4" xfId="2145" xr:uid="{00000000-0005-0000-0000-0000A6210000}"/>
    <cellStyle name="Comma 49 9" xfId="2146" xr:uid="{00000000-0005-0000-0000-0000A7210000}"/>
    <cellStyle name="Comma 49 9 2" xfId="2147" xr:uid="{00000000-0005-0000-0000-0000A8210000}"/>
    <cellStyle name="Comma 49 9 2 2" xfId="2148" xr:uid="{00000000-0005-0000-0000-0000A9210000}"/>
    <cellStyle name="Comma 49 9 3" xfId="2149" xr:uid="{00000000-0005-0000-0000-0000AA210000}"/>
    <cellStyle name="Comma 5" xfId="96" xr:uid="{00000000-0005-0000-0000-0000AB210000}"/>
    <cellStyle name="Comma 5 10" xfId="301" xr:uid="{00000000-0005-0000-0000-0000AC210000}"/>
    <cellStyle name="Comma 5 10 2" xfId="797" xr:uid="{00000000-0005-0000-0000-0000AD210000}"/>
    <cellStyle name="Comma 5 10 2 2" xfId="14760" xr:uid="{00000000-0005-0000-0000-0000AE210000}"/>
    <cellStyle name="Comma 5 10 2 2 2" xfId="34680" xr:uid="{00000000-0005-0000-0000-0000AF210000}"/>
    <cellStyle name="Comma 5 10 2 3" xfId="20912" xr:uid="{00000000-0005-0000-0000-0000B0210000}"/>
    <cellStyle name="Comma 5 10 2 3 2" xfId="40832" xr:uid="{00000000-0005-0000-0000-0000B1210000}"/>
    <cellStyle name="Comma 5 10 2 4" xfId="8567" xr:uid="{00000000-0005-0000-0000-0000B2210000}"/>
    <cellStyle name="Comma 5 10 2 4 2" xfId="28527" xr:uid="{00000000-0005-0000-0000-0000B3210000}"/>
    <cellStyle name="Comma 5 10 2 5" xfId="23679" xr:uid="{00000000-0005-0000-0000-0000B4210000}"/>
    <cellStyle name="Comma 5 10 3" xfId="11694" xr:uid="{00000000-0005-0000-0000-0000B5210000}"/>
    <cellStyle name="Comma 5 10 3 2" xfId="31614" xr:uid="{00000000-0005-0000-0000-0000B6210000}"/>
    <cellStyle name="Comma 5 10 4" xfId="17846" xr:uid="{00000000-0005-0000-0000-0000B7210000}"/>
    <cellStyle name="Comma 5 10 4 2" xfId="37766" xr:uid="{00000000-0005-0000-0000-0000B8210000}"/>
    <cellStyle name="Comma 5 10 5" xfId="5463" xr:uid="{00000000-0005-0000-0000-0000B9210000}"/>
    <cellStyle name="Comma 5 10 5 2" xfId="25461" xr:uid="{00000000-0005-0000-0000-0000BA210000}"/>
    <cellStyle name="Comma 5 10 6" xfId="22762" xr:uid="{00000000-0005-0000-0000-0000BB210000}"/>
    <cellStyle name="Comma 5 10 6 2" xfId="42673" xr:uid="{00000000-0005-0000-0000-0000BC210000}"/>
    <cellStyle name="Comma 5 10 7" xfId="23065" xr:uid="{00000000-0005-0000-0000-0000BD210000}"/>
    <cellStyle name="Comma 5 10 7 2" xfId="42976" xr:uid="{00000000-0005-0000-0000-0000BE210000}"/>
    <cellStyle name="Comma 5 10 8" xfId="23376" xr:uid="{00000000-0005-0000-0000-0000BF210000}"/>
    <cellStyle name="Comma 5 11" xfId="312" xr:uid="{00000000-0005-0000-0000-0000C0210000}"/>
    <cellStyle name="Comma 5 11 2" xfId="800" xr:uid="{00000000-0005-0000-0000-0000C1210000}"/>
    <cellStyle name="Comma 5 11 2 2" xfId="13226" xr:uid="{00000000-0005-0000-0000-0000C2210000}"/>
    <cellStyle name="Comma 5 11 2 2 2" xfId="33146" xr:uid="{00000000-0005-0000-0000-0000C3210000}"/>
    <cellStyle name="Comma 5 11 2 3" xfId="23682" xr:uid="{00000000-0005-0000-0000-0000C4210000}"/>
    <cellStyle name="Comma 5 11 3" xfId="19378" xr:uid="{00000000-0005-0000-0000-0000C5210000}"/>
    <cellStyle name="Comma 5 11 3 2" xfId="39298" xr:uid="{00000000-0005-0000-0000-0000C6210000}"/>
    <cellStyle name="Comma 5 11 4" xfId="7032" xr:uid="{00000000-0005-0000-0000-0000C7210000}"/>
    <cellStyle name="Comma 5 11 4 2" xfId="26993" xr:uid="{00000000-0005-0000-0000-0000C8210000}"/>
    <cellStyle name="Comma 5 11 5" xfId="22765" xr:uid="{00000000-0005-0000-0000-0000C9210000}"/>
    <cellStyle name="Comma 5 11 5 2" xfId="42676" xr:uid="{00000000-0005-0000-0000-0000CA210000}"/>
    <cellStyle name="Comma 5 11 6" xfId="23068" xr:uid="{00000000-0005-0000-0000-0000CB210000}"/>
    <cellStyle name="Comma 5 11 6 2" xfId="42979" xr:uid="{00000000-0005-0000-0000-0000CC210000}"/>
    <cellStyle name="Comma 5 11 7" xfId="23379" xr:uid="{00000000-0005-0000-0000-0000CD210000}"/>
    <cellStyle name="Comma 5 12" xfId="320" xr:uid="{00000000-0005-0000-0000-0000CE210000}"/>
    <cellStyle name="Comma 5 12 2" xfId="803" xr:uid="{00000000-0005-0000-0000-0000CF210000}"/>
    <cellStyle name="Comma 5 12 2 2" xfId="23685" xr:uid="{00000000-0005-0000-0000-0000D0210000}"/>
    <cellStyle name="Comma 5 12 3" xfId="10160" xr:uid="{00000000-0005-0000-0000-0000D1210000}"/>
    <cellStyle name="Comma 5 12 3 2" xfId="30080" xr:uid="{00000000-0005-0000-0000-0000D2210000}"/>
    <cellStyle name="Comma 5 12 4" xfId="22768" xr:uid="{00000000-0005-0000-0000-0000D3210000}"/>
    <cellStyle name="Comma 5 12 4 2" xfId="42679" xr:uid="{00000000-0005-0000-0000-0000D4210000}"/>
    <cellStyle name="Comma 5 12 5" xfId="23071" xr:uid="{00000000-0005-0000-0000-0000D5210000}"/>
    <cellStyle name="Comma 5 12 5 2" xfId="42982" xr:uid="{00000000-0005-0000-0000-0000D6210000}"/>
    <cellStyle name="Comma 5 12 6" xfId="23382" xr:uid="{00000000-0005-0000-0000-0000D7210000}"/>
    <cellStyle name="Comma 5 13" xfId="323" xr:uid="{00000000-0005-0000-0000-0000D8210000}"/>
    <cellStyle name="Comma 5 13 2" xfId="806" xr:uid="{00000000-0005-0000-0000-0000D9210000}"/>
    <cellStyle name="Comma 5 13 2 2" xfId="23688" xr:uid="{00000000-0005-0000-0000-0000DA210000}"/>
    <cellStyle name="Comma 5 13 3" xfId="16312" xr:uid="{00000000-0005-0000-0000-0000DB210000}"/>
    <cellStyle name="Comma 5 13 3 2" xfId="36232" xr:uid="{00000000-0005-0000-0000-0000DC210000}"/>
    <cellStyle name="Comma 5 13 4" xfId="22771" xr:uid="{00000000-0005-0000-0000-0000DD210000}"/>
    <cellStyle name="Comma 5 13 4 2" xfId="42682" xr:uid="{00000000-0005-0000-0000-0000DE210000}"/>
    <cellStyle name="Comma 5 13 5" xfId="23074" xr:uid="{00000000-0005-0000-0000-0000DF210000}"/>
    <cellStyle name="Comma 5 13 5 2" xfId="42985" xr:uid="{00000000-0005-0000-0000-0000E0210000}"/>
    <cellStyle name="Comma 5 13 6" xfId="23385" xr:uid="{00000000-0005-0000-0000-0000E1210000}"/>
    <cellStyle name="Comma 5 14" xfId="326" xr:uid="{00000000-0005-0000-0000-0000E2210000}"/>
    <cellStyle name="Comma 5 14 2" xfId="809" xr:uid="{00000000-0005-0000-0000-0000E3210000}"/>
    <cellStyle name="Comma 5 14 2 2" xfId="23691" xr:uid="{00000000-0005-0000-0000-0000E4210000}"/>
    <cellStyle name="Comma 5 14 3" xfId="1160" xr:uid="{00000000-0005-0000-0000-0000E5210000}"/>
    <cellStyle name="Comma 5 14 3 2" xfId="23927" xr:uid="{00000000-0005-0000-0000-0000E6210000}"/>
    <cellStyle name="Comma 5 14 4" xfId="22774" xr:uid="{00000000-0005-0000-0000-0000E7210000}"/>
    <cellStyle name="Comma 5 14 4 2" xfId="42685" xr:uid="{00000000-0005-0000-0000-0000E8210000}"/>
    <cellStyle name="Comma 5 14 5" xfId="23077" xr:uid="{00000000-0005-0000-0000-0000E9210000}"/>
    <cellStyle name="Comma 5 14 5 2" xfId="42988" xr:uid="{00000000-0005-0000-0000-0000EA210000}"/>
    <cellStyle name="Comma 5 14 6" xfId="23388" xr:uid="{00000000-0005-0000-0000-0000EB210000}"/>
    <cellStyle name="Comma 5 15" xfId="391" xr:uid="{00000000-0005-0000-0000-0000EC210000}"/>
    <cellStyle name="Comma 5 15 2" xfId="825" xr:uid="{00000000-0005-0000-0000-0000ED210000}"/>
    <cellStyle name="Comma 5 15 2 2" xfId="23707" xr:uid="{00000000-0005-0000-0000-0000EE210000}"/>
    <cellStyle name="Comma 5 15 3" xfId="22646" xr:uid="{00000000-0005-0000-0000-0000EF210000}"/>
    <cellStyle name="Comma 5 15 3 2" xfId="42557" xr:uid="{00000000-0005-0000-0000-0000F0210000}"/>
    <cellStyle name="Comma 5 15 4" xfId="22790" xr:uid="{00000000-0005-0000-0000-0000F1210000}"/>
    <cellStyle name="Comma 5 15 4 2" xfId="42701" xr:uid="{00000000-0005-0000-0000-0000F2210000}"/>
    <cellStyle name="Comma 5 15 5" xfId="23093" xr:uid="{00000000-0005-0000-0000-0000F3210000}"/>
    <cellStyle name="Comma 5 15 5 2" xfId="43004" xr:uid="{00000000-0005-0000-0000-0000F4210000}"/>
    <cellStyle name="Comma 5 15 6" xfId="23404" xr:uid="{00000000-0005-0000-0000-0000F5210000}"/>
    <cellStyle name="Comma 5 16" xfId="421" xr:uid="{00000000-0005-0000-0000-0000F6210000}"/>
    <cellStyle name="Comma 5 16 2" xfId="841" xr:uid="{00000000-0005-0000-0000-0000F7210000}"/>
    <cellStyle name="Comma 5 16 2 2" xfId="23723" xr:uid="{00000000-0005-0000-0000-0000F8210000}"/>
    <cellStyle name="Comma 5 16 3" xfId="22583" xr:uid="{00000000-0005-0000-0000-0000F9210000}"/>
    <cellStyle name="Comma 5 16 3 2" xfId="42494" xr:uid="{00000000-0005-0000-0000-0000FA210000}"/>
    <cellStyle name="Comma 5 16 4" xfId="22806" xr:uid="{00000000-0005-0000-0000-0000FB210000}"/>
    <cellStyle name="Comma 5 16 4 2" xfId="42717" xr:uid="{00000000-0005-0000-0000-0000FC210000}"/>
    <cellStyle name="Comma 5 16 5" xfId="23109" xr:uid="{00000000-0005-0000-0000-0000FD210000}"/>
    <cellStyle name="Comma 5 16 5 2" xfId="43020" xr:uid="{00000000-0005-0000-0000-0000FE210000}"/>
    <cellStyle name="Comma 5 16 6" xfId="23420" xr:uid="{00000000-0005-0000-0000-0000FF210000}"/>
    <cellStyle name="Comma 5 17" xfId="448" xr:uid="{00000000-0005-0000-0000-000000220000}"/>
    <cellStyle name="Comma 5 17 2" xfId="857" xr:uid="{00000000-0005-0000-0000-000001220000}"/>
    <cellStyle name="Comma 5 17 2 2" xfId="23739" xr:uid="{00000000-0005-0000-0000-000002220000}"/>
    <cellStyle name="Comma 5 17 3" xfId="22501" xr:uid="{00000000-0005-0000-0000-000003220000}"/>
    <cellStyle name="Comma 5 17 3 2" xfId="42412" xr:uid="{00000000-0005-0000-0000-000004220000}"/>
    <cellStyle name="Comma 5 17 4" xfId="22822" xr:uid="{00000000-0005-0000-0000-000005220000}"/>
    <cellStyle name="Comma 5 17 4 2" xfId="42733" xr:uid="{00000000-0005-0000-0000-000006220000}"/>
    <cellStyle name="Comma 5 17 5" xfId="23125" xr:uid="{00000000-0005-0000-0000-000007220000}"/>
    <cellStyle name="Comma 5 17 5 2" xfId="43036" xr:uid="{00000000-0005-0000-0000-000008220000}"/>
    <cellStyle name="Comma 5 17 6" xfId="23436" xr:uid="{00000000-0005-0000-0000-000009220000}"/>
    <cellStyle name="Comma 5 18" xfId="474" xr:uid="{00000000-0005-0000-0000-00000A220000}"/>
    <cellStyle name="Comma 5 18 2" xfId="873" xr:uid="{00000000-0005-0000-0000-00000B220000}"/>
    <cellStyle name="Comma 5 18 2 2" xfId="23755" xr:uid="{00000000-0005-0000-0000-00000C220000}"/>
    <cellStyle name="Comma 5 18 3" xfId="22691" xr:uid="{00000000-0005-0000-0000-00000D220000}"/>
    <cellStyle name="Comma 5 18 3 2" xfId="42602" xr:uid="{00000000-0005-0000-0000-00000E220000}"/>
    <cellStyle name="Comma 5 18 4" xfId="22838" xr:uid="{00000000-0005-0000-0000-00000F220000}"/>
    <cellStyle name="Comma 5 18 4 2" xfId="42749" xr:uid="{00000000-0005-0000-0000-000010220000}"/>
    <cellStyle name="Comma 5 18 5" xfId="23141" xr:uid="{00000000-0005-0000-0000-000011220000}"/>
    <cellStyle name="Comma 5 18 5 2" xfId="43052" xr:uid="{00000000-0005-0000-0000-000012220000}"/>
    <cellStyle name="Comma 5 18 6" xfId="23452" xr:uid="{00000000-0005-0000-0000-000013220000}"/>
    <cellStyle name="Comma 5 19" xfId="500" xr:uid="{00000000-0005-0000-0000-000014220000}"/>
    <cellStyle name="Comma 5 19 2" xfId="889" xr:uid="{00000000-0005-0000-0000-000015220000}"/>
    <cellStyle name="Comma 5 19 2 2" xfId="23771" xr:uid="{00000000-0005-0000-0000-000016220000}"/>
    <cellStyle name="Comma 5 19 3" xfId="22552" xr:uid="{00000000-0005-0000-0000-000017220000}"/>
    <cellStyle name="Comma 5 19 3 2" xfId="42463" xr:uid="{00000000-0005-0000-0000-000018220000}"/>
    <cellStyle name="Comma 5 19 4" xfId="22854" xr:uid="{00000000-0005-0000-0000-000019220000}"/>
    <cellStyle name="Comma 5 19 4 2" xfId="42765" xr:uid="{00000000-0005-0000-0000-00001A220000}"/>
    <cellStyle name="Comma 5 19 5" xfId="23157" xr:uid="{00000000-0005-0000-0000-00001B220000}"/>
    <cellStyle name="Comma 5 19 5 2" xfId="43068" xr:uid="{00000000-0005-0000-0000-00001C220000}"/>
    <cellStyle name="Comma 5 19 6" xfId="23468" xr:uid="{00000000-0005-0000-0000-00001D220000}"/>
    <cellStyle name="Comma 5 2" xfId="177" xr:uid="{00000000-0005-0000-0000-00001E220000}"/>
    <cellStyle name="Comma 5 2 10" xfId="16318" xr:uid="{00000000-0005-0000-0000-00001F220000}"/>
    <cellStyle name="Comma 5 2 10 2" xfId="36238" xr:uid="{00000000-0005-0000-0000-000020220000}"/>
    <cellStyle name="Comma 5 2 11" xfId="1175" xr:uid="{00000000-0005-0000-0000-000021220000}"/>
    <cellStyle name="Comma 5 2 11 2" xfId="23933" xr:uid="{00000000-0005-0000-0000-000022220000}"/>
    <cellStyle name="Comma 5 2 12" xfId="22738" xr:uid="{00000000-0005-0000-0000-000023220000}"/>
    <cellStyle name="Comma 5 2 12 2" xfId="42649" xr:uid="{00000000-0005-0000-0000-000024220000}"/>
    <cellStyle name="Comma 5 2 13" xfId="23041" xr:uid="{00000000-0005-0000-0000-000025220000}"/>
    <cellStyle name="Comma 5 2 13 2" xfId="42952" xr:uid="{00000000-0005-0000-0000-000026220000}"/>
    <cellStyle name="Comma 5 2 14" xfId="23352" xr:uid="{00000000-0005-0000-0000-000027220000}"/>
    <cellStyle name="Comma 5 2 2" xfId="773" xr:uid="{00000000-0005-0000-0000-000028220000}"/>
    <cellStyle name="Comma 5 2 2 10" xfId="23655" xr:uid="{00000000-0005-0000-0000-000029220000}"/>
    <cellStyle name="Comma 5 2 2 2" xfId="4606" xr:uid="{00000000-0005-0000-0000-00002A220000}"/>
    <cellStyle name="Comma 5 2 2 2 2" xfId="5382" xr:uid="{00000000-0005-0000-0000-00002B220000}"/>
    <cellStyle name="Comma 5 2 2 2 2 2" xfId="7007" xr:uid="{00000000-0005-0000-0000-00002C220000}"/>
    <cellStyle name="Comma 5 2 2 2 2 2 2" xfId="10093" xr:uid="{00000000-0005-0000-0000-00002D220000}"/>
    <cellStyle name="Comma 5 2 2 2 2 2 2 2" xfId="16286" xr:uid="{00000000-0005-0000-0000-00002E220000}"/>
    <cellStyle name="Comma 5 2 2 2 2 2 2 2 2" xfId="36206" xr:uid="{00000000-0005-0000-0000-00002F220000}"/>
    <cellStyle name="Comma 5 2 2 2 2 2 2 3" xfId="22438" xr:uid="{00000000-0005-0000-0000-000030220000}"/>
    <cellStyle name="Comma 5 2 2 2 2 2 2 3 2" xfId="42358" xr:uid="{00000000-0005-0000-0000-000031220000}"/>
    <cellStyle name="Comma 5 2 2 2 2 2 2 4" xfId="30053" xr:uid="{00000000-0005-0000-0000-000032220000}"/>
    <cellStyle name="Comma 5 2 2 2 2 2 3" xfId="13220" xr:uid="{00000000-0005-0000-0000-000033220000}"/>
    <cellStyle name="Comma 5 2 2 2 2 2 3 2" xfId="33140" xr:uid="{00000000-0005-0000-0000-000034220000}"/>
    <cellStyle name="Comma 5 2 2 2 2 2 4" xfId="19372" xr:uid="{00000000-0005-0000-0000-000035220000}"/>
    <cellStyle name="Comma 5 2 2 2 2 2 4 2" xfId="39292" xr:uid="{00000000-0005-0000-0000-000036220000}"/>
    <cellStyle name="Comma 5 2 2 2 2 2 5" xfId="26987" xr:uid="{00000000-0005-0000-0000-000037220000}"/>
    <cellStyle name="Comma 5 2 2 2 2 3" xfId="8558" xr:uid="{00000000-0005-0000-0000-000038220000}"/>
    <cellStyle name="Comma 5 2 2 2 2 3 2" xfId="14752" xr:uid="{00000000-0005-0000-0000-000039220000}"/>
    <cellStyle name="Comma 5 2 2 2 2 3 2 2" xfId="34672" xr:uid="{00000000-0005-0000-0000-00003A220000}"/>
    <cellStyle name="Comma 5 2 2 2 2 3 3" xfId="20904" xr:uid="{00000000-0005-0000-0000-00003B220000}"/>
    <cellStyle name="Comma 5 2 2 2 2 3 3 2" xfId="40824" xr:uid="{00000000-0005-0000-0000-00003C220000}"/>
    <cellStyle name="Comma 5 2 2 2 2 3 4" xfId="28519" xr:uid="{00000000-0005-0000-0000-00003D220000}"/>
    <cellStyle name="Comma 5 2 2 2 2 4" xfId="11686" xr:uid="{00000000-0005-0000-0000-00003E220000}"/>
    <cellStyle name="Comma 5 2 2 2 2 4 2" xfId="31606" xr:uid="{00000000-0005-0000-0000-00003F220000}"/>
    <cellStyle name="Comma 5 2 2 2 2 5" xfId="17838" xr:uid="{00000000-0005-0000-0000-000040220000}"/>
    <cellStyle name="Comma 5 2 2 2 2 5 2" xfId="37758" xr:uid="{00000000-0005-0000-0000-000041220000}"/>
    <cellStyle name="Comma 5 2 2 2 2 6" xfId="25453" xr:uid="{00000000-0005-0000-0000-000042220000}"/>
    <cellStyle name="Comma 5 2 2 2 3" xfId="6238" xr:uid="{00000000-0005-0000-0000-000043220000}"/>
    <cellStyle name="Comma 5 2 2 2 3 2" xfId="9324" xr:uid="{00000000-0005-0000-0000-000044220000}"/>
    <cellStyle name="Comma 5 2 2 2 3 2 2" xfId="15517" xr:uid="{00000000-0005-0000-0000-000045220000}"/>
    <cellStyle name="Comma 5 2 2 2 3 2 2 2" xfId="35437" xr:uid="{00000000-0005-0000-0000-000046220000}"/>
    <cellStyle name="Comma 5 2 2 2 3 2 3" xfId="21669" xr:uid="{00000000-0005-0000-0000-000047220000}"/>
    <cellStyle name="Comma 5 2 2 2 3 2 3 2" xfId="41589" xr:uid="{00000000-0005-0000-0000-000048220000}"/>
    <cellStyle name="Comma 5 2 2 2 3 2 4" xfId="29284" xr:uid="{00000000-0005-0000-0000-000049220000}"/>
    <cellStyle name="Comma 5 2 2 2 3 3" xfId="12451" xr:uid="{00000000-0005-0000-0000-00004A220000}"/>
    <cellStyle name="Comma 5 2 2 2 3 3 2" xfId="32371" xr:uid="{00000000-0005-0000-0000-00004B220000}"/>
    <cellStyle name="Comma 5 2 2 2 3 4" xfId="18603" xr:uid="{00000000-0005-0000-0000-00004C220000}"/>
    <cellStyle name="Comma 5 2 2 2 3 4 2" xfId="38523" xr:uid="{00000000-0005-0000-0000-00004D220000}"/>
    <cellStyle name="Comma 5 2 2 2 3 5" xfId="26218" xr:uid="{00000000-0005-0000-0000-00004E220000}"/>
    <cellStyle name="Comma 5 2 2 2 4" xfId="7789" xr:uid="{00000000-0005-0000-0000-00004F220000}"/>
    <cellStyle name="Comma 5 2 2 2 4 2" xfId="13983" xr:uid="{00000000-0005-0000-0000-000050220000}"/>
    <cellStyle name="Comma 5 2 2 2 4 2 2" xfId="33903" xr:uid="{00000000-0005-0000-0000-000051220000}"/>
    <cellStyle name="Comma 5 2 2 2 4 3" xfId="20135" xr:uid="{00000000-0005-0000-0000-000052220000}"/>
    <cellStyle name="Comma 5 2 2 2 4 3 2" xfId="40055" xr:uid="{00000000-0005-0000-0000-000053220000}"/>
    <cellStyle name="Comma 5 2 2 2 4 4" xfId="27750" xr:uid="{00000000-0005-0000-0000-000054220000}"/>
    <cellStyle name="Comma 5 2 2 2 5" xfId="10917" xr:uid="{00000000-0005-0000-0000-000055220000}"/>
    <cellStyle name="Comma 5 2 2 2 5 2" xfId="30837" xr:uid="{00000000-0005-0000-0000-000056220000}"/>
    <cellStyle name="Comma 5 2 2 2 6" xfId="17069" xr:uid="{00000000-0005-0000-0000-000057220000}"/>
    <cellStyle name="Comma 5 2 2 2 6 2" xfId="36989" xr:uid="{00000000-0005-0000-0000-000058220000}"/>
    <cellStyle name="Comma 5 2 2 2 7" xfId="24684" xr:uid="{00000000-0005-0000-0000-000059220000}"/>
    <cellStyle name="Comma 5 2 2 3" xfId="2152" xr:uid="{00000000-0005-0000-0000-00005A220000}"/>
    <cellStyle name="Comma 5 2 2 4" xfId="4642" xr:uid="{00000000-0005-0000-0000-00005B220000}"/>
    <cellStyle name="Comma 5 2 2 4 2" xfId="6267" xr:uid="{00000000-0005-0000-0000-00005C220000}"/>
    <cellStyle name="Comma 5 2 2 4 2 2" xfId="9353" xr:uid="{00000000-0005-0000-0000-00005D220000}"/>
    <cellStyle name="Comma 5 2 2 4 2 2 2" xfId="15546" xr:uid="{00000000-0005-0000-0000-00005E220000}"/>
    <cellStyle name="Comma 5 2 2 4 2 2 2 2" xfId="35466" xr:uid="{00000000-0005-0000-0000-00005F220000}"/>
    <cellStyle name="Comma 5 2 2 4 2 2 3" xfId="21698" xr:uid="{00000000-0005-0000-0000-000060220000}"/>
    <cellStyle name="Comma 5 2 2 4 2 2 3 2" xfId="41618" xr:uid="{00000000-0005-0000-0000-000061220000}"/>
    <cellStyle name="Comma 5 2 2 4 2 2 4" xfId="29313" xr:uid="{00000000-0005-0000-0000-000062220000}"/>
    <cellStyle name="Comma 5 2 2 4 2 3" xfId="12480" xr:uid="{00000000-0005-0000-0000-000063220000}"/>
    <cellStyle name="Comma 5 2 2 4 2 3 2" xfId="32400" xr:uid="{00000000-0005-0000-0000-000064220000}"/>
    <cellStyle name="Comma 5 2 2 4 2 4" xfId="18632" xr:uid="{00000000-0005-0000-0000-000065220000}"/>
    <cellStyle name="Comma 5 2 2 4 2 4 2" xfId="38552" xr:uid="{00000000-0005-0000-0000-000066220000}"/>
    <cellStyle name="Comma 5 2 2 4 2 5" xfId="26247" xr:uid="{00000000-0005-0000-0000-000067220000}"/>
    <cellStyle name="Comma 5 2 2 4 3" xfId="7818" xr:uid="{00000000-0005-0000-0000-000068220000}"/>
    <cellStyle name="Comma 5 2 2 4 3 2" xfId="14012" xr:uid="{00000000-0005-0000-0000-000069220000}"/>
    <cellStyle name="Comma 5 2 2 4 3 2 2" xfId="33932" xr:uid="{00000000-0005-0000-0000-00006A220000}"/>
    <cellStyle name="Comma 5 2 2 4 3 3" xfId="20164" xr:uid="{00000000-0005-0000-0000-00006B220000}"/>
    <cellStyle name="Comma 5 2 2 4 3 3 2" xfId="40084" xr:uid="{00000000-0005-0000-0000-00006C220000}"/>
    <cellStyle name="Comma 5 2 2 4 3 4" xfId="27779" xr:uid="{00000000-0005-0000-0000-00006D220000}"/>
    <cellStyle name="Comma 5 2 2 4 4" xfId="10946" xr:uid="{00000000-0005-0000-0000-00006E220000}"/>
    <cellStyle name="Comma 5 2 2 4 4 2" xfId="30866" xr:uid="{00000000-0005-0000-0000-00006F220000}"/>
    <cellStyle name="Comma 5 2 2 4 5" xfId="17098" xr:uid="{00000000-0005-0000-0000-000070220000}"/>
    <cellStyle name="Comma 5 2 2 4 5 2" xfId="37018" xr:uid="{00000000-0005-0000-0000-000071220000}"/>
    <cellStyle name="Comma 5 2 2 4 6" xfId="24713" xr:uid="{00000000-0005-0000-0000-000072220000}"/>
    <cellStyle name="Comma 5 2 2 5" xfId="5481" xr:uid="{00000000-0005-0000-0000-000073220000}"/>
    <cellStyle name="Comma 5 2 2 5 2" xfId="8584" xr:uid="{00000000-0005-0000-0000-000074220000}"/>
    <cellStyle name="Comma 5 2 2 5 2 2" xfId="14777" xr:uid="{00000000-0005-0000-0000-000075220000}"/>
    <cellStyle name="Comma 5 2 2 5 2 2 2" xfId="34697" xr:uid="{00000000-0005-0000-0000-000076220000}"/>
    <cellStyle name="Comma 5 2 2 5 2 3" xfId="20929" xr:uid="{00000000-0005-0000-0000-000077220000}"/>
    <cellStyle name="Comma 5 2 2 5 2 3 2" xfId="40849" xr:uid="{00000000-0005-0000-0000-000078220000}"/>
    <cellStyle name="Comma 5 2 2 5 2 4" xfId="28544" xr:uid="{00000000-0005-0000-0000-000079220000}"/>
    <cellStyle name="Comma 5 2 2 5 3" xfId="11711" xr:uid="{00000000-0005-0000-0000-00007A220000}"/>
    <cellStyle name="Comma 5 2 2 5 3 2" xfId="31631" xr:uid="{00000000-0005-0000-0000-00007B220000}"/>
    <cellStyle name="Comma 5 2 2 5 4" xfId="17863" xr:uid="{00000000-0005-0000-0000-00007C220000}"/>
    <cellStyle name="Comma 5 2 2 5 4 2" xfId="37783" xr:uid="{00000000-0005-0000-0000-00007D220000}"/>
    <cellStyle name="Comma 5 2 2 5 5" xfId="25478" xr:uid="{00000000-0005-0000-0000-00007E220000}"/>
    <cellStyle name="Comma 5 2 2 6" xfId="7049" xr:uid="{00000000-0005-0000-0000-00007F220000}"/>
    <cellStyle name="Comma 5 2 2 6 2" xfId="13243" xr:uid="{00000000-0005-0000-0000-000080220000}"/>
    <cellStyle name="Comma 5 2 2 6 2 2" xfId="33163" xr:uid="{00000000-0005-0000-0000-000081220000}"/>
    <cellStyle name="Comma 5 2 2 6 3" xfId="19395" xr:uid="{00000000-0005-0000-0000-000082220000}"/>
    <cellStyle name="Comma 5 2 2 6 3 2" xfId="39315" xr:uid="{00000000-0005-0000-0000-000083220000}"/>
    <cellStyle name="Comma 5 2 2 6 4" xfId="27010" xr:uid="{00000000-0005-0000-0000-000084220000}"/>
    <cellStyle name="Comma 5 2 2 7" xfId="10177" xr:uid="{00000000-0005-0000-0000-000085220000}"/>
    <cellStyle name="Comma 5 2 2 7 2" xfId="30097" xr:uid="{00000000-0005-0000-0000-000086220000}"/>
    <cellStyle name="Comma 5 2 2 8" xfId="16329" xr:uid="{00000000-0005-0000-0000-000087220000}"/>
    <cellStyle name="Comma 5 2 2 8 2" xfId="36249" xr:uid="{00000000-0005-0000-0000-000088220000}"/>
    <cellStyle name="Comma 5 2 2 9" xfId="1194" xr:uid="{00000000-0005-0000-0000-000089220000}"/>
    <cellStyle name="Comma 5 2 2 9 2" xfId="23944" xr:uid="{00000000-0005-0000-0000-00008A220000}"/>
    <cellStyle name="Comma 5 2 3" xfId="2153" xr:uid="{00000000-0005-0000-0000-00008B220000}"/>
    <cellStyle name="Comma 5 2 4" xfId="4589" xr:uid="{00000000-0005-0000-0000-00008C220000}"/>
    <cellStyle name="Comma 5 2 4 2" xfId="5373" xr:uid="{00000000-0005-0000-0000-00008D220000}"/>
    <cellStyle name="Comma 5 2 4 2 2" xfId="6998" xr:uid="{00000000-0005-0000-0000-00008E220000}"/>
    <cellStyle name="Comma 5 2 4 2 2 2" xfId="10084" xr:uid="{00000000-0005-0000-0000-00008F220000}"/>
    <cellStyle name="Comma 5 2 4 2 2 2 2" xfId="16277" xr:uid="{00000000-0005-0000-0000-000090220000}"/>
    <cellStyle name="Comma 5 2 4 2 2 2 2 2" xfId="36197" xr:uid="{00000000-0005-0000-0000-000091220000}"/>
    <cellStyle name="Comma 5 2 4 2 2 2 3" xfId="22429" xr:uid="{00000000-0005-0000-0000-000092220000}"/>
    <cellStyle name="Comma 5 2 4 2 2 2 3 2" xfId="42349" xr:uid="{00000000-0005-0000-0000-000093220000}"/>
    <cellStyle name="Comma 5 2 4 2 2 2 4" xfId="30044" xr:uid="{00000000-0005-0000-0000-000094220000}"/>
    <cellStyle name="Comma 5 2 4 2 2 3" xfId="13211" xr:uid="{00000000-0005-0000-0000-000095220000}"/>
    <cellStyle name="Comma 5 2 4 2 2 3 2" xfId="33131" xr:uid="{00000000-0005-0000-0000-000096220000}"/>
    <cellStyle name="Comma 5 2 4 2 2 4" xfId="19363" xr:uid="{00000000-0005-0000-0000-000097220000}"/>
    <cellStyle name="Comma 5 2 4 2 2 4 2" xfId="39283" xr:uid="{00000000-0005-0000-0000-000098220000}"/>
    <cellStyle name="Comma 5 2 4 2 2 5" xfId="26978" xr:uid="{00000000-0005-0000-0000-000099220000}"/>
    <cellStyle name="Comma 5 2 4 2 3" xfId="8549" xr:uid="{00000000-0005-0000-0000-00009A220000}"/>
    <cellStyle name="Comma 5 2 4 2 3 2" xfId="14743" xr:uid="{00000000-0005-0000-0000-00009B220000}"/>
    <cellStyle name="Comma 5 2 4 2 3 2 2" xfId="34663" xr:uid="{00000000-0005-0000-0000-00009C220000}"/>
    <cellStyle name="Comma 5 2 4 2 3 3" xfId="20895" xr:uid="{00000000-0005-0000-0000-00009D220000}"/>
    <cellStyle name="Comma 5 2 4 2 3 3 2" xfId="40815" xr:uid="{00000000-0005-0000-0000-00009E220000}"/>
    <cellStyle name="Comma 5 2 4 2 3 4" xfId="28510" xr:uid="{00000000-0005-0000-0000-00009F220000}"/>
    <cellStyle name="Comma 5 2 4 2 4" xfId="11677" xr:uid="{00000000-0005-0000-0000-0000A0220000}"/>
    <cellStyle name="Comma 5 2 4 2 4 2" xfId="31597" xr:uid="{00000000-0005-0000-0000-0000A1220000}"/>
    <cellStyle name="Comma 5 2 4 2 5" xfId="17829" xr:uid="{00000000-0005-0000-0000-0000A2220000}"/>
    <cellStyle name="Comma 5 2 4 2 5 2" xfId="37749" xr:uid="{00000000-0005-0000-0000-0000A3220000}"/>
    <cellStyle name="Comma 5 2 4 2 6" xfId="25444" xr:uid="{00000000-0005-0000-0000-0000A4220000}"/>
    <cellStyle name="Comma 5 2 4 3" xfId="6229" xr:uid="{00000000-0005-0000-0000-0000A5220000}"/>
    <cellStyle name="Comma 5 2 4 3 2" xfId="9315" xr:uid="{00000000-0005-0000-0000-0000A6220000}"/>
    <cellStyle name="Comma 5 2 4 3 2 2" xfId="15508" xr:uid="{00000000-0005-0000-0000-0000A7220000}"/>
    <cellStyle name="Comma 5 2 4 3 2 2 2" xfId="35428" xr:uid="{00000000-0005-0000-0000-0000A8220000}"/>
    <cellStyle name="Comma 5 2 4 3 2 3" xfId="21660" xr:uid="{00000000-0005-0000-0000-0000A9220000}"/>
    <cellStyle name="Comma 5 2 4 3 2 3 2" xfId="41580" xr:uid="{00000000-0005-0000-0000-0000AA220000}"/>
    <cellStyle name="Comma 5 2 4 3 2 4" xfId="29275" xr:uid="{00000000-0005-0000-0000-0000AB220000}"/>
    <cellStyle name="Comma 5 2 4 3 3" xfId="12442" xr:uid="{00000000-0005-0000-0000-0000AC220000}"/>
    <cellStyle name="Comma 5 2 4 3 3 2" xfId="32362" xr:uid="{00000000-0005-0000-0000-0000AD220000}"/>
    <cellStyle name="Comma 5 2 4 3 4" xfId="18594" xr:uid="{00000000-0005-0000-0000-0000AE220000}"/>
    <cellStyle name="Comma 5 2 4 3 4 2" xfId="38514" xr:uid="{00000000-0005-0000-0000-0000AF220000}"/>
    <cellStyle name="Comma 5 2 4 3 5" xfId="26209" xr:uid="{00000000-0005-0000-0000-0000B0220000}"/>
    <cellStyle name="Comma 5 2 4 4" xfId="7780" xr:uid="{00000000-0005-0000-0000-0000B1220000}"/>
    <cellStyle name="Comma 5 2 4 4 2" xfId="13974" xr:uid="{00000000-0005-0000-0000-0000B2220000}"/>
    <cellStyle name="Comma 5 2 4 4 2 2" xfId="33894" xr:uid="{00000000-0005-0000-0000-0000B3220000}"/>
    <cellStyle name="Comma 5 2 4 4 3" xfId="20126" xr:uid="{00000000-0005-0000-0000-0000B4220000}"/>
    <cellStyle name="Comma 5 2 4 4 3 2" xfId="40046" xr:uid="{00000000-0005-0000-0000-0000B5220000}"/>
    <cellStyle name="Comma 5 2 4 4 4" xfId="27741" xr:uid="{00000000-0005-0000-0000-0000B6220000}"/>
    <cellStyle name="Comma 5 2 4 5" xfId="10908" xr:uid="{00000000-0005-0000-0000-0000B7220000}"/>
    <cellStyle name="Comma 5 2 4 5 2" xfId="30828" xr:uid="{00000000-0005-0000-0000-0000B8220000}"/>
    <cellStyle name="Comma 5 2 4 6" xfId="17060" xr:uid="{00000000-0005-0000-0000-0000B9220000}"/>
    <cellStyle name="Comma 5 2 4 6 2" xfId="36980" xr:uid="{00000000-0005-0000-0000-0000BA220000}"/>
    <cellStyle name="Comma 5 2 4 7" xfId="24675" xr:uid="{00000000-0005-0000-0000-0000BB220000}"/>
    <cellStyle name="Comma 5 2 5" xfId="2151" xr:uid="{00000000-0005-0000-0000-0000BC220000}"/>
    <cellStyle name="Comma 5 2 6" xfId="4631" xr:uid="{00000000-0005-0000-0000-0000BD220000}"/>
    <cellStyle name="Comma 5 2 6 2" xfId="6256" xr:uid="{00000000-0005-0000-0000-0000BE220000}"/>
    <cellStyle name="Comma 5 2 6 2 2" xfId="9342" xr:uid="{00000000-0005-0000-0000-0000BF220000}"/>
    <cellStyle name="Comma 5 2 6 2 2 2" xfId="15535" xr:uid="{00000000-0005-0000-0000-0000C0220000}"/>
    <cellStyle name="Comma 5 2 6 2 2 2 2" xfId="35455" xr:uid="{00000000-0005-0000-0000-0000C1220000}"/>
    <cellStyle name="Comma 5 2 6 2 2 3" xfId="21687" xr:uid="{00000000-0005-0000-0000-0000C2220000}"/>
    <cellStyle name="Comma 5 2 6 2 2 3 2" xfId="41607" xr:uid="{00000000-0005-0000-0000-0000C3220000}"/>
    <cellStyle name="Comma 5 2 6 2 2 4" xfId="29302" xr:uid="{00000000-0005-0000-0000-0000C4220000}"/>
    <cellStyle name="Comma 5 2 6 2 3" xfId="12469" xr:uid="{00000000-0005-0000-0000-0000C5220000}"/>
    <cellStyle name="Comma 5 2 6 2 3 2" xfId="32389" xr:uid="{00000000-0005-0000-0000-0000C6220000}"/>
    <cellStyle name="Comma 5 2 6 2 4" xfId="18621" xr:uid="{00000000-0005-0000-0000-0000C7220000}"/>
    <cellStyle name="Comma 5 2 6 2 4 2" xfId="38541" xr:uid="{00000000-0005-0000-0000-0000C8220000}"/>
    <cellStyle name="Comma 5 2 6 2 5" xfId="26236" xr:uid="{00000000-0005-0000-0000-0000C9220000}"/>
    <cellStyle name="Comma 5 2 6 3" xfId="7807" xr:uid="{00000000-0005-0000-0000-0000CA220000}"/>
    <cellStyle name="Comma 5 2 6 3 2" xfId="14001" xr:uid="{00000000-0005-0000-0000-0000CB220000}"/>
    <cellStyle name="Comma 5 2 6 3 2 2" xfId="33921" xr:uid="{00000000-0005-0000-0000-0000CC220000}"/>
    <cellStyle name="Comma 5 2 6 3 3" xfId="20153" xr:uid="{00000000-0005-0000-0000-0000CD220000}"/>
    <cellStyle name="Comma 5 2 6 3 3 2" xfId="40073" xr:uid="{00000000-0005-0000-0000-0000CE220000}"/>
    <cellStyle name="Comma 5 2 6 3 4" xfId="27768" xr:uid="{00000000-0005-0000-0000-0000CF220000}"/>
    <cellStyle name="Comma 5 2 6 4" xfId="10935" xr:uid="{00000000-0005-0000-0000-0000D0220000}"/>
    <cellStyle name="Comma 5 2 6 4 2" xfId="30855" xr:uid="{00000000-0005-0000-0000-0000D1220000}"/>
    <cellStyle name="Comma 5 2 6 5" xfId="17087" xr:uid="{00000000-0005-0000-0000-0000D2220000}"/>
    <cellStyle name="Comma 5 2 6 5 2" xfId="37007" xr:uid="{00000000-0005-0000-0000-0000D3220000}"/>
    <cellStyle name="Comma 5 2 6 6" xfId="24702" xr:uid="{00000000-0005-0000-0000-0000D4220000}"/>
    <cellStyle name="Comma 5 2 7" xfId="5469" xr:uid="{00000000-0005-0000-0000-0000D5220000}"/>
    <cellStyle name="Comma 5 2 7 2" xfId="8573" xr:uid="{00000000-0005-0000-0000-0000D6220000}"/>
    <cellStyle name="Comma 5 2 7 2 2" xfId="14766" xr:uid="{00000000-0005-0000-0000-0000D7220000}"/>
    <cellStyle name="Comma 5 2 7 2 2 2" xfId="34686" xr:uid="{00000000-0005-0000-0000-0000D8220000}"/>
    <cellStyle name="Comma 5 2 7 2 3" xfId="20918" xr:uid="{00000000-0005-0000-0000-0000D9220000}"/>
    <cellStyle name="Comma 5 2 7 2 3 2" xfId="40838" xr:uid="{00000000-0005-0000-0000-0000DA220000}"/>
    <cellStyle name="Comma 5 2 7 2 4" xfId="28533" xr:uid="{00000000-0005-0000-0000-0000DB220000}"/>
    <cellStyle name="Comma 5 2 7 3" xfId="11700" xr:uid="{00000000-0005-0000-0000-0000DC220000}"/>
    <cellStyle name="Comma 5 2 7 3 2" xfId="31620" xr:uid="{00000000-0005-0000-0000-0000DD220000}"/>
    <cellStyle name="Comma 5 2 7 4" xfId="17852" xr:uid="{00000000-0005-0000-0000-0000DE220000}"/>
    <cellStyle name="Comma 5 2 7 4 2" xfId="37772" xr:uid="{00000000-0005-0000-0000-0000DF220000}"/>
    <cellStyle name="Comma 5 2 7 5" xfId="25467" xr:uid="{00000000-0005-0000-0000-0000E0220000}"/>
    <cellStyle name="Comma 5 2 8" xfId="7038" xr:uid="{00000000-0005-0000-0000-0000E1220000}"/>
    <cellStyle name="Comma 5 2 8 2" xfId="13232" xr:uid="{00000000-0005-0000-0000-0000E2220000}"/>
    <cellStyle name="Comma 5 2 8 2 2" xfId="33152" xr:uid="{00000000-0005-0000-0000-0000E3220000}"/>
    <cellStyle name="Comma 5 2 8 3" xfId="19384" xr:uid="{00000000-0005-0000-0000-0000E4220000}"/>
    <cellStyle name="Comma 5 2 8 3 2" xfId="39304" xr:uid="{00000000-0005-0000-0000-0000E5220000}"/>
    <cellStyle name="Comma 5 2 8 4" xfId="26999" xr:uid="{00000000-0005-0000-0000-0000E6220000}"/>
    <cellStyle name="Comma 5 2 9" xfId="10166" xr:uid="{00000000-0005-0000-0000-0000E7220000}"/>
    <cellStyle name="Comma 5 2 9 2" xfId="30086" xr:uid="{00000000-0005-0000-0000-0000E8220000}"/>
    <cellStyle name="Comma 5 20" xfId="524" xr:uid="{00000000-0005-0000-0000-0000E9220000}"/>
    <cellStyle name="Comma 5 20 2" xfId="905" xr:uid="{00000000-0005-0000-0000-0000EA220000}"/>
    <cellStyle name="Comma 5 20 2 2" xfId="23787" xr:uid="{00000000-0005-0000-0000-0000EB220000}"/>
    <cellStyle name="Comma 5 20 3" xfId="22663" xr:uid="{00000000-0005-0000-0000-0000EC220000}"/>
    <cellStyle name="Comma 5 20 3 2" xfId="42574" xr:uid="{00000000-0005-0000-0000-0000ED220000}"/>
    <cellStyle name="Comma 5 20 4" xfId="22870" xr:uid="{00000000-0005-0000-0000-0000EE220000}"/>
    <cellStyle name="Comma 5 20 4 2" xfId="42781" xr:uid="{00000000-0005-0000-0000-0000EF220000}"/>
    <cellStyle name="Comma 5 20 5" xfId="23173" xr:uid="{00000000-0005-0000-0000-0000F0220000}"/>
    <cellStyle name="Comma 5 20 5 2" xfId="43084" xr:uid="{00000000-0005-0000-0000-0000F1220000}"/>
    <cellStyle name="Comma 5 20 6" xfId="23484" xr:uid="{00000000-0005-0000-0000-0000F2220000}"/>
    <cellStyle name="Comma 5 21" xfId="550" xr:uid="{00000000-0005-0000-0000-0000F3220000}"/>
    <cellStyle name="Comma 5 21 2" xfId="921" xr:uid="{00000000-0005-0000-0000-0000F4220000}"/>
    <cellStyle name="Comma 5 21 2 2" xfId="23803" xr:uid="{00000000-0005-0000-0000-0000F5220000}"/>
    <cellStyle name="Comma 5 21 3" xfId="22648" xr:uid="{00000000-0005-0000-0000-0000F6220000}"/>
    <cellStyle name="Comma 5 21 3 2" xfId="42559" xr:uid="{00000000-0005-0000-0000-0000F7220000}"/>
    <cellStyle name="Comma 5 21 4" xfId="22886" xr:uid="{00000000-0005-0000-0000-0000F8220000}"/>
    <cellStyle name="Comma 5 21 4 2" xfId="42797" xr:uid="{00000000-0005-0000-0000-0000F9220000}"/>
    <cellStyle name="Comma 5 21 5" xfId="23189" xr:uid="{00000000-0005-0000-0000-0000FA220000}"/>
    <cellStyle name="Comma 5 21 5 2" xfId="43100" xr:uid="{00000000-0005-0000-0000-0000FB220000}"/>
    <cellStyle name="Comma 5 21 6" xfId="23500" xr:uid="{00000000-0005-0000-0000-0000FC220000}"/>
    <cellStyle name="Comma 5 22" xfId="590" xr:uid="{00000000-0005-0000-0000-0000FD220000}"/>
    <cellStyle name="Comma 5 22 2" xfId="937" xr:uid="{00000000-0005-0000-0000-0000FE220000}"/>
    <cellStyle name="Comma 5 22 2 2" xfId="23819" xr:uid="{00000000-0005-0000-0000-0000FF220000}"/>
    <cellStyle name="Comma 5 22 3" xfId="22614" xr:uid="{00000000-0005-0000-0000-000000230000}"/>
    <cellStyle name="Comma 5 22 3 2" xfId="42525" xr:uid="{00000000-0005-0000-0000-000001230000}"/>
    <cellStyle name="Comma 5 22 4" xfId="22902" xr:uid="{00000000-0005-0000-0000-000002230000}"/>
    <cellStyle name="Comma 5 22 4 2" xfId="42813" xr:uid="{00000000-0005-0000-0000-000003230000}"/>
    <cellStyle name="Comma 5 22 5" xfId="23205" xr:uid="{00000000-0005-0000-0000-000004230000}"/>
    <cellStyle name="Comma 5 22 5 2" xfId="43116" xr:uid="{00000000-0005-0000-0000-000005230000}"/>
    <cellStyle name="Comma 5 22 6" xfId="23516" xr:uid="{00000000-0005-0000-0000-000006230000}"/>
    <cellStyle name="Comma 5 23" xfId="618" xr:uid="{00000000-0005-0000-0000-000007230000}"/>
    <cellStyle name="Comma 5 23 2" xfId="953" xr:uid="{00000000-0005-0000-0000-000008230000}"/>
    <cellStyle name="Comma 5 23 2 2" xfId="23835" xr:uid="{00000000-0005-0000-0000-000009230000}"/>
    <cellStyle name="Comma 5 23 3" xfId="22615" xr:uid="{00000000-0005-0000-0000-00000A230000}"/>
    <cellStyle name="Comma 5 23 3 2" xfId="42526" xr:uid="{00000000-0005-0000-0000-00000B230000}"/>
    <cellStyle name="Comma 5 23 4" xfId="22918" xr:uid="{00000000-0005-0000-0000-00000C230000}"/>
    <cellStyle name="Comma 5 23 4 2" xfId="42829" xr:uid="{00000000-0005-0000-0000-00000D230000}"/>
    <cellStyle name="Comma 5 23 5" xfId="23221" xr:uid="{00000000-0005-0000-0000-00000E230000}"/>
    <cellStyle name="Comma 5 23 5 2" xfId="43132" xr:uid="{00000000-0005-0000-0000-00000F230000}"/>
    <cellStyle name="Comma 5 23 6" xfId="23532" xr:uid="{00000000-0005-0000-0000-000010230000}"/>
    <cellStyle name="Comma 5 24" xfId="644" xr:uid="{00000000-0005-0000-0000-000011230000}"/>
    <cellStyle name="Comma 5 24 2" xfId="969" xr:uid="{00000000-0005-0000-0000-000012230000}"/>
    <cellStyle name="Comma 5 24 2 2" xfId="23851" xr:uid="{00000000-0005-0000-0000-000013230000}"/>
    <cellStyle name="Comma 5 24 3" xfId="22562" xr:uid="{00000000-0005-0000-0000-000014230000}"/>
    <cellStyle name="Comma 5 24 3 2" xfId="42473" xr:uid="{00000000-0005-0000-0000-000015230000}"/>
    <cellStyle name="Comma 5 24 4" xfId="22934" xr:uid="{00000000-0005-0000-0000-000016230000}"/>
    <cellStyle name="Comma 5 24 4 2" xfId="42845" xr:uid="{00000000-0005-0000-0000-000017230000}"/>
    <cellStyle name="Comma 5 24 5" xfId="23237" xr:uid="{00000000-0005-0000-0000-000018230000}"/>
    <cellStyle name="Comma 5 24 5 2" xfId="43148" xr:uid="{00000000-0005-0000-0000-000019230000}"/>
    <cellStyle name="Comma 5 24 6" xfId="23548" xr:uid="{00000000-0005-0000-0000-00001A230000}"/>
    <cellStyle name="Comma 5 25" xfId="669" xr:uid="{00000000-0005-0000-0000-00001B230000}"/>
    <cellStyle name="Comma 5 25 2" xfId="985" xr:uid="{00000000-0005-0000-0000-00001C230000}"/>
    <cellStyle name="Comma 5 25 2 2" xfId="23867" xr:uid="{00000000-0005-0000-0000-00001D230000}"/>
    <cellStyle name="Comma 5 25 3" xfId="22587" xr:uid="{00000000-0005-0000-0000-00001E230000}"/>
    <cellStyle name="Comma 5 25 3 2" xfId="42498" xr:uid="{00000000-0005-0000-0000-00001F230000}"/>
    <cellStyle name="Comma 5 25 4" xfId="22950" xr:uid="{00000000-0005-0000-0000-000020230000}"/>
    <cellStyle name="Comma 5 25 4 2" xfId="42861" xr:uid="{00000000-0005-0000-0000-000021230000}"/>
    <cellStyle name="Comma 5 25 5" xfId="23253" xr:uid="{00000000-0005-0000-0000-000022230000}"/>
    <cellStyle name="Comma 5 25 5 2" xfId="43164" xr:uid="{00000000-0005-0000-0000-000023230000}"/>
    <cellStyle name="Comma 5 25 6" xfId="23564" xr:uid="{00000000-0005-0000-0000-000024230000}"/>
    <cellStyle name="Comma 5 26" xfId="693" xr:uid="{00000000-0005-0000-0000-000025230000}"/>
    <cellStyle name="Comma 5 26 2" xfId="1001" xr:uid="{00000000-0005-0000-0000-000026230000}"/>
    <cellStyle name="Comma 5 26 2 2" xfId="23883" xr:uid="{00000000-0005-0000-0000-000027230000}"/>
    <cellStyle name="Comma 5 26 3" xfId="22675" xr:uid="{00000000-0005-0000-0000-000028230000}"/>
    <cellStyle name="Comma 5 26 3 2" xfId="42586" xr:uid="{00000000-0005-0000-0000-000029230000}"/>
    <cellStyle name="Comma 5 26 4" xfId="22966" xr:uid="{00000000-0005-0000-0000-00002A230000}"/>
    <cellStyle name="Comma 5 26 4 2" xfId="42877" xr:uid="{00000000-0005-0000-0000-00002B230000}"/>
    <cellStyle name="Comma 5 26 5" xfId="23269" xr:uid="{00000000-0005-0000-0000-00002C230000}"/>
    <cellStyle name="Comma 5 26 5 2" xfId="43180" xr:uid="{00000000-0005-0000-0000-00002D230000}"/>
    <cellStyle name="Comma 5 26 6" xfId="23580" xr:uid="{00000000-0005-0000-0000-00002E230000}"/>
    <cellStyle name="Comma 5 27" xfId="709" xr:uid="{00000000-0005-0000-0000-00002F230000}"/>
    <cellStyle name="Comma 5 27 2" xfId="1017" xr:uid="{00000000-0005-0000-0000-000030230000}"/>
    <cellStyle name="Comma 5 27 2 2" xfId="23899" xr:uid="{00000000-0005-0000-0000-000031230000}"/>
    <cellStyle name="Comma 5 27 3" xfId="22579" xr:uid="{00000000-0005-0000-0000-000032230000}"/>
    <cellStyle name="Comma 5 27 3 2" xfId="42490" xr:uid="{00000000-0005-0000-0000-000033230000}"/>
    <cellStyle name="Comma 5 27 4" xfId="22982" xr:uid="{00000000-0005-0000-0000-000034230000}"/>
    <cellStyle name="Comma 5 27 4 2" xfId="42893" xr:uid="{00000000-0005-0000-0000-000035230000}"/>
    <cellStyle name="Comma 5 27 5" xfId="23285" xr:uid="{00000000-0005-0000-0000-000036230000}"/>
    <cellStyle name="Comma 5 27 5 2" xfId="43196" xr:uid="{00000000-0005-0000-0000-000037230000}"/>
    <cellStyle name="Comma 5 27 6" xfId="23596" xr:uid="{00000000-0005-0000-0000-000038230000}"/>
    <cellStyle name="Comma 5 28" xfId="725" xr:uid="{00000000-0005-0000-0000-000039230000}"/>
    <cellStyle name="Comma 5 28 2" xfId="1033" xr:uid="{00000000-0005-0000-0000-00003A230000}"/>
    <cellStyle name="Comma 5 28 2 2" xfId="23915" xr:uid="{00000000-0005-0000-0000-00003B230000}"/>
    <cellStyle name="Comma 5 28 3" xfId="22514" xr:uid="{00000000-0005-0000-0000-00003C230000}"/>
    <cellStyle name="Comma 5 28 3 2" xfId="42425" xr:uid="{00000000-0005-0000-0000-00003D230000}"/>
    <cellStyle name="Comma 5 28 4" xfId="22998" xr:uid="{00000000-0005-0000-0000-00003E230000}"/>
    <cellStyle name="Comma 5 28 4 2" xfId="42909" xr:uid="{00000000-0005-0000-0000-00003F230000}"/>
    <cellStyle name="Comma 5 28 5" xfId="23301" xr:uid="{00000000-0005-0000-0000-000040230000}"/>
    <cellStyle name="Comma 5 28 5 2" xfId="43212" xr:uid="{00000000-0005-0000-0000-000041230000}"/>
    <cellStyle name="Comma 5 28 6" xfId="23612" xr:uid="{00000000-0005-0000-0000-000042230000}"/>
    <cellStyle name="Comma 5 29" xfId="752" xr:uid="{00000000-0005-0000-0000-000043230000}"/>
    <cellStyle name="Comma 5 29 2" xfId="23634" xr:uid="{00000000-0005-0000-0000-000044230000}"/>
    <cellStyle name="Comma 5 3" xfId="200" xr:uid="{00000000-0005-0000-0000-000045230000}"/>
    <cellStyle name="Comma 5 3 10" xfId="22741" xr:uid="{00000000-0005-0000-0000-000046230000}"/>
    <cellStyle name="Comma 5 3 10 2" xfId="42652" xr:uid="{00000000-0005-0000-0000-000047230000}"/>
    <cellStyle name="Comma 5 3 11" xfId="23044" xr:uid="{00000000-0005-0000-0000-000048230000}"/>
    <cellStyle name="Comma 5 3 11 2" xfId="42955" xr:uid="{00000000-0005-0000-0000-000049230000}"/>
    <cellStyle name="Comma 5 3 12" xfId="23355" xr:uid="{00000000-0005-0000-0000-00004A230000}"/>
    <cellStyle name="Comma 5 3 2" xfId="776" xr:uid="{00000000-0005-0000-0000-00004B230000}"/>
    <cellStyle name="Comma 5 3 2 2" xfId="5377" xr:uid="{00000000-0005-0000-0000-00004C230000}"/>
    <cellStyle name="Comma 5 3 2 2 2" xfId="7002" xr:uid="{00000000-0005-0000-0000-00004D230000}"/>
    <cellStyle name="Comma 5 3 2 2 2 2" xfId="10088" xr:uid="{00000000-0005-0000-0000-00004E230000}"/>
    <cellStyle name="Comma 5 3 2 2 2 2 2" xfId="16281" xr:uid="{00000000-0005-0000-0000-00004F230000}"/>
    <cellStyle name="Comma 5 3 2 2 2 2 2 2" xfId="36201" xr:uid="{00000000-0005-0000-0000-000050230000}"/>
    <cellStyle name="Comma 5 3 2 2 2 2 3" xfId="22433" xr:uid="{00000000-0005-0000-0000-000051230000}"/>
    <cellStyle name="Comma 5 3 2 2 2 2 3 2" xfId="42353" xr:uid="{00000000-0005-0000-0000-000052230000}"/>
    <cellStyle name="Comma 5 3 2 2 2 2 4" xfId="30048" xr:uid="{00000000-0005-0000-0000-000053230000}"/>
    <cellStyle name="Comma 5 3 2 2 2 3" xfId="13215" xr:uid="{00000000-0005-0000-0000-000054230000}"/>
    <cellStyle name="Comma 5 3 2 2 2 3 2" xfId="33135" xr:uid="{00000000-0005-0000-0000-000055230000}"/>
    <cellStyle name="Comma 5 3 2 2 2 4" xfId="19367" xr:uid="{00000000-0005-0000-0000-000056230000}"/>
    <cellStyle name="Comma 5 3 2 2 2 4 2" xfId="39287" xr:uid="{00000000-0005-0000-0000-000057230000}"/>
    <cellStyle name="Comma 5 3 2 2 2 5" xfId="26982" xr:uid="{00000000-0005-0000-0000-000058230000}"/>
    <cellStyle name="Comma 5 3 2 2 3" xfId="8553" xr:uid="{00000000-0005-0000-0000-000059230000}"/>
    <cellStyle name="Comma 5 3 2 2 3 2" xfId="14747" xr:uid="{00000000-0005-0000-0000-00005A230000}"/>
    <cellStyle name="Comma 5 3 2 2 3 2 2" xfId="34667" xr:uid="{00000000-0005-0000-0000-00005B230000}"/>
    <cellStyle name="Comma 5 3 2 2 3 3" xfId="20899" xr:uid="{00000000-0005-0000-0000-00005C230000}"/>
    <cellStyle name="Comma 5 3 2 2 3 3 2" xfId="40819" xr:uid="{00000000-0005-0000-0000-00005D230000}"/>
    <cellStyle name="Comma 5 3 2 2 3 4" xfId="28514" xr:uid="{00000000-0005-0000-0000-00005E230000}"/>
    <cellStyle name="Comma 5 3 2 2 4" xfId="11681" xr:uid="{00000000-0005-0000-0000-00005F230000}"/>
    <cellStyle name="Comma 5 3 2 2 4 2" xfId="31601" xr:uid="{00000000-0005-0000-0000-000060230000}"/>
    <cellStyle name="Comma 5 3 2 2 5" xfId="17833" xr:uid="{00000000-0005-0000-0000-000061230000}"/>
    <cellStyle name="Comma 5 3 2 2 5 2" xfId="37753" xr:uid="{00000000-0005-0000-0000-000062230000}"/>
    <cellStyle name="Comma 5 3 2 2 6" xfId="25448" xr:uid="{00000000-0005-0000-0000-000063230000}"/>
    <cellStyle name="Comma 5 3 2 3" xfId="6233" xr:uid="{00000000-0005-0000-0000-000064230000}"/>
    <cellStyle name="Comma 5 3 2 3 2" xfId="9319" xr:uid="{00000000-0005-0000-0000-000065230000}"/>
    <cellStyle name="Comma 5 3 2 3 2 2" xfId="15512" xr:uid="{00000000-0005-0000-0000-000066230000}"/>
    <cellStyle name="Comma 5 3 2 3 2 2 2" xfId="35432" xr:uid="{00000000-0005-0000-0000-000067230000}"/>
    <cellStyle name="Comma 5 3 2 3 2 3" xfId="21664" xr:uid="{00000000-0005-0000-0000-000068230000}"/>
    <cellStyle name="Comma 5 3 2 3 2 3 2" xfId="41584" xr:uid="{00000000-0005-0000-0000-000069230000}"/>
    <cellStyle name="Comma 5 3 2 3 2 4" xfId="29279" xr:uid="{00000000-0005-0000-0000-00006A230000}"/>
    <cellStyle name="Comma 5 3 2 3 3" xfId="12446" xr:uid="{00000000-0005-0000-0000-00006B230000}"/>
    <cellStyle name="Comma 5 3 2 3 3 2" xfId="32366" xr:uid="{00000000-0005-0000-0000-00006C230000}"/>
    <cellStyle name="Comma 5 3 2 3 4" xfId="18598" xr:uid="{00000000-0005-0000-0000-00006D230000}"/>
    <cellStyle name="Comma 5 3 2 3 4 2" xfId="38518" xr:uid="{00000000-0005-0000-0000-00006E230000}"/>
    <cellStyle name="Comma 5 3 2 3 5" xfId="26213" xr:uid="{00000000-0005-0000-0000-00006F230000}"/>
    <cellStyle name="Comma 5 3 2 4" xfId="7784" xr:uid="{00000000-0005-0000-0000-000070230000}"/>
    <cellStyle name="Comma 5 3 2 4 2" xfId="13978" xr:uid="{00000000-0005-0000-0000-000071230000}"/>
    <cellStyle name="Comma 5 3 2 4 2 2" xfId="33898" xr:uid="{00000000-0005-0000-0000-000072230000}"/>
    <cellStyle name="Comma 5 3 2 4 3" xfId="20130" xr:uid="{00000000-0005-0000-0000-000073230000}"/>
    <cellStyle name="Comma 5 3 2 4 3 2" xfId="40050" xr:uid="{00000000-0005-0000-0000-000074230000}"/>
    <cellStyle name="Comma 5 3 2 4 4" xfId="27745" xr:uid="{00000000-0005-0000-0000-000075230000}"/>
    <cellStyle name="Comma 5 3 2 5" xfId="10912" xr:uid="{00000000-0005-0000-0000-000076230000}"/>
    <cellStyle name="Comma 5 3 2 5 2" xfId="30832" xr:uid="{00000000-0005-0000-0000-000077230000}"/>
    <cellStyle name="Comma 5 3 2 6" xfId="17064" xr:uid="{00000000-0005-0000-0000-000078230000}"/>
    <cellStyle name="Comma 5 3 2 6 2" xfId="36984" xr:uid="{00000000-0005-0000-0000-000079230000}"/>
    <cellStyle name="Comma 5 3 2 7" xfId="4601" xr:uid="{00000000-0005-0000-0000-00007A230000}"/>
    <cellStyle name="Comma 5 3 2 7 2" xfId="24679" xr:uid="{00000000-0005-0000-0000-00007B230000}"/>
    <cellStyle name="Comma 5 3 2 8" xfId="23658" xr:uid="{00000000-0005-0000-0000-00007C230000}"/>
    <cellStyle name="Comma 5 3 3" xfId="2154" xr:uid="{00000000-0005-0000-0000-00007D230000}"/>
    <cellStyle name="Comma 5 3 4" xfId="4636" xr:uid="{00000000-0005-0000-0000-00007E230000}"/>
    <cellStyle name="Comma 5 3 4 2" xfId="6261" xr:uid="{00000000-0005-0000-0000-00007F230000}"/>
    <cellStyle name="Comma 5 3 4 2 2" xfId="9347" xr:uid="{00000000-0005-0000-0000-000080230000}"/>
    <cellStyle name="Comma 5 3 4 2 2 2" xfId="15540" xr:uid="{00000000-0005-0000-0000-000081230000}"/>
    <cellStyle name="Comma 5 3 4 2 2 2 2" xfId="35460" xr:uid="{00000000-0005-0000-0000-000082230000}"/>
    <cellStyle name="Comma 5 3 4 2 2 3" xfId="21692" xr:uid="{00000000-0005-0000-0000-000083230000}"/>
    <cellStyle name="Comma 5 3 4 2 2 3 2" xfId="41612" xr:uid="{00000000-0005-0000-0000-000084230000}"/>
    <cellStyle name="Comma 5 3 4 2 2 4" xfId="29307" xr:uid="{00000000-0005-0000-0000-000085230000}"/>
    <cellStyle name="Comma 5 3 4 2 3" xfId="12474" xr:uid="{00000000-0005-0000-0000-000086230000}"/>
    <cellStyle name="Comma 5 3 4 2 3 2" xfId="32394" xr:uid="{00000000-0005-0000-0000-000087230000}"/>
    <cellStyle name="Comma 5 3 4 2 4" xfId="18626" xr:uid="{00000000-0005-0000-0000-000088230000}"/>
    <cellStyle name="Comma 5 3 4 2 4 2" xfId="38546" xr:uid="{00000000-0005-0000-0000-000089230000}"/>
    <cellStyle name="Comma 5 3 4 2 5" xfId="26241" xr:uid="{00000000-0005-0000-0000-00008A230000}"/>
    <cellStyle name="Comma 5 3 4 3" xfId="7812" xr:uid="{00000000-0005-0000-0000-00008B230000}"/>
    <cellStyle name="Comma 5 3 4 3 2" xfId="14006" xr:uid="{00000000-0005-0000-0000-00008C230000}"/>
    <cellStyle name="Comma 5 3 4 3 2 2" xfId="33926" xr:uid="{00000000-0005-0000-0000-00008D230000}"/>
    <cellStyle name="Comma 5 3 4 3 3" xfId="20158" xr:uid="{00000000-0005-0000-0000-00008E230000}"/>
    <cellStyle name="Comma 5 3 4 3 3 2" xfId="40078" xr:uid="{00000000-0005-0000-0000-00008F230000}"/>
    <cellStyle name="Comma 5 3 4 3 4" xfId="27773" xr:uid="{00000000-0005-0000-0000-000090230000}"/>
    <cellStyle name="Comma 5 3 4 4" xfId="10940" xr:uid="{00000000-0005-0000-0000-000091230000}"/>
    <cellStyle name="Comma 5 3 4 4 2" xfId="30860" xr:uid="{00000000-0005-0000-0000-000092230000}"/>
    <cellStyle name="Comma 5 3 4 5" xfId="17092" xr:uid="{00000000-0005-0000-0000-000093230000}"/>
    <cellStyle name="Comma 5 3 4 5 2" xfId="37012" xr:uid="{00000000-0005-0000-0000-000094230000}"/>
    <cellStyle name="Comma 5 3 4 6" xfId="24707" xr:uid="{00000000-0005-0000-0000-000095230000}"/>
    <cellStyle name="Comma 5 3 5" xfId="5475" xr:uid="{00000000-0005-0000-0000-000096230000}"/>
    <cellStyle name="Comma 5 3 5 2" xfId="8578" xr:uid="{00000000-0005-0000-0000-000097230000}"/>
    <cellStyle name="Comma 5 3 5 2 2" xfId="14771" xr:uid="{00000000-0005-0000-0000-000098230000}"/>
    <cellStyle name="Comma 5 3 5 2 2 2" xfId="34691" xr:uid="{00000000-0005-0000-0000-000099230000}"/>
    <cellStyle name="Comma 5 3 5 2 3" xfId="20923" xr:uid="{00000000-0005-0000-0000-00009A230000}"/>
    <cellStyle name="Comma 5 3 5 2 3 2" xfId="40843" xr:uid="{00000000-0005-0000-0000-00009B230000}"/>
    <cellStyle name="Comma 5 3 5 2 4" xfId="28538" xr:uid="{00000000-0005-0000-0000-00009C230000}"/>
    <cellStyle name="Comma 5 3 5 3" xfId="11705" xr:uid="{00000000-0005-0000-0000-00009D230000}"/>
    <cellStyle name="Comma 5 3 5 3 2" xfId="31625" xr:uid="{00000000-0005-0000-0000-00009E230000}"/>
    <cellStyle name="Comma 5 3 5 4" xfId="17857" xr:uid="{00000000-0005-0000-0000-00009F230000}"/>
    <cellStyle name="Comma 5 3 5 4 2" xfId="37777" xr:uid="{00000000-0005-0000-0000-0000A0230000}"/>
    <cellStyle name="Comma 5 3 5 5" xfId="25472" xr:uid="{00000000-0005-0000-0000-0000A1230000}"/>
    <cellStyle name="Comma 5 3 6" xfId="7043" xr:uid="{00000000-0005-0000-0000-0000A2230000}"/>
    <cellStyle name="Comma 5 3 6 2" xfId="13237" xr:uid="{00000000-0005-0000-0000-0000A3230000}"/>
    <cellStyle name="Comma 5 3 6 2 2" xfId="33157" xr:uid="{00000000-0005-0000-0000-0000A4230000}"/>
    <cellStyle name="Comma 5 3 6 3" xfId="19389" xr:uid="{00000000-0005-0000-0000-0000A5230000}"/>
    <cellStyle name="Comma 5 3 6 3 2" xfId="39309" xr:uid="{00000000-0005-0000-0000-0000A6230000}"/>
    <cellStyle name="Comma 5 3 6 4" xfId="27004" xr:uid="{00000000-0005-0000-0000-0000A7230000}"/>
    <cellStyle name="Comma 5 3 7" xfId="10171" xr:uid="{00000000-0005-0000-0000-0000A8230000}"/>
    <cellStyle name="Comma 5 3 7 2" xfId="30091" xr:uid="{00000000-0005-0000-0000-0000A9230000}"/>
    <cellStyle name="Comma 5 3 8" xfId="16323" xr:uid="{00000000-0005-0000-0000-0000AA230000}"/>
    <cellStyle name="Comma 5 3 8 2" xfId="36243" xr:uid="{00000000-0005-0000-0000-0000AB230000}"/>
    <cellStyle name="Comma 5 3 9" xfId="1188" xr:uid="{00000000-0005-0000-0000-0000AC230000}"/>
    <cellStyle name="Comma 5 3 9 2" xfId="23938" xr:uid="{00000000-0005-0000-0000-0000AD230000}"/>
    <cellStyle name="Comma 5 30" xfId="1047" xr:uid="{00000000-0005-0000-0000-0000AE230000}"/>
    <cellStyle name="Comma 5 31" xfId="22717" xr:uid="{00000000-0005-0000-0000-0000AF230000}"/>
    <cellStyle name="Comma 5 31 2" xfId="42628" xr:uid="{00000000-0005-0000-0000-0000B0230000}"/>
    <cellStyle name="Comma 5 32" xfId="23020" xr:uid="{00000000-0005-0000-0000-0000B1230000}"/>
    <cellStyle name="Comma 5 32 2" xfId="42931" xr:uid="{00000000-0005-0000-0000-0000B2230000}"/>
    <cellStyle name="Comma 5 33" xfId="23331" xr:uid="{00000000-0005-0000-0000-0000B3230000}"/>
    <cellStyle name="Comma 5 4" xfId="215" xr:uid="{00000000-0005-0000-0000-0000B4230000}"/>
    <cellStyle name="Comma 5 4 2" xfId="779" xr:uid="{00000000-0005-0000-0000-0000B5230000}"/>
    <cellStyle name="Comma 5 4 2 2" xfId="23661" xr:uid="{00000000-0005-0000-0000-0000B6230000}"/>
    <cellStyle name="Comma 5 4 3" xfId="2155" xr:uid="{00000000-0005-0000-0000-0000B7230000}"/>
    <cellStyle name="Comma 5 4 4" xfId="22489" xr:uid="{00000000-0005-0000-0000-0000B8230000}"/>
    <cellStyle name="Comma 5 4 4 2" xfId="42400" xr:uid="{00000000-0005-0000-0000-0000B9230000}"/>
    <cellStyle name="Comma 5 4 5" xfId="22744" xr:uid="{00000000-0005-0000-0000-0000BA230000}"/>
    <cellStyle name="Comma 5 4 5 2" xfId="42655" xr:uid="{00000000-0005-0000-0000-0000BB230000}"/>
    <cellStyle name="Comma 5 4 6" xfId="23047" xr:uid="{00000000-0005-0000-0000-0000BC230000}"/>
    <cellStyle name="Comma 5 4 6 2" xfId="42958" xr:uid="{00000000-0005-0000-0000-0000BD230000}"/>
    <cellStyle name="Comma 5 4 7" xfId="23358" xr:uid="{00000000-0005-0000-0000-0000BE230000}"/>
    <cellStyle name="Comma 5 5" xfId="229" xr:uid="{00000000-0005-0000-0000-0000BF230000}"/>
    <cellStyle name="Comma 5 5 2" xfId="782" xr:uid="{00000000-0005-0000-0000-0000C0230000}"/>
    <cellStyle name="Comma 5 5 2 2" xfId="2157" xr:uid="{00000000-0005-0000-0000-0000C1230000}"/>
    <cellStyle name="Comma 5 5 2 3" xfId="23664" xr:uid="{00000000-0005-0000-0000-0000C2230000}"/>
    <cellStyle name="Comma 5 5 3" xfId="2158" xr:uid="{00000000-0005-0000-0000-0000C3230000}"/>
    <cellStyle name="Comma 5 5 4" xfId="2156" xr:uid="{00000000-0005-0000-0000-0000C4230000}"/>
    <cellStyle name="Comma 5 5 5" xfId="22534" xr:uid="{00000000-0005-0000-0000-0000C5230000}"/>
    <cellStyle name="Comma 5 5 5 2" xfId="42445" xr:uid="{00000000-0005-0000-0000-0000C6230000}"/>
    <cellStyle name="Comma 5 5 6" xfId="22747" xr:uid="{00000000-0005-0000-0000-0000C7230000}"/>
    <cellStyle name="Comma 5 5 6 2" xfId="42658" xr:uid="{00000000-0005-0000-0000-0000C8230000}"/>
    <cellStyle name="Comma 5 5 7" xfId="23050" xr:uid="{00000000-0005-0000-0000-0000C9230000}"/>
    <cellStyle name="Comma 5 5 7 2" xfId="42961" xr:uid="{00000000-0005-0000-0000-0000CA230000}"/>
    <cellStyle name="Comma 5 5 8" xfId="23361" xr:uid="{00000000-0005-0000-0000-0000CB230000}"/>
    <cellStyle name="Comma 5 6" xfId="245" xr:uid="{00000000-0005-0000-0000-0000CC230000}"/>
    <cellStyle name="Comma 5 6 2" xfId="785" xr:uid="{00000000-0005-0000-0000-0000CD230000}"/>
    <cellStyle name="Comma 5 6 2 2" xfId="23667" xr:uid="{00000000-0005-0000-0000-0000CE230000}"/>
    <cellStyle name="Comma 5 6 3" xfId="2159" xr:uid="{00000000-0005-0000-0000-0000CF230000}"/>
    <cellStyle name="Comma 5 6 4" xfId="22692" xr:uid="{00000000-0005-0000-0000-0000D0230000}"/>
    <cellStyle name="Comma 5 6 4 2" xfId="42603" xr:uid="{00000000-0005-0000-0000-0000D1230000}"/>
    <cellStyle name="Comma 5 6 5" xfId="22750" xr:uid="{00000000-0005-0000-0000-0000D2230000}"/>
    <cellStyle name="Comma 5 6 5 2" xfId="42661" xr:uid="{00000000-0005-0000-0000-0000D3230000}"/>
    <cellStyle name="Comma 5 6 6" xfId="23053" xr:uid="{00000000-0005-0000-0000-0000D4230000}"/>
    <cellStyle name="Comma 5 6 6 2" xfId="42964" xr:uid="{00000000-0005-0000-0000-0000D5230000}"/>
    <cellStyle name="Comma 5 6 7" xfId="23364" xr:uid="{00000000-0005-0000-0000-0000D6230000}"/>
    <cellStyle name="Comma 5 7" xfId="260" xr:uid="{00000000-0005-0000-0000-0000D7230000}"/>
    <cellStyle name="Comma 5 7 10" xfId="23367" xr:uid="{00000000-0005-0000-0000-0000D8230000}"/>
    <cellStyle name="Comma 5 7 2" xfId="788" xr:uid="{00000000-0005-0000-0000-0000D9230000}"/>
    <cellStyle name="Comma 5 7 2 2" xfId="6994" xr:uid="{00000000-0005-0000-0000-0000DA230000}"/>
    <cellStyle name="Comma 5 7 2 2 2" xfId="10080" xr:uid="{00000000-0005-0000-0000-0000DB230000}"/>
    <cellStyle name="Comma 5 7 2 2 2 2" xfId="16273" xr:uid="{00000000-0005-0000-0000-0000DC230000}"/>
    <cellStyle name="Comma 5 7 2 2 2 2 2" xfId="36193" xr:uid="{00000000-0005-0000-0000-0000DD230000}"/>
    <cellStyle name="Comma 5 7 2 2 2 3" xfId="22425" xr:uid="{00000000-0005-0000-0000-0000DE230000}"/>
    <cellStyle name="Comma 5 7 2 2 2 3 2" xfId="42345" xr:uid="{00000000-0005-0000-0000-0000DF230000}"/>
    <cellStyle name="Comma 5 7 2 2 2 4" xfId="30040" xr:uid="{00000000-0005-0000-0000-0000E0230000}"/>
    <cellStyle name="Comma 5 7 2 2 3" xfId="13207" xr:uid="{00000000-0005-0000-0000-0000E1230000}"/>
    <cellStyle name="Comma 5 7 2 2 3 2" xfId="33127" xr:uid="{00000000-0005-0000-0000-0000E2230000}"/>
    <cellStyle name="Comma 5 7 2 2 4" xfId="19359" xr:uid="{00000000-0005-0000-0000-0000E3230000}"/>
    <cellStyle name="Comma 5 7 2 2 4 2" xfId="39279" xr:uid="{00000000-0005-0000-0000-0000E4230000}"/>
    <cellStyle name="Comma 5 7 2 2 5" xfId="26974" xr:uid="{00000000-0005-0000-0000-0000E5230000}"/>
    <cellStyle name="Comma 5 7 2 3" xfId="8545" xr:uid="{00000000-0005-0000-0000-0000E6230000}"/>
    <cellStyle name="Comma 5 7 2 3 2" xfId="14739" xr:uid="{00000000-0005-0000-0000-0000E7230000}"/>
    <cellStyle name="Comma 5 7 2 3 2 2" xfId="34659" xr:uid="{00000000-0005-0000-0000-0000E8230000}"/>
    <cellStyle name="Comma 5 7 2 3 3" xfId="20891" xr:uid="{00000000-0005-0000-0000-0000E9230000}"/>
    <cellStyle name="Comma 5 7 2 3 3 2" xfId="40811" xr:uid="{00000000-0005-0000-0000-0000EA230000}"/>
    <cellStyle name="Comma 5 7 2 3 4" xfId="28506" xr:uid="{00000000-0005-0000-0000-0000EB230000}"/>
    <cellStyle name="Comma 5 7 2 4" xfId="11673" xr:uid="{00000000-0005-0000-0000-0000EC230000}"/>
    <cellStyle name="Comma 5 7 2 4 2" xfId="31593" xr:uid="{00000000-0005-0000-0000-0000ED230000}"/>
    <cellStyle name="Comma 5 7 2 5" xfId="17825" xr:uid="{00000000-0005-0000-0000-0000EE230000}"/>
    <cellStyle name="Comma 5 7 2 5 2" xfId="37745" xr:uid="{00000000-0005-0000-0000-0000EF230000}"/>
    <cellStyle name="Comma 5 7 2 6" xfId="5369" xr:uid="{00000000-0005-0000-0000-0000F0230000}"/>
    <cellStyle name="Comma 5 7 2 6 2" xfId="25440" xr:uid="{00000000-0005-0000-0000-0000F1230000}"/>
    <cellStyle name="Comma 5 7 2 7" xfId="23670" xr:uid="{00000000-0005-0000-0000-0000F2230000}"/>
    <cellStyle name="Comma 5 7 3" xfId="6225" xr:uid="{00000000-0005-0000-0000-0000F3230000}"/>
    <cellStyle name="Comma 5 7 3 2" xfId="9311" xr:uid="{00000000-0005-0000-0000-0000F4230000}"/>
    <cellStyle name="Comma 5 7 3 2 2" xfId="15504" xr:uid="{00000000-0005-0000-0000-0000F5230000}"/>
    <cellStyle name="Comma 5 7 3 2 2 2" xfId="35424" xr:uid="{00000000-0005-0000-0000-0000F6230000}"/>
    <cellStyle name="Comma 5 7 3 2 3" xfId="21656" xr:uid="{00000000-0005-0000-0000-0000F7230000}"/>
    <cellStyle name="Comma 5 7 3 2 3 2" xfId="41576" xr:uid="{00000000-0005-0000-0000-0000F8230000}"/>
    <cellStyle name="Comma 5 7 3 2 4" xfId="29271" xr:uid="{00000000-0005-0000-0000-0000F9230000}"/>
    <cellStyle name="Comma 5 7 3 3" xfId="12438" xr:uid="{00000000-0005-0000-0000-0000FA230000}"/>
    <cellStyle name="Comma 5 7 3 3 2" xfId="32358" xr:uid="{00000000-0005-0000-0000-0000FB230000}"/>
    <cellStyle name="Comma 5 7 3 4" xfId="18590" xr:uid="{00000000-0005-0000-0000-0000FC230000}"/>
    <cellStyle name="Comma 5 7 3 4 2" xfId="38510" xr:uid="{00000000-0005-0000-0000-0000FD230000}"/>
    <cellStyle name="Comma 5 7 3 5" xfId="26205" xr:uid="{00000000-0005-0000-0000-0000FE230000}"/>
    <cellStyle name="Comma 5 7 4" xfId="7776" xr:uid="{00000000-0005-0000-0000-0000FF230000}"/>
    <cellStyle name="Comma 5 7 4 2" xfId="13970" xr:uid="{00000000-0005-0000-0000-000000240000}"/>
    <cellStyle name="Comma 5 7 4 2 2" xfId="33890" xr:uid="{00000000-0005-0000-0000-000001240000}"/>
    <cellStyle name="Comma 5 7 4 3" xfId="20122" xr:uid="{00000000-0005-0000-0000-000002240000}"/>
    <cellStyle name="Comma 5 7 4 3 2" xfId="40042" xr:uid="{00000000-0005-0000-0000-000003240000}"/>
    <cellStyle name="Comma 5 7 4 4" xfId="27737" xr:uid="{00000000-0005-0000-0000-000004240000}"/>
    <cellStyle name="Comma 5 7 5" xfId="10904" xr:uid="{00000000-0005-0000-0000-000005240000}"/>
    <cellStyle name="Comma 5 7 5 2" xfId="30824" xr:uid="{00000000-0005-0000-0000-000006240000}"/>
    <cellStyle name="Comma 5 7 6" xfId="17056" xr:uid="{00000000-0005-0000-0000-000007240000}"/>
    <cellStyle name="Comma 5 7 6 2" xfId="36976" xr:uid="{00000000-0005-0000-0000-000008240000}"/>
    <cellStyle name="Comma 5 7 7" xfId="4581" xr:uid="{00000000-0005-0000-0000-000009240000}"/>
    <cellStyle name="Comma 5 7 7 2" xfId="24671" xr:uid="{00000000-0005-0000-0000-00000A240000}"/>
    <cellStyle name="Comma 5 7 8" xfId="22753" xr:uid="{00000000-0005-0000-0000-00000B240000}"/>
    <cellStyle name="Comma 5 7 8 2" xfId="42664" xr:uid="{00000000-0005-0000-0000-00000C240000}"/>
    <cellStyle name="Comma 5 7 9" xfId="23056" xr:uid="{00000000-0005-0000-0000-00000D240000}"/>
    <cellStyle name="Comma 5 7 9 2" xfId="42967" xr:uid="{00000000-0005-0000-0000-00000E240000}"/>
    <cellStyle name="Comma 5 8" xfId="276" xr:uid="{00000000-0005-0000-0000-00000F240000}"/>
    <cellStyle name="Comma 5 8 2" xfId="791" xr:uid="{00000000-0005-0000-0000-000010240000}"/>
    <cellStyle name="Comma 5 8 2 2" xfId="23673" xr:uid="{00000000-0005-0000-0000-000011240000}"/>
    <cellStyle name="Comma 5 8 3" xfId="2150" xr:uid="{00000000-0005-0000-0000-000012240000}"/>
    <cellStyle name="Comma 5 8 4" xfId="22596" xr:uid="{00000000-0005-0000-0000-000013240000}"/>
    <cellStyle name="Comma 5 8 4 2" xfId="42507" xr:uid="{00000000-0005-0000-0000-000014240000}"/>
    <cellStyle name="Comma 5 8 5" xfId="22756" xr:uid="{00000000-0005-0000-0000-000015240000}"/>
    <cellStyle name="Comma 5 8 5 2" xfId="42667" xr:uid="{00000000-0005-0000-0000-000016240000}"/>
    <cellStyle name="Comma 5 8 6" xfId="23059" xr:uid="{00000000-0005-0000-0000-000017240000}"/>
    <cellStyle name="Comma 5 8 6 2" xfId="42970" xr:uid="{00000000-0005-0000-0000-000018240000}"/>
    <cellStyle name="Comma 5 8 7" xfId="23370" xr:uid="{00000000-0005-0000-0000-000019240000}"/>
    <cellStyle name="Comma 5 9" xfId="289" xr:uid="{00000000-0005-0000-0000-00001A240000}"/>
    <cellStyle name="Comma 5 9 2" xfId="794" xr:uid="{00000000-0005-0000-0000-00001B240000}"/>
    <cellStyle name="Comma 5 9 2 2" xfId="9336" xr:uid="{00000000-0005-0000-0000-00001C240000}"/>
    <cellStyle name="Comma 5 9 2 2 2" xfId="15529" xr:uid="{00000000-0005-0000-0000-00001D240000}"/>
    <cellStyle name="Comma 5 9 2 2 2 2" xfId="35449" xr:uid="{00000000-0005-0000-0000-00001E240000}"/>
    <cellStyle name="Comma 5 9 2 2 3" xfId="21681" xr:uid="{00000000-0005-0000-0000-00001F240000}"/>
    <cellStyle name="Comma 5 9 2 2 3 2" xfId="41601" xr:uid="{00000000-0005-0000-0000-000020240000}"/>
    <cellStyle name="Comma 5 9 2 2 4" xfId="29296" xr:uid="{00000000-0005-0000-0000-000021240000}"/>
    <cellStyle name="Comma 5 9 2 3" xfId="12463" xr:uid="{00000000-0005-0000-0000-000022240000}"/>
    <cellStyle name="Comma 5 9 2 3 2" xfId="32383" xr:uid="{00000000-0005-0000-0000-000023240000}"/>
    <cellStyle name="Comma 5 9 2 4" xfId="18615" xr:uid="{00000000-0005-0000-0000-000024240000}"/>
    <cellStyle name="Comma 5 9 2 4 2" xfId="38535" xr:uid="{00000000-0005-0000-0000-000025240000}"/>
    <cellStyle name="Comma 5 9 2 5" xfId="6250" xr:uid="{00000000-0005-0000-0000-000026240000}"/>
    <cellStyle name="Comma 5 9 2 5 2" xfId="26230" xr:uid="{00000000-0005-0000-0000-000027240000}"/>
    <cellStyle name="Comma 5 9 2 6" xfId="23676" xr:uid="{00000000-0005-0000-0000-000028240000}"/>
    <cellStyle name="Comma 5 9 3" xfId="7801" xr:uid="{00000000-0005-0000-0000-000029240000}"/>
    <cellStyle name="Comma 5 9 3 2" xfId="13995" xr:uid="{00000000-0005-0000-0000-00002A240000}"/>
    <cellStyle name="Comma 5 9 3 2 2" xfId="33915" xr:uid="{00000000-0005-0000-0000-00002B240000}"/>
    <cellStyle name="Comma 5 9 3 3" xfId="20147" xr:uid="{00000000-0005-0000-0000-00002C240000}"/>
    <cellStyle name="Comma 5 9 3 3 2" xfId="40067" xr:uid="{00000000-0005-0000-0000-00002D240000}"/>
    <cellStyle name="Comma 5 9 3 4" xfId="27762" xr:uid="{00000000-0005-0000-0000-00002E240000}"/>
    <cellStyle name="Comma 5 9 4" xfId="10929" xr:uid="{00000000-0005-0000-0000-00002F240000}"/>
    <cellStyle name="Comma 5 9 4 2" xfId="30849" xr:uid="{00000000-0005-0000-0000-000030240000}"/>
    <cellStyle name="Comma 5 9 5" xfId="17081" xr:uid="{00000000-0005-0000-0000-000031240000}"/>
    <cellStyle name="Comma 5 9 5 2" xfId="37001" xr:uid="{00000000-0005-0000-0000-000032240000}"/>
    <cellStyle name="Comma 5 9 6" xfId="4625" xr:uid="{00000000-0005-0000-0000-000033240000}"/>
    <cellStyle name="Comma 5 9 6 2" xfId="24696" xr:uid="{00000000-0005-0000-0000-000034240000}"/>
    <cellStyle name="Comma 5 9 7" xfId="22759" xr:uid="{00000000-0005-0000-0000-000035240000}"/>
    <cellStyle name="Comma 5 9 7 2" xfId="42670" xr:uid="{00000000-0005-0000-0000-000036240000}"/>
    <cellStyle name="Comma 5 9 8" xfId="23062" xr:uid="{00000000-0005-0000-0000-000037240000}"/>
    <cellStyle name="Comma 5 9 8 2" xfId="42973" xr:uid="{00000000-0005-0000-0000-000038240000}"/>
    <cellStyle name="Comma 5 9 9" xfId="23373" xr:uid="{00000000-0005-0000-0000-000039240000}"/>
    <cellStyle name="Comma 50" xfId="2160" xr:uid="{00000000-0005-0000-0000-00003A240000}"/>
    <cellStyle name="Comma 50 10" xfId="2161" xr:uid="{00000000-0005-0000-0000-00003B240000}"/>
    <cellStyle name="Comma 50 10 2" xfId="2162" xr:uid="{00000000-0005-0000-0000-00003C240000}"/>
    <cellStyle name="Comma 50 11" xfId="2163" xr:uid="{00000000-0005-0000-0000-00003D240000}"/>
    <cellStyle name="Comma 50 11 2" xfId="2164" xr:uid="{00000000-0005-0000-0000-00003E240000}"/>
    <cellStyle name="Comma 50 12" xfId="2165" xr:uid="{00000000-0005-0000-0000-00003F240000}"/>
    <cellStyle name="Comma 50 2" xfId="2166" xr:uid="{00000000-0005-0000-0000-000040240000}"/>
    <cellStyle name="Comma 50 2 2" xfId="2167" xr:uid="{00000000-0005-0000-0000-000041240000}"/>
    <cellStyle name="Comma 50 2 2 2" xfId="2168" xr:uid="{00000000-0005-0000-0000-000042240000}"/>
    <cellStyle name="Comma 50 2 2 2 2" xfId="2169" xr:uid="{00000000-0005-0000-0000-000043240000}"/>
    <cellStyle name="Comma 50 2 2 3" xfId="2170" xr:uid="{00000000-0005-0000-0000-000044240000}"/>
    <cellStyle name="Comma 50 2 3" xfId="2171" xr:uid="{00000000-0005-0000-0000-000045240000}"/>
    <cellStyle name="Comma 50 2 3 2" xfId="2172" xr:uid="{00000000-0005-0000-0000-000046240000}"/>
    <cellStyle name="Comma 50 2 4" xfId="2173" xr:uid="{00000000-0005-0000-0000-000047240000}"/>
    <cellStyle name="Comma 50 2 4 2" xfId="2174" xr:uid="{00000000-0005-0000-0000-000048240000}"/>
    <cellStyle name="Comma 50 2 5" xfId="2175" xr:uid="{00000000-0005-0000-0000-000049240000}"/>
    <cellStyle name="Comma 50 3" xfId="2176" xr:uid="{00000000-0005-0000-0000-00004A240000}"/>
    <cellStyle name="Comma 50 3 2" xfId="2177" xr:uid="{00000000-0005-0000-0000-00004B240000}"/>
    <cellStyle name="Comma 50 3 2 2" xfId="2178" xr:uid="{00000000-0005-0000-0000-00004C240000}"/>
    <cellStyle name="Comma 50 3 2 2 2" xfId="2179" xr:uid="{00000000-0005-0000-0000-00004D240000}"/>
    <cellStyle name="Comma 50 3 2 3" xfId="2180" xr:uid="{00000000-0005-0000-0000-00004E240000}"/>
    <cellStyle name="Comma 50 3 3" xfId="2181" xr:uid="{00000000-0005-0000-0000-00004F240000}"/>
    <cellStyle name="Comma 50 3 3 2" xfId="2182" xr:uid="{00000000-0005-0000-0000-000050240000}"/>
    <cellStyle name="Comma 50 3 4" xfId="2183" xr:uid="{00000000-0005-0000-0000-000051240000}"/>
    <cellStyle name="Comma 50 3 4 2" xfId="2184" xr:uid="{00000000-0005-0000-0000-000052240000}"/>
    <cellStyle name="Comma 50 3 5" xfId="2185" xr:uid="{00000000-0005-0000-0000-000053240000}"/>
    <cellStyle name="Comma 50 4" xfId="2186" xr:uid="{00000000-0005-0000-0000-000054240000}"/>
    <cellStyle name="Comma 50 4 2" xfId="2187" xr:uid="{00000000-0005-0000-0000-000055240000}"/>
    <cellStyle name="Comma 50 4 2 2" xfId="2188" xr:uid="{00000000-0005-0000-0000-000056240000}"/>
    <cellStyle name="Comma 50 4 2 2 2" xfId="2189" xr:uid="{00000000-0005-0000-0000-000057240000}"/>
    <cellStyle name="Comma 50 4 2 3" xfId="2190" xr:uid="{00000000-0005-0000-0000-000058240000}"/>
    <cellStyle name="Comma 50 4 3" xfId="2191" xr:uid="{00000000-0005-0000-0000-000059240000}"/>
    <cellStyle name="Comma 50 4 3 2" xfId="2192" xr:uid="{00000000-0005-0000-0000-00005A240000}"/>
    <cellStyle name="Comma 50 4 4" xfId="2193" xr:uid="{00000000-0005-0000-0000-00005B240000}"/>
    <cellStyle name="Comma 50 4 4 2" xfId="2194" xr:uid="{00000000-0005-0000-0000-00005C240000}"/>
    <cellStyle name="Comma 50 4 5" xfId="2195" xr:uid="{00000000-0005-0000-0000-00005D240000}"/>
    <cellStyle name="Comma 50 5" xfId="2196" xr:uid="{00000000-0005-0000-0000-00005E240000}"/>
    <cellStyle name="Comma 50 5 2" xfId="2197" xr:uid="{00000000-0005-0000-0000-00005F240000}"/>
    <cellStyle name="Comma 50 5 2 2" xfId="2198" xr:uid="{00000000-0005-0000-0000-000060240000}"/>
    <cellStyle name="Comma 50 5 2 2 2" xfId="2199" xr:uid="{00000000-0005-0000-0000-000061240000}"/>
    <cellStyle name="Comma 50 5 2 3" xfId="2200" xr:uid="{00000000-0005-0000-0000-000062240000}"/>
    <cellStyle name="Comma 50 5 3" xfId="2201" xr:uid="{00000000-0005-0000-0000-000063240000}"/>
    <cellStyle name="Comma 50 5 3 2" xfId="2202" xr:uid="{00000000-0005-0000-0000-000064240000}"/>
    <cellStyle name="Comma 50 5 4" xfId="2203" xr:uid="{00000000-0005-0000-0000-000065240000}"/>
    <cellStyle name="Comma 50 5 4 2" xfId="2204" xr:uid="{00000000-0005-0000-0000-000066240000}"/>
    <cellStyle name="Comma 50 5 5" xfId="2205" xr:uid="{00000000-0005-0000-0000-000067240000}"/>
    <cellStyle name="Comma 50 6" xfId="2206" xr:uid="{00000000-0005-0000-0000-000068240000}"/>
    <cellStyle name="Comma 50 6 2" xfId="2207" xr:uid="{00000000-0005-0000-0000-000069240000}"/>
    <cellStyle name="Comma 50 6 2 2" xfId="2208" xr:uid="{00000000-0005-0000-0000-00006A240000}"/>
    <cellStyle name="Comma 50 6 2 2 2" xfId="2209" xr:uid="{00000000-0005-0000-0000-00006B240000}"/>
    <cellStyle name="Comma 50 6 2 3" xfId="2210" xr:uid="{00000000-0005-0000-0000-00006C240000}"/>
    <cellStyle name="Comma 50 6 3" xfId="2211" xr:uid="{00000000-0005-0000-0000-00006D240000}"/>
    <cellStyle name="Comma 50 6 3 2" xfId="2212" xr:uid="{00000000-0005-0000-0000-00006E240000}"/>
    <cellStyle name="Comma 50 6 4" xfId="2213" xr:uid="{00000000-0005-0000-0000-00006F240000}"/>
    <cellStyle name="Comma 50 6 4 2" xfId="2214" xr:uid="{00000000-0005-0000-0000-000070240000}"/>
    <cellStyle name="Comma 50 6 5" xfId="2215" xr:uid="{00000000-0005-0000-0000-000071240000}"/>
    <cellStyle name="Comma 50 7" xfId="2216" xr:uid="{00000000-0005-0000-0000-000072240000}"/>
    <cellStyle name="Comma 50 7 2" xfId="2217" xr:uid="{00000000-0005-0000-0000-000073240000}"/>
    <cellStyle name="Comma 50 7 2 2" xfId="2218" xr:uid="{00000000-0005-0000-0000-000074240000}"/>
    <cellStyle name="Comma 50 7 2 2 2" xfId="2219" xr:uid="{00000000-0005-0000-0000-000075240000}"/>
    <cellStyle name="Comma 50 7 2 3" xfId="2220" xr:uid="{00000000-0005-0000-0000-000076240000}"/>
    <cellStyle name="Comma 50 7 3" xfId="2221" xr:uid="{00000000-0005-0000-0000-000077240000}"/>
    <cellStyle name="Comma 50 7 3 2" xfId="2222" xr:uid="{00000000-0005-0000-0000-000078240000}"/>
    <cellStyle name="Comma 50 7 4" xfId="2223" xr:uid="{00000000-0005-0000-0000-000079240000}"/>
    <cellStyle name="Comma 50 8" xfId="2224" xr:uid="{00000000-0005-0000-0000-00007A240000}"/>
    <cellStyle name="Comma 50 8 2" xfId="2225" xr:uid="{00000000-0005-0000-0000-00007B240000}"/>
    <cellStyle name="Comma 50 8 2 2" xfId="2226" xr:uid="{00000000-0005-0000-0000-00007C240000}"/>
    <cellStyle name="Comma 50 8 2 2 2" xfId="2227" xr:uid="{00000000-0005-0000-0000-00007D240000}"/>
    <cellStyle name="Comma 50 8 2 3" xfId="2228" xr:uid="{00000000-0005-0000-0000-00007E240000}"/>
    <cellStyle name="Comma 50 8 3" xfId="2229" xr:uid="{00000000-0005-0000-0000-00007F240000}"/>
    <cellStyle name="Comma 50 8 3 2" xfId="2230" xr:uid="{00000000-0005-0000-0000-000080240000}"/>
    <cellStyle name="Comma 50 8 4" xfId="2231" xr:uid="{00000000-0005-0000-0000-000081240000}"/>
    <cellStyle name="Comma 50 9" xfId="2232" xr:uid="{00000000-0005-0000-0000-000082240000}"/>
    <cellStyle name="Comma 50 9 2" xfId="2233" xr:uid="{00000000-0005-0000-0000-000083240000}"/>
    <cellStyle name="Comma 50 9 2 2" xfId="2234" xr:uid="{00000000-0005-0000-0000-000084240000}"/>
    <cellStyle name="Comma 50 9 3" xfId="2235" xr:uid="{00000000-0005-0000-0000-000085240000}"/>
    <cellStyle name="Comma 51" xfId="2236" xr:uid="{00000000-0005-0000-0000-000086240000}"/>
    <cellStyle name="Comma 51 10" xfId="2237" xr:uid="{00000000-0005-0000-0000-000087240000}"/>
    <cellStyle name="Comma 51 10 2" xfId="2238" xr:uid="{00000000-0005-0000-0000-000088240000}"/>
    <cellStyle name="Comma 51 11" xfId="2239" xr:uid="{00000000-0005-0000-0000-000089240000}"/>
    <cellStyle name="Comma 51 11 2" xfId="2240" xr:uid="{00000000-0005-0000-0000-00008A240000}"/>
    <cellStyle name="Comma 51 12" xfId="2241" xr:uid="{00000000-0005-0000-0000-00008B240000}"/>
    <cellStyle name="Comma 51 2" xfId="2242" xr:uid="{00000000-0005-0000-0000-00008C240000}"/>
    <cellStyle name="Comma 51 2 2" xfId="2243" xr:uid="{00000000-0005-0000-0000-00008D240000}"/>
    <cellStyle name="Comma 51 2 2 2" xfId="2244" xr:uid="{00000000-0005-0000-0000-00008E240000}"/>
    <cellStyle name="Comma 51 2 2 2 2" xfId="2245" xr:uid="{00000000-0005-0000-0000-00008F240000}"/>
    <cellStyle name="Comma 51 2 2 3" xfId="2246" xr:uid="{00000000-0005-0000-0000-000090240000}"/>
    <cellStyle name="Comma 51 2 3" xfId="2247" xr:uid="{00000000-0005-0000-0000-000091240000}"/>
    <cellStyle name="Comma 51 2 3 2" xfId="2248" xr:uid="{00000000-0005-0000-0000-000092240000}"/>
    <cellStyle name="Comma 51 2 4" xfId="2249" xr:uid="{00000000-0005-0000-0000-000093240000}"/>
    <cellStyle name="Comma 51 2 4 2" xfId="2250" xr:uid="{00000000-0005-0000-0000-000094240000}"/>
    <cellStyle name="Comma 51 2 5" xfId="2251" xr:uid="{00000000-0005-0000-0000-000095240000}"/>
    <cellStyle name="Comma 51 3" xfId="2252" xr:uid="{00000000-0005-0000-0000-000096240000}"/>
    <cellStyle name="Comma 51 3 2" xfId="2253" xr:uid="{00000000-0005-0000-0000-000097240000}"/>
    <cellStyle name="Comma 51 3 2 2" xfId="2254" xr:uid="{00000000-0005-0000-0000-000098240000}"/>
    <cellStyle name="Comma 51 3 2 2 2" xfId="2255" xr:uid="{00000000-0005-0000-0000-000099240000}"/>
    <cellStyle name="Comma 51 3 2 3" xfId="2256" xr:uid="{00000000-0005-0000-0000-00009A240000}"/>
    <cellStyle name="Comma 51 3 3" xfId="2257" xr:uid="{00000000-0005-0000-0000-00009B240000}"/>
    <cellStyle name="Comma 51 3 3 2" xfId="2258" xr:uid="{00000000-0005-0000-0000-00009C240000}"/>
    <cellStyle name="Comma 51 3 4" xfId="2259" xr:uid="{00000000-0005-0000-0000-00009D240000}"/>
    <cellStyle name="Comma 51 3 4 2" xfId="2260" xr:uid="{00000000-0005-0000-0000-00009E240000}"/>
    <cellStyle name="Comma 51 3 5" xfId="2261" xr:uid="{00000000-0005-0000-0000-00009F240000}"/>
    <cellStyle name="Comma 51 4" xfId="2262" xr:uid="{00000000-0005-0000-0000-0000A0240000}"/>
    <cellStyle name="Comma 51 4 2" xfId="2263" xr:uid="{00000000-0005-0000-0000-0000A1240000}"/>
    <cellStyle name="Comma 51 4 2 2" xfId="2264" xr:uid="{00000000-0005-0000-0000-0000A2240000}"/>
    <cellStyle name="Comma 51 4 2 2 2" xfId="2265" xr:uid="{00000000-0005-0000-0000-0000A3240000}"/>
    <cellStyle name="Comma 51 4 2 3" xfId="2266" xr:uid="{00000000-0005-0000-0000-0000A4240000}"/>
    <cellStyle name="Comma 51 4 3" xfId="2267" xr:uid="{00000000-0005-0000-0000-0000A5240000}"/>
    <cellStyle name="Comma 51 4 3 2" xfId="2268" xr:uid="{00000000-0005-0000-0000-0000A6240000}"/>
    <cellStyle name="Comma 51 4 4" xfId="2269" xr:uid="{00000000-0005-0000-0000-0000A7240000}"/>
    <cellStyle name="Comma 51 4 4 2" xfId="2270" xr:uid="{00000000-0005-0000-0000-0000A8240000}"/>
    <cellStyle name="Comma 51 4 5" xfId="2271" xr:uid="{00000000-0005-0000-0000-0000A9240000}"/>
    <cellStyle name="Comma 51 5" xfId="2272" xr:uid="{00000000-0005-0000-0000-0000AA240000}"/>
    <cellStyle name="Comma 51 5 2" xfId="2273" xr:uid="{00000000-0005-0000-0000-0000AB240000}"/>
    <cellStyle name="Comma 51 5 2 2" xfId="2274" xr:uid="{00000000-0005-0000-0000-0000AC240000}"/>
    <cellStyle name="Comma 51 5 2 2 2" xfId="2275" xr:uid="{00000000-0005-0000-0000-0000AD240000}"/>
    <cellStyle name="Comma 51 5 2 3" xfId="2276" xr:uid="{00000000-0005-0000-0000-0000AE240000}"/>
    <cellStyle name="Comma 51 5 3" xfId="2277" xr:uid="{00000000-0005-0000-0000-0000AF240000}"/>
    <cellStyle name="Comma 51 5 3 2" xfId="2278" xr:uid="{00000000-0005-0000-0000-0000B0240000}"/>
    <cellStyle name="Comma 51 5 4" xfId="2279" xr:uid="{00000000-0005-0000-0000-0000B1240000}"/>
    <cellStyle name="Comma 51 5 4 2" xfId="2280" xr:uid="{00000000-0005-0000-0000-0000B2240000}"/>
    <cellStyle name="Comma 51 5 5" xfId="2281" xr:uid="{00000000-0005-0000-0000-0000B3240000}"/>
    <cellStyle name="Comma 51 6" xfId="2282" xr:uid="{00000000-0005-0000-0000-0000B4240000}"/>
    <cellStyle name="Comma 51 6 2" xfId="2283" xr:uid="{00000000-0005-0000-0000-0000B5240000}"/>
    <cellStyle name="Comma 51 6 2 2" xfId="2284" xr:uid="{00000000-0005-0000-0000-0000B6240000}"/>
    <cellStyle name="Comma 51 6 2 2 2" xfId="2285" xr:uid="{00000000-0005-0000-0000-0000B7240000}"/>
    <cellStyle name="Comma 51 6 2 3" xfId="2286" xr:uid="{00000000-0005-0000-0000-0000B8240000}"/>
    <cellStyle name="Comma 51 6 3" xfId="2287" xr:uid="{00000000-0005-0000-0000-0000B9240000}"/>
    <cellStyle name="Comma 51 6 3 2" xfId="2288" xr:uid="{00000000-0005-0000-0000-0000BA240000}"/>
    <cellStyle name="Comma 51 6 4" xfId="2289" xr:uid="{00000000-0005-0000-0000-0000BB240000}"/>
    <cellStyle name="Comma 51 6 4 2" xfId="2290" xr:uid="{00000000-0005-0000-0000-0000BC240000}"/>
    <cellStyle name="Comma 51 6 5" xfId="2291" xr:uid="{00000000-0005-0000-0000-0000BD240000}"/>
    <cellStyle name="Comma 51 7" xfId="2292" xr:uid="{00000000-0005-0000-0000-0000BE240000}"/>
    <cellStyle name="Comma 51 7 2" xfId="2293" xr:uid="{00000000-0005-0000-0000-0000BF240000}"/>
    <cellStyle name="Comma 51 7 2 2" xfId="2294" xr:uid="{00000000-0005-0000-0000-0000C0240000}"/>
    <cellStyle name="Comma 51 7 2 2 2" xfId="2295" xr:uid="{00000000-0005-0000-0000-0000C1240000}"/>
    <cellStyle name="Comma 51 7 2 3" xfId="2296" xr:uid="{00000000-0005-0000-0000-0000C2240000}"/>
    <cellStyle name="Comma 51 7 3" xfId="2297" xr:uid="{00000000-0005-0000-0000-0000C3240000}"/>
    <cellStyle name="Comma 51 7 3 2" xfId="2298" xr:uid="{00000000-0005-0000-0000-0000C4240000}"/>
    <cellStyle name="Comma 51 7 4" xfId="2299" xr:uid="{00000000-0005-0000-0000-0000C5240000}"/>
    <cellStyle name="Comma 51 8" xfId="2300" xr:uid="{00000000-0005-0000-0000-0000C6240000}"/>
    <cellStyle name="Comma 51 8 2" xfId="2301" xr:uid="{00000000-0005-0000-0000-0000C7240000}"/>
    <cellStyle name="Comma 51 8 2 2" xfId="2302" xr:uid="{00000000-0005-0000-0000-0000C8240000}"/>
    <cellStyle name="Comma 51 8 2 2 2" xfId="2303" xr:uid="{00000000-0005-0000-0000-0000C9240000}"/>
    <cellStyle name="Comma 51 8 2 3" xfId="2304" xr:uid="{00000000-0005-0000-0000-0000CA240000}"/>
    <cellStyle name="Comma 51 8 3" xfId="2305" xr:uid="{00000000-0005-0000-0000-0000CB240000}"/>
    <cellStyle name="Comma 51 8 3 2" xfId="2306" xr:uid="{00000000-0005-0000-0000-0000CC240000}"/>
    <cellStyle name="Comma 51 8 4" xfId="2307" xr:uid="{00000000-0005-0000-0000-0000CD240000}"/>
    <cellStyle name="Comma 51 9" xfId="2308" xr:uid="{00000000-0005-0000-0000-0000CE240000}"/>
    <cellStyle name="Comma 51 9 2" xfId="2309" xr:uid="{00000000-0005-0000-0000-0000CF240000}"/>
    <cellStyle name="Comma 51 9 2 2" xfId="2310" xr:uid="{00000000-0005-0000-0000-0000D0240000}"/>
    <cellStyle name="Comma 51 9 3" xfId="2311" xr:uid="{00000000-0005-0000-0000-0000D1240000}"/>
    <cellStyle name="Comma 52" xfId="2312" xr:uid="{00000000-0005-0000-0000-0000D2240000}"/>
    <cellStyle name="Comma 52 10" xfId="2313" xr:uid="{00000000-0005-0000-0000-0000D3240000}"/>
    <cellStyle name="Comma 52 10 2" xfId="2314" xr:uid="{00000000-0005-0000-0000-0000D4240000}"/>
    <cellStyle name="Comma 52 11" xfId="2315" xr:uid="{00000000-0005-0000-0000-0000D5240000}"/>
    <cellStyle name="Comma 52 11 2" xfId="2316" xr:uid="{00000000-0005-0000-0000-0000D6240000}"/>
    <cellStyle name="Comma 52 12" xfId="2317" xr:uid="{00000000-0005-0000-0000-0000D7240000}"/>
    <cellStyle name="Comma 52 2" xfId="2318" xr:uid="{00000000-0005-0000-0000-0000D8240000}"/>
    <cellStyle name="Comma 52 2 2" xfId="2319" xr:uid="{00000000-0005-0000-0000-0000D9240000}"/>
    <cellStyle name="Comma 52 2 2 2" xfId="2320" xr:uid="{00000000-0005-0000-0000-0000DA240000}"/>
    <cellStyle name="Comma 52 2 2 2 2" xfId="2321" xr:uid="{00000000-0005-0000-0000-0000DB240000}"/>
    <cellStyle name="Comma 52 2 2 3" xfId="2322" xr:uid="{00000000-0005-0000-0000-0000DC240000}"/>
    <cellStyle name="Comma 52 2 3" xfId="2323" xr:uid="{00000000-0005-0000-0000-0000DD240000}"/>
    <cellStyle name="Comma 52 2 3 2" xfId="2324" xr:uid="{00000000-0005-0000-0000-0000DE240000}"/>
    <cellStyle name="Comma 52 2 4" xfId="2325" xr:uid="{00000000-0005-0000-0000-0000DF240000}"/>
    <cellStyle name="Comma 52 2 4 2" xfId="2326" xr:uid="{00000000-0005-0000-0000-0000E0240000}"/>
    <cellStyle name="Comma 52 2 5" xfId="2327" xr:uid="{00000000-0005-0000-0000-0000E1240000}"/>
    <cellStyle name="Comma 52 3" xfId="2328" xr:uid="{00000000-0005-0000-0000-0000E2240000}"/>
    <cellStyle name="Comma 52 3 2" xfId="2329" xr:uid="{00000000-0005-0000-0000-0000E3240000}"/>
    <cellStyle name="Comma 52 3 2 2" xfId="2330" xr:uid="{00000000-0005-0000-0000-0000E4240000}"/>
    <cellStyle name="Comma 52 3 2 2 2" xfId="2331" xr:uid="{00000000-0005-0000-0000-0000E5240000}"/>
    <cellStyle name="Comma 52 3 2 3" xfId="2332" xr:uid="{00000000-0005-0000-0000-0000E6240000}"/>
    <cellStyle name="Comma 52 3 3" xfId="2333" xr:uid="{00000000-0005-0000-0000-0000E7240000}"/>
    <cellStyle name="Comma 52 3 3 2" xfId="2334" xr:uid="{00000000-0005-0000-0000-0000E8240000}"/>
    <cellStyle name="Comma 52 3 4" xfId="2335" xr:uid="{00000000-0005-0000-0000-0000E9240000}"/>
    <cellStyle name="Comma 52 3 4 2" xfId="2336" xr:uid="{00000000-0005-0000-0000-0000EA240000}"/>
    <cellStyle name="Comma 52 3 5" xfId="2337" xr:uid="{00000000-0005-0000-0000-0000EB240000}"/>
    <cellStyle name="Comma 52 4" xfId="2338" xr:uid="{00000000-0005-0000-0000-0000EC240000}"/>
    <cellStyle name="Comma 52 4 2" xfId="2339" xr:uid="{00000000-0005-0000-0000-0000ED240000}"/>
    <cellStyle name="Comma 52 4 2 2" xfId="2340" xr:uid="{00000000-0005-0000-0000-0000EE240000}"/>
    <cellStyle name="Comma 52 4 2 2 2" xfId="2341" xr:uid="{00000000-0005-0000-0000-0000EF240000}"/>
    <cellStyle name="Comma 52 4 2 3" xfId="2342" xr:uid="{00000000-0005-0000-0000-0000F0240000}"/>
    <cellStyle name="Comma 52 4 3" xfId="2343" xr:uid="{00000000-0005-0000-0000-0000F1240000}"/>
    <cellStyle name="Comma 52 4 3 2" xfId="2344" xr:uid="{00000000-0005-0000-0000-0000F2240000}"/>
    <cellStyle name="Comma 52 4 4" xfId="2345" xr:uid="{00000000-0005-0000-0000-0000F3240000}"/>
    <cellStyle name="Comma 52 4 4 2" xfId="2346" xr:uid="{00000000-0005-0000-0000-0000F4240000}"/>
    <cellStyle name="Comma 52 4 5" xfId="2347" xr:uid="{00000000-0005-0000-0000-0000F5240000}"/>
    <cellStyle name="Comma 52 5" xfId="2348" xr:uid="{00000000-0005-0000-0000-0000F6240000}"/>
    <cellStyle name="Comma 52 5 2" xfId="2349" xr:uid="{00000000-0005-0000-0000-0000F7240000}"/>
    <cellStyle name="Comma 52 5 2 2" xfId="2350" xr:uid="{00000000-0005-0000-0000-0000F8240000}"/>
    <cellStyle name="Comma 52 5 2 2 2" xfId="2351" xr:uid="{00000000-0005-0000-0000-0000F9240000}"/>
    <cellStyle name="Comma 52 5 2 3" xfId="2352" xr:uid="{00000000-0005-0000-0000-0000FA240000}"/>
    <cellStyle name="Comma 52 5 3" xfId="2353" xr:uid="{00000000-0005-0000-0000-0000FB240000}"/>
    <cellStyle name="Comma 52 5 3 2" xfId="2354" xr:uid="{00000000-0005-0000-0000-0000FC240000}"/>
    <cellStyle name="Comma 52 5 4" xfId="2355" xr:uid="{00000000-0005-0000-0000-0000FD240000}"/>
    <cellStyle name="Comma 52 5 4 2" xfId="2356" xr:uid="{00000000-0005-0000-0000-0000FE240000}"/>
    <cellStyle name="Comma 52 5 5" xfId="2357" xr:uid="{00000000-0005-0000-0000-0000FF240000}"/>
    <cellStyle name="Comma 52 6" xfId="2358" xr:uid="{00000000-0005-0000-0000-000000250000}"/>
    <cellStyle name="Comma 52 6 2" xfId="2359" xr:uid="{00000000-0005-0000-0000-000001250000}"/>
    <cellStyle name="Comma 52 6 2 2" xfId="2360" xr:uid="{00000000-0005-0000-0000-000002250000}"/>
    <cellStyle name="Comma 52 6 2 2 2" xfId="2361" xr:uid="{00000000-0005-0000-0000-000003250000}"/>
    <cellStyle name="Comma 52 6 2 3" xfId="2362" xr:uid="{00000000-0005-0000-0000-000004250000}"/>
    <cellStyle name="Comma 52 6 3" xfId="2363" xr:uid="{00000000-0005-0000-0000-000005250000}"/>
    <cellStyle name="Comma 52 6 3 2" xfId="2364" xr:uid="{00000000-0005-0000-0000-000006250000}"/>
    <cellStyle name="Comma 52 6 4" xfId="2365" xr:uid="{00000000-0005-0000-0000-000007250000}"/>
    <cellStyle name="Comma 52 6 4 2" xfId="2366" xr:uid="{00000000-0005-0000-0000-000008250000}"/>
    <cellStyle name="Comma 52 6 5" xfId="2367" xr:uid="{00000000-0005-0000-0000-000009250000}"/>
    <cellStyle name="Comma 52 7" xfId="2368" xr:uid="{00000000-0005-0000-0000-00000A250000}"/>
    <cellStyle name="Comma 52 7 2" xfId="2369" xr:uid="{00000000-0005-0000-0000-00000B250000}"/>
    <cellStyle name="Comma 52 7 2 2" xfId="2370" xr:uid="{00000000-0005-0000-0000-00000C250000}"/>
    <cellStyle name="Comma 52 7 2 2 2" xfId="2371" xr:uid="{00000000-0005-0000-0000-00000D250000}"/>
    <cellStyle name="Comma 52 7 2 3" xfId="2372" xr:uid="{00000000-0005-0000-0000-00000E250000}"/>
    <cellStyle name="Comma 52 7 3" xfId="2373" xr:uid="{00000000-0005-0000-0000-00000F250000}"/>
    <cellStyle name="Comma 52 7 3 2" xfId="2374" xr:uid="{00000000-0005-0000-0000-000010250000}"/>
    <cellStyle name="Comma 52 7 4" xfId="2375" xr:uid="{00000000-0005-0000-0000-000011250000}"/>
    <cellStyle name="Comma 52 8" xfId="2376" xr:uid="{00000000-0005-0000-0000-000012250000}"/>
    <cellStyle name="Comma 52 8 2" xfId="2377" xr:uid="{00000000-0005-0000-0000-000013250000}"/>
    <cellStyle name="Comma 52 8 2 2" xfId="2378" xr:uid="{00000000-0005-0000-0000-000014250000}"/>
    <cellStyle name="Comma 52 8 2 2 2" xfId="2379" xr:uid="{00000000-0005-0000-0000-000015250000}"/>
    <cellStyle name="Comma 52 8 2 3" xfId="2380" xr:uid="{00000000-0005-0000-0000-000016250000}"/>
    <cellStyle name="Comma 52 8 3" xfId="2381" xr:uid="{00000000-0005-0000-0000-000017250000}"/>
    <cellStyle name="Comma 52 8 3 2" xfId="2382" xr:uid="{00000000-0005-0000-0000-000018250000}"/>
    <cellStyle name="Comma 52 8 4" xfId="2383" xr:uid="{00000000-0005-0000-0000-000019250000}"/>
    <cellStyle name="Comma 52 9" xfId="2384" xr:uid="{00000000-0005-0000-0000-00001A250000}"/>
    <cellStyle name="Comma 52 9 2" xfId="2385" xr:uid="{00000000-0005-0000-0000-00001B250000}"/>
    <cellStyle name="Comma 52 9 2 2" xfId="2386" xr:uid="{00000000-0005-0000-0000-00001C250000}"/>
    <cellStyle name="Comma 52 9 3" xfId="2387" xr:uid="{00000000-0005-0000-0000-00001D250000}"/>
    <cellStyle name="Comma 53" xfId="2388" xr:uid="{00000000-0005-0000-0000-00001E250000}"/>
    <cellStyle name="Comma 53 10" xfId="2389" xr:uid="{00000000-0005-0000-0000-00001F250000}"/>
    <cellStyle name="Comma 53 10 2" xfId="2390" xr:uid="{00000000-0005-0000-0000-000020250000}"/>
    <cellStyle name="Comma 53 11" xfId="2391" xr:uid="{00000000-0005-0000-0000-000021250000}"/>
    <cellStyle name="Comma 53 11 2" xfId="2392" xr:uid="{00000000-0005-0000-0000-000022250000}"/>
    <cellStyle name="Comma 53 12" xfId="2393" xr:uid="{00000000-0005-0000-0000-000023250000}"/>
    <cellStyle name="Comma 53 2" xfId="2394" xr:uid="{00000000-0005-0000-0000-000024250000}"/>
    <cellStyle name="Comma 53 2 2" xfId="2395" xr:uid="{00000000-0005-0000-0000-000025250000}"/>
    <cellStyle name="Comma 53 2 2 2" xfId="2396" xr:uid="{00000000-0005-0000-0000-000026250000}"/>
    <cellStyle name="Comma 53 2 2 2 2" xfId="2397" xr:uid="{00000000-0005-0000-0000-000027250000}"/>
    <cellStyle name="Comma 53 2 2 3" xfId="2398" xr:uid="{00000000-0005-0000-0000-000028250000}"/>
    <cellStyle name="Comma 53 2 3" xfId="2399" xr:uid="{00000000-0005-0000-0000-000029250000}"/>
    <cellStyle name="Comma 53 2 3 2" xfId="2400" xr:uid="{00000000-0005-0000-0000-00002A250000}"/>
    <cellStyle name="Comma 53 2 4" xfId="2401" xr:uid="{00000000-0005-0000-0000-00002B250000}"/>
    <cellStyle name="Comma 53 2 4 2" xfId="2402" xr:uid="{00000000-0005-0000-0000-00002C250000}"/>
    <cellStyle name="Comma 53 2 5" xfId="2403" xr:uid="{00000000-0005-0000-0000-00002D250000}"/>
    <cellStyle name="Comma 53 3" xfId="2404" xr:uid="{00000000-0005-0000-0000-00002E250000}"/>
    <cellStyle name="Comma 53 3 2" xfId="2405" xr:uid="{00000000-0005-0000-0000-00002F250000}"/>
    <cellStyle name="Comma 53 3 2 2" xfId="2406" xr:uid="{00000000-0005-0000-0000-000030250000}"/>
    <cellStyle name="Comma 53 3 2 2 2" xfId="2407" xr:uid="{00000000-0005-0000-0000-000031250000}"/>
    <cellStyle name="Comma 53 3 2 3" xfId="2408" xr:uid="{00000000-0005-0000-0000-000032250000}"/>
    <cellStyle name="Comma 53 3 3" xfId="2409" xr:uid="{00000000-0005-0000-0000-000033250000}"/>
    <cellStyle name="Comma 53 3 3 2" xfId="2410" xr:uid="{00000000-0005-0000-0000-000034250000}"/>
    <cellStyle name="Comma 53 3 4" xfId="2411" xr:uid="{00000000-0005-0000-0000-000035250000}"/>
    <cellStyle name="Comma 53 3 4 2" xfId="2412" xr:uid="{00000000-0005-0000-0000-000036250000}"/>
    <cellStyle name="Comma 53 3 5" xfId="2413" xr:uid="{00000000-0005-0000-0000-000037250000}"/>
    <cellStyle name="Comma 53 4" xfId="2414" xr:uid="{00000000-0005-0000-0000-000038250000}"/>
    <cellStyle name="Comma 53 4 2" xfId="2415" xr:uid="{00000000-0005-0000-0000-000039250000}"/>
    <cellStyle name="Comma 53 4 2 2" xfId="2416" xr:uid="{00000000-0005-0000-0000-00003A250000}"/>
    <cellStyle name="Comma 53 4 2 2 2" xfId="2417" xr:uid="{00000000-0005-0000-0000-00003B250000}"/>
    <cellStyle name="Comma 53 4 2 3" xfId="2418" xr:uid="{00000000-0005-0000-0000-00003C250000}"/>
    <cellStyle name="Comma 53 4 3" xfId="2419" xr:uid="{00000000-0005-0000-0000-00003D250000}"/>
    <cellStyle name="Comma 53 4 3 2" xfId="2420" xr:uid="{00000000-0005-0000-0000-00003E250000}"/>
    <cellStyle name="Comma 53 4 4" xfId="2421" xr:uid="{00000000-0005-0000-0000-00003F250000}"/>
    <cellStyle name="Comma 53 4 4 2" xfId="2422" xr:uid="{00000000-0005-0000-0000-000040250000}"/>
    <cellStyle name="Comma 53 4 5" xfId="2423" xr:uid="{00000000-0005-0000-0000-000041250000}"/>
    <cellStyle name="Comma 53 5" xfId="2424" xr:uid="{00000000-0005-0000-0000-000042250000}"/>
    <cellStyle name="Comma 53 5 2" xfId="2425" xr:uid="{00000000-0005-0000-0000-000043250000}"/>
    <cellStyle name="Comma 53 5 2 2" xfId="2426" xr:uid="{00000000-0005-0000-0000-000044250000}"/>
    <cellStyle name="Comma 53 5 2 2 2" xfId="2427" xr:uid="{00000000-0005-0000-0000-000045250000}"/>
    <cellStyle name="Comma 53 5 2 3" xfId="2428" xr:uid="{00000000-0005-0000-0000-000046250000}"/>
    <cellStyle name="Comma 53 5 3" xfId="2429" xr:uid="{00000000-0005-0000-0000-000047250000}"/>
    <cellStyle name="Comma 53 5 3 2" xfId="2430" xr:uid="{00000000-0005-0000-0000-000048250000}"/>
    <cellStyle name="Comma 53 5 4" xfId="2431" xr:uid="{00000000-0005-0000-0000-000049250000}"/>
    <cellStyle name="Comma 53 5 4 2" xfId="2432" xr:uid="{00000000-0005-0000-0000-00004A250000}"/>
    <cellStyle name="Comma 53 5 5" xfId="2433" xr:uid="{00000000-0005-0000-0000-00004B250000}"/>
    <cellStyle name="Comma 53 6" xfId="2434" xr:uid="{00000000-0005-0000-0000-00004C250000}"/>
    <cellStyle name="Comma 53 6 2" xfId="2435" xr:uid="{00000000-0005-0000-0000-00004D250000}"/>
    <cellStyle name="Comma 53 6 2 2" xfId="2436" xr:uid="{00000000-0005-0000-0000-00004E250000}"/>
    <cellStyle name="Comma 53 6 2 2 2" xfId="2437" xr:uid="{00000000-0005-0000-0000-00004F250000}"/>
    <cellStyle name="Comma 53 6 2 3" xfId="2438" xr:uid="{00000000-0005-0000-0000-000050250000}"/>
    <cellStyle name="Comma 53 6 3" xfId="2439" xr:uid="{00000000-0005-0000-0000-000051250000}"/>
    <cellStyle name="Comma 53 6 3 2" xfId="2440" xr:uid="{00000000-0005-0000-0000-000052250000}"/>
    <cellStyle name="Comma 53 6 4" xfId="2441" xr:uid="{00000000-0005-0000-0000-000053250000}"/>
    <cellStyle name="Comma 53 6 4 2" xfId="2442" xr:uid="{00000000-0005-0000-0000-000054250000}"/>
    <cellStyle name="Comma 53 6 5" xfId="2443" xr:uid="{00000000-0005-0000-0000-000055250000}"/>
    <cellStyle name="Comma 53 7" xfId="2444" xr:uid="{00000000-0005-0000-0000-000056250000}"/>
    <cellStyle name="Comma 53 7 2" xfId="2445" xr:uid="{00000000-0005-0000-0000-000057250000}"/>
    <cellStyle name="Comma 53 7 2 2" xfId="2446" xr:uid="{00000000-0005-0000-0000-000058250000}"/>
    <cellStyle name="Comma 53 7 2 2 2" xfId="2447" xr:uid="{00000000-0005-0000-0000-000059250000}"/>
    <cellStyle name="Comma 53 7 2 3" xfId="2448" xr:uid="{00000000-0005-0000-0000-00005A250000}"/>
    <cellStyle name="Comma 53 7 3" xfId="2449" xr:uid="{00000000-0005-0000-0000-00005B250000}"/>
    <cellStyle name="Comma 53 7 3 2" xfId="2450" xr:uid="{00000000-0005-0000-0000-00005C250000}"/>
    <cellStyle name="Comma 53 7 4" xfId="2451" xr:uid="{00000000-0005-0000-0000-00005D250000}"/>
    <cellStyle name="Comma 53 8" xfId="2452" xr:uid="{00000000-0005-0000-0000-00005E250000}"/>
    <cellStyle name="Comma 53 8 2" xfId="2453" xr:uid="{00000000-0005-0000-0000-00005F250000}"/>
    <cellStyle name="Comma 53 8 2 2" xfId="2454" xr:uid="{00000000-0005-0000-0000-000060250000}"/>
    <cellStyle name="Comma 53 8 2 2 2" xfId="2455" xr:uid="{00000000-0005-0000-0000-000061250000}"/>
    <cellStyle name="Comma 53 8 2 3" xfId="2456" xr:uid="{00000000-0005-0000-0000-000062250000}"/>
    <cellStyle name="Comma 53 8 3" xfId="2457" xr:uid="{00000000-0005-0000-0000-000063250000}"/>
    <cellStyle name="Comma 53 8 3 2" xfId="2458" xr:uid="{00000000-0005-0000-0000-000064250000}"/>
    <cellStyle name="Comma 53 8 4" xfId="2459" xr:uid="{00000000-0005-0000-0000-000065250000}"/>
    <cellStyle name="Comma 53 9" xfId="2460" xr:uid="{00000000-0005-0000-0000-000066250000}"/>
    <cellStyle name="Comma 53 9 2" xfId="2461" xr:uid="{00000000-0005-0000-0000-000067250000}"/>
    <cellStyle name="Comma 53 9 2 2" xfId="2462" xr:uid="{00000000-0005-0000-0000-000068250000}"/>
    <cellStyle name="Comma 53 9 3" xfId="2463" xr:uid="{00000000-0005-0000-0000-000069250000}"/>
    <cellStyle name="Comma 54" xfId="2464" xr:uid="{00000000-0005-0000-0000-00006A250000}"/>
    <cellStyle name="Comma 54 10" xfId="2465" xr:uid="{00000000-0005-0000-0000-00006B250000}"/>
    <cellStyle name="Comma 54 10 2" xfId="2466" xr:uid="{00000000-0005-0000-0000-00006C250000}"/>
    <cellStyle name="Comma 54 11" xfId="2467" xr:uid="{00000000-0005-0000-0000-00006D250000}"/>
    <cellStyle name="Comma 54 11 2" xfId="2468" xr:uid="{00000000-0005-0000-0000-00006E250000}"/>
    <cellStyle name="Comma 54 12" xfId="2469" xr:uid="{00000000-0005-0000-0000-00006F250000}"/>
    <cellStyle name="Comma 54 2" xfId="2470" xr:uid="{00000000-0005-0000-0000-000070250000}"/>
    <cellStyle name="Comma 54 2 2" xfId="2471" xr:uid="{00000000-0005-0000-0000-000071250000}"/>
    <cellStyle name="Comma 54 2 2 2" xfId="2472" xr:uid="{00000000-0005-0000-0000-000072250000}"/>
    <cellStyle name="Comma 54 2 2 2 2" xfId="2473" xr:uid="{00000000-0005-0000-0000-000073250000}"/>
    <cellStyle name="Comma 54 2 2 3" xfId="2474" xr:uid="{00000000-0005-0000-0000-000074250000}"/>
    <cellStyle name="Comma 54 2 3" xfId="2475" xr:uid="{00000000-0005-0000-0000-000075250000}"/>
    <cellStyle name="Comma 54 2 3 2" xfId="2476" xr:uid="{00000000-0005-0000-0000-000076250000}"/>
    <cellStyle name="Comma 54 2 4" xfId="2477" xr:uid="{00000000-0005-0000-0000-000077250000}"/>
    <cellStyle name="Comma 54 2 4 2" xfId="2478" xr:uid="{00000000-0005-0000-0000-000078250000}"/>
    <cellStyle name="Comma 54 2 5" xfId="2479" xr:uid="{00000000-0005-0000-0000-000079250000}"/>
    <cellStyle name="Comma 54 3" xfId="2480" xr:uid="{00000000-0005-0000-0000-00007A250000}"/>
    <cellStyle name="Comma 54 3 2" xfId="2481" xr:uid="{00000000-0005-0000-0000-00007B250000}"/>
    <cellStyle name="Comma 54 3 2 2" xfId="2482" xr:uid="{00000000-0005-0000-0000-00007C250000}"/>
    <cellStyle name="Comma 54 3 2 2 2" xfId="2483" xr:uid="{00000000-0005-0000-0000-00007D250000}"/>
    <cellStyle name="Comma 54 3 2 3" xfId="2484" xr:uid="{00000000-0005-0000-0000-00007E250000}"/>
    <cellStyle name="Comma 54 3 3" xfId="2485" xr:uid="{00000000-0005-0000-0000-00007F250000}"/>
    <cellStyle name="Comma 54 3 3 2" xfId="2486" xr:uid="{00000000-0005-0000-0000-000080250000}"/>
    <cellStyle name="Comma 54 3 4" xfId="2487" xr:uid="{00000000-0005-0000-0000-000081250000}"/>
    <cellStyle name="Comma 54 3 4 2" xfId="2488" xr:uid="{00000000-0005-0000-0000-000082250000}"/>
    <cellStyle name="Comma 54 3 5" xfId="2489" xr:uid="{00000000-0005-0000-0000-000083250000}"/>
    <cellStyle name="Comma 54 4" xfId="2490" xr:uid="{00000000-0005-0000-0000-000084250000}"/>
    <cellStyle name="Comma 54 4 2" xfId="2491" xr:uid="{00000000-0005-0000-0000-000085250000}"/>
    <cellStyle name="Comma 54 4 2 2" xfId="2492" xr:uid="{00000000-0005-0000-0000-000086250000}"/>
    <cellStyle name="Comma 54 4 2 2 2" xfId="2493" xr:uid="{00000000-0005-0000-0000-000087250000}"/>
    <cellStyle name="Comma 54 4 2 3" xfId="2494" xr:uid="{00000000-0005-0000-0000-000088250000}"/>
    <cellStyle name="Comma 54 4 3" xfId="2495" xr:uid="{00000000-0005-0000-0000-000089250000}"/>
    <cellStyle name="Comma 54 4 3 2" xfId="2496" xr:uid="{00000000-0005-0000-0000-00008A250000}"/>
    <cellStyle name="Comma 54 4 4" xfId="2497" xr:uid="{00000000-0005-0000-0000-00008B250000}"/>
    <cellStyle name="Comma 54 4 4 2" xfId="2498" xr:uid="{00000000-0005-0000-0000-00008C250000}"/>
    <cellStyle name="Comma 54 4 5" xfId="2499" xr:uid="{00000000-0005-0000-0000-00008D250000}"/>
    <cellStyle name="Comma 54 5" xfId="2500" xr:uid="{00000000-0005-0000-0000-00008E250000}"/>
    <cellStyle name="Comma 54 5 2" xfId="2501" xr:uid="{00000000-0005-0000-0000-00008F250000}"/>
    <cellStyle name="Comma 54 5 2 2" xfId="2502" xr:uid="{00000000-0005-0000-0000-000090250000}"/>
    <cellStyle name="Comma 54 5 2 2 2" xfId="2503" xr:uid="{00000000-0005-0000-0000-000091250000}"/>
    <cellStyle name="Comma 54 5 2 3" xfId="2504" xr:uid="{00000000-0005-0000-0000-000092250000}"/>
    <cellStyle name="Comma 54 5 3" xfId="2505" xr:uid="{00000000-0005-0000-0000-000093250000}"/>
    <cellStyle name="Comma 54 5 3 2" xfId="2506" xr:uid="{00000000-0005-0000-0000-000094250000}"/>
    <cellStyle name="Comma 54 5 4" xfId="2507" xr:uid="{00000000-0005-0000-0000-000095250000}"/>
    <cellStyle name="Comma 54 5 4 2" xfId="2508" xr:uid="{00000000-0005-0000-0000-000096250000}"/>
    <cellStyle name="Comma 54 5 5" xfId="2509" xr:uid="{00000000-0005-0000-0000-000097250000}"/>
    <cellStyle name="Comma 54 6" xfId="2510" xr:uid="{00000000-0005-0000-0000-000098250000}"/>
    <cellStyle name="Comma 54 6 2" xfId="2511" xr:uid="{00000000-0005-0000-0000-000099250000}"/>
    <cellStyle name="Comma 54 6 2 2" xfId="2512" xr:uid="{00000000-0005-0000-0000-00009A250000}"/>
    <cellStyle name="Comma 54 6 2 2 2" xfId="2513" xr:uid="{00000000-0005-0000-0000-00009B250000}"/>
    <cellStyle name="Comma 54 6 2 3" xfId="2514" xr:uid="{00000000-0005-0000-0000-00009C250000}"/>
    <cellStyle name="Comma 54 6 3" xfId="2515" xr:uid="{00000000-0005-0000-0000-00009D250000}"/>
    <cellStyle name="Comma 54 6 3 2" xfId="2516" xr:uid="{00000000-0005-0000-0000-00009E250000}"/>
    <cellStyle name="Comma 54 6 4" xfId="2517" xr:uid="{00000000-0005-0000-0000-00009F250000}"/>
    <cellStyle name="Comma 54 6 4 2" xfId="2518" xr:uid="{00000000-0005-0000-0000-0000A0250000}"/>
    <cellStyle name="Comma 54 6 5" xfId="2519" xr:uid="{00000000-0005-0000-0000-0000A1250000}"/>
    <cellStyle name="Comma 54 7" xfId="2520" xr:uid="{00000000-0005-0000-0000-0000A2250000}"/>
    <cellStyle name="Comma 54 7 2" xfId="2521" xr:uid="{00000000-0005-0000-0000-0000A3250000}"/>
    <cellStyle name="Comma 54 7 2 2" xfId="2522" xr:uid="{00000000-0005-0000-0000-0000A4250000}"/>
    <cellStyle name="Comma 54 7 2 2 2" xfId="2523" xr:uid="{00000000-0005-0000-0000-0000A5250000}"/>
    <cellStyle name="Comma 54 7 2 3" xfId="2524" xr:uid="{00000000-0005-0000-0000-0000A6250000}"/>
    <cellStyle name="Comma 54 7 3" xfId="2525" xr:uid="{00000000-0005-0000-0000-0000A7250000}"/>
    <cellStyle name="Comma 54 7 3 2" xfId="2526" xr:uid="{00000000-0005-0000-0000-0000A8250000}"/>
    <cellStyle name="Comma 54 7 4" xfId="2527" xr:uid="{00000000-0005-0000-0000-0000A9250000}"/>
    <cellStyle name="Comma 54 8" xfId="2528" xr:uid="{00000000-0005-0000-0000-0000AA250000}"/>
    <cellStyle name="Comma 54 8 2" xfId="2529" xr:uid="{00000000-0005-0000-0000-0000AB250000}"/>
    <cellStyle name="Comma 54 8 2 2" xfId="2530" xr:uid="{00000000-0005-0000-0000-0000AC250000}"/>
    <cellStyle name="Comma 54 8 2 2 2" xfId="2531" xr:uid="{00000000-0005-0000-0000-0000AD250000}"/>
    <cellStyle name="Comma 54 8 2 3" xfId="2532" xr:uid="{00000000-0005-0000-0000-0000AE250000}"/>
    <cellStyle name="Comma 54 8 3" xfId="2533" xr:uid="{00000000-0005-0000-0000-0000AF250000}"/>
    <cellStyle name="Comma 54 8 3 2" xfId="2534" xr:uid="{00000000-0005-0000-0000-0000B0250000}"/>
    <cellStyle name="Comma 54 8 4" xfId="2535" xr:uid="{00000000-0005-0000-0000-0000B1250000}"/>
    <cellStyle name="Comma 54 9" xfId="2536" xr:uid="{00000000-0005-0000-0000-0000B2250000}"/>
    <cellStyle name="Comma 54 9 2" xfId="2537" xr:uid="{00000000-0005-0000-0000-0000B3250000}"/>
    <cellStyle name="Comma 54 9 2 2" xfId="2538" xr:uid="{00000000-0005-0000-0000-0000B4250000}"/>
    <cellStyle name="Comma 54 9 3" xfId="2539" xr:uid="{00000000-0005-0000-0000-0000B5250000}"/>
    <cellStyle name="Comma 55" xfId="2540" xr:uid="{00000000-0005-0000-0000-0000B6250000}"/>
    <cellStyle name="Comma 55 10" xfId="2541" xr:uid="{00000000-0005-0000-0000-0000B7250000}"/>
    <cellStyle name="Comma 55 10 2" xfId="2542" xr:uid="{00000000-0005-0000-0000-0000B8250000}"/>
    <cellStyle name="Comma 55 11" xfId="2543" xr:uid="{00000000-0005-0000-0000-0000B9250000}"/>
    <cellStyle name="Comma 55 11 2" xfId="2544" xr:uid="{00000000-0005-0000-0000-0000BA250000}"/>
    <cellStyle name="Comma 55 12" xfId="2545" xr:uid="{00000000-0005-0000-0000-0000BB250000}"/>
    <cellStyle name="Comma 55 2" xfId="2546" xr:uid="{00000000-0005-0000-0000-0000BC250000}"/>
    <cellStyle name="Comma 55 2 2" xfId="2547" xr:uid="{00000000-0005-0000-0000-0000BD250000}"/>
    <cellStyle name="Comma 55 2 2 2" xfId="2548" xr:uid="{00000000-0005-0000-0000-0000BE250000}"/>
    <cellStyle name="Comma 55 2 2 2 2" xfId="2549" xr:uid="{00000000-0005-0000-0000-0000BF250000}"/>
    <cellStyle name="Comma 55 2 2 3" xfId="2550" xr:uid="{00000000-0005-0000-0000-0000C0250000}"/>
    <cellStyle name="Comma 55 2 3" xfId="2551" xr:uid="{00000000-0005-0000-0000-0000C1250000}"/>
    <cellStyle name="Comma 55 2 3 2" xfId="2552" xr:uid="{00000000-0005-0000-0000-0000C2250000}"/>
    <cellStyle name="Comma 55 2 4" xfId="2553" xr:uid="{00000000-0005-0000-0000-0000C3250000}"/>
    <cellStyle name="Comma 55 2 4 2" xfId="2554" xr:uid="{00000000-0005-0000-0000-0000C4250000}"/>
    <cellStyle name="Comma 55 2 5" xfId="2555" xr:uid="{00000000-0005-0000-0000-0000C5250000}"/>
    <cellStyle name="Comma 55 3" xfId="2556" xr:uid="{00000000-0005-0000-0000-0000C6250000}"/>
    <cellStyle name="Comma 55 3 2" xfId="2557" xr:uid="{00000000-0005-0000-0000-0000C7250000}"/>
    <cellStyle name="Comma 55 3 2 2" xfId="2558" xr:uid="{00000000-0005-0000-0000-0000C8250000}"/>
    <cellStyle name="Comma 55 3 2 2 2" xfId="2559" xr:uid="{00000000-0005-0000-0000-0000C9250000}"/>
    <cellStyle name="Comma 55 3 2 3" xfId="2560" xr:uid="{00000000-0005-0000-0000-0000CA250000}"/>
    <cellStyle name="Comma 55 3 3" xfId="2561" xr:uid="{00000000-0005-0000-0000-0000CB250000}"/>
    <cellStyle name="Comma 55 3 3 2" xfId="2562" xr:uid="{00000000-0005-0000-0000-0000CC250000}"/>
    <cellStyle name="Comma 55 3 4" xfId="2563" xr:uid="{00000000-0005-0000-0000-0000CD250000}"/>
    <cellStyle name="Comma 55 3 4 2" xfId="2564" xr:uid="{00000000-0005-0000-0000-0000CE250000}"/>
    <cellStyle name="Comma 55 3 5" xfId="2565" xr:uid="{00000000-0005-0000-0000-0000CF250000}"/>
    <cellStyle name="Comma 55 4" xfId="2566" xr:uid="{00000000-0005-0000-0000-0000D0250000}"/>
    <cellStyle name="Comma 55 4 2" xfId="2567" xr:uid="{00000000-0005-0000-0000-0000D1250000}"/>
    <cellStyle name="Comma 55 4 2 2" xfId="2568" xr:uid="{00000000-0005-0000-0000-0000D2250000}"/>
    <cellStyle name="Comma 55 4 2 2 2" xfId="2569" xr:uid="{00000000-0005-0000-0000-0000D3250000}"/>
    <cellStyle name="Comma 55 4 2 3" xfId="2570" xr:uid="{00000000-0005-0000-0000-0000D4250000}"/>
    <cellStyle name="Comma 55 4 3" xfId="2571" xr:uid="{00000000-0005-0000-0000-0000D5250000}"/>
    <cellStyle name="Comma 55 4 3 2" xfId="2572" xr:uid="{00000000-0005-0000-0000-0000D6250000}"/>
    <cellStyle name="Comma 55 4 4" xfId="2573" xr:uid="{00000000-0005-0000-0000-0000D7250000}"/>
    <cellStyle name="Comma 55 4 4 2" xfId="2574" xr:uid="{00000000-0005-0000-0000-0000D8250000}"/>
    <cellStyle name="Comma 55 4 5" xfId="2575" xr:uid="{00000000-0005-0000-0000-0000D9250000}"/>
    <cellStyle name="Comma 55 5" xfId="2576" xr:uid="{00000000-0005-0000-0000-0000DA250000}"/>
    <cellStyle name="Comma 55 5 2" xfId="2577" xr:uid="{00000000-0005-0000-0000-0000DB250000}"/>
    <cellStyle name="Comma 55 5 2 2" xfId="2578" xr:uid="{00000000-0005-0000-0000-0000DC250000}"/>
    <cellStyle name="Comma 55 5 2 2 2" xfId="2579" xr:uid="{00000000-0005-0000-0000-0000DD250000}"/>
    <cellStyle name="Comma 55 5 2 3" xfId="2580" xr:uid="{00000000-0005-0000-0000-0000DE250000}"/>
    <cellStyle name="Comma 55 5 3" xfId="2581" xr:uid="{00000000-0005-0000-0000-0000DF250000}"/>
    <cellStyle name="Comma 55 5 3 2" xfId="2582" xr:uid="{00000000-0005-0000-0000-0000E0250000}"/>
    <cellStyle name="Comma 55 5 4" xfId="2583" xr:uid="{00000000-0005-0000-0000-0000E1250000}"/>
    <cellStyle name="Comma 55 5 4 2" xfId="2584" xr:uid="{00000000-0005-0000-0000-0000E2250000}"/>
    <cellStyle name="Comma 55 5 5" xfId="2585" xr:uid="{00000000-0005-0000-0000-0000E3250000}"/>
    <cellStyle name="Comma 55 6" xfId="2586" xr:uid="{00000000-0005-0000-0000-0000E4250000}"/>
    <cellStyle name="Comma 55 6 2" xfId="2587" xr:uid="{00000000-0005-0000-0000-0000E5250000}"/>
    <cellStyle name="Comma 55 6 2 2" xfId="2588" xr:uid="{00000000-0005-0000-0000-0000E6250000}"/>
    <cellStyle name="Comma 55 6 2 2 2" xfId="2589" xr:uid="{00000000-0005-0000-0000-0000E7250000}"/>
    <cellStyle name="Comma 55 6 2 3" xfId="2590" xr:uid="{00000000-0005-0000-0000-0000E8250000}"/>
    <cellStyle name="Comma 55 6 3" xfId="2591" xr:uid="{00000000-0005-0000-0000-0000E9250000}"/>
    <cellStyle name="Comma 55 6 3 2" xfId="2592" xr:uid="{00000000-0005-0000-0000-0000EA250000}"/>
    <cellStyle name="Comma 55 6 4" xfId="2593" xr:uid="{00000000-0005-0000-0000-0000EB250000}"/>
    <cellStyle name="Comma 55 6 4 2" xfId="2594" xr:uid="{00000000-0005-0000-0000-0000EC250000}"/>
    <cellStyle name="Comma 55 6 5" xfId="2595" xr:uid="{00000000-0005-0000-0000-0000ED250000}"/>
    <cellStyle name="Comma 55 7" xfId="2596" xr:uid="{00000000-0005-0000-0000-0000EE250000}"/>
    <cellStyle name="Comma 55 7 2" xfId="2597" xr:uid="{00000000-0005-0000-0000-0000EF250000}"/>
    <cellStyle name="Comma 55 7 2 2" xfId="2598" xr:uid="{00000000-0005-0000-0000-0000F0250000}"/>
    <cellStyle name="Comma 55 7 2 2 2" xfId="2599" xr:uid="{00000000-0005-0000-0000-0000F1250000}"/>
    <cellStyle name="Comma 55 7 2 3" xfId="2600" xr:uid="{00000000-0005-0000-0000-0000F2250000}"/>
    <cellStyle name="Comma 55 7 3" xfId="2601" xr:uid="{00000000-0005-0000-0000-0000F3250000}"/>
    <cellStyle name="Comma 55 7 3 2" xfId="2602" xr:uid="{00000000-0005-0000-0000-0000F4250000}"/>
    <cellStyle name="Comma 55 7 4" xfId="2603" xr:uid="{00000000-0005-0000-0000-0000F5250000}"/>
    <cellStyle name="Comma 55 8" xfId="2604" xr:uid="{00000000-0005-0000-0000-0000F6250000}"/>
    <cellStyle name="Comma 55 8 2" xfId="2605" xr:uid="{00000000-0005-0000-0000-0000F7250000}"/>
    <cellStyle name="Comma 55 8 2 2" xfId="2606" xr:uid="{00000000-0005-0000-0000-0000F8250000}"/>
    <cellStyle name="Comma 55 8 2 2 2" xfId="2607" xr:uid="{00000000-0005-0000-0000-0000F9250000}"/>
    <cellStyle name="Comma 55 8 2 3" xfId="2608" xr:uid="{00000000-0005-0000-0000-0000FA250000}"/>
    <cellStyle name="Comma 55 8 3" xfId="2609" xr:uid="{00000000-0005-0000-0000-0000FB250000}"/>
    <cellStyle name="Comma 55 8 3 2" xfId="2610" xr:uid="{00000000-0005-0000-0000-0000FC250000}"/>
    <cellStyle name="Comma 55 8 4" xfId="2611" xr:uid="{00000000-0005-0000-0000-0000FD250000}"/>
    <cellStyle name="Comma 55 9" xfId="2612" xr:uid="{00000000-0005-0000-0000-0000FE250000}"/>
    <cellStyle name="Comma 55 9 2" xfId="2613" xr:uid="{00000000-0005-0000-0000-0000FF250000}"/>
    <cellStyle name="Comma 55 9 2 2" xfId="2614" xr:uid="{00000000-0005-0000-0000-000000260000}"/>
    <cellStyle name="Comma 55 9 3" xfId="2615" xr:uid="{00000000-0005-0000-0000-000001260000}"/>
    <cellStyle name="Comma 56" xfId="2616" xr:uid="{00000000-0005-0000-0000-000002260000}"/>
    <cellStyle name="Comma 56 10" xfId="2617" xr:uid="{00000000-0005-0000-0000-000003260000}"/>
    <cellStyle name="Comma 56 10 2" xfId="2618" xr:uid="{00000000-0005-0000-0000-000004260000}"/>
    <cellStyle name="Comma 56 11" xfId="2619" xr:uid="{00000000-0005-0000-0000-000005260000}"/>
    <cellStyle name="Comma 56 11 2" xfId="2620" xr:uid="{00000000-0005-0000-0000-000006260000}"/>
    <cellStyle name="Comma 56 12" xfId="2621" xr:uid="{00000000-0005-0000-0000-000007260000}"/>
    <cellStyle name="Comma 56 2" xfId="2622" xr:uid="{00000000-0005-0000-0000-000008260000}"/>
    <cellStyle name="Comma 56 2 2" xfId="2623" xr:uid="{00000000-0005-0000-0000-000009260000}"/>
    <cellStyle name="Comma 56 2 2 2" xfId="2624" xr:uid="{00000000-0005-0000-0000-00000A260000}"/>
    <cellStyle name="Comma 56 2 2 2 2" xfId="2625" xr:uid="{00000000-0005-0000-0000-00000B260000}"/>
    <cellStyle name="Comma 56 2 2 3" xfId="2626" xr:uid="{00000000-0005-0000-0000-00000C260000}"/>
    <cellStyle name="Comma 56 2 3" xfId="2627" xr:uid="{00000000-0005-0000-0000-00000D260000}"/>
    <cellStyle name="Comma 56 2 3 2" xfId="2628" xr:uid="{00000000-0005-0000-0000-00000E260000}"/>
    <cellStyle name="Comma 56 2 4" xfId="2629" xr:uid="{00000000-0005-0000-0000-00000F260000}"/>
    <cellStyle name="Comma 56 2 4 2" xfId="2630" xr:uid="{00000000-0005-0000-0000-000010260000}"/>
    <cellStyle name="Comma 56 2 5" xfId="2631" xr:uid="{00000000-0005-0000-0000-000011260000}"/>
    <cellStyle name="Comma 56 3" xfId="2632" xr:uid="{00000000-0005-0000-0000-000012260000}"/>
    <cellStyle name="Comma 56 3 2" xfId="2633" xr:uid="{00000000-0005-0000-0000-000013260000}"/>
    <cellStyle name="Comma 56 3 2 2" xfId="2634" xr:uid="{00000000-0005-0000-0000-000014260000}"/>
    <cellStyle name="Comma 56 3 2 2 2" xfId="2635" xr:uid="{00000000-0005-0000-0000-000015260000}"/>
    <cellStyle name="Comma 56 3 2 3" xfId="2636" xr:uid="{00000000-0005-0000-0000-000016260000}"/>
    <cellStyle name="Comma 56 3 3" xfId="2637" xr:uid="{00000000-0005-0000-0000-000017260000}"/>
    <cellStyle name="Comma 56 3 3 2" xfId="2638" xr:uid="{00000000-0005-0000-0000-000018260000}"/>
    <cellStyle name="Comma 56 3 4" xfId="2639" xr:uid="{00000000-0005-0000-0000-000019260000}"/>
    <cellStyle name="Comma 56 3 4 2" xfId="2640" xr:uid="{00000000-0005-0000-0000-00001A260000}"/>
    <cellStyle name="Comma 56 3 5" xfId="2641" xr:uid="{00000000-0005-0000-0000-00001B260000}"/>
    <cellStyle name="Comma 56 4" xfId="2642" xr:uid="{00000000-0005-0000-0000-00001C260000}"/>
    <cellStyle name="Comma 56 4 2" xfId="2643" xr:uid="{00000000-0005-0000-0000-00001D260000}"/>
    <cellStyle name="Comma 56 4 2 2" xfId="2644" xr:uid="{00000000-0005-0000-0000-00001E260000}"/>
    <cellStyle name="Comma 56 4 2 2 2" xfId="2645" xr:uid="{00000000-0005-0000-0000-00001F260000}"/>
    <cellStyle name="Comma 56 4 2 3" xfId="2646" xr:uid="{00000000-0005-0000-0000-000020260000}"/>
    <cellStyle name="Comma 56 4 3" xfId="2647" xr:uid="{00000000-0005-0000-0000-000021260000}"/>
    <cellStyle name="Comma 56 4 3 2" xfId="2648" xr:uid="{00000000-0005-0000-0000-000022260000}"/>
    <cellStyle name="Comma 56 4 4" xfId="2649" xr:uid="{00000000-0005-0000-0000-000023260000}"/>
    <cellStyle name="Comma 56 4 4 2" xfId="2650" xr:uid="{00000000-0005-0000-0000-000024260000}"/>
    <cellStyle name="Comma 56 4 5" xfId="2651" xr:uid="{00000000-0005-0000-0000-000025260000}"/>
    <cellStyle name="Comma 56 5" xfId="2652" xr:uid="{00000000-0005-0000-0000-000026260000}"/>
    <cellStyle name="Comma 56 5 2" xfId="2653" xr:uid="{00000000-0005-0000-0000-000027260000}"/>
    <cellStyle name="Comma 56 5 2 2" xfId="2654" xr:uid="{00000000-0005-0000-0000-000028260000}"/>
    <cellStyle name="Comma 56 5 2 2 2" xfId="2655" xr:uid="{00000000-0005-0000-0000-000029260000}"/>
    <cellStyle name="Comma 56 5 2 3" xfId="2656" xr:uid="{00000000-0005-0000-0000-00002A260000}"/>
    <cellStyle name="Comma 56 5 3" xfId="2657" xr:uid="{00000000-0005-0000-0000-00002B260000}"/>
    <cellStyle name="Comma 56 5 3 2" xfId="2658" xr:uid="{00000000-0005-0000-0000-00002C260000}"/>
    <cellStyle name="Comma 56 5 4" xfId="2659" xr:uid="{00000000-0005-0000-0000-00002D260000}"/>
    <cellStyle name="Comma 56 5 4 2" xfId="2660" xr:uid="{00000000-0005-0000-0000-00002E260000}"/>
    <cellStyle name="Comma 56 5 5" xfId="2661" xr:uid="{00000000-0005-0000-0000-00002F260000}"/>
    <cellStyle name="Comma 56 6" xfId="2662" xr:uid="{00000000-0005-0000-0000-000030260000}"/>
    <cellStyle name="Comma 56 6 2" xfId="2663" xr:uid="{00000000-0005-0000-0000-000031260000}"/>
    <cellStyle name="Comma 56 6 2 2" xfId="2664" xr:uid="{00000000-0005-0000-0000-000032260000}"/>
    <cellStyle name="Comma 56 6 2 2 2" xfId="2665" xr:uid="{00000000-0005-0000-0000-000033260000}"/>
    <cellStyle name="Comma 56 6 2 3" xfId="2666" xr:uid="{00000000-0005-0000-0000-000034260000}"/>
    <cellStyle name="Comma 56 6 3" xfId="2667" xr:uid="{00000000-0005-0000-0000-000035260000}"/>
    <cellStyle name="Comma 56 6 3 2" xfId="2668" xr:uid="{00000000-0005-0000-0000-000036260000}"/>
    <cellStyle name="Comma 56 6 4" xfId="2669" xr:uid="{00000000-0005-0000-0000-000037260000}"/>
    <cellStyle name="Comma 56 6 4 2" xfId="2670" xr:uid="{00000000-0005-0000-0000-000038260000}"/>
    <cellStyle name="Comma 56 6 5" xfId="2671" xr:uid="{00000000-0005-0000-0000-000039260000}"/>
    <cellStyle name="Comma 56 7" xfId="2672" xr:uid="{00000000-0005-0000-0000-00003A260000}"/>
    <cellStyle name="Comma 56 7 2" xfId="2673" xr:uid="{00000000-0005-0000-0000-00003B260000}"/>
    <cellStyle name="Comma 56 7 2 2" xfId="2674" xr:uid="{00000000-0005-0000-0000-00003C260000}"/>
    <cellStyle name="Comma 56 7 2 2 2" xfId="2675" xr:uid="{00000000-0005-0000-0000-00003D260000}"/>
    <cellStyle name="Comma 56 7 2 3" xfId="2676" xr:uid="{00000000-0005-0000-0000-00003E260000}"/>
    <cellStyle name="Comma 56 7 3" xfId="2677" xr:uid="{00000000-0005-0000-0000-00003F260000}"/>
    <cellStyle name="Comma 56 7 3 2" xfId="2678" xr:uid="{00000000-0005-0000-0000-000040260000}"/>
    <cellStyle name="Comma 56 7 4" xfId="2679" xr:uid="{00000000-0005-0000-0000-000041260000}"/>
    <cellStyle name="Comma 56 8" xfId="2680" xr:uid="{00000000-0005-0000-0000-000042260000}"/>
    <cellStyle name="Comma 56 8 2" xfId="2681" xr:uid="{00000000-0005-0000-0000-000043260000}"/>
    <cellStyle name="Comma 56 8 2 2" xfId="2682" xr:uid="{00000000-0005-0000-0000-000044260000}"/>
    <cellStyle name="Comma 56 8 2 2 2" xfId="2683" xr:uid="{00000000-0005-0000-0000-000045260000}"/>
    <cellStyle name="Comma 56 8 2 3" xfId="2684" xr:uid="{00000000-0005-0000-0000-000046260000}"/>
    <cellStyle name="Comma 56 8 3" xfId="2685" xr:uid="{00000000-0005-0000-0000-000047260000}"/>
    <cellStyle name="Comma 56 8 3 2" xfId="2686" xr:uid="{00000000-0005-0000-0000-000048260000}"/>
    <cellStyle name="Comma 56 8 4" xfId="2687" xr:uid="{00000000-0005-0000-0000-000049260000}"/>
    <cellStyle name="Comma 56 9" xfId="2688" xr:uid="{00000000-0005-0000-0000-00004A260000}"/>
    <cellStyle name="Comma 56 9 2" xfId="2689" xr:uid="{00000000-0005-0000-0000-00004B260000}"/>
    <cellStyle name="Comma 56 9 2 2" xfId="2690" xr:uid="{00000000-0005-0000-0000-00004C260000}"/>
    <cellStyle name="Comma 56 9 3" xfId="2691" xr:uid="{00000000-0005-0000-0000-00004D260000}"/>
    <cellStyle name="Comma 57" xfId="2692" xr:uid="{00000000-0005-0000-0000-00004E260000}"/>
    <cellStyle name="Comma 57 10" xfId="2693" xr:uid="{00000000-0005-0000-0000-00004F260000}"/>
    <cellStyle name="Comma 57 10 2" xfId="2694" xr:uid="{00000000-0005-0000-0000-000050260000}"/>
    <cellStyle name="Comma 57 11" xfId="2695" xr:uid="{00000000-0005-0000-0000-000051260000}"/>
    <cellStyle name="Comma 57 11 2" xfId="2696" xr:uid="{00000000-0005-0000-0000-000052260000}"/>
    <cellStyle name="Comma 57 12" xfId="2697" xr:uid="{00000000-0005-0000-0000-000053260000}"/>
    <cellStyle name="Comma 57 2" xfId="2698" xr:uid="{00000000-0005-0000-0000-000054260000}"/>
    <cellStyle name="Comma 57 2 2" xfId="2699" xr:uid="{00000000-0005-0000-0000-000055260000}"/>
    <cellStyle name="Comma 57 2 2 2" xfId="2700" xr:uid="{00000000-0005-0000-0000-000056260000}"/>
    <cellStyle name="Comma 57 2 2 2 2" xfId="2701" xr:uid="{00000000-0005-0000-0000-000057260000}"/>
    <cellStyle name="Comma 57 2 2 3" xfId="2702" xr:uid="{00000000-0005-0000-0000-000058260000}"/>
    <cellStyle name="Comma 57 2 3" xfId="2703" xr:uid="{00000000-0005-0000-0000-000059260000}"/>
    <cellStyle name="Comma 57 2 3 2" xfId="2704" xr:uid="{00000000-0005-0000-0000-00005A260000}"/>
    <cellStyle name="Comma 57 2 4" xfId="2705" xr:uid="{00000000-0005-0000-0000-00005B260000}"/>
    <cellStyle name="Comma 57 2 4 2" xfId="2706" xr:uid="{00000000-0005-0000-0000-00005C260000}"/>
    <cellStyle name="Comma 57 2 5" xfId="2707" xr:uid="{00000000-0005-0000-0000-00005D260000}"/>
    <cellStyle name="Comma 57 3" xfId="2708" xr:uid="{00000000-0005-0000-0000-00005E260000}"/>
    <cellStyle name="Comma 57 3 2" xfId="2709" xr:uid="{00000000-0005-0000-0000-00005F260000}"/>
    <cellStyle name="Comma 57 3 2 2" xfId="2710" xr:uid="{00000000-0005-0000-0000-000060260000}"/>
    <cellStyle name="Comma 57 3 2 2 2" xfId="2711" xr:uid="{00000000-0005-0000-0000-000061260000}"/>
    <cellStyle name="Comma 57 3 2 3" xfId="2712" xr:uid="{00000000-0005-0000-0000-000062260000}"/>
    <cellStyle name="Comma 57 3 3" xfId="2713" xr:uid="{00000000-0005-0000-0000-000063260000}"/>
    <cellStyle name="Comma 57 3 3 2" xfId="2714" xr:uid="{00000000-0005-0000-0000-000064260000}"/>
    <cellStyle name="Comma 57 3 4" xfId="2715" xr:uid="{00000000-0005-0000-0000-000065260000}"/>
    <cellStyle name="Comma 57 3 4 2" xfId="2716" xr:uid="{00000000-0005-0000-0000-000066260000}"/>
    <cellStyle name="Comma 57 3 5" xfId="2717" xr:uid="{00000000-0005-0000-0000-000067260000}"/>
    <cellStyle name="Comma 57 4" xfId="2718" xr:uid="{00000000-0005-0000-0000-000068260000}"/>
    <cellStyle name="Comma 57 4 2" xfId="2719" xr:uid="{00000000-0005-0000-0000-000069260000}"/>
    <cellStyle name="Comma 57 4 2 2" xfId="2720" xr:uid="{00000000-0005-0000-0000-00006A260000}"/>
    <cellStyle name="Comma 57 4 2 2 2" xfId="2721" xr:uid="{00000000-0005-0000-0000-00006B260000}"/>
    <cellStyle name="Comma 57 4 2 3" xfId="2722" xr:uid="{00000000-0005-0000-0000-00006C260000}"/>
    <cellStyle name="Comma 57 4 3" xfId="2723" xr:uid="{00000000-0005-0000-0000-00006D260000}"/>
    <cellStyle name="Comma 57 4 3 2" xfId="2724" xr:uid="{00000000-0005-0000-0000-00006E260000}"/>
    <cellStyle name="Comma 57 4 4" xfId="2725" xr:uid="{00000000-0005-0000-0000-00006F260000}"/>
    <cellStyle name="Comma 57 4 4 2" xfId="2726" xr:uid="{00000000-0005-0000-0000-000070260000}"/>
    <cellStyle name="Comma 57 4 5" xfId="2727" xr:uid="{00000000-0005-0000-0000-000071260000}"/>
    <cellStyle name="Comma 57 5" xfId="2728" xr:uid="{00000000-0005-0000-0000-000072260000}"/>
    <cellStyle name="Comma 57 5 2" xfId="2729" xr:uid="{00000000-0005-0000-0000-000073260000}"/>
    <cellStyle name="Comma 57 5 2 2" xfId="2730" xr:uid="{00000000-0005-0000-0000-000074260000}"/>
    <cellStyle name="Comma 57 5 2 2 2" xfId="2731" xr:uid="{00000000-0005-0000-0000-000075260000}"/>
    <cellStyle name="Comma 57 5 2 3" xfId="2732" xr:uid="{00000000-0005-0000-0000-000076260000}"/>
    <cellStyle name="Comma 57 5 3" xfId="2733" xr:uid="{00000000-0005-0000-0000-000077260000}"/>
    <cellStyle name="Comma 57 5 3 2" xfId="2734" xr:uid="{00000000-0005-0000-0000-000078260000}"/>
    <cellStyle name="Comma 57 5 4" xfId="2735" xr:uid="{00000000-0005-0000-0000-000079260000}"/>
    <cellStyle name="Comma 57 5 4 2" xfId="2736" xr:uid="{00000000-0005-0000-0000-00007A260000}"/>
    <cellStyle name="Comma 57 5 5" xfId="2737" xr:uid="{00000000-0005-0000-0000-00007B260000}"/>
    <cellStyle name="Comma 57 6" xfId="2738" xr:uid="{00000000-0005-0000-0000-00007C260000}"/>
    <cellStyle name="Comma 57 6 2" xfId="2739" xr:uid="{00000000-0005-0000-0000-00007D260000}"/>
    <cellStyle name="Comma 57 6 2 2" xfId="2740" xr:uid="{00000000-0005-0000-0000-00007E260000}"/>
    <cellStyle name="Comma 57 6 2 2 2" xfId="2741" xr:uid="{00000000-0005-0000-0000-00007F260000}"/>
    <cellStyle name="Comma 57 6 2 3" xfId="2742" xr:uid="{00000000-0005-0000-0000-000080260000}"/>
    <cellStyle name="Comma 57 6 3" xfId="2743" xr:uid="{00000000-0005-0000-0000-000081260000}"/>
    <cellStyle name="Comma 57 6 3 2" xfId="2744" xr:uid="{00000000-0005-0000-0000-000082260000}"/>
    <cellStyle name="Comma 57 6 4" xfId="2745" xr:uid="{00000000-0005-0000-0000-000083260000}"/>
    <cellStyle name="Comma 57 6 4 2" xfId="2746" xr:uid="{00000000-0005-0000-0000-000084260000}"/>
    <cellStyle name="Comma 57 6 5" xfId="2747" xr:uid="{00000000-0005-0000-0000-000085260000}"/>
    <cellStyle name="Comma 57 7" xfId="2748" xr:uid="{00000000-0005-0000-0000-000086260000}"/>
    <cellStyle name="Comma 57 7 2" xfId="2749" xr:uid="{00000000-0005-0000-0000-000087260000}"/>
    <cellStyle name="Comma 57 7 2 2" xfId="2750" xr:uid="{00000000-0005-0000-0000-000088260000}"/>
    <cellStyle name="Comma 57 7 2 2 2" xfId="2751" xr:uid="{00000000-0005-0000-0000-000089260000}"/>
    <cellStyle name="Comma 57 7 2 3" xfId="2752" xr:uid="{00000000-0005-0000-0000-00008A260000}"/>
    <cellStyle name="Comma 57 7 3" xfId="2753" xr:uid="{00000000-0005-0000-0000-00008B260000}"/>
    <cellStyle name="Comma 57 7 3 2" xfId="2754" xr:uid="{00000000-0005-0000-0000-00008C260000}"/>
    <cellStyle name="Comma 57 7 4" xfId="2755" xr:uid="{00000000-0005-0000-0000-00008D260000}"/>
    <cellStyle name="Comma 57 8" xfId="2756" xr:uid="{00000000-0005-0000-0000-00008E260000}"/>
    <cellStyle name="Comma 57 8 2" xfId="2757" xr:uid="{00000000-0005-0000-0000-00008F260000}"/>
    <cellStyle name="Comma 57 8 2 2" xfId="2758" xr:uid="{00000000-0005-0000-0000-000090260000}"/>
    <cellStyle name="Comma 57 8 2 2 2" xfId="2759" xr:uid="{00000000-0005-0000-0000-000091260000}"/>
    <cellStyle name="Comma 57 8 2 3" xfId="2760" xr:uid="{00000000-0005-0000-0000-000092260000}"/>
    <cellStyle name="Comma 57 8 3" xfId="2761" xr:uid="{00000000-0005-0000-0000-000093260000}"/>
    <cellStyle name="Comma 57 8 3 2" xfId="2762" xr:uid="{00000000-0005-0000-0000-000094260000}"/>
    <cellStyle name="Comma 57 8 4" xfId="2763" xr:uid="{00000000-0005-0000-0000-000095260000}"/>
    <cellStyle name="Comma 57 9" xfId="2764" xr:uid="{00000000-0005-0000-0000-000096260000}"/>
    <cellStyle name="Comma 57 9 2" xfId="2765" xr:uid="{00000000-0005-0000-0000-000097260000}"/>
    <cellStyle name="Comma 57 9 2 2" xfId="2766" xr:uid="{00000000-0005-0000-0000-000098260000}"/>
    <cellStyle name="Comma 57 9 3" xfId="2767" xr:uid="{00000000-0005-0000-0000-000099260000}"/>
    <cellStyle name="Comma 58" xfId="2768" xr:uid="{00000000-0005-0000-0000-00009A260000}"/>
    <cellStyle name="Comma 58 10" xfId="2769" xr:uid="{00000000-0005-0000-0000-00009B260000}"/>
    <cellStyle name="Comma 58 10 2" xfId="2770" xr:uid="{00000000-0005-0000-0000-00009C260000}"/>
    <cellStyle name="Comma 58 11" xfId="2771" xr:uid="{00000000-0005-0000-0000-00009D260000}"/>
    <cellStyle name="Comma 58 11 2" xfId="2772" xr:uid="{00000000-0005-0000-0000-00009E260000}"/>
    <cellStyle name="Comma 58 12" xfId="2773" xr:uid="{00000000-0005-0000-0000-00009F260000}"/>
    <cellStyle name="Comma 58 2" xfId="2774" xr:uid="{00000000-0005-0000-0000-0000A0260000}"/>
    <cellStyle name="Comma 58 2 2" xfId="2775" xr:uid="{00000000-0005-0000-0000-0000A1260000}"/>
    <cellStyle name="Comma 58 2 2 2" xfId="2776" xr:uid="{00000000-0005-0000-0000-0000A2260000}"/>
    <cellStyle name="Comma 58 2 2 2 2" xfId="2777" xr:uid="{00000000-0005-0000-0000-0000A3260000}"/>
    <cellStyle name="Comma 58 2 2 3" xfId="2778" xr:uid="{00000000-0005-0000-0000-0000A4260000}"/>
    <cellStyle name="Comma 58 2 3" xfId="2779" xr:uid="{00000000-0005-0000-0000-0000A5260000}"/>
    <cellStyle name="Comma 58 2 3 2" xfId="2780" xr:uid="{00000000-0005-0000-0000-0000A6260000}"/>
    <cellStyle name="Comma 58 2 4" xfId="2781" xr:uid="{00000000-0005-0000-0000-0000A7260000}"/>
    <cellStyle name="Comma 58 2 4 2" xfId="2782" xr:uid="{00000000-0005-0000-0000-0000A8260000}"/>
    <cellStyle name="Comma 58 2 5" xfId="2783" xr:uid="{00000000-0005-0000-0000-0000A9260000}"/>
    <cellStyle name="Comma 58 3" xfId="2784" xr:uid="{00000000-0005-0000-0000-0000AA260000}"/>
    <cellStyle name="Comma 58 3 2" xfId="2785" xr:uid="{00000000-0005-0000-0000-0000AB260000}"/>
    <cellStyle name="Comma 58 3 2 2" xfId="2786" xr:uid="{00000000-0005-0000-0000-0000AC260000}"/>
    <cellStyle name="Comma 58 3 2 2 2" xfId="2787" xr:uid="{00000000-0005-0000-0000-0000AD260000}"/>
    <cellStyle name="Comma 58 3 2 3" xfId="2788" xr:uid="{00000000-0005-0000-0000-0000AE260000}"/>
    <cellStyle name="Comma 58 3 3" xfId="2789" xr:uid="{00000000-0005-0000-0000-0000AF260000}"/>
    <cellStyle name="Comma 58 3 3 2" xfId="2790" xr:uid="{00000000-0005-0000-0000-0000B0260000}"/>
    <cellStyle name="Comma 58 3 4" xfId="2791" xr:uid="{00000000-0005-0000-0000-0000B1260000}"/>
    <cellStyle name="Comma 58 3 4 2" xfId="2792" xr:uid="{00000000-0005-0000-0000-0000B2260000}"/>
    <cellStyle name="Comma 58 3 5" xfId="2793" xr:uid="{00000000-0005-0000-0000-0000B3260000}"/>
    <cellStyle name="Comma 58 4" xfId="2794" xr:uid="{00000000-0005-0000-0000-0000B4260000}"/>
    <cellStyle name="Comma 58 4 2" xfId="2795" xr:uid="{00000000-0005-0000-0000-0000B5260000}"/>
    <cellStyle name="Comma 58 4 2 2" xfId="2796" xr:uid="{00000000-0005-0000-0000-0000B6260000}"/>
    <cellStyle name="Comma 58 4 2 2 2" xfId="2797" xr:uid="{00000000-0005-0000-0000-0000B7260000}"/>
    <cellStyle name="Comma 58 4 2 3" xfId="2798" xr:uid="{00000000-0005-0000-0000-0000B8260000}"/>
    <cellStyle name="Comma 58 4 3" xfId="2799" xr:uid="{00000000-0005-0000-0000-0000B9260000}"/>
    <cellStyle name="Comma 58 4 3 2" xfId="2800" xr:uid="{00000000-0005-0000-0000-0000BA260000}"/>
    <cellStyle name="Comma 58 4 4" xfId="2801" xr:uid="{00000000-0005-0000-0000-0000BB260000}"/>
    <cellStyle name="Comma 58 4 4 2" xfId="2802" xr:uid="{00000000-0005-0000-0000-0000BC260000}"/>
    <cellStyle name="Comma 58 4 5" xfId="2803" xr:uid="{00000000-0005-0000-0000-0000BD260000}"/>
    <cellStyle name="Comma 58 5" xfId="2804" xr:uid="{00000000-0005-0000-0000-0000BE260000}"/>
    <cellStyle name="Comma 58 5 2" xfId="2805" xr:uid="{00000000-0005-0000-0000-0000BF260000}"/>
    <cellStyle name="Comma 58 5 2 2" xfId="2806" xr:uid="{00000000-0005-0000-0000-0000C0260000}"/>
    <cellStyle name="Comma 58 5 2 2 2" xfId="2807" xr:uid="{00000000-0005-0000-0000-0000C1260000}"/>
    <cellStyle name="Comma 58 5 2 3" xfId="2808" xr:uid="{00000000-0005-0000-0000-0000C2260000}"/>
    <cellStyle name="Comma 58 5 3" xfId="2809" xr:uid="{00000000-0005-0000-0000-0000C3260000}"/>
    <cellStyle name="Comma 58 5 3 2" xfId="2810" xr:uid="{00000000-0005-0000-0000-0000C4260000}"/>
    <cellStyle name="Comma 58 5 4" xfId="2811" xr:uid="{00000000-0005-0000-0000-0000C5260000}"/>
    <cellStyle name="Comma 58 5 4 2" xfId="2812" xr:uid="{00000000-0005-0000-0000-0000C6260000}"/>
    <cellStyle name="Comma 58 5 5" xfId="2813" xr:uid="{00000000-0005-0000-0000-0000C7260000}"/>
    <cellStyle name="Comma 58 6" xfId="2814" xr:uid="{00000000-0005-0000-0000-0000C8260000}"/>
    <cellStyle name="Comma 58 6 2" xfId="2815" xr:uid="{00000000-0005-0000-0000-0000C9260000}"/>
    <cellStyle name="Comma 58 6 2 2" xfId="2816" xr:uid="{00000000-0005-0000-0000-0000CA260000}"/>
    <cellStyle name="Comma 58 6 2 2 2" xfId="2817" xr:uid="{00000000-0005-0000-0000-0000CB260000}"/>
    <cellStyle name="Comma 58 6 2 3" xfId="2818" xr:uid="{00000000-0005-0000-0000-0000CC260000}"/>
    <cellStyle name="Comma 58 6 3" xfId="2819" xr:uid="{00000000-0005-0000-0000-0000CD260000}"/>
    <cellStyle name="Comma 58 6 3 2" xfId="2820" xr:uid="{00000000-0005-0000-0000-0000CE260000}"/>
    <cellStyle name="Comma 58 6 4" xfId="2821" xr:uid="{00000000-0005-0000-0000-0000CF260000}"/>
    <cellStyle name="Comma 58 6 4 2" xfId="2822" xr:uid="{00000000-0005-0000-0000-0000D0260000}"/>
    <cellStyle name="Comma 58 6 5" xfId="2823" xr:uid="{00000000-0005-0000-0000-0000D1260000}"/>
    <cellStyle name="Comma 58 7" xfId="2824" xr:uid="{00000000-0005-0000-0000-0000D2260000}"/>
    <cellStyle name="Comma 58 7 2" xfId="2825" xr:uid="{00000000-0005-0000-0000-0000D3260000}"/>
    <cellStyle name="Comma 58 7 2 2" xfId="2826" xr:uid="{00000000-0005-0000-0000-0000D4260000}"/>
    <cellStyle name="Comma 58 7 2 2 2" xfId="2827" xr:uid="{00000000-0005-0000-0000-0000D5260000}"/>
    <cellStyle name="Comma 58 7 2 3" xfId="2828" xr:uid="{00000000-0005-0000-0000-0000D6260000}"/>
    <cellStyle name="Comma 58 7 3" xfId="2829" xr:uid="{00000000-0005-0000-0000-0000D7260000}"/>
    <cellStyle name="Comma 58 7 3 2" xfId="2830" xr:uid="{00000000-0005-0000-0000-0000D8260000}"/>
    <cellStyle name="Comma 58 7 4" xfId="2831" xr:uid="{00000000-0005-0000-0000-0000D9260000}"/>
    <cellStyle name="Comma 58 8" xfId="2832" xr:uid="{00000000-0005-0000-0000-0000DA260000}"/>
    <cellStyle name="Comma 58 8 2" xfId="2833" xr:uid="{00000000-0005-0000-0000-0000DB260000}"/>
    <cellStyle name="Comma 58 8 2 2" xfId="2834" xr:uid="{00000000-0005-0000-0000-0000DC260000}"/>
    <cellStyle name="Comma 58 8 2 2 2" xfId="2835" xr:uid="{00000000-0005-0000-0000-0000DD260000}"/>
    <cellStyle name="Comma 58 8 2 3" xfId="2836" xr:uid="{00000000-0005-0000-0000-0000DE260000}"/>
    <cellStyle name="Comma 58 8 3" xfId="2837" xr:uid="{00000000-0005-0000-0000-0000DF260000}"/>
    <cellStyle name="Comma 58 8 3 2" xfId="2838" xr:uid="{00000000-0005-0000-0000-0000E0260000}"/>
    <cellStyle name="Comma 58 8 4" xfId="2839" xr:uid="{00000000-0005-0000-0000-0000E1260000}"/>
    <cellStyle name="Comma 58 9" xfId="2840" xr:uid="{00000000-0005-0000-0000-0000E2260000}"/>
    <cellStyle name="Comma 58 9 2" xfId="2841" xr:uid="{00000000-0005-0000-0000-0000E3260000}"/>
    <cellStyle name="Comma 58 9 2 2" xfId="2842" xr:uid="{00000000-0005-0000-0000-0000E4260000}"/>
    <cellStyle name="Comma 58 9 3" xfId="2843" xr:uid="{00000000-0005-0000-0000-0000E5260000}"/>
    <cellStyle name="Comma 59" xfId="2844" xr:uid="{00000000-0005-0000-0000-0000E6260000}"/>
    <cellStyle name="Comma 6" xfId="102" xr:uid="{00000000-0005-0000-0000-0000E7260000}"/>
    <cellStyle name="Comma 6 10" xfId="10146" xr:uid="{00000000-0005-0000-0000-0000E8260000}"/>
    <cellStyle name="Comma 6 10 2" xfId="16308" xr:uid="{00000000-0005-0000-0000-0000E9260000}"/>
    <cellStyle name="Comma 6 10 2 2" xfId="36228" xr:uid="{00000000-0005-0000-0000-0000EA260000}"/>
    <cellStyle name="Comma 6 10 3" xfId="22460" xr:uid="{00000000-0005-0000-0000-0000EB260000}"/>
    <cellStyle name="Comma 6 10 3 2" xfId="42380" xr:uid="{00000000-0005-0000-0000-0000EC260000}"/>
    <cellStyle name="Comma 6 10 4" xfId="30075" xr:uid="{00000000-0005-0000-0000-0000ED260000}"/>
    <cellStyle name="Comma 6 11" xfId="10162" xr:uid="{00000000-0005-0000-0000-0000EE260000}"/>
    <cellStyle name="Comma 6 11 2" xfId="30082" xr:uid="{00000000-0005-0000-0000-0000EF260000}"/>
    <cellStyle name="Comma 6 12" xfId="16314" xr:uid="{00000000-0005-0000-0000-0000F0260000}"/>
    <cellStyle name="Comma 6 12 2" xfId="36234" xr:uid="{00000000-0005-0000-0000-0000F1260000}"/>
    <cellStyle name="Comma 6 13" xfId="1163" xr:uid="{00000000-0005-0000-0000-0000F2260000}"/>
    <cellStyle name="Comma 6 13 2" xfId="23929" xr:uid="{00000000-0005-0000-0000-0000F3260000}"/>
    <cellStyle name="Comma 6 14" xfId="1052" xr:uid="{00000000-0005-0000-0000-0000F4260000}"/>
    <cellStyle name="Comma 6 15" xfId="22718" xr:uid="{00000000-0005-0000-0000-0000F5260000}"/>
    <cellStyle name="Comma 6 15 2" xfId="42629" xr:uid="{00000000-0005-0000-0000-0000F6260000}"/>
    <cellStyle name="Comma 6 16" xfId="23021" xr:uid="{00000000-0005-0000-0000-0000F7260000}"/>
    <cellStyle name="Comma 6 16 2" xfId="42932" xr:uid="{00000000-0005-0000-0000-0000F8260000}"/>
    <cellStyle name="Comma 6 17" xfId="23332" xr:uid="{00000000-0005-0000-0000-0000F9260000}"/>
    <cellStyle name="Comma 6 2" xfId="753" xr:uid="{00000000-0005-0000-0000-0000FA260000}"/>
    <cellStyle name="Comma 6 2 10" xfId="16320" xr:uid="{00000000-0005-0000-0000-0000FB260000}"/>
    <cellStyle name="Comma 6 2 10 2" xfId="36240" xr:uid="{00000000-0005-0000-0000-0000FC260000}"/>
    <cellStyle name="Comma 6 2 11" xfId="1177" xr:uid="{00000000-0005-0000-0000-0000FD260000}"/>
    <cellStyle name="Comma 6 2 11 2" xfId="23935" xr:uid="{00000000-0005-0000-0000-0000FE260000}"/>
    <cellStyle name="Comma 6 2 12" xfId="23635" xr:uid="{00000000-0005-0000-0000-0000FF260000}"/>
    <cellStyle name="Comma 6 2 2" xfId="1196" xr:uid="{00000000-0005-0000-0000-000000270000}"/>
    <cellStyle name="Comma 6 2 2 2" xfId="4608" xr:uid="{00000000-0005-0000-0000-000001270000}"/>
    <cellStyle name="Comma 6 2 2 2 2" xfId="5384" xr:uid="{00000000-0005-0000-0000-000002270000}"/>
    <cellStyle name="Comma 6 2 2 2 2 2" xfId="7009" xr:uid="{00000000-0005-0000-0000-000003270000}"/>
    <cellStyle name="Comma 6 2 2 2 2 2 2" xfId="10095" xr:uid="{00000000-0005-0000-0000-000004270000}"/>
    <cellStyle name="Comma 6 2 2 2 2 2 2 2" xfId="16288" xr:uid="{00000000-0005-0000-0000-000005270000}"/>
    <cellStyle name="Comma 6 2 2 2 2 2 2 2 2" xfId="36208" xr:uid="{00000000-0005-0000-0000-000006270000}"/>
    <cellStyle name="Comma 6 2 2 2 2 2 2 3" xfId="22440" xr:uid="{00000000-0005-0000-0000-000007270000}"/>
    <cellStyle name="Comma 6 2 2 2 2 2 2 3 2" xfId="42360" xr:uid="{00000000-0005-0000-0000-000008270000}"/>
    <cellStyle name="Comma 6 2 2 2 2 2 2 4" xfId="30055" xr:uid="{00000000-0005-0000-0000-000009270000}"/>
    <cellStyle name="Comma 6 2 2 2 2 2 3" xfId="13222" xr:uid="{00000000-0005-0000-0000-00000A270000}"/>
    <cellStyle name="Comma 6 2 2 2 2 2 3 2" xfId="33142" xr:uid="{00000000-0005-0000-0000-00000B270000}"/>
    <cellStyle name="Comma 6 2 2 2 2 2 4" xfId="19374" xr:uid="{00000000-0005-0000-0000-00000C270000}"/>
    <cellStyle name="Comma 6 2 2 2 2 2 4 2" xfId="39294" xr:uid="{00000000-0005-0000-0000-00000D270000}"/>
    <cellStyle name="Comma 6 2 2 2 2 2 5" xfId="26989" xr:uid="{00000000-0005-0000-0000-00000E270000}"/>
    <cellStyle name="Comma 6 2 2 2 2 3" xfId="8560" xr:uid="{00000000-0005-0000-0000-00000F270000}"/>
    <cellStyle name="Comma 6 2 2 2 2 3 2" xfId="14754" xr:uid="{00000000-0005-0000-0000-000010270000}"/>
    <cellStyle name="Comma 6 2 2 2 2 3 2 2" xfId="34674" xr:uid="{00000000-0005-0000-0000-000011270000}"/>
    <cellStyle name="Comma 6 2 2 2 2 3 3" xfId="20906" xr:uid="{00000000-0005-0000-0000-000012270000}"/>
    <cellStyle name="Comma 6 2 2 2 2 3 3 2" xfId="40826" xr:uid="{00000000-0005-0000-0000-000013270000}"/>
    <cellStyle name="Comma 6 2 2 2 2 3 4" xfId="28521" xr:uid="{00000000-0005-0000-0000-000014270000}"/>
    <cellStyle name="Comma 6 2 2 2 2 4" xfId="11688" xr:uid="{00000000-0005-0000-0000-000015270000}"/>
    <cellStyle name="Comma 6 2 2 2 2 4 2" xfId="31608" xr:uid="{00000000-0005-0000-0000-000016270000}"/>
    <cellStyle name="Comma 6 2 2 2 2 5" xfId="17840" xr:uid="{00000000-0005-0000-0000-000017270000}"/>
    <cellStyle name="Comma 6 2 2 2 2 5 2" xfId="37760" xr:uid="{00000000-0005-0000-0000-000018270000}"/>
    <cellStyle name="Comma 6 2 2 2 2 6" xfId="25455" xr:uid="{00000000-0005-0000-0000-000019270000}"/>
    <cellStyle name="Comma 6 2 2 2 3" xfId="6240" xr:uid="{00000000-0005-0000-0000-00001A270000}"/>
    <cellStyle name="Comma 6 2 2 2 3 2" xfId="9326" xr:uid="{00000000-0005-0000-0000-00001B270000}"/>
    <cellStyle name="Comma 6 2 2 2 3 2 2" xfId="15519" xr:uid="{00000000-0005-0000-0000-00001C270000}"/>
    <cellStyle name="Comma 6 2 2 2 3 2 2 2" xfId="35439" xr:uid="{00000000-0005-0000-0000-00001D270000}"/>
    <cellStyle name="Comma 6 2 2 2 3 2 3" xfId="21671" xr:uid="{00000000-0005-0000-0000-00001E270000}"/>
    <cellStyle name="Comma 6 2 2 2 3 2 3 2" xfId="41591" xr:uid="{00000000-0005-0000-0000-00001F270000}"/>
    <cellStyle name="Comma 6 2 2 2 3 2 4" xfId="29286" xr:uid="{00000000-0005-0000-0000-000020270000}"/>
    <cellStyle name="Comma 6 2 2 2 3 3" xfId="12453" xr:uid="{00000000-0005-0000-0000-000021270000}"/>
    <cellStyle name="Comma 6 2 2 2 3 3 2" xfId="32373" xr:uid="{00000000-0005-0000-0000-000022270000}"/>
    <cellStyle name="Comma 6 2 2 2 3 4" xfId="18605" xr:uid="{00000000-0005-0000-0000-000023270000}"/>
    <cellStyle name="Comma 6 2 2 2 3 4 2" xfId="38525" xr:uid="{00000000-0005-0000-0000-000024270000}"/>
    <cellStyle name="Comma 6 2 2 2 3 5" xfId="26220" xr:uid="{00000000-0005-0000-0000-000025270000}"/>
    <cellStyle name="Comma 6 2 2 2 4" xfId="7791" xr:uid="{00000000-0005-0000-0000-000026270000}"/>
    <cellStyle name="Comma 6 2 2 2 4 2" xfId="13985" xr:uid="{00000000-0005-0000-0000-000027270000}"/>
    <cellStyle name="Comma 6 2 2 2 4 2 2" xfId="33905" xr:uid="{00000000-0005-0000-0000-000028270000}"/>
    <cellStyle name="Comma 6 2 2 2 4 3" xfId="20137" xr:uid="{00000000-0005-0000-0000-000029270000}"/>
    <cellStyle name="Comma 6 2 2 2 4 3 2" xfId="40057" xr:uid="{00000000-0005-0000-0000-00002A270000}"/>
    <cellStyle name="Comma 6 2 2 2 4 4" xfId="27752" xr:uid="{00000000-0005-0000-0000-00002B270000}"/>
    <cellStyle name="Comma 6 2 2 2 5" xfId="10919" xr:uid="{00000000-0005-0000-0000-00002C270000}"/>
    <cellStyle name="Comma 6 2 2 2 5 2" xfId="30839" xr:uid="{00000000-0005-0000-0000-00002D270000}"/>
    <cellStyle name="Comma 6 2 2 2 6" xfId="17071" xr:uid="{00000000-0005-0000-0000-00002E270000}"/>
    <cellStyle name="Comma 6 2 2 2 6 2" xfId="36991" xr:uid="{00000000-0005-0000-0000-00002F270000}"/>
    <cellStyle name="Comma 6 2 2 2 7" xfId="24686" xr:uid="{00000000-0005-0000-0000-000030270000}"/>
    <cellStyle name="Comma 6 2 2 3" xfId="4644" xr:uid="{00000000-0005-0000-0000-000031270000}"/>
    <cellStyle name="Comma 6 2 2 3 2" xfId="6269" xr:uid="{00000000-0005-0000-0000-000032270000}"/>
    <cellStyle name="Comma 6 2 2 3 2 2" xfId="9355" xr:uid="{00000000-0005-0000-0000-000033270000}"/>
    <cellStyle name="Comma 6 2 2 3 2 2 2" xfId="15548" xr:uid="{00000000-0005-0000-0000-000034270000}"/>
    <cellStyle name="Comma 6 2 2 3 2 2 2 2" xfId="35468" xr:uid="{00000000-0005-0000-0000-000035270000}"/>
    <cellStyle name="Comma 6 2 2 3 2 2 3" xfId="21700" xr:uid="{00000000-0005-0000-0000-000036270000}"/>
    <cellStyle name="Comma 6 2 2 3 2 2 3 2" xfId="41620" xr:uid="{00000000-0005-0000-0000-000037270000}"/>
    <cellStyle name="Comma 6 2 2 3 2 2 4" xfId="29315" xr:uid="{00000000-0005-0000-0000-000038270000}"/>
    <cellStyle name="Comma 6 2 2 3 2 3" xfId="12482" xr:uid="{00000000-0005-0000-0000-000039270000}"/>
    <cellStyle name="Comma 6 2 2 3 2 3 2" xfId="32402" xr:uid="{00000000-0005-0000-0000-00003A270000}"/>
    <cellStyle name="Comma 6 2 2 3 2 4" xfId="18634" xr:uid="{00000000-0005-0000-0000-00003B270000}"/>
    <cellStyle name="Comma 6 2 2 3 2 4 2" xfId="38554" xr:uid="{00000000-0005-0000-0000-00003C270000}"/>
    <cellStyle name="Comma 6 2 2 3 2 5" xfId="26249" xr:uid="{00000000-0005-0000-0000-00003D270000}"/>
    <cellStyle name="Comma 6 2 2 3 3" xfId="7820" xr:uid="{00000000-0005-0000-0000-00003E270000}"/>
    <cellStyle name="Comma 6 2 2 3 3 2" xfId="14014" xr:uid="{00000000-0005-0000-0000-00003F270000}"/>
    <cellStyle name="Comma 6 2 2 3 3 2 2" xfId="33934" xr:uid="{00000000-0005-0000-0000-000040270000}"/>
    <cellStyle name="Comma 6 2 2 3 3 3" xfId="20166" xr:uid="{00000000-0005-0000-0000-000041270000}"/>
    <cellStyle name="Comma 6 2 2 3 3 3 2" xfId="40086" xr:uid="{00000000-0005-0000-0000-000042270000}"/>
    <cellStyle name="Comma 6 2 2 3 3 4" xfId="27781" xr:uid="{00000000-0005-0000-0000-000043270000}"/>
    <cellStyle name="Comma 6 2 2 3 4" xfId="10948" xr:uid="{00000000-0005-0000-0000-000044270000}"/>
    <cellStyle name="Comma 6 2 2 3 4 2" xfId="30868" xr:uid="{00000000-0005-0000-0000-000045270000}"/>
    <cellStyle name="Comma 6 2 2 3 5" xfId="17100" xr:uid="{00000000-0005-0000-0000-000046270000}"/>
    <cellStyle name="Comma 6 2 2 3 5 2" xfId="37020" xr:uid="{00000000-0005-0000-0000-000047270000}"/>
    <cellStyle name="Comma 6 2 2 3 6" xfId="24715" xr:uid="{00000000-0005-0000-0000-000048270000}"/>
    <cellStyle name="Comma 6 2 2 4" xfId="5483" xr:uid="{00000000-0005-0000-0000-000049270000}"/>
    <cellStyle name="Comma 6 2 2 4 2" xfId="8586" xr:uid="{00000000-0005-0000-0000-00004A270000}"/>
    <cellStyle name="Comma 6 2 2 4 2 2" xfId="14779" xr:uid="{00000000-0005-0000-0000-00004B270000}"/>
    <cellStyle name="Comma 6 2 2 4 2 2 2" xfId="34699" xr:uid="{00000000-0005-0000-0000-00004C270000}"/>
    <cellStyle name="Comma 6 2 2 4 2 3" xfId="20931" xr:uid="{00000000-0005-0000-0000-00004D270000}"/>
    <cellStyle name="Comma 6 2 2 4 2 3 2" xfId="40851" xr:uid="{00000000-0005-0000-0000-00004E270000}"/>
    <cellStyle name="Comma 6 2 2 4 2 4" xfId="28546" xr:uid="{00000000-0005-0000-0000-00004F270000}"/>
    <cellStyle name="Comma 6 2 2 4 3" xfId="11713" xr:uid="{00000000-0005-0000-0000-000050270000}"/>
    <cellStyle name="Comma 6 2 2 4 3 2" xfId="31633" xr:uid="{00000000-0005-0000-0000-000051270000}"/>
    <cellStyle name="Comma 6 2 2 4 4" xfId="17865" xr:uid="{00000000-0005-0000-0000-000052270000}"/>
    <cellStyle name="Comma 6 2 2 4 4 2" xfId="37785" xr:uid="{00000000-0005-0000-0000-000053270000}"/>
    <cellStyle name="Comma 6 2 2 4 5" xfId="25480" xr:uid="{00000000-0005-0000-0000-000054270000}"/>
    <cellStyle name="Comma 6 2 2 5" xfId="7051" xr:uid="{00000000-0005-0000-0000-000055270000}"/>
    <cellStyle name="Comma 6 2 2 5 2" xfId="13245" xr:uid="{00000000-0005-0000-0000-000056270000}"/>
    <cellStyle name="Comma 6 2 2 5 2 2" xfId="33165" xr:uid="{00000000-0005-0000-0000-000057270000}"/>
    <cellStyle name="Comma 6 2 2 5 3" xfId="19397" xr:uid="{00000000-0005-0000-0000-000058270000}"/>
    <cellStyle name="Comma 6 2 2 5 3 2" xfId="39317" xr:uid="{00000000-0005-0000-0000-000059270000}"/>
    <cellStyle name="Comma 6 2 2 5 4" xfId="27012" xr:uid="{00000000-0005-0000-0000-00005A270000}"/>
    <cellStyle name="Comma 6 2 2 6" xfId="10179" xr:uid="{00000000-0005-0000-0000-00005B270000}"/>
    <cellStyle name="Comma 6 2 2 6 2" xfId="30099" xr:uid="{00000000-0005-0000-0000-00005C270000}"/>
    <cellStyle name="Comma 6 2 2 7" xfId="16331" xr:uid="{00000000-0005-0000-0000-00005D270000}"/>
    <cellStyle name="Comma 6 2 2 7 2" xfId="36251" xr:uid="{00000000-0005-0000-0000-00005E270000}"/>
    <cellStyle name="Comma 6 2 2 8" xfId="23946" xr:uid="{00000000-0005-0000-0000-00005F270000}"/>
    <cellStyle name="Comma 6 2 3" xfId="4591" xr:uid="{00000000-0005-0000-0000-000060270000}"/>
    <cellStyle name="Comma 6 2 3 2" xfId="5375" xr:uid="{00000000-0005-0000-0000-000061270000}"/>
    <cellStyle name="Comma 6 2 3 2 2" xfId="7000" xr:uid="{00000000-0005-0000-0000-000062270000}"/>
    <cellStyle name="Comma 6 2 3 2 2 2" xfId="10086" xr:uid="{00000000-0005-0000-0000-000063270000}"/>
    <cellStyle name="Comma 6 2 3 2 2 2 2" xfId="16279" xr:uid="{00000000-0005-0000-0000-000064270000}"/>
    <cellStyle name="Comma 6 2 3 2 2 2 2 2" xfId="36199" xr:uid="{00000000-0005-0000-0000-000065270000}"/>
    <cellStyle name="Comma 6 2 3 2 2 2 3" xfId="22431" xr:uid="{00000000-0005-0000-0000-000066270000}"/>
    <cellStyle name="Comma 6 2 3 2 2 2 3 2" xfId="42351" xr:uid="{00000000-0005-0000-0000-000067270000}"/>
    <cellStyle name="Comma 6 2 3 2 2 2 4" xfId="30046" xr:uid="{00000000-0005-0000-0000-000068270000}"/>
    <cellStyle name="Comma 6 2 3 2 2 3" xfId="13213" xr:uid="{00000000-0005-0000-0000-000069270000}"/>
    <cellStyle name="Comma 6 2 3 2 2 3 2" xfId="33133" xr:uid="{00000000-0005-0000-0000-00006A270000}"/>
    <cellStyle name="Comma 6 2 3 2 2 4" xfId="19365" xr:uid="{00000000-0005-0000-0000-00006B270000}"/>
    <cellStyle name="Comma 6 2 3 2 2 4 2" xfId="39285" xr:uid="{00000000-0005-0000-0000-00006C270000}"/>
    <cellStyle name="Comma 6 2 3 2 2 5" xfId="26980" xr:uid="{00000000-0005-0000-0000-00006D270000}"/>
    <cellStyle name="Comma 6 2 3 2 3" xfId="8551" xr:uid="{00000000-0005-0000-0000-00006E270000}"/>
    <cellStyle name="Comma 6 2 3 2 3 2" xfId="14745" xr:uid="{00000000-0005-0000-0000-00006F270000}"/>
    <cellStyle name="Comma 6 2 3 2 3 2 2" xfId="34665" xr:uid="{00000000-0005-0000-0000-000070270000}"/>
    <cellStyle name="Comma 6 2 3 2 3 3" xfId="20897" xr:uid="{00000000-0005-0000-0000-000071270000}"/>
    <cellStyle name="Comma 6 2 3 2 3 3 2" xfId="40817" xr:uid="{00000000-0005-0000-0000-000072270000}"/>
    <cellStyle name="Comma 6 2 3 2 3 4" xfId="28512" xr:uid="{00000000-0005-0000-0000-000073270000}"/>
    <cellStyle name="Comma 6 2 3 2 4" xfId="11679" xr:uid="{00000000-0005-0000-0000-000074270000}"/>
    <cellStyle name="Comma 6 2 3 2 4 2" xfId="31599" xr:uid="{00000000-0005-0000-0000-000075270000}"/>
    <cellStyle name="Comma 6 2 3 2 5" xfId="17831" xr:uid="{00000000-0005-0000-0000-000076270000}"/>
    <cellStyle name="Comma 6 2 3 2 5 2" xfId="37751" xr:uid="{00000000-0005-0000-0000-000077270000}"/>
    <cellStyle name="Comma 6 2 3 2 6" xfId="25446" xr:uid="{00000000-0005-0000-0000-000078270000}"/>
    <cellStyle name="Comma 6 2 3 3" xfId="6231" xr:uid="{00000000-0005-0000-0000-000079270000}"/>
    <cellStyle name="Comma 6 2 3 3 2" xfId="9317" xr:uid="{00000000-0005-0000-0000-00007A270000}"/>
    <cellStyle name="Comma 6 2 3 3 2 2" xfId="15510" xr:uid="{00000000-0005-0000-0000-00007B270000}"/>
    <cellStyle name="Comma 6 2 3 3 2 2 2" xfId="35430" xr:uid="{00000000-0005-0000-0000-00007C270000}"/>
    <cellStyle name="Comma 6 2 3 3 2 3" xfId="21662" xr:uid="{00000000-0005-0000-0000-00007D270000}"/>
    <cellStyle name="Comma 6 2 3 3 2 3 2" xfId="41582" xr:uid="{00000000-0005-0000-0000-00007E270000}"/>
    <cellStyle name="Comma 6 2 3 3 2 4" xfId="29277" xr:uid="{00000000-0005-0000-0000-00007F270000}"/>
    <cellStyle name="Comma 6 2 3 3 3" xfId="12444" xr:uid="{00000000-0005-0000-0000-000080270000}"/>
    <cellStyle name="Comma 6 2 3 3 3 2" xfId="32364" xr:uid="{00000000-0005-0000-0000-000081270000}"/>
    <cellStyle name="Comma 6 2 3 3 4" xfId="18596" xr:uid="{00000000-0005-0000-0000-000082270000}"/>
    <cellStyle name="Comma 6 2 3 3 4 2" xfId="38516" xr:uid="{00000000-0005-0000-0000-000083270000}"/>
    <cellStyle name="Comma 6 2 3 3 5" xfId="26211" xr:uid="{00000000-0005-0000-0000-000084270000}"/>
    <cellStyle name="Comma 6 2 3 4" xfId="7782" xr:uid="{00000000-0005-0000-0000-000085270000}"/>
    <cellStyle name="Comma 6 2 3 4 2" xfId="13976" xr:uid="{00000000-0005-0000-0000-000086270000}"/>
    <cellStyle name="Comma 6 2 3 4 2 2" xfId="33896" xr:uid="{00000000-0005-0000-0000-000087270000}"/>
    <cellStyle name="Comma 6 2 3 4 3" xfId="20128" xr:uid="{00000000-0005-0000-0000-000088270000}"/>
    <cellStyle name="Comma 6 2 3 4 3 2" xfId="40048" xr:uid="{00000000-0005-0000-0000-000089270000}"/>
    <cellStyle name="Comma 6 2 3 4 4" xfId="27743" xr:uid="{00000000-0005-0000-0000-00008A270000}"/>
    <cellStyle name="Comma 6 2 3 5" xfId="10910" xr:uid="{00000000-0005-0000-0000-00008B270000}"/>
    <cellStyle name="Comma 6 2 3 5 2" xfId="30830" xr:uid="{00000000-0005-0000-0000-00008C270000}"/>
    <cellStyle name="Comma 6 2 3 6" xfId="17062" xr:uid="{00000000-0005-0000-0000-00008D270000}"/>
    <cellStyle name="Comma 6 2 3 6 2" xfId="36982" xr:uid="{00000000-0005-0000-0000-00008E270000}"/>
    <cellStyle name="Comma 6 2 3 7" xfId="24677" xr:uid="{00000000-0005-0000-0000-00008F270000}"/>
    <cellStyle name="Comma 6 2 4" xfId="2846" xr:uid="{00000000-0005-0000-0000-000090270000}"/>
    <cellStyle name="Comma 6 2 5" xfId="4633" xr:uid="{00000000-0005-0000-0000-000091270000}"/>
    <cellStyle name="Comma 6 2 5 2" xfId="6258" xr:uid="{00000000-0005-0000-0000-000092270000}"/>
    <cellStyle name="Comma 6 2 5 2 2" xfId="9344" xr:uid="{00000000-0005-0000-0000-000093270000}"/>
    <cellStyle name="Comma 6 2 5 2 2 2" xfId="15537" xr:uid="{00000000-0005-0000-0000-000094270000}"/>
    <cellStyle name="Comma 6 2 5 2 2 2 2" xfId="35457" xr:uid="{00000000-0005-0000-0000-000095270000}"/>
    <cellStyle name="Comma 6 2 5 2 2 3" xfId="21689" xr:uid="{00000000-0005-0000-0000-000096270000}"/>
    <cellStyle name="Comma 6 2 5 2 2 3 2" xfId="41609" xr:uid="{00000000-0005-0000-0000-000097270000}"/>
    <cellStyle name="Comma 6 2 5 2 2 4" xfId="29304" xr:uid="{00000000-0005-0000-0000-000098270000}"/>
    <cellStyle name="Comma 6 2 5 2 3" xfId="12471" xr:uid="{00000000-0005-0000-0000-000099270000}"/>
    <cellStyle name="Comma 6 2 5 2 3 2" xfId="32391" xr:uid="{00000000-0005-0000-0000-00009A270000}"/>
    <cellStyle name="Comma 6 2 5 2 4" xfId="18623" xr:uid="{00000000-0005-0000-0000-00009B270000}"/>
    <cellStyle name="Comma 6 2 5 2 4 2" xfId="38543" xr:uid="{00000000-0005-0000-0000-00009C270000}"/>
    <cellStyle name="Comma 6 2 5 2 5" xfId="26238" xr:uid="{00000000-0005-0000-0000-00009D270000}"/>
    <cellStyle name="Comma 6 2 5 3" xfId="7809" xr:uid="{00000000-0005-0000-0000-00009E270000}"/>
    <cellStyle name="Comma 6 2 5 3 2" xfId="14003" xr:uid="{00000000-0005-0000-0000-00009F270000}"/>
    <cellStyle name="Comma 6 2 5 3 2 2" xfId="33923" xr:uid="{00000000-0005-0000-0000-0000A0270000}"/>
    <cellStyle name="Comma 6 2 5 3 3" xfId="20155" xr:uid="{00000000-0005-0000-0000-0000A1270000}"/>
    <cellStyle name="Comma 6 2 5 3 3 2" xfId="40075" xr:uid="{00000000-0005-0000-0000-0000A2270000}"/>
    <cellStyle name="Comma 6 2 5 3 4" xfId="27770" xr:uid="{00000000-0005-0000-0000-0000A3270000}"/>
    <cellStyle name="Comma 6 2 5 4" xfId="10937" xr:uid="{00000000-0005-0000-0000-0000A4270000}"/>
    <cellStyle name="Comma 6 2 5 4 2" xfId="30857" xr:uid="{00000000-0005-0000-0000-0000A5270000}"/>
    <cellStyle name="Comma 6 2 5 5" xfId="17089" xr:uid="{00000000-0005-0000-0000-0000A6270000}"/>
    <cellStyle name="Comma 6 2 5 5 2" xfId="37009" xr:uid="{00000000-0005-0000-0000-0000A7270000}"/>
    <cellStyle name="Comma 6 2 5 6" xfId="24704" xr:uid="{00000000-0005-0000-0000-0000A8270000}"/>
    <cellStyle name="Comma 6 2 6" xfId="5471" xr:uid="{00000000-0005-0000-0000-0000A9270000}"/>
    <cellStyle name="Comma 6 2 6 2" xfId="8575" xr:uid="{00000000-0005-0000-0000-0000AA270000}"/>
    <cellStyle name="Comma 6 2 6 2 2" xfId="14768" xr:uid="{00000000-0005-0000-0000-0000AB270000}"/>
    <cellStyle name="Comma 6 2 6 2 2 2" xfId="34688" xr:uid="{00000000-0005-0000-0000-0000AC270000}"/>
    <cellStyle name="Comma 6 2 6 2 3" xfId="20920" xr:uid="{00000000-0005-0000-0000-0000AD270000}"/>
    <cellStyle name="Comma 6 2 6 2 3 2" xfId="40840" xr:uid="{00000000-0005-0000-0000-0000AE270000}"/>
    <cellStyle name="Comma 6 2 6 2 4" xfId="28535" xr:uid="{00000000-0005-0000-0000-0000AF270000}"/>
    <cellStyle name="Comma 6 2 6 3" xfId="11702" xr:uid="{00000000-0005-0000-0000-0000B0270000}"/>
    <cellStyle name="Comma 6 2 6 3 2" xfId="31622" xr:uid="{00000000-0005-0000-0000-0000B1270000}"/>
    <cellStyle name="Comma 6 2 6 4" xfId="17854" xr:uid="{00000000-0005-0000-0000-0000B2270000}"/>
    <cellStyle name="Comma 6 2 6 4 2" xfId="37774" xr:uid="{00000000-0005-0000-0000-0000B3270000}"/>
    <cellStyle name="Comma 6 2 6 5" xfId="25469" xr:uid="{00000000-0005-0000-0000-0000B4270000}"/>
    <cellStyle name="Comma 6 2 7" xfId="7040" xr:uid="{00000000-0005-0000-0000-0000B5270000}"/>
    <cellStyle name="Comma 6 2 7 2" xfId="13234" xr:uid="{00000000-0005-0000-0000-0000B6270000}"/>
    <cellStyle name="Comma 6 2 7 2 2" xfId="33154" xr:uid="{00000000-0005-0000-0000-0000B7270000}"/>
    <cellStyle name="Comma 6 2 7 3" xfId="19386" xr:uid="{00000000-0005-0000-0000-0000B8270000}"/>
    <cellStyle name="Comma 6 2 7 3 2" xfId="39306" xr:uid="{00000000-0005-0000-0000-0000B9270000}"/>
    <cellStyle name="Comma 6 2 7 4" xfId="27001" xr:uid="{00000000-0005-0000-0000-0000BA270000}"/>
    <cellStyle name="Comma 6 2 8" xfId="10149" xr:uid="{00000000-0005-0000-0000-0000BB270000}"/>
    <cellStyle name="Comma 6 2 8 2" xfId="16309" xr:uid="{00000000-0005-0000-0000-0000BC270000}"/>
    <cellStyle name="Comma 6 2 8 2 2" xfId="36229" xr:uid="{00000000-0005-0000-0000-0000BD270000}"/>
    <cellStyle name="Comma 6 2 8 3" xfId="22461" xr:uid="{00000000-0005-0000-0000-0000BE270000}"/>
    <cellStyle name="Comma 6 2 8 3 2" xfId="42381" xr:uid="{00000000-0005-0000-0000-0000BF270000}"/>
    <cellStyle name="Comma 6 2 8 4" xfId="30076" xr:uid="{00000000-0005-0000-0000-0000C0270000}"/>
    <cellStyle name="Comma 6 2 9" xfId="10168" xr:uid="{00000000-0005-0000-0000-0000C1270000}"/>
    <cellStyle name="Comma 6 2 9 2" xfId="30088" xr:uid="{00000000-0005-0000-0000-0000C2270000}"/>
    <cellStyle name="Comma 6 3" xfId="1190" xr:uid="{00000000-0005-0000-0000-0000C3270000}"/>
    <cellStyle name="Comma 6 3 10" xfId="16325" xr:uid="{00000000-0005-0000-0000-0000C4270000}"/>
    <cellStyle name="Comma 6 3 10 2" xfId="36245" xr:uid="{00000000-0005-0000-0000-0000C5270000}"/>
    <cellStyle name="Comma 6 3 11" xfId="23940" xr:uid="{00000000-0005-0000-0000-0000C6270000}"/>
    <cellStyle name="Comma 6 3 2" xfId="2848" xr:uid="{00000000-0005-0000-0000-0000C7270000}"/>
    <cellStyle name="Comma 6 3 3" xfId="2849" xr:uid="{00000000-0005-0000-0000-0000C8270000}"/>
    <cellStyle name="Comma 6 3 4" xfId="4603" xr:uid="{00000000-0005-0000-0000-0000C9270000}"/>
    <cellStyle name="Comma 6 3 4 2" xfId="5379" xr:uid="{00000000-0005-0000-0000-0000CA270000}"/>
    <cellStyle name="Comma 6 3 4 2 2" xfId="7004" xr:uid="{00000000-0005-0000-0000-0000CB270000}"/>
    <cellStyle name="Comma 6 3 4 2 2 2" xfId="10090" xr:uid="{00000000-0005-0000-0000-0000CC270000}"/>
    <cellStyle name="Comma 6 3 4 2 2 2 2" xfId="16283" xr:uid="{00000000-0005-0000-0000-0000CD270000}"/>
    <cellStyle name="Comma 6 3 4 2 2 2 2 2" xfId="36203" xr:uid="{00000000-0005-0000-0000-0000CE270000}"/>
    <cellStyle name="Comma 6 3 4 2 2 2 3" xfId="22435" xr:uid="{00000000-0005-0000-0000-0000CF270000}"/>
    <cellStyle name="Comma 6 3 4 2 2 2 3 2" xfId="42355" xr:uid="{00000000-0005-0000-0000-0000D0270000}"/>
    <cellStyle name="Comma 6 3 4 2 2 2 4" xfId="30050" xr:uid="{00000000-0005-0000-0000-0000D1270000}"/>
    <cellStyle name="Comma 6 3 4 2 2 3" xfId="13217" xr:uid="{00000000-0005-0000-0000-0000D2270000}"/>
    <cellStyle name="Comma 6 3 4 2 2 3 2" xfId="33137" xr:uid="{00000000-0005-0000-0000-0000D3270000}"/>
    <cellStyle name="Comma 6 3 4 2 2 4" xfId="19369" xr:uid="{00000000-0005-0000-0000-0000D4270000}"/>
    <cellStyle name="Comma 6 3 4 2 2 4 2" xfId="39289" xr:uid="{00000000-0005-0000-0000-0000D5270000}"/>
    <cellStyle name="Comma 6 3 4 2 2 5" xfId="26984" xr:uid="{00000000-0005-0000-0000-0000D6270000}"/>
    <cellStyle name="Comma 6 3 4 2 3" xfId="8555" xr:uid="{00000000-0005-0000-0000-0000D7270000}"/>
    <cellStyle name="Comma 6 3 4 2 3 2" xfId="14749" xr:uid="{00000000-0005-0000-0000-0000D8270000}"/>
    <cellStyle name="Comma 6 3 4 2 3 2 2" xfId="34669" xr:uid="{00000000-0005-0000-0000-0000D9270000}"/>
    <cellStyle name="Comma 6 3 4 2 3 3" xfId="20901" xr:uid="{00000000-0005-0000-0000-0000DA270000}"/>
    <cellStyle name="Comma 6 3 4 2 3 3 2" xfId="40821" xr:uid="{00000000-0005-0000-0000-0000DB270000}"/>
    <cellStyle name="Comma 6 3 4 2 3 4" xfId="28516" xr:uid="{00000000-0005-0000-0000-0000DC270000}"/>
    <cellStyle name="Comma 6 3 4 2 4" xfId="11683" xr:uid="{00000000-0005-0000-0000-0000DD270000}"/>
    <cellStyle name="Comma 6 3 4 2 4 2" xfId="31603" xr:uid="{00000000-0005-0000-0000-0000DE270000}"/>
    <cellStyle name="Comma 6 3 4 2 5" xfId="17835" xr:uid="{00000000-0005-0000-0000-0000DF270000}"/>
    <cellStyle name="Comma 6 3 4 2 5 2" xfId="37755" xr:uid="{00000000-0005-0000-0000-0000E0270000}"/>
    <cellStyle name="Comma 6 3 4 2 6" xfId="25450" xr:uid="{00000000-0005-0000-0000-0000E1270000}"/>
    <cellStyle name="Comma 6 3 4 3" xfId="6235" xr:uid="{00000000-0005-0000-0000-0000E2270000}"/>
    <cellStyle name="Comma 6 3 4 3 2" xfId="9321" xr:uid="{00000000-0005-0000-0000-0000E3270000}"/>
    <cellStyle name="Comma 6 3 4 3 2 2" xfId="15514" xr:uid="{00000000-0005-0000-0000-0000E4270000}"/>
    <cellStyle name="Comma 6 3 4 3 2 2 2" xfId="35434" xr:uid="{00000000-0005-0000-0000-0000E5270000}"/>
    <cellStyle name="Comma 6 3 4 3 2 3" xfId="21666" xr:uid="{00000000-0005-0000-0000-0000E6270000}"/>
    <cellStyle name="Comma 6 3 4 3 2 3 2" xfId="41586" xr:uid="{00000000-0005-0000-0000-0000E7270000}"/>
    <cellStyle name="Comma 6 3 4 3 2 4" xfId="29281" xr:uid="{00000000-0005-0000-0000-0000E8270000}"/>
    <cellStyle name="Comma 6 3 4 3 3" xfId="12448" xr:uid="{00000000-0005-0000-0000-0000E9270000}"/>
    <cellStyle name="Comma 6 3 4 3 3 2" xfId="32368" xr:uid="{00000000-0005-0000-0000-0000EA270000}"/>
    <cellStyle name="Comma 6 3 4 3 4" xfId="18600" xr:uid="{00000000-0005-0000-0000-0000EB270000}"/>
    <cellStyle name="Comma 6 3 4 3 4 2" xfId="38520" xr:uid="{00000000-0005-0000-0000-0000EC270000}"/>
    <cellStyle name="Comma 6 3 4 3 5" xfId="26215" xr:uid="{00000000-0005-0000-0000-0000ED270000}"/>
    <cellStyle name="Comma 6 3 4 4" xfId="7786" xr:uid="{00000000-0005-0000-0000-0000EE270000}"/>
    <cellStyle name="Comma 6 3 4 4 2" xfId="13980" xr:uid="{00000000-0005-0000-0000-0000EF270000}"/>
    <cellStyle name="Comma 6 3 4 4 2 2" xfId="33900" xr:uid="{00000000-0005-0000-0000-0000F0270000}"/>
    <cellStyle name="Comma 6 3 4 4 3" xfId="20132" xr:uid="{00000000-0005-0000-0000-0000F1270000}"/>
    <cellStyle name="Comma 6 3 4 4 3 2" xfId="40052" xr:uid="{00000000-0005-0000-0000-0000F2270000}"/>
    <cellStyle name="Comma 6 3 4 4 4" xfId="27747" xr:uid="{00000000-0005-0000-0000-0000F3270000}"/>
    <cellStyle name="Comma 6 3 4 5" xfId="10914" xr:uid="{00000000-0005-0000-0000-0000F4270000}"/>
    <cellStyle name="Comma 6 3 4 5 2" xfId="30834" xr:uid="{00000000-0005-0000-0000-0000F5270000}"/>
    <cellStyle name="Comma 6 3 4 6" xfId="17066" xr:uid="{00000000-0005-0000-0000-0000F6270000}"/>
    <cellStyle name="Comma 6 3 4 6 2" xfId="36986" xr:uid="{00000000-0005-0000-0000-0000F7270000}"/>
    <cellStyle name="Comma 6 3 4 7" xfId="24681" xr:uid="{00000000-0005-0000-0000-0000F8270000}"/>
    <cellStyle name="Comma 6 3 5" xfId="2847" xr:uid="{00000000-0005-0000-0000-0000F9270000}"/>
    <cellStyle name="Comma 6 3 6" xfId="4638" xr:uid="{00000000-0005-0000-0000-0000FA270000}"/>
    <cellStyle name="Comma 6 3 6 2" xfId="6263" xr:uid="{00000000-0005-0000-0000-0000FB270000}"/>
    <cellStyle name="Comma 6 3 6 2 2" xfId="9349" xr:uid="{00000000-0005-0000-0000-0000FC270000}"/>
    <cellStyle name="Comma 6 3 6 2 2 2" xfId="15542" xr:uid="{00000000-0005-0000-0000-0000FD270000}"/>
    <cellStyle name="Comma 6 3 6 2 2 2 2" xfId="35462" xr:uid="{00000000-0005-0000-0000-0000FE270000}"/>
    <cellStyle name="Comma 6 3 6 2 2 3" xfId="21694" xr:uid="{00000000-0005-0000-0000-0000FF270000}"/>
    <cellStyle name="Comma 6 3 6 2 2 3 2" xfId="41614" xr:uid="{00000000-0005-0000-0000-000000280000}"/>
    <cellStyle name="Comma 6 3 6 2 2 4" xfId="29309" xr:uid="{00000000-0005-0000-0000-000001280000}"/>
    <cellStyle name="Comma 6 3 6 2 3" xfId="12476" xr:uid="{00000000-0005-0000-0000-000002280000}"/>
    <cellStyle name="Comma 6 3 6 2 3 2" xfId="32396" xr:uid="{00000000-0005-0000-0000-000003280000}"/>
    <cellStyle name="Comma 6 3 6 2 4" xfId="18628" xr:uid="{00000000-0005-0000-0000-000004280000}"/>
    <cellStyle name="Comma 6 3 6 2 4 2" xfId="38548" xr:uid="{00000000-0005-0000-0000-000005280000}"/>
    <cellStyle name="Comma 6 3 6 2 5" xfId="26243" xr:uid="{00000000-0005-0000-0000-000006280000}"/>
    <cellStyle name="Comma 6 3 6 3" xfId="7814" xr:uid="{00000000-0005-0000-0000-000007280000}"/>
    <cellStyle name="Comma 6 3 6 3 2" xfId="14008" xr:uid="{00000000-0005-0000-0000-000008280000}"/>
    <cellStyle name="Comma 6 3 6 3 2 2" xfId="33928" xr:uid="{00000000-0005-0000-0000-000009280000}"/>
    <cellStyle name="Comma 6 3 6 3 3" xfId="20160" xr:uid="{00000000-0005-0000-0000-00000A280000}"/>
    <cellStyle name="Comma 6 3 6 3 3 2" xfId="40080" xr:uid="{00000000-0005-0000-0000-00000B280000}"/>
    <cellStyle name="Comma 6 3 6 3 4" xfId="27775" xr:uid="{00000000-0005-0000-0000-00000C280000}"/>
    <cellStyle name="Comma 6 3 6 4" xfId="10942" xr:uid="{00000000-0005-0000-0000-00000D280000}"/>
    <cellStyle name="Comma 6 3 6 4 2" xfId="30862" xr:uid="{00000000-0005-0000-0000-00000E280000}"/>
    <cellStyle name="Comma 6 3 6 5" xfId="17094" xr:uid="{00000000-0005-0000-0000-00000F280000}"/>
    <cellStyle name="Comma 6 3 6 5 2" xfId="37014" xr:uid="{00000000-0005-0000-0000-000010280000}"/>
    <cellStyle name="Comma 6 3 6 6" xfId="24709" xr:uid="{00000000-0005-0000-0000-000011280000}"/>
    <cellStyle name="Comma 6 3 7" xfId="5477" xr:uid="{00000000-0005-0000-0000-000012280000}"/>
    <cellStyle name="Comma 6 3 7 2" xfId="8580" xr:uid="{00000000-0005-0000-0000-000013280000}"/>
    <cellStyle name="Comma 6 3 7 2 2" xfId="14773" xr:uid="{00000000-0005-0000-0000-000014280000}"/>
    <cellStyle name="Comma 6 3 7 2 2 2" xfId="34693" xr:uid="{00000000-0005-0000-0000-000015280000}"/>
    <cellStyle name="Comma 6 3 7 2 3" xfId="20925" xr:uid="{00000000-0005-0000-0000-000016280000}"/>
    <cellStyle name="Comma 6 3 7 2 3 2" xfId="40845" xr:uid="{00000000-0005-0000-0000-000017280000}"/>
    <cellStyle name="Comma 6 3 7 2 4" xfId="28540" xr:uid="{00000000-0005-0000-0000-000018280000}"/>
    <cellStyle name="Comma 6 3 7 3" xfId="11707" xr:uid="{00000000-0005-0000-0000-000019280000}"/>
    <cellStyle name="Comma 6 3 7 3 2" xfId="31627" xr:uid="{00000000-0005-0000-0000-00001A280000}"/>
    <cellStyle name="Comma 6 3 7 4" xfId="17859" xr:uid="{00000000-0005-0000-0000-00001B280000}"/>
    <cellStyle name="Comma 6 3 7 4 2" xfId="37779" xr:uid="{00000000-0005-0000-0000-00001C280000}"/>
    <cellStyle name="Comma 6 3 7 5" xfId="25474" xr:uid="{00000000-0005-0000-0000-00001D280000}"/>
    <cellStyle name="Comma 6 3 8" xfId="7045" xr:uid="{00000000-0005-0000-0000-00001E280000}"/>
    <cellStyle name="Comma 6 3 8 2" xfId="13239" xr:uid="{00000000-0005-0000-0000-00001F280000}"/>
    <cellStyle name="Comma 6 3 8 2 2" xfId="33159" xr:uid="{00000000-0005-0000-0000-000020280000}"/>
    <cellStyle name="Comma 6 3 8 3" xfId="19391" xr:uid="{00000000-0005-0000-0000-000021280000}"/>
    <cellStyle name="Comma 6 3 8 3 2" xfId="39311" xr:uid="{00000000-0005-0000-0000-000022280000}"/>
    <cellStyle name="Comma 6 3 8 4" xfId="27006" xr:uid="{00000000-0005-0000-0000-000023280000}"/>
    <cellStyle name="Comma 6 3 9" xfId="10173" xr:uid="{00000000-0005-0000-0000-000024280000}"/>
    <cellStyle name="Comma 6 3 9 2" xfId="30093" xr:uid="{00000000-0005-0000-0000-000025280000}"/>
    <cellStyle name="Comma 6 4" xfId="2850" xr:uid="{00000000-0005-0000-0000-000026280000}"/>
    <cellStyle name="Comma 6 5" xfId="4583" xr:uid="{00000000-0005-0000-0000-000027280000}"/>
    <cellStyle name="Comma 6 5 2" xfId="5371" xr:uid="{00000000-0005-0000-0000-000028280000}"/>
    <cellStyle name="Comma 6 5 2 2" xfId="6996" xr:uid="{00000000-0005-0000-0000-000029280000}"/>
    <cellStyle name="Comma 6 5 2 2 2" xfId="10082" xr:uid="{00000000-0005-0000-0000-00002A280000}"/>
    <cellStyle name="Comma 6 5 2 2 2 2" xfId="16275" xr:uid="{00000000-0005-0000-0000-00002B280000}"/>
    <cellStyle name="Comma 6 5 2 2 2 2 2" xfId="36195" xr:uid="{00000000-0005-0000-0000-00002C280000}"/>
    <cellStyle name="Comma 6 5 2 2 2 3" xfId="22427" xr:uid="{00000000-0005-0000-0000-00002D280000}"/>
    <cellStyle name="Comma 6 5 2 2 2 3 2" xfId="42347" xr:uid="{00000000-0005-0000-0000-00002E280000}"/>
    <cellStyle name="Comma 6 5 2 2 2 4" xfId="30042" xr:uid="{00000000-0005-0000-0000-00002F280000}"/>
    <cellStyle name="Comma 6 5 2 2 3" xfId="13209" xr:uid="{00000000-0005-0000-0000-000030280000}"/>
    <cellStyle name="Comma 6 5 2 2 3 2" xfId="33129" xr:uid="{00000000-0005-0000-0000-000031280000}"/>
    <cellStyle name="Comma 6 5 2 2 4" xfId="19361" xr:uid="{00000000-0005-0000-0000-000032280000}"/>
    <cellStyle name="Comma 6 5 2 2 4 2" xfId="39281" xr:uid="{00000000-0005-0000-0000-000033280000}"/>
    <cellStyle name="Comma 6 5 2 2 5" xfId="26976" xr:uid="{00000000-0005-0000-0000-000034280000}"/>
    <cellStyle name="Comma 6 5 2 3" xfId="8547" xr:uid="{00000000-0005-0000-0000-000035280000}"/>
    <cellStyle name="Comma 6 5 2 3 2" xfId="14741" xr:uid="{00000000-0005-0000-0000-000036280000}"/>
    <cellStyle name="Comma 6 5 2 3 2 2" xfId="34661" xr:uid="{00000000-0005-0000-0000-000037280000}"/>
    <cellStyle name="Comma 6 5 2 3 3" xfId="20893" xr:uid="{00000000-0005-0000-0000-000038280000}"/>
    <cellStyle name="Comma 6 5 2 3 3 2" xfId="40813" xr:uid="{00000000-0005-0000-0000-000039280000}"/>
    <cellStyle name="Comma 6 5 2 3 4" xfId="28508" xr:uid="{00000000-0005-0000-0000-00003A280000}"/>
    <cellStyle name="Comma 6 5 2 4" xfId="11675" xr:uid="{00000000-0005-0000-0000-00003B280000}"/>
    <cellStyle name="Comma 6 5 2 4 2" xfId="31595" xr:uid="{00000000-0005-0000-0000-00003C280000}"/>
    <cellStyle name="Comma 6 5 2 5" xfId="17827" xr:uid="{00000000-0005-0000-0000-00003D280000}"/>
    <cellStyle name="Comma 6 5 2 5 2" xfId="37747" xr:uid="{00000000-0005-0000-0000-00003E280000}"/>
    <cellStyle name="Comma 6 5 2 6" xfId="25442" xr:uid="{00000000-0005-0000-0000-00003F280000}"/>
    <cellStyle name="Comma 6 5 3" xfId="6227" xr:uid="{00000000-0005-0000-0000-000040280000}"/>
    <cellStyle name="Comma 6 5 3 2" xfId="9313" xr:uid="{00000000-0005-0000-0000-000041280000}"/>
    <cellStyle name="Comma 6 5 3 2 2" xfId="15506" xr:uid="{00000000-0005-0000-0000-000042280000}"/>
    <cellStyle name="Comma 6 5 3 2 2 2" xfId="35426" xr:uid="{00000000-0005-0000-0000-000043280000}"/>
    <cellStyle name="Comma 6 5 3 2 3" xfId="21658" xr:uid="{00000000-0005-0000-0000-000044280000}"/>
    <cellStyle name="Comma 6 5 3 2 3 2" xfId="41578" xr:uid="{00000000-0005-0000-0000-000045280000}"/>
    <cellStyle name="Comma 6 5 3 2 4" xfId="29273" xr:uid="{00000000-0005-0000-0000-000046280000}"/>
    <cellStyle name="Comma 6 5 3 3" xfId="12440" xr:uid="{00000000-0005-0000-0000-000047280000}"/>
    <cellStyle name="Comma 6 5 3 3 2" xfId="32360" xr:uid="{00000000-0005-0000-0000-000048280000}"/>
    <cellStyle name="Comma 6 5 3 4" xfId="18592" xr:uid="{00000000-0005-0000-0000-000049280000}"/>
    <cellStyle name="Comma 6 5 3 4 2" xfId="38512" xr:uid="{00000000-0005-0000-0000-00004A280000}"/>
    <cellStyle name="Comma 6 5 3 5" xfId="26207" xr:uid="{00000000-0005-0000-0000-00004B280000}"/>
    <cellStyle name="Comma 6 5 4" xfId="7778" xr:uid="{00000000-0005-0000-0000-00004C280000}"/>
    <cellStyle name="Comma 6 5 4 2" xfId="13972" xr:uid="{00000000-0005-0000-0000-00004D280000}"/>
    <cellStyle name="Comma 6 5 4 2 2" xfId="33892" xr:uid="{00000000-0005-0000-0000-00004E280000}"/>
    <cellStyle name="Comma 6 5 4 3" xfId="20124" xr:uid="{00000000-0005-0000-0000-00004F280000}"/>
    <cellStyle name="Comma 6 5 4 3 2" xfId="40044" xr:uid="{00000000-0005-0000-0000-000050280000}"/>
    <cellStyle name="Comma 6 5 4 4" xfId="27739" xr:uid="{00000000-0005-0000-0000-000051280000}"/>
    <cellStyle name="Comma 6 5 5" xfId="10906" xr:uid="{00000000-0005-0000-0000-000052280000}"/>
    <cellStyle name="Comma 6 5 5 2" xfId="30826" xr:uid="{00000000-0005-0000-0000-000053280000}"/>
    <cellStyle name="Comma 6 5 6" xfId="17058" xr:uid="{00000000-0005-0000-0000-000054280000}"/>
    <cellStyle name="Comma 6 5 6 2" xfId="36978" xr:uid="{00000000-0005-0000-0000-000055280000}"/>
    <cellStyle name="Comma 6 5 7" xfId="24673" xr:uid="{00000000-0005-0000-0000-000056280000}"/>
    <cellStyle name="Comma 6 6" xfId="2845" xr:uid="{00000000-0005-0000-0000-000057280000}"/>
    <cellStyle name="Comma 6 7" xfId="4627" xr:uid="{00000000-0005-0000-0000-000058280000}"/>
    <cellStyle name="Comma 6 7 2" xfId="6252" xr:uid="{00000000-0005-0000-0000-000059280000}"/>
    <cellStyle name="Comma 6 7 2 2" xfId="9338" xr:uid="{00000000-0005-0000-0000-00005A280000}"/>
    <cellStyle name="Comma 6 7 2 2 2" xfId="15531" xr:uid="{00000000-0005-0000-0000-00005B280000}"/>
    <cellStyle name="Comma 6 7 2 2 2 2" xfId="35451" xr:uid="{00000000-0005-0000-0000-00005C280000}"/>
    <cellStyle name="Comma 6 7 2 2 3" xfId="21683" xr:uid="{00000000-0005-0000-0000-00005D280000}"/>
    <cellStyle name="Comma 6 7 2 2 3 2" xfId="41603" xr:uid="{00000000-0005-0000-0000-00005E280000}"/>
    <cellStyle name="Comma 6 7 2 2 4" xfId="29298" xr:uid="{00000000-0005-0000-0000-00005F280000}"/>
    <cellStyle name="Comma 6 7 2 3" xfId="12465" xr:uid="{00000000-0005-0000-0000-000060280000}"/>
    <cellStyle name="Comma 6 7 2 3 2" xfId="32385" xr:uid="{00000000-0005-0000-0000-000061280000}"/>
    <cellStyle name="Comma 6 7 2 4" xfId="18617" xr:uid="{00000000-0005-0000-0000-000062280000}"/>
    <cellStyle name="Comma 6 7 2 4 2" xfId="38537" xr:uid="{00000000-0005-0000-0000-000063280000}"/>
    <cellStyle name="Comma 6 7 2 5" xfId="26232" xr:uid="{00000000-0005-0000-0000-000064280000}"/>
    <cellStyle name="Comma 6 7 3" xfId="7803" xr:uid="{00000000-0005-0000-0000-000065280000}"/>
    <cellStyle name="Comma 6 7 3 2" xfId="13997" xr:uid="{00000000-0005-0000-0000-000066280000}"/>
    <cellStyle name="Comma 6 7 3 2 2" xfId="33917" xr:uid="{00000000-0005-0000-0000-000067280000}"/>
    <cellStyle name="Comma 6 7 3 3" xfId="20149" xr:uid="{00000000-0005-0000-0000-000068280000}"/>
    <cellStyle name="Comma 6 7 3 3 2" xfId="40069" xr:uid="{00000000-0005-0000-0000-000069280000}"/>
    <cellStyle name="Comma 6 7 3 4" xfId="27764" xr:uid="{00000000-0005-0000-0000-00006A280000}"/>
    <cellStyle name="Comma 6 7 4" xfId="10931" xr:uid="{00000000-0005-0000-0000-00006B280000}"/>
    <cellStyle name="Comma 6 7 4 2" xfId="30851" xr:uid="{00000000-0005-0000-0000-00006C280000}"/>
    <cellStyle name="Comma 6 7 5" xfId="17083" xr:uid="{00000000-0005-0000-0000-00006D280000}"/>
    <cellStyle name="Comma 6 7 5 2" xfId="37003" xr:uid="{00000000-0005-0000-0000-00006E280000}"/>
    <cellStyle name="Comma 6 7 6" xfId="24698" xr:uid="{00000000-0005-0000-0000-00006F280000}"/>
    <cellStyle name="Comma 6 8" xfId="5465" xr:uid="{00000000-0005-0000-0000-000070280000}"/>
    <cellStyle name="Comma 6 8 2" xfId="8569" xr:uid="{00000000-0005-0000-0000-000071280000}"/>
    <cellStyle name="Comma 6 8 2 2" xfId="14762" xr:uid="{00000000-0005-0000-0000-000072280000}"/>
    <cellStyle name="Comma 6 8 2 2 2" xfId="34682" xr:uid="{00000000-0005-0000-0000-000073280000}"/>
    <cellStyle name="Comma 6 8 2 3" xfId="20914" xr:uid="{00000000-0005-0000-0000-000074280000}"/>
    <cellStyle name="Comma 6 8 2 3 2" xfId="40834" xr:uid="{00000000-0005-0000-0000-000075280000}"/>
    <cellStyle name="Comma 6 8 2 4" xfId="28529" xr:uid="{00000000-0005-0000-0000-000076280000}"/>
    <cellStyle name="Comma 6 8 3" xfId="11696" xr:uid="{00000000-0005-0000-0000-000077280000}"/>
    <cellStyle name="Comma 6 8 3 2" xfId="31616" xr:uid="{00000000-0005-0000-0000-000078280000}"/>
    <cellStyle name="Comma 6 8 4" xfId="17848" xr:uid="{00000000-0005-0000-0000-000079280000}"/>
    <cellStyle name="Comma 6 8 4 2" xfId="37768" xr:uid="{00000000-0005-0000-0000-00007A280000}"/>
    <cellStyle name="Comma 6 8 5" xfId="25463" xr:uid="{00000000-0005-0000-0000-00007B280000}"/>
    <cellStyle name="Comma 6 9" xfId="7034" xr:uid="{00000000-0005-0000-0000-00007C280000}"/>
    <cellStyle name="Comma 6 9 2" xfId="13228" xr:uid="{00000000-0005-0000-0000-00007D280000}"/>
    <cellStyle name="Comma 6 9 2 2" xfId="33148" xr:uid="{00000000-0005-0000-0000-00007E280000}"/>
    <cellStyle name="Comma 6 9 3" xfId="19380" xr:uid="{00000000-0005-0000-0000-00007F280000}"/>
    <cellStyle name="Comma 6 9 3 2" xfId="39300" xr:uid="{00000000-0005-0000-0000-000080280000}"/>
    <cellStyle name="Comma 6 9 4" xfId="26995" xr:uid="{00000000-0005-0000-0000-000081280000}"/>
    <cellStyle name="Comma 60" xfId="2851" xr:uid="{00000000-0005-0000-0000-000082280000}"/>
    <cellStyle name="Comma 61" xfId="2852" xr:uid="{00000000-0005-0000-0000-000083280000}"/>
    <cellStyle name="Comma 62" xfId="2853" xr:uid="{00000000-0005-0000-0000-000084280000}"/>
    <cellStyle name="Comma 63" xfId="2854" xr:uid="{00000000-0005-0000-0000-000085280000}"/>
    <cellStyle name="Comma 64" xfId="2855" xr:uid="{00000000-0005-0000-0000-000086280000}"/>
    <cellStyle name="Comma 65" xfId="2856" xr:uid="{00000000-0005-0000-0000-000087280000}"/>
    <cellStyle name="Comma 66" xfId="2857" xr:uid="{00000000-0005-0000-0000-000088280000}"/>
    <cellStyle name="Comma 67" xfId="2858" xr:uid="{00000000-0005-0000-0000-000089280000}"/>
    <cellStyle name="Comma 68" xfId="2859" xr:uid="{00000000-0005-0000-0000-00008A280000}"/>
    <cellStyle name="Comma 69" xfId="2860" xr:uid="{00000000-0005-0000-0000-00008B280000}"/>
    <cellStyle name="Comma 7" xfId="103" xr:uid="{00000000-0005-0000-0000-00008C280000}"/>
    <cellStyle name="Comma 7 10" xfId="22719" xr:uid="{00000000-0005-0000-0000-00008D280000}"/>
    <cellStyle name="Comma 7 10 2" xfId="42630" xr:uid="{00000000-0005-0000-0000-00008E280000}"/>
    <cellStyle name="Comma 7 11" xfId="23022" xr:uid="{00000000-0005-0000-0000-00008F280000}"/>
    <cellStyle name="Comma 7 11 2" xfId="42933" xr:uid="{00000000-0005-0000-0000-000090280000}"/>
    <cellStyle name="Comma 7 12" xfId="23333" xr:uid="{00000000-0005-0000-0000-000091280000}"/>
    <cellStyle name="Comma 7 2" xfId="754" xr:uid="{00000000-0005-0000-0000-000092280000}"/>
    <cellStyle name="Comma 7 2 2" xfId="2862" xr:uid="{00000000-0005-0000-0000-000093280000}"/>
    <cellStyle name="Comma 7 2 3" xfId="23636" xr:uid="{00000000-0005-0000-0000-000094280000}"/>
    <cellStyle name="Comma 7 3" xfId="2863" xr:uid="{00000000-0005-0000-0000-000095280000}"/>
    <cellStyle name="Comma 7 3 2" xfId="2864" xr:uid="{00000000-0005-0000-0000-000096280000}"/>
    <cellStyle name="Comma 7 3 3" xfId="2865" xr:uid="{00000000-0005-0000-0000-000097280000}"/>
    <cellStyle name="Comma 7 4" xfId="2866" xr:uid="{00000000-0005-0000-0000-000098280000}"/>
    <cellStyle name="Comma 7 5" xfId="4587" xr:uid="{00000000-0005-0000-0000-000099280000}"/>
    <cellStyle name="Comma 7 6" xfId="2861" xr:uid="{00000000-0005-0000-0000-00009A280000}"/>
    <cellStyle name="Comma 7 7" xfId="1170" xr:uid="{00000000-0005-0000-0000-00009B280000}"/>
    <cellStyle name="Comma 7 8" xfId="1051" xr:uid="{00000000-0005-0000-0000-00009C280000}"/>
    <cellStyle name="Comma 7 9" xfId="22617" xr:uid="{00000000-0005-0000-0000-00009D280000}"/>
    <cellStyle name="Comma 7 9 2" xfId="42528" xr:uid="{00000000-0005-0000-0000-00009E280000}"/>
    <cellStyle name="Comma 70" xfId="2867" xr:uid="{00000000-0005-0000-0000-00009F280000}"/>
    <cellStyle name="Comma 71" xfId="2868" xr:uid="{00000000-0005-0000-0000-0000A0280000}"/>
    <cellStyle name="Comma 72" xfId="2869" xr:uid="{00000000-0005-0000-0000-0000A1280000}"/>
    <cellStyle name="Comma 73" xfId="2870" xr:uid="{00000000-0005-0000-0000-0000A2280000}"/>
    <cellStyle name="Comma 74" xfId="2871" xr:uid="{00000000-0005-0000-0000-0000A3280000}"/>
    <cellStyle name="Comma 75" xfId="2872" xr:uid="{00000000-0005-0000-0000-0000A4280000}"/>
    <cellStyle name="Comma 76" xfId="2873" xr:uid="{00000000-0005-0000-0000-0000A5280000}"/>
    <cellStyle name="Comma 77" xfId="2874" xr:uid="{00000000-0005-0000-0000-0000A6280000}"/>
    <cellStyle name="Comma 78" xfId="2875" xr:uid="{00000000-0005-0000-0000-0000A7280000}"/>
    <cellStyle name="Comma 79" xfId="2876" xr:uid="{00000000-0005-0000-0000-0000A8280000}"/>
    <cellStyle name="Comma 8" xfId="104" xr:uid="{00000000-0005-0000-0000-0000A9280000}"/>
    <cellStyle name="Comma 8 10" xfId="23334" xr:uid="{00000000-0005-0000-0000-0000AA280000}"/>
    <cellStyle name="Comma 8 2" xfId="755" xr:uid="{00000000-0005-0000-0000-0000AB280000}"/>
    <cellStyle name="Comma 8 2 2" xfId="2879" xr:uid="{00000000-0005-0000-0000-0000AC280000}"/>
    <cellStyle name="Comma 8 2 3" xfId="2880" xr:uid="{00000000-0005-0000-0000-0000AD280000}"/>
    <cellStyle name="Comma 8 2 4" xfId="2878" xr:uid="{00000000-0005-0000-0000-0000AE280000}"/>
    <cellStyle name="Comma 8 2 5" xfId="23637" xr:uid="{00000000-0005-0000-0000-0000AF280000}"/>
    <cellStyle name="Comma 8 3" xfId="4594" xr:uid="{00000000-0005-0000-0000-0000B0280000}"/>
    <cellStyle name="Comma 8 4" xfId="2877" xr:uid="{00000000-0005-0000-0000-0000B1280000}"/>
    <cellStyle name="Comma 8 5" xfId="1180" xr:uid="{00000000-0005-0000-0000-0000B2280000}"/>
    <cellStyle name="Comma 8 6" xfId="1053" xr:uid="{00000000-0005-0000-0000-0000B3280000}"/>
    <cellStyle name="Comma 8 7" xfId="22536" xr:uid="{00000000-0005-0000-0000-0000B4280000}"/>
    <cellStyle name="Comma 8 7 2" xfId="42447" xr:uid="{00000000-0005-0000-0000-0000B5280000}"/>
    <cellStyle name="Comma 8 8" xfId="22720" xr:uid="{00000000-0005-0000-0000-0000B6280000}"/>
    <cellStyle name="Comma 8 8 2" xfId="42631" xr:uid="{00000000-0005-0000-0000-0000B7280000}"/>
    <cellStyle name="Comma 8 9" xfId="23023" xr:uid="{00000000-0005-0000-0000-0000B8280000}"/>
    <cellStyle name="Comma 8 9 2" xfId="42934" xr:uid="{00000000-0005-0000-0000-0000B9280000}"/>
    <cellStyle name="Comma 80" xfId="2881" xr:uid="{00000000-0005-0000-0000-0000BA280000}"/>
    <cellStyle name="Comma 81" xfId="2882" xr:uid="{00000000-0005-0000-0000-0000BB280000}"/>
    <cellStyle name="Comma 82" xfId="2883" xr:uid="{00000000-0005-0000-0000-0000BC280000}"/>
    <cellStyle name="Comma 83" xfId="2884" xr:uid="{00000000-0005-0000-0000-0000BD280000}"/>
    <cellStyle name="Comma 84" xfId="2885" xr:uid="{00000000-0005-0000-0000-0000BE280000}"/>
    <cellStyle name="Comma 85" xfId="2886" xr:uid="{00000000-0005-0000-0000-0000BF280000}"/>
    <cellStyle name="Comma 86" xfId="2887" xr:uid="{00000000-0005-0000-0000-0000C0280000}"/>
    <cellStyle name="Comma 87" xfId="2888" xr:uid="{00000000-0005-0000-0000-0000C1280000}"/>
    <cellStyle name="Comma 88" xfId="2889" xr:uid="{00000000-0005-0000-0000-0000C2280000}"/>
    <cellStyle name="Comma 89" xfId="2890" xr:uid="{00000000-0005-0000-0000-0000C3280000}"/>
    <cellStyle name="Comma 9" xfId="106" xr:uid="{00000000-0005-0000-0000-0000C4280000}"/>
    <cellStyle name="Comma 9 10" xfId="23025" xr:uid="{00000000-0005-0000-0000-0000C5280000}"/>
    <cellStyle name="Comma 9 10 2" xfId="42936" xr:uid="{00000000-0005-0000-0000-0000C6280000}"/>
    <cellStyle name="Comma 9 11" xfId="23336" xr:uid="{00000000-0005-0000-0000-0000C7280000}"/>
    <cellStyle name="Comma 9 2" xfId="757" xr:uid="{00000000-0005-0000-0000-0000C8280000}"/>
    <cellStyle name="Comma 9 2 2" xfId="2893" xr:uid="{00000000-0005-0000-0000-0000C9280000}"/>
    <cellStyle name="Comma 9 2 3" xfId="2894" xr:uid="{00000000-0005-0000-0000-0000CA280000}"/>
    <cellStyle name="Comma 9 2 4" xfId="2892" xr:uid="{00000000-0005-0000-0000-0000CB280000}"/>
    <cellStyle name="Comma 9 2 5" xfId="23639" xr:uid="{00000000-0005-0000-0000-0000CC280000}"/>
    <cellStyle name="Comma 9 3" xfId="2895" xr:uid="{00000000-0005-0000-0000-0000CD280000}"/>
    <cellStyle name="Comma 9 4" xfId="4598" xr:uid="{00000000-0005-0000-0000-0000CE280000}"/>
    <cellStyle name="Comma 9 5" xfId="2891" xr:uid="{00000000-0005-0000-0000-0000CF280000}"/>
    <cellStyle name="Comma 9 6" xfId="1184" xr:uid="{00000000-0005-0000-0000-0000D0280000}"/>
    <cellStyle name="Comma 9 7" xfId="1054" xr:uid="{00000000-0005-0000-0000-0000D1280000}"/>
    <cellStyle name="Comma 9 8" xfId="22623" xr:uid="{00000000-0005-0000-0000-0000D2280000}"/>
    <cellStyle name="Comma 9 8 2" xfId="42534" xr:uid="{00000000-0005-0000-0000-0000D3280000}"/>
    <cellStyle name="Comma 9 9" xfId="22722" xr:uid="{00000000-0005-0000-0000-0000D4280000}"/>
    <cellStyle name="Comma 9 9 2" xfId="42633" xr:uid="{00000000-0005-0000-0000-0000D5280000}"/>
    <cellStyle name="Comma 90" xfId="2896" xr:uid="{00000000-0005-0000-0000-0000D6280000}"/>
    <cellStyle name="Comma 91" xfId="2897" xr:uid="{00000000-0005-0000-0000-0000D7280000}"/>
    <cellStyle name="Comma 92" xfId="2898" xr:uid="{00000000-0005-0000-0000-0000D8280000}"/>
    <cellStyle name="Comma 93" xfId="2899" xr:uid="{00000000-0005-0000-0000-0000D9280000}"/>
    <cellStyle name="Comma 94" xfId="2900" xr:uid="{00000000-0005-0000-0000-0000DA280000}"/>
    <cellStyle name="Comma 95" xfId="2901" xr:uid="{00000000-0005-0000-0000-0000DB280000}"/>
    <cellStyle name="Comma 96" xfId="2902" xr:uid="{00000000-0005-0000-0000-0000DC280000}"/>
    <cellStyle name="Comma 97" xfId="2903" xr:uid="{00000000-0005-0000-0000-0000DD280000}"/>
    <cellStyle name="Comma 98" xfId="2904" xr:uid="{00000000-0005-0000-0000-0000DE280000}"/>
    <cellStyle name="Comma 99" xfId="2905" xr:uid="{00000000-0005-0000-0000-0000DF280000}"/>
    <cellStyle name="Comma(+Credit)" xfId="2906" xr:uid="{00000000-0005-0000-0000-0000E0280000}"/>
    <cellStyle name="Comma0" xfId="134" xr:uid="{00000000-0005-0000-0000-0000E1280000}"/>
    <cellStyle name="Comma0 2" xfId="10107" xr:uid="{00000000-0005-0000-0000-0000E2280000}"/>
    <cellStyle name="Company Name" xfId="2907" xr:uid="{00000000-0005-0000-0000-0000E3280000}"/>
    <cellStyle name="Company Name 2" xfId="2908" xr:uid="{00000000-0005-0000-0000-0000E4280000}"/>
    <cellStyle name="Company Name 3" xfId="2909" xr:uid="{00000000-0005-0000-0000-0000E5280000}"/>
    <cellStyle name="Currency" xfId="2" builtinId="4"/>
    <cellStyle name="Currency [0] 2" xfId="1071" xr:uid="{00000000-0005-0000-0000-0000E7280000}"/>
    <cellStyle name="Currency [0] 2 2" xfId="4509" xr:uid="{00000000-0005-0000-0000-0000E8280000}"/>
    <cellStyle name="Currency [0] 2 3" xfId="1204" xr:uid="{00000000-0005-0000-0000-0000E9280000}"/>
    <cellStyle name="Currency [0] 3" xfId="1097" xr:uid="{00000000-0005-0000-0000-0000EA280000}"/>
    <cellStyle name="Currency [0] 4" xfId="1172" xr:uid="{00000000-0005-0000-0000-0000EB280000}"/>
    <cellStyle name="Currency [0] 5" xfId="4508" xr:uid="{00000000-0005-0000-0000-0000EC280000}"/>
    <cellStyle name="Currency [0] 6" xfId="4614" xr:uid="{00000000-0005-0000-0000-0000ED280000}"/>
    <cellStyle name="Currency [0] 7" xfId="7029" xr:uid="{00000000-0005-0000-0000-0000EE280000}"/>
    <cellStyle name="Currency [0] 8" xfId="10157" xr:uid="{00000000-0005-0000-0000-0000EF280000}"/>
    <cellStyle name="Currency [0] 9" xfId="1065" xr:uid="{00000000-0005-0000-0000-0000F0280000}"/>
    <cellStyle name="Currency 0.0" xfId="2910" xr:uid="{00000000-0005-0000-0000-0000F1280000}"/>
    <cellStyle name="Currency 0.00" xfId="2911" xr:uid="{00000000-0005-0000-0000-0000F2280000}"/>
    <cellStyle name="Currency 0.000" xfId="2912" xr:uid="{00000000-0005-0000-0000-0000F3280000}"/>
    <cellStyle name="Currency 10" xfId="1183" xr:uid="{00000000-0005-0000-0000-0000F4280000}"/>
    <cellStyle name="Currency 10 2" xfId="2914" xr:uid="{00000000-0005-0000-0000-0000F5280000}"/>
    <cellStyle name="Currency 10 3" xfId="2915" xr:uid="{00000000-0005-0000-0000-0000F6280000}"/>
    <cellStyle name="Currency 10 4" xfId="2916" xr:uid="{00000000-0005-0000-0000-0000F7280000}"/>
    <cellStyle name="Currency 10 5" xfId="2917" xr:uid="{00000000-0005-0000-0000-0000F8280000}"/>
    <cellStyle name="Currency 10 6" xfId="2918" xr:uid="{00000000-0005-0000-0000-0000F9280000}"/>
    <cellStyle name="Currency 10 6 2" xfId="2919" xr:uid="{00000000-0005-0000-0000-0000FA280000}"/>
    <cellStyle name="Currency 10 6 3" xfId="2920" xr:uid="{00000000-0005-0000-0000-0000FB280000}"/>
    <cellStyle name="Currency 10 7" xfId="2921" xr:uid="{00000000-0005-0000-0000-0000FC280000}"/>
    <cellStyle name="Currency 10 8" xfId="4597" xr:uid="{00000000-0005-0000-0000-0000FD280000}"/>
    <cellStyle name="Currency 10 9" xfId="2913" xr:uid="{00000000-0005-0000-0000-0000FE280000}"/>
    <cellStyle name="Currency 100" xfId="2922" xr:uid="{00000000-0005-0000-0000-0000FF280000}"/>
    <cellStyle name="Currency 101" xfId="2923" xr:uid="{00000000-0005-0000-0000-000000290000}"/>
    <cellStyle name="Currency 102" xfId="2924" xr:uid="{00000000-0005-0000-0000-000001290000}"/>
    <cellStyle name="Currency 103" xfId="2925" xr:uid="{00000000-0005-0000-0000-000002290000}"/>
    <cellStyle name="Currency 104" xfId="2926" xr:uid="{00000000-0005-0000-0000-000003290000}"/>
    <cellStyle name="Currency 105" xfId="2927" xr:uid="{00000000-0005-0000-0000-000004290000}"/>
    <cellStyle name="Currency 106" xfId="2928" xr:uid="{00000000-0005-0000-0000-000005290000}"/>
    <cellStyle name="Currency 107" xfId="2929" xr:uid="{00000000-0005-0000-0000-000006290000}"/>
    <cellStyle name="Currency 108" xfId="2930" xr:uid="{00000000-0005-0000-0000-000007290000}"/>
    <cellStyle name="Currency 109" xfId="2931" xr:uid="{00000000-0005-0000-0000-000008290000}"/>
    <cellStyle name="Currency 11" xfId="2932" xr:uid="{00000000-0005-0000-0000-000009290000}"/>
    <cellStyle name="Currency 11 2" xfId="2933" xr:uid="{00000000-0005-0000-0000-00000A290000}"/>
    <cellStyle name="Currency 11 3" xfId="2934" xr:uid="{00000000-0005-0000-0000-00000B290000}"/>
    <cellStyle name="Currency 110" xfId="2935" xr:uid="{00000000-0005-0000-0000-00000C290000}"/>
    <cellStyle name="Currency 111" xfId="2936" xr:uid="{00000000-0005-0000-0000-00000D290000}"/>
    <cellStyle name="Currency 112" xfId="2937" xr:uid="{00000000-0005-0000-0000-00000E290000}"/>
    <cellStyle name="Currency 113" xfId="2938" xr:uid="{00000000-0005-0000-0000-00000F290000}"/>
    <cellStyle name="Currency 114" xfId="2939" xr:uid="{00000000-0005-0000-0000-000010290000}"/>
    <cellStyle name="Currency 115" xfId="2940" xr:uid="{00000000-0005-0000-0000-000011290000}"/>
    <cellStyle name="Currency 116" xfId="2941" xr:uid="{00000000-0005-0000-0000-000012290000}"/>
    <cellStyle name="Currency 117" xfId="2942" xr:uid="{00000000-0005-0000-0000-000013290000}"/>
    <cellStyle name="Currency 118" xfId="2943" xr:uid="{00000000-0005-0000-0000-000014290000}"/>
    <cellStyle name="Currency 118 2" xfId="2944" xr:uid="{00000000-0005-0000-0000-000015290000}"/>
    <cellStyle name="Currency 118 2 2" xfId="2945" xr:uid="{00000000-0005-0000-0000-000016290000}"/>
    <cellStyle name="Currency 118 2 2 2" xfId="2946" xr:uid="{00000000-0005-0000-0000-000017290000}"/>
    <cellStyle name="Currency 118 2 3" xfId="2947" xr:uid="{00000000-0005-0000-0000-000018290000}"/>
    <cellStyle name="Currency 118 3" xfId="2948" xr:uid="{00000000-0005-0000-0000-000019290000}"/>
    <cellStyle name="Currency 118 3 2" xfId="2949" xr:uid="{00000000-0005-0000-0000-00001A290000}"/>
    <cellStyle name="Currency 118 4" xfId="2950" xr:uid="{00000000-0005-0000-0000-00001B290000}"/>
    <cellStyle name="Currency 118 4 2" xfId="2951" xr:uid="{00000000-0005-0000-0000-00001C290000}"/>
    <cellStyle name="Currency 118 5" xfId="2952" xr:uid="{00000000-0005-0000-0000-00001D290000}"/>
    <cellStyle name="Currency 119" xfId="2953" xr:uid="{00000000-0005-0000-0000-00001E290000}"/>
    <cellStyle name="Currency 119 2" xfId="2954" xr:uid="{00000000-0005-0000-0000-00001F290000}"/>
    <cellStyle name="Currency 119 2 2" xfId="2955" xr:uid="{00000000-0005-0000-0000-000020290000}"/>
    <cellStyle name="Currency 119 2 2 2" xfId="2956" xr:uid="{00000000-0005-0000-0000-000021290000}"/>
    <cellStyle name="Currency 119 2 3" xfId="2957" xr:uid="{00000000-0005-0000-0000-000022290000}"/>
    <cellStyle name="Currency 119 3" xfId="2958" xr:uid="{00000000-0005-0000-0000-000023290000}"/>
    <cellStyle name="Currency 119 3 2" xfId="2959" xr:uid="{00000000-0005-0000-0000-000024290000}"/>
    <cellStyle name="Currency 119 4" xfId="2960" xr:uid="{00000000-0005-0000-0000-000025290000}"/>
    <cellStyle name="Currency 119 4 2" xfId="2961" xr:uid="{00000000-0005-0000-0000-000026290000}"/>
    <cellStyle name="Currency 119 5" xfId="2962" xr:uid="{00000000-0005-0000-0000-000027290000}"/>
    <cellStyle name="Currency 12" xfId="2963" xr:uid="{00000000-0005-0000-0000-000028290000}"/>
    <cellStyle name="Currency 12 2" xfId="2964" xr:uid="{00000000-0005-0000-0000-000029290000}"/>
    <cellStyle name="Currency 12 3" xfId="2965" xr:uid="{00000000-0005-0000-0000-00002A290000}"/>
    <cellStyle name="Currency 120" xfId="2966" xr:uid="{00000000-0005-0000-0000-00002B290000}"/>
    <cellStyle name="Currency 120 2" xfId="4765" xr:uid="{00000000-0005-0000-0000-00002C290000}"/>
    <cellStyle name="Currency 120 2 2" xfId="6390" xr:uid="{00000000-0005-0000-0000-00002D290000}"/>
    <cellStyle name="Currency 120 2 2 2" xfId="9476" xr:uid="{00000000-0005-0000-0000-00002E290000}"/>
    <cellStyle name="Currency 120 2 2 2 2" xfId="15669" xr:uid="{00000000-0005-0000-0000-00002F290000}"/>
    <cellStyle name="Currency 120 2 2 2 2 2" xfId="35589" xr:uid="{00000000-0005-0000-0000-000030290000}"/>
    <cellStyle name="Currency 120 2 2 2 3" xfId="21821" xr:uid="{00000000-0005-0000-0000-000031290000}"/>
    <cellStyle name="Currency 120 2 2 2 3 2" xfId="41741" xr:uid="{00000000-0005-0000-0000-000032290000}"/>
    <cellStyle name="Currency 120 2 2 2 4" xfId="29436" xr:uid="{00000000-0005-0000-0000-000033290000}"/>
    <cellStyle name="Currency 120 2 2 3" xfId="12603" xr:uid="{00000000-0005-0000-0000-000034290000}"/>
    <cellStyle name="Currency 120 2 2 3 2" xfId="32523" xr:uid="{00000000-0005-0000-0000-000035290000}"/>
    <cellStyle name="Currency 120 2 2 4" xfId="18755" xr:uid="{00000000-0005-0000-0000-000036290000}"/>
    <cellStyle name="Currency 120 2 2 4 2" xfId="38675" xr:uid="{00000000-0005-0000-0000-000037290000}"/>
    <cellStyle name="Currency 120 2 2 5" xfId="26370" xr:uid="{00000000-0005-0000-0000-000038290000}"/>
    <cellStyle name="Currency 120 2 3" xfId="7941" xr:uid="{00000000-0005-0000-0000-000039290000}"/>
    <cellStyle name="Currency 120 2 3 2" xfId="14135" xr:uid="{00000000-0005-0000-0000-00003A290000}"/>
    <cellStyle name="Currency 120 2 3 2 2" xfId="34055" xr:uid="{00000000-0005-0000-0000-00003B290000}"/>
    <cellStyle name="Currency 120 2 3 3" xfId="20287" xr:uid="{00000000-0005-0000-0000-00003C290000}"/>
    <cellStyle name="Currency 120 2 3 3 2" xfId="40207" xr:uid="{00000000-0005-0000-0000-00003D290000}"/>
    <cellStyle name="Currency 120 2 3 4" xfId="27902" xr:uid="{00000000-0005-0000-0000-00003E290000}"/>
    <cellStyle name="Currency 120 2 4" xfId="11069" xr:uid="{00000000-0005-0000-0000-00003F290000}"/>
    <cellStyle name="Currency 120 2 4 2" xfId="30989" xr:uid="{00000000-0005-0000-0000-000040290000}"/>
    <cellStyle name="Currency 120 2 5" xfId="17221" xr:uid="{00000000-0005-0000-0000-000041290000}"/>
    <cellStyle name="Currency 120 2 5 2" xfId="37141" xr:uid="{00000000-0005-0000-0000-000042290000}"/>
    <cellStyle name="Currency 120 2 6" xfId="24836" xr:uid="{00000000-0005-0000-0000-000043290000}"/>
    <cellStyle name="Currency 120 3" xfId="5606" xr:uid="{00000000-0005-0000-0000-000044290000}"/>
    <cellStyle name="Currency 120 3 2" xfId="8707" xr:uid="{00000000-0005-0000-0000-000045290000}"/>
    <cellStyle name="Currency 120 3 2 2" xfId="14900" xr:uid="{00000000-0005-0000-0000-000046290000}"/>
    <cellStyle name="Currency 120 3 2 2 2" xfId="34820" xr:uid="{00000000-0005-0000-0000-000047290000}"/>
    <cellStyle name="Currency 120 3 2 3" xfId="21052" xr:uid="{00000000-0005-0000-0000-000048290000}"/>
    <cellStyle name="Currency 120 3 2 3 2" xfId="40972" xr:uid="{00000000-0005-0000-0000-000049290000}"/>
    <cellStyle name="Currency 120 3 2 4" xfId="28667" xr:uid="{00000000-0005-0000-0000-00004A290000}"/>
    <cellStyle name="Currency 120 3 3" xfId="11834" xr:uid="{00000000-0005-0000-0000-00004B290000}"/>
    <cellStyle name="Currency 120 3 3 2" xfId="31754" xr:uid="{00000000-0005-0000-0000-00004C290000}"/>
    <cellStyle name="Currency 120 3 4" xfId="17986" xr:uid="{00000000-0005-0000-0000-00004D290000}"/>
    <cellStyle name="Currency 120 3 4 2" xfId="37906" xr:uid="{00000000-0005-0000-0000-00004E290000}"/>
    <cellStyle name="Currency 120 3 5" xfId="25601" xr:uid="{00000000-0005-0000-0000-00004F290000}"/>
    <cellStyle name="Currency 120 4" xfId="7172" xr:uid="{00000000-0005-0000-0000-000050290000}"/>
    <cellStyle name="Currency 120 4 2" xfId="13366" xr:uid="{00000000-0005-0000-0000-000051290000}"/>
    <cellStyle name="Currency 120 4 2 2" xfId="33286" xr:uid="{00000000-0005-0000-0000-000052290000}"/>
    <cellStyle name="Currency 120 4 3" xfId="19518" xr:uid="{00000000-0005-0000-0000-000053290000}"/>
    <cellStyle name="Currency 120 4 3 2" xfId="39438" xr:uid="{00000000-0005-0000-0000-000054290000}"/>
    <cellStyle name="Currency 120 4 4" xfId="27133" xr:uid="{00000000-0005-0000-0000-000055290000}"/>
    <cellStyle name="Currency 120 5" xfId="10300" xr:uid="{00000000-0005-0000-0000-000056290000}"/>
    <cellStyle name="Currency 120 5 2" xfId="30220" xr:uid="{00000000-0005-0000-0000-000057290000}"/>
    <cellStyle name="Currency 120 6" xfId="16452" xr:uid="{00000000-0005-0000-0000-000058290000}"/>
    <cellStyle name="Currency 120 6 2" xfId="36372" xr:uid="{00000000-0005-0000-0000-000059290000}"/>
    <cellStyle name="Currency 120 7" xfId="24067" xr:uid="{00000000-0005-0000-0000-00005A290000}"/>
    <cellStyle name="Currency 121" xfId="2967" xr:uid="{00000000-0005-0000-0000-00005B290000}"/>
    <cellStyle name="Currency 121 2" xfId="4766" xr:uid="{00000000-0005-0000-0000-00005C290000}"/>
    <cellStyle name="Currency 121 2 2" xfId="6391" xr:uid="{00000000-0005-0000-0000-00005D290000}"/>
    <cellStyle name="Currency 121 2 2 2" xfId="9477" xr:uid="{00000000-0005-0000-0000-00005E290000}"/>
    <cellStyle name="Currency 121 2 2 2 2" xfId="15670" xr:uid="{00000000-0005-0000-0000-00005F290000}"/>
    <cellStyle name="Currency 121 2 2 2 2 2" xfId="35590" xr:uid="{00000000-0005-0000-0000-000060290000}"/>
    <cellStyle name="Currency 121 2 2 2 3" xfId="21822" xr:uid="{00000000-0005-0000-0000-000061290000}"/>
    <cellStyle name="Currency 121 2 2 2 3 2" xfId="41742" xr:uid="{00000000-0005-0000-0000-000062290000}"/>
    <cellStyle name="Currency 121 2 2 2 4" xfId="29437" xr:uid="{00000000-0005-0000-0000-000063290000}"/>
    <cellStyle name="Currency 121 2 2 3" xfId="12604" xr:uid="{00000000-0005-0000-0000-000064290000}"/>
    <cellStyle name="Currency 121 2 2 3 2" xfId="32524" xr:uid="{00000000-0005-0000-0000-000065290000}"/>
    <cellStyle name="Currency 121 2 2 4" xfId="18756" xr:uid="{00000000-0005-0000-0000-000066290000}"/>
    <cellStyle name="Currency 121 2 2 4 2" xfId="38676" xr:uid="{00000000-0005-0000-0000-000067290000}"/>
    <cellStyle name="Currency 121 2 2 5" xfId="26371" xr:uid="{00000000-0005-0000-0000-000068290000}"/>
    <cellStyle name="Currency 121 2 3" xfId="7942" xr:uid="{00000000-0005-0000-0000-000069290000}"/>
    <cellStyle name="Currency 121 2 3 2" xfId="14136" xr:uid="{00000000-0005-0000-0000-00006A290000}"/>
    <cellStyle name="Currency 121 2 3 2 2" xfId="34056" xr:uid="{00000000-0005-0000-0000-00006B290000}"/>
    <cellStyle name="Currency 121 2 3 3" xfId="20288" xr:uid="{00000000-0005-0000-0000-00006C290000}"/>
    <cellStyle name="Currency 121 2 3 3 2" xfId="40208" xr:uid="{00000000-0005-0000-0000-00006D290000}"/>
    <cellStyle name="Currency 121 2 3 4" xfId="27903" xr:uid="{00000000-0005-0000-0000-00006E290000}"/>
    <cellStyle name="Currency 121 2 4" xfId="11070" xr:uid="{00000000-0005-0000-0000-00006F290000}"/>
    <cellStyle name="Currency 121 2 4 2" xfId="30990" xr:uid="{00000000-0005-0000-0000-000070290000}"/>
    <cellStyle name="Currency 121 2 5" xfId="17222" xr:uid="{00000000-0005-0000-0000-000071290000}"/>
    <cellStyle name="Currency 121 2 5 2" xfId="37142" xr:uid="{00000000-0005-0000-0000-000072290000}"/>
    <cellStyle name="Currency 121 2 6" xfId="24837" xr:uid="{00000000-0005-0000-0000-000073290000}"/>
    <cellStyle name="Currency 121 3" xfId="5607" xr:uid="{00000000-0005-0000-0000-000074290000}"/>
    <cellStyle name="Currency 121 3 2" xfId="8708" xr:uid="{00000000-0005-0000-0000-000075290000}"/>
    <cellStyle name="Currency 121 3 2 2" xfId="14901" xr:uid="{00000000-0005-0000-0000-000076290000}"/>
    <cellStyle name="Currency 121 3 2 2 2" xfId="34821" xr:uid="{00000000-0005-0000-0000-000077290000}"/>
    <cellStyle name="Currency 121 3 2 3" xfId="21053" xr:uid="{00000000-0005-0000-0000-000078290000}"/>
    <cellStyle name="Currency 121 3 2 3 2" xfId="40973" xr:uid="{00000000-0005-0000-0000-000079290000}"/>
    <cellStyle name="Currency 121 3 2 4" xfId="28668" xr:uid="{00000000-0005-0000-0000-00007A290000}"/>
    <cellStyle name="Currency 121 3 3" xfId="11835" xr:uid="{00000000-0005-0000-0000-00007B290000}"/>
    <cellStyle name="Currency 121 3 3 2" xfId="31755" xr:uid="{00000000-0005-0000-0000-00007C290000}"/>
    <cellStyle name="Currency 121 3 4" xfId="17987" xr:uid="{00000000-0005-0000-0000-00007D290000}"/>
    <cellStyle name="Currency 121 3 4 2" xfId="37907" xr:uid="{00000000-0005-0000-0000-00007E290000}"/>
    <cellStyle name="Currency 121 3 5" xfId="25602" xr:uid="{00000000-0005-0000-0000-00007F290000}"/>
    <cellStyle name="Currency 121 4" xfId="7173" xr:uid="{00000000-0005-0000-0000-000080290000}"/>
    <cellStyle name="Currency 121 4 2" xfId="13367" xr:uid="{00000000-0005-0000-0000-000081290000}"/>
    <cellStyle name="Currency 121 4 2 2" xfId="33287" xr:uid="{00000000-0005-0000-0000-000082290000}"/>
    <cellStyle name="Currency 121 4 3" xfId="19519" xr:uid="{00000000-0005-0000-0000-000083290000}"/>
    <cellStyle name="Currency 121 4 3 2" xfId="39439" xr:uid="{00000000-0005-0000-0000-000084290000}"/>
    <cellStyle name="Currency 121 4 4" xfId="27134" xr:uid="{00000000-0005-0000-0000-000085290000}"/>
    <cellStyle name="Currency 121 5" xfId="10301" xr:uid="{00000000-0005-0000-0000-000086290000}"/>
    <cellStyle name="Currency 121 5 2" xfId="30221" xr:uid="{00000000-0005-0000-0000-000087290000}"/>
    <cellStyle name="Currency 121 6" xfId="16453" xr:uid="{00000000-0005-0000-0000-000088290000}"/>
    <cellStyle name="Currency 121 6 2" xfId="36373" xr:uid="{00000000-0005-0000-0000-000089290000}"/>
    <cellStyle name="Currency 121 7" xfId="24068" xr:uid="{00000000-0005-0000-0000-00008A290000}"/>
    <cellStyle name="Currency 122" xfId="2968" xr:uid="{00000000-0005-0000-0000-00008B290000}"/>
    <cellStyle name="Currency 122 2" xfId="4767" xr:uid="{00000000-0005-0000-0000-00008C290000}"/>
    <cellStyle name="Currency 122 2 2" xfId="6392" xr:uid="{00000000-0005-0000-0000-00008D290000}"/>
    <cellStyle name="Currency 122 2 2 2" xfId="9478" xr:uid="{00000000-0005-0000-0000-00008E290000}"/>
    <cellStyle name="Currency 122 2 2 2 2" xfId="15671" xr:uid="{00000000-0005-0000-0000-00008F290000}"/>
    <cellStyle name="Currency 122 2 2 2 2 2" xfId="35591" xr:uid="{00000000-0005-0000-0000-000090290000}"/>
    <cellStyle name="Currency 122 2 2 2 3" xfId="21823" xr:uid="{00000000-0005-0000-0000-000091290000}"/>
    <cellStyle name="Currency 122 2 2 2 3 2" xfId="41743" xr:uid="{00000000-0005-0000-0000-000092290000}"/>
    <cellStyle name="Currency 122 2 2 2 4" xfId="29438" xr:uid="{00000000-0005-0000-0000-000093290000}"/>
    <cellStyle name="Currency 122 2 2 3" xfId="12605" xr:uid="{00000000-0005-0000-0000-000094290000}"/>
    <cellStyle name="Currency 122 2 2 3 2" xfId="32525" xr:uid="{00000000-0005-0000-0000-000095290000}"/>
    <cellStyle name="Currency 122 2 2 4" xfId="18757" xr:uid="{00000000-0005-0000-0000-000096290000}"/>
    <cellStyle name="Currency 122 2 2 4 2" xfId="38677" xr:uid="{00000000-0005-0000-0000-000097290000}"/>
    <cellStyle name="Currency 122 2 2 5" xfId="26372" xr:uid="{00000000-0005-0000-0000-000098290000}"/>
    <cellStyle name="Currency 122 2 3" xfId="7943" xr:uid="{00000000-0005-0000-0000-000099290000}"/>
    <cellStyle name="Currency 122 2 3 2" xfId="14137" xr:uid="{00000000-0005-0000-0000-00009A290000}"/>
    <cellStyle name="Currency 122 2 3 2 2" xfId="34057" xr:uid="{00000000-0005-0000-0000-00009B290000}"/>
    <cellStyle name="Currency 122 2 3 3" xfId="20289" xr:uid="{00000000-0005-0000-0000-00009C290000}"/>
    <cellStyle name="Currency 122 2 3 3 2" xfId="40209" xr:uid="{00000000-0005-0000-0000-00009D290000}"/>
    <cellStyle name="Currency 122 2 3 4" xfId="27904" xr:uid="{00000000-0005-0000-0000-00009E290000}"/>
    <cellStyle name="Currency 122 2 4" xfId="11071" xr:uid="{00000000-0005-0000-0000-00009F290000}"/>
    <cellStyle name="Currency 122 2 4 2" xfId="30991" xr:uid="{00000000-0005-0000-0000-0000A0290000}"/>
    <cellStyle name="Currency 122 2 5" xfId="17223" xr:uid="{00000000-0005-0000-0000-0000A1290000}"/>
    <cellStyle name="Currency 122 2 5 2" xfId="37143" xr:uid="{00000000-0005-0000-0000-0000A2290000}"/>
    <cellStyle name="Currency 122 2 6" xfId="24838" xr:uid="{00000000-0005-0000-0000-0000A3290000}"/>
    <cellStyle name="Currency 122 3" xfId="5608" xr:uid="{00000000-0005-0000-0000-0000A4290000}"/>
    <cellStyle name="Currency 122 3 2" xfId="8709" xr:uid="{00000000-0005-0000-0000-0000A5290000}"/>
    <cellStyle name="Currency 122 3 2 2" xfId="14902" xr:uid="{00000000-0005-0000-0000-0000A6290000}"/>
    <cellStyle name="Currency 122 3 2 2 2" xfId="34822" xr:uid="{00000000-0005-0000-0000-0000A7290000}"/>
    <cellStyle name="Currency 122 3 2 3" xfId="21054" xr:uid="{00000000-0005-0000-0000-0000A8290000}"/>
    <cellStyle name="Currency 122 3 2 3 2" xfId="40974" xr:uid="{00000000-0005-0000-0000-0000A9290000}"/>
    <cellStyle name="Currency 122 3 2 4" xfId="28669" xr:uid="{00000000-0005-0000-0000-0000AA290000}"/>
    <cellStyle name="Currency 122 3 3" xfId="11836" xr:uid="{00000000-0005-0000-0000-0000AB290000}"/>
    <cellStyle name="Currency 122 3 3 2" xfId="31756" xr:uid="{00000000-0005-0000-0000-0000AC290000}"/>
    <cellStyle name="Currency 122 3 4" xfId="17988" xr:uid="{00000000-0005-0000-0000-0000AD290000}"/>
    <cellStyle name="Currency 122 3 4 2" xfId="37908" xr:uid="{00000000-0005-0000-0000-0000AE290000}"/>
    <cellStyle name="Currency 122 3 5" xfId="25603" xr:uid="{00000000-0005-0000-0000-0000AF290000}"/>
    <cellStyle name="Currency 122 4" xfId="7174" xr:uid="{00000000-0005-0000-0000-0000B0290000}"/>
    <cellStyle name="Currency 122 4 2" xfId="13368" xr:uid="{00000000-0005-0000-0000-0000B1290000}"/>
    <cellStyle name="Currency 122 4 2 2" xfId="33288" xr:uid="{00000000-0005-0000-0000-0000B2290000}"/>
    <cellStyle name="Currency 122 4 3" xfId="19520" xr:uid="{00000000-0005-0000-0000-0000B3290000}"/>
    <cellStyle name="Currency 122 4 3 2" xfId="39440" xr:uid="{00000000-0005-0000-0000-0000B4290000}"/>
    <cellStyle name="Currency 122 4 4" xfId="27135" xr:uid="{00000000-0005-0000-0000-0000B5290000}"/>
    <cellStyle name="Currency 122 5" xfId="10302" xr:uid="{00000000-0005-0000-0000-0000B6290000}"/>
    <cellStyle name="Currency 122 5 2" xfId="30222" xr:uid="{00000000-0005-0000-0000-0000B7290000}"/>
    <cellStyle name="Currency 122 6" xfId="16454" xr:uid="{00000000-0005-0000-0000-0000B8290000}"/>
    <cellStyle name="Currency 122 6 2" xfId="36374" xr:uid="{00000000-0005-0000-0000-0000B9290000}"/>
    <cellStyle name="Currency 122 7" xfId="24069" xr:uid="{00000000-0005-0000-0000-0000BA290000}"/>
    <cellStyle name="Currency 123" xfId="2969" xr:uid="{00000000-0005-0000-0000-0000BB290000}"/>
    <cellStyle name="Currency 123 2" xfId="4768" xr:uid="{00000000-0005-0000-0000-0000BC290000}"/>
    <cellStyle name="Currency 123 2 2" xfId="6393" xr:uid="{00000000-0005-0000-0000-0000BD290000}"/>
    <cellStyle name="Currency 123 2 2 2" xfId="9479" xr:uid="{00000000-0005-0000-0000-0000BE290000}"/>
    <cellStyle name="Currency 123 2 2 2 2" xfId="15672" xr:uid="{00000000-0005-0000-0000-0000BF290000}"/>
    <cellStyle name="Currency 123 2 2 2 2 2" xfId="35592" xr:uid="{00000000-0005-0000-0000-0000C0290000}"/>
    <cellStyle name="Currency 123 2 2 2 3" xfId="21824" xr:uid="{00000000-0005-0000-0000-0000C1290000}"/>
    <cellStyle name="Currency 123 2 2 2 3 2" xfId="41744" xr:uid="{00000000-0005-0000-0000-0000C2290000}"/>
    <cellStyle name="Currency 123 2 2 2 4" xfId="29439" xr:uid="{00000000-0005-0000-0000-0000C3290000}"/>
    <cellStyle name="Currency 123 2 2 3" xfId="12606" xr:uid="{00000000-0005-0000-0000-0000C4290000}"/>
    <cellStyle name="Currency 123 2 2 3 2" xfId="32526" xr:uid="{00000000-0005-0000-0000-0000C5290000}"/>
    <cellStyle name="Currency 123 2 2 4" xfId="18758" xr:uid="{00000000-0005-0000-0000-0000C6290000}"/>
    <cellStyle name="Currency 123 2 2 4 2" xfId="38678" xr:uid="{00000000-0005-0000-0000-0000C7290000}"/>
    <cellStyle name="Currency 123 2 2 5" xfId="26373" xr:uid="{00000000-0005-0000-0000-0000C8290000}"/>
    <cellStyle name="Currency 123 2 3" xfId="7944" xr:uid="{00000000-0005-0000-0000-0000C9290000}"/>
    <cellStyle name="Currency 123 2 3 2" xfId="14138" xr:uid="{00000000-0005-0000-0000-0000CA290000}"/>
    <cellStyle name="Currency 123 2 3 2 2" xfId="34058" xr:uid="{00000000-0005-0000-0000-0000CB290000}"/>
    <cellStyle name="Currency 123 2 3 3" xfId="20290" xr:uid="{00000000-0005-0000-0000-0000CC290000}"/>
    <cellStyle name="Currency 123 2 3 3 2" xfId="40210" xr:uid="{00000000-0005-0000-0000-0000CD290000}"/>
    <cellStyle name="Currency 123 2 3 4" xfId="27905" xr:uid="{00000000-0005-0000-0000-0000CE290000}"/>
    <cellStyle name="Currency 123 2 4" xfId="11072" xr:uid="{00000000-0005-0000-0000-0000CF290000}"/>
    <cellStyle name="Currency 123 2 4 2" xfId="30992" xr:uid="{00000000-0005-0000-0000-0000D0290000}"/>
    <cellStyle name="Currency 123 2 5" xfId="17224" xr:uid="{00000000-0005-0000-0000-0000D1290000}"/>
    <cellStyle name="Currency 123 2 5 2" xfId="37144" xr:uid="{00000000-0005-0000-0000-0000D2290000}"/>
    <cellStyle name="Currency 123 2 6" xfId="24839" xr:uid="{00000000-0005-0000-0000-0000D3290000}"/>
    <cellStyle name="Currency 123 3" xfId="5609" xr:uid="{00000000-0005-0000-0000-0000D4290000}"/>
    <cellStyle name="Currency 123 3 2" xfId="8710" xr:uid="{00000000-0005-0000-0000-0000D5290000}"/>
    <cellStyle name="Currency 123 3 2 2" xfId="14903" xr:uid="{00000000-0005-0000-0000-0000D6290000}"/>
    <cellStyle name="Currency 123 3 2 2 2" xfId="34823" xr:uid="{00000000-0005-0000-0000-0000D7290000}"/>
    <cellStyle name="Currency 123 3 2 3" xfId="21055" xr:uid="{00000000-0005-0000-0000-0000D8290000}"/>
    <cellStyle name="Currency 123 3 2 3 2" xfId="40975" xr:uid="{00000000-0005-0000-0000-0000D9290000}"/>
    <cellStyle name="Currency 123 3 2 4" xfId="28670" xr:uid="{00000000-0005-0000-0000-0000DA290000}"/>
    <cellStyle name="Currency 123 3 3" xfId="11837" xr:uid="{00000000-0005-0000-0000-0000DB290000}"/>
    <cellStyle name="Currency 123 3 3 2" xfId="31757" xr:uid="{00000000-0005-0000-0000-0000DC290000}"/>
    <cellStyle name="Currency 123 3 4" xfId="17989" xr:uid="{00000000-0005-0000-0000-0000DD290000}"/>
    <cellStyle name="Currency 123 3 4 2" xfId="37909" xr:uid="{00000000-0005-0000-0000-0000DE290000}"/>
    <cellStyle name="Currency 123 3 5" xfId="25604" xr:uid="{00000000-0005-0000-0000-0000DF290000}"/>
    <cellStyle name="Currency 123 4" xfId="7175" xr:uid="{00000000-0005-0000-0000-0000E0290000}"/>
    <cellStyle name="Currency 123 4 2" xfId="13369" xr:uid="{00000000-0005-0000-0000-0000E1290000}"/>
    <cellStyle name="Currency 123 4 2 2" xfId="33289" xr:uid="{00000000-0005-0000-0000-0000E2290000}"/>
    <cellStyle name="Currency 123 4 3" xfId="19521" xr:uid="{00000000-0005-0000-0000-0000E3290000}"/>
    <cellStyle name="Currency 123 4 3 2" xfId="39441" xr:uid="{00000000-0005-0000-0000-0000E4290000}"/>
    <cellStyle name="Currency 123 4 4" xfId="27136" xr:uid="{00000000-0005-0000-0000-0000E5290000}"/>
    <cellStyle name="Currency 123 5" xfId="10303" xr:uid="{00000000-0005-0000-0000-0000E6290000}"/>
    <cellStyle name="Currency 123 5 2" xfId="30223" xr:uid="{00000000-0005-0000-0000-0000E7290000}"/>
    <cellStyle name="Currency 123 6" xfId="16455" xr:uid="{00000000-0005-0000-0000-0000E8290000}"/>
    <cellStyle name="Currency 123 6 2" xfId="36375" xr:uid="{00000000-0005-0000-0000-0000E9290000}"/>
    <cellStyle name="Currency 123 7" xfId="24070" xr:uid="{00000000-0005-0000-0000-0000EA290000}"/>
    <cellStyle name="Currency 124" xfId="2970" xr:uid="{00000000-0005-0000-0000-0000EB290000}"/>
    <cellStyle name="Currency 124 2" xfId="4769" xr:uid="{00000000-0005-0000-0000-0000EC290000}"/>
    <cellStyle name="Currency 124 2 2" xfId="6394" xr:uid="{00000000-0005-0000-0000-0000ED290000}"/>
    <cellStyle name="Currency 124 2 2 2" xfId="9480" xr:uid="{00000000-0005-0000-0000-0000EE290000}"/>
    <cellStyle name="Currency 124 2 2 2 2" xfId="15673" xr:uid="{00000000-0005-0000-0000-0000EF290000}"/>
    <cellStyle name="Currency 124 2 2 2 2 2" xfId="35593" xr:uid="{00000000-0005-0000-0000-0000F0290000}"/>
    <cellStyle name="Currency 124 2 2 2 3" xfId="21825" xr:uid="{00000000-0005-0000-0000-0000F1290000}"/>
    <cellStyle name="Currency 124 2 2 2 3 2" xfId="41745" xr:uid="{00000000-0005-0000-0000-0000F2290000}"/>
    <cellStyle name="Currency 124 2 2 2 4" xfId="29440" xr:uid="{00000000-0005-0000-0000-0000F3290000}"/>
    <cellStyle name="Currency 124 2 2 3" xfId="12607" xr:uid="{00000000-0005-0000-0000-0000F4290000}"/>
    <cellStyle name="Currency 124 2 2 3 2" xfId="32527" xr:uid="{00000000-0005-0000-0000-0000F5290000}"/>
    <cellStyle name="Currency 124 2 2 4" xfId="18759" xr:uid="{00000000-0005-0000-0000-0000F6290000}"/>
    <cellStyle name="Currency 124 2 2 4 2" xfId="38679" xr:uid="{00000000-0005-0000-0000-0000F7290000}"/>
    <cellStyle name="Currency 124 2 2 5" xfId="26374" xr:uid="{00000000-0005-0000-0000-0000F8290000}"/>
    <cellStyle name="Currency 124 2 3" xfId="7945" xr:uid="{00000000-0005-0000-0000-0000F9290000}"/>
    <cellStyle name="Currency 124 2 3 2" xfId="14139" xr:uid="{00000000-0005-0000-0000-0000FA290000}"/>
    <cellStyle name="Currency 124 2 3 2 2" xfId="34059" xr:uid="{00000000-0005-0000-0000-0000FB290000}"/>
    <cellStyle name="Currency 124 2 3 3" xfId="20291" xr:uid="{00000000-0005-0000-0000-0000FC290000}"/>
    <cellStyle name="Currency 124 2 3 3 2" xfId="40211" xr:uid="{00000000-0005-0000-0000-0000FD290000}"/>
    <cellStyle name="Currency 124 2 3 4" xfId="27906" xr:uid="{00000000-0005-0000-0000-0000FE290000}"/>
    <cellStyle name="Currency 124 2 4" xfId="11073" xr:uid="{00000000-0005-0000-0000-0000FF290000}"/>
    <cellStyle name="Currency 124 2 4 2" xfId="30993" xr:uid="{00000000-0005-0000-0000-0000002A0000}"/>
    <cellStyle name="Currency 124 2 5" xfId="17225" xr:uid="{00000000-0005-0000-0000-0000012A0000}"/>
    <cellStyle name="Currency 124 2 5 2" xfId="37145" xr:uid="{00000000-0005-0000-0000-0000022A0000}"/>
    <cellStyle name="Currency 124 2 6" xfId="24840" xr:uid="{00000000-0005-0000-0000-0000032A0000}"/>
    <cellStyle name="Currency 124 3" xfId="5610" xr:uid="{00000000-0005-0000-0000-0000042A0000}"/>
    <cellStyle name="Currency 124 3 2" xfId="8711" xr:uid="{00000000-0005-0000-0000-0000052A0000}"/>
    <cellStyle name="Currency 124 3 2 2" xfId="14904" xr:uid="{00000000-0005-0000-0000-0000062A0000}"/>
    <cellStyle name="Currency 124 3 2 2 2" xfId="34824" xr:uid="{00000000-0005-0000-0000-0000072A0000}"/>
    <cellStyle name="Currency 124 3 2 3" xfId="21056" xr:uid="{00000000-0005-0000-0000-0000082A0000}"/>
    <cellStyle name="Currency 124 3 2 3 2" xfId="40976" xr:uid="{00000000-0005-0000-0000-0000092A0000}"/>
    <cellStyle name="Currency 124 3 2 4" xfId="28671" xr:uid="{00000000-0005-0000-0000-00000A2A0000}"/>
    <cellStyle name="Currency 124 3 3" xfId="11838" xr:uid="{00000000-0005-0000-0000-00000B2A0000}"/>
    <cellStyle name="Currency 124 3 3 2" xfId="31758" xr:uid="{00000000-0005-0000-0000-00000C2A0000}"/>
    <cellStyle name="Currency 124 3 4" xfId="17990" xr:uid="{00000000-0005-0000-0000-00000D2A0000}"/>
    <cellStyle name="Currency 124 3 4 2" xfId="37910" xr:uid="{00000000-0005-0000-0000-00000E2A0000}"/>
    <cellStyle name="Currency 124 3 5" xfId="25605" xr:uid="{00000000-0005-0000-0000-00000F2A0000}"/>
    <cellStyle name="Currency 124 4" xfId="7176" xr:uid="{00000000-0005-0000-0000-0000102A0000}"/>
    <cellStyle name="Currency 124 4 2" xfId="13370" xr:uid="{00000000-0005-0000-0000-0000112A0000}"/>
    <cellStyle name="Currency 124 4 2 2" xfId="33290" xr:uid="{00000000-0005-0000-0000-0000122A0000}"/>
    <cellStyle name="Currency 124 4 3" xfId="19522" xr:uid="{00000000-0005-0000-0000-0000132A0000}"/>
    <cellStyle name="Currency 124 4 3 2" xfId="39442" xr:uid="{00000000-0005-0000-0000-0000142A0000}"/>
    <cellStyle name="Currency 124 4 4" xfId="27137" xr:uid="{00000000-0005-0000-0000-0000152A0000}"/>
    <cellStyle name="Currency 124 5" xfId="10304" xr:uid="{00000000-0005-0000-0000-0000162A0000}"/>
    <cellStyle name="Currency 124 5 2" xfId="30224" xr:uid="{00000000-0005-0000-0000-0000172A0000}"/>
    <cellStyle name="Currency 124 6" xfId="16456" xr:uid="{00000000-0005-0000-0000-0000182A0000}"/>
    <cellStyle name="Currency 124 6 2" xfId="36376" xr:uid="{00000000-0005-0000-0000-0000192A0000}"/>
    <cellStyle name="Currency 124 7" xfId="24071" xr:uid="{00000000-0005-0000-0000-00001A2A0000}"/>
    <cellStyle name="Currency 125" xfId="2971" xr:uid="{00000000-0005-0000-0000-00001B2A0000}"/>
    <cellStyle name="Currency 125 2" xfId="4770" xr:uid="{00000000-0005-0000-0000-00001C2A0000}"/>
    <cellStyle name="Currency 125 2 2" xfId="6395" xr:uid="{00000000-0005-0000-0000-00001D2A0000}"/>
    <cellStyle name="Currency 125 2 2 2" xfId="9481" xr:uid="{00000000-0005-0000-0000-00001E2A0000}"/>
    <cellStyle name="Currency 125 2 2 2 2" xfId="15674" xr:uid="{00000000-0005-0000-0000-00001F2A0000}"/>
    <cellStyle name="Currency 125 2 2 2 2 2" xfId="35594" xr:uid="{00000000-0005-0000-0000-0000202A0000}"/>
    <cellStyle name="Currency 125 2 2 2 3" xfId="21826" xr:uid="{00000000-0005-0000-0000-0000212A0000}"/>
    <cellStyle name="Currency 125 2 2 2 3 2" xfId="41746" xr:uid="{00000000-0005-0000-0000-0000222A0000}"/>
    <cellStyle name="Currency 125 2 2 2 4" xfId="29441" xr:uid="{00000000-0005-0000-0000-0000232A0000}"/>
    <cellStyle name="Currency 125 2 2 3" xfId="12608" xr:uid="{00000000-0005-0000-0000-0000242A0000}"/>
    <cellStyle name="Currency 125 2 2 3 2" xfId="32528" xr:uid="{00000000-0005-0000-0000-0000252A0000}"/>
    <cellStyle name="Currency 125 2 2 4" xfId="18760" xr:uid="{00000000-0005-0000-0000-0000262A0000}"/>
    <cellStyle name="Currency 125 2 2 4 2" xfId="38680" xr:uid="{00000000-0005-0000-0000-0000272A0000}"/>
    <cellStyle name="Currency 125 2 2 5" xfId="26375" xr:uid="{00000000-0005-0000-0000-0000282A0000}"/>
    <cellStyle name="Currency 125 2 3" xfId="7946" xr:uid="{00000000-0005-0000-0000-0000292A0000}"/>
    <cellStyle name="Currency 125 2 3 2" xfId="14140" xr:uid="{00000000-0005-0000-0000-00002A2A0000}"/>
    <cellStyle name="Currency 125 2 3 2 2" xfId="34060" xr:uid="{00000000-0005-0000-0000-00002B2A0000}"/>
    <cellStyle name="Currency 125 2 3 3" xfId="20292" xr:uid="{00000000-0005-0000-0000-00002C2A0000}"/>
    <cellStyle name="Currency 125 2 3 3 2" xfId="40212" xr:uid="{00000000-0005-0000-0000-00002D2A0000}"/>
    <cellStyle name="Currency 125 2 3 4" xfId="27907" xr:uid="{00000000-0005-0000-0000-00002E2A0000}"/>
    <cellStyle name="Currency 125 2 4" xfId="11074" xr:uid="{00000000-0005-0000-0000-00002F2A0000}"/>
    <cellStyle name="Currency 125 2 4 2" xfId="30994" xr:uid="{00000000-0005-0000-0000-0000302A0000}"/>
    <cellStyle name="Currency 125 2 5" xfId="17226" xr:uid="{00000000-0005-0000-0000-0000312A0000}"/>
    <cellStyle name="Currency 125 2 5 2" xfId="37146" xr:uid="{00000000-0005-0000-0000-0000322A0000}"/>
    <cellStyle name="Currency 125 2 6" xfId="24841" xr:uid="{00000000-0005-0000-0000-0000332A0000}"/>
    <cellStyle name="Currency 125 3" xfId="5611" xr:uid="{00000000-0005-0000-0000-0000342A0000}"/>
    <cellStyle name="Currency 125 3 2" xfId="8712" xr:uid="{00000000-0005-0000-0000-0000352A0000}"/>
    <cellStyle name="Currency 125 3 2 2" xfId="14905" xr:uid="{00000000-0005-0000-0000-0000362A0000}"/>
    <cellStyle name="Currency 125 3 2 2 2" xfId="34825" xr:uid="{00000000-0005-0000-0000-0000372A0000}"/>
    <cellStyle name="Currency 125 3 2 3" xfId="21057" xr:uid="{00000000-0005-0000-0000-0000382A0000}"/>
    <cellStyle name="Currency 125 3 2 3 2" xfId="40977" xr:uid="{00000000-0005-0000-0000-0000392A0000}"/>
    <cellStyle name="Currency 125 3 2 4" xfId="28672" xr:uid="{00000000-0005-0000-0000-00003A2A0000}"/>
    <cellStyle name="Currency 125 3 3" xfId="11839" xr:uid="{00000000-0005-0000-0000-00003B2A0000}"/>
    <cellStyle name="Currency 125 3 3 2" xfId="31759" xr:uid="{00000000-0005-0000-0000-00003C2A0000}"/>
    <cellStyle name="Currency 125 3 4" xfId="17991" xr:uid="{00000000-0005-0000-0000-00003D2A0000}"/>
    <cellStyle name="Currency 125 3 4 2" xfId="37911" xr:uid="{00000000-0005-0000-0000-00003E2A0000}"/>
    <cellStyle name="Currency 125 3 5" xfId="25606" xr:uid="{00000000-0005-0000-0000-00003F2A0000}"/>
    <cellStyle name="Currency 125 4" xfId="7177" xr:uid="{00000000-0005-0000-0000-0000402A0000}"/>
    <cellStyle name="Currency 125 4 2" xfId="13371" xr:uid="{00000000-0005-0000-0000-0000412A0000}"/>
    <cellStyle name="Currency 125 4 2 2" xfId="33291" xr:uid="{00000000-0005-0000-0000-0000422A0000}"/>
    <cellStyle name="Currency 125 4 3" xfId="19523" xr:uid="{00000000-0005-0000-0000-0000432A0000}"/>
    <cellStyle name="Currency 125 4 3 2" xfId="39443" xr:uid="{00000000-0005-0000-0000-0000442A0000}"/>
    <cellStyle name="Currency 125 4 4" xfId="27138" xr:uid="{00000000-0005-0000-0000-0000452A0000}"/>
    <cellStyle name="Currency 125 5" xfId="10305" xr:uid="{00000000-0005-0000-0000-0000462A0000}"/>
    <cellStyle name="Currency 125 5 2" xfId="30225" xr:uid="{00000000-0005-0000-0000-0000472A0000}"/>
    <cellStyle name="Currency 125 6" xfId="16457" xr:uid="{00000000-0005-0000-0000-0000482A0000}"/>
    <cellStyle name="Currency 125 6 2" xfId="36377" xr:uid="{00000000-0005-0000-0000-0000492A0000}"/>
    <cellStyle name="Currency 125 7" xfId="24072" xr:uid="{00000000-0005-0000-0000-00004A2A0000}"/>
    <cellStyle name="Currency 126" xfId="2972" xr:uid="{00000000-0005-0000-0000-00004B2A0000}"/>
    <cellStyle name="Currency 126 2" xfId="4771" xr:uid="{00000000-0005-0000-0000-00004C2A0000}"/>
    <cellStyle name="Currency 126 2 2" xfId="6396" xr:uid="{00000000-0005-0000-0000-00004D2A0000}"/>
    <cellStyle name="Currency 126 2 2 2" xfId="9482" xr:uid="{00000000-0005-0000-0000-00004E2A0000}"/>
    <cellStyle name="Currency 126 2 2 2 2" xfId="15675" xr:uid="{00000000-0005-0000-0000-00004F2A0000}"/>
    <cellStyle name="Currency 126 2 2 2 2 2" xfId="35595" xr:uid="{00000000-0005-0000-0000-0000502A0000}"/>
    <cellStyle name="Currency 126 2 2 2 3" xfId="21827" xr:uid="{00000000-0005-0000-0000-0000512A0000}"/>
    <cellStyle name="Currency 126 2 2 2 3 2" xfId="41747" xr:uid="{00000000-0005-0000-0000-0000522A0000}"/>
    <cellStyle name="Currency 126 2 2 2 4" xfId="29442" xr:uid="{00000000-0005-0000-0000-0000532A0000}"/>
    <cellStyle name="Currency 126 2 2 3" xfId="12609" xr:uid="{00000000-0005-0000-0000-0000542A0000}"/>
    <cellStyle name="Currency 126 2 2 3 2" xfId="32529" xr:uid="{00000000-0005-0000-0000-0000552A0000}"/>
    <cellStyle name="Currency 126 2 2 4" xfId="18761" xr:uid="{00000000-0005-0000-0000-0000562A0000}"/>
    <cellStyle name="Currency 126 2 2 4 2" xfId="38681" xr:uid="{00000000-0005-0000-0000-0000572A0000}"/>
    <cellStyle name="Currency 126 2 2 5" xfId="26376" xr:uid="{00000000-0005-0000-0000-0000582A0000}"/>
    <cellStyle name="Currency 126 2 3" xfId="7947" xr:uid="{00000000-0005-0000-0000-0000592A0000}"/>
    <cellStyle name="Currency 126 2 3 2" xfId="14141" xr:uid="{00000000-0005-0000-0000-00005A2A0000}"/>
    <cellStyle name="Currency 126 2 3 2 2" xfId="34061" xr:uid="{00000000-0005-0000-0000-00005B2A0000}"/>
    <cellStyle name="Currency 126 2 3 3" xfId="20293" xr:uid="{00000000-0005-0000-0000-00005C2A0000}"/>
    <cellStyle name="Currency 126 2 3 3 2" xfId="40213" xr:uid="{00000000-0005-0000-0000-00005D2A0000}"/>
    <cellStyle name="Currency 126 2 3 4" xfId="27908" xr:uid="{00000000-0005-0000-0000-00005E2A0000}"/>
    <cellStyle name="Currency 126 2 4" xfId="11075" xr:uid="{00000000-0005-0000-0000-00005F2A0000}"/>
    <cellStyle name="Currency 126 2 4 2" xfId="30995" xr:uid="{00000000-0005-0000-0000-0000602A0000}"/>
    <cellStyle name="Currency 126 2 5" xfId="17227" xr:uid="{00000000-0005-0000-0000-0000612A0000}"/>
    <cellStyle name="Currency 126 2 5 2" xfId="37147" xr:uid="{00000000-0005-0000-0000-0000622A0000}"/>
    <cellStyle name="Currency 126 2 6" xfId="24842" xr:uid="{00000000-0005-0000-0000-0000632A0000}"/>
    <cellStyle name="Currency 126 3" xfId="5612" xr:uid="{00000000-0005-0000-0000-0000642A0000}"/>
    <cellStyle name="Currency 126 3 2" xfId="8713" xr:uid="{00000000-0005-0000-0000-0000652A0000}"/>
    <cellStyle name="Currency 126 3 2 2" xfId="14906" xr:uid="{00000000-0005-0000-0000-0000662A0000}"/>
    <cellStyle name="Currency 126 3 2 2 2" xfId="34826" xr:uid="{00000000-0005-0000-0000-0000672A0000}"/>
    <cellStyle name="Currency 126 3 2 3" xfId="21058" xr:uid="{00000000-0005-0000-0000-0000682A0000}"/>
    <cellStyle name="Currency 126 3 2 3 2" xfId="40978" xr:uid="{00000000-0005-0000-0000-0000692A0000}"/>
    <cellStyle name="Currency 126 3 2 4" xfId="28673" xr:uid="{00000000-0005-0000-0000-00006A2A0000}"/>
    <cellStyle name="Currency 126 3 3" xfId="11840" xr:uid="{00000000-0005-0000-0000-00006B2A0000}"/>
    <cellStyle name="Currency 126 3 3 2" xfId="31760" xr:uid="{00000000-0005-0000-0000-00006C2A0000}"/>
    <cellStyle name="Currency 126 3 4" xfId="17992" xr:uid="{00000000-0005-0000-0000-00006D2A0000}"/>
    <cellStyle name="Currency 126 3 4 2" xfId="37912" xr:uid="{00000000-0005-0000-0000-00006E2A0000}"/>
    <cellStyle name="Currency 126 3 5" xfId="25607" xr:uid="{00000000-0005-0000-0000-00006F2A0000}"/>
    <cellStyle name="Currency 126 4" xfId="7178" xr:uid="{00000000-0005-0000-0000-0000702A0000}"/>
    <cellStyle name="Currency 126 4 2" xfId="13372" xr:uid="{00000000-0005-0000-0000-0000712A0000}"/>
    <cellStyle name="Currency 126 4 2 2" xfId="33292" xr:uid="{00000000-0005-0000-0000-0000722A0000}"/>
    <cellStyle name="Currency 126 4 3" xfId="19524" xr:uid="{00000000-0005-0000-0000-0000732A0000}"/>
    <cellStyle name="Currency 126 4 3 2" xfId="39444" xr:uid="{00000000-0005-0000-0000-0000742A0000}"/>
    <cellStyle name="Currency 126 4 4" xfId="27139" xr:uid="{00000000-0005-0000-0000-0000752A0000}"/>
    <cellStyle name="Currency 126 5" xfId="10306" xr:uid="{00000000-0005-0000-0000-0000762A0000}"/>
    <cellStyle name="Currency 126 5 2" xfId="30226" xr:uid="{00000000-0005-0000-0000-0000772A0000}"/>
    <cellStyle name="Currency 126 6" xfId="16458" xr:uid="{00000000-0005-0000-0000-0000782A0000}"/>
    <cellStyle name="Currency 126 6 2" xfId="36378" xr:uid="{00000000-0005-0000-0000-0000792A0000}"/>
    <cellStyle name="Currency 126 7" xfId="24073" xr:uid="{00000000-0005-0000-0000-00007A2A0000}"/>
    <cellStyle name="Currency 127" xfId="2973" xr:uid="{00000000-0005-0000-0000-00007B2A0000}"/>
    <cellStyle name="Currency 127 2" xfId="4772" xr:uid="{00000000-0005-0000-0000-00007C2A0000}"/>
    <cellStyle name="Currency 127 2 2" xfId="6397" xr:uid="{00000000-0005-0000-0000-00007D2A0000}"/>
    <cellStyle name="Currency 127 2 2 2" xfId="9483" xr:uid="{00000000-0005-0000-0000-00007E2A0000}"/>
    <cellStyle name="Currency 127 2 2 2 2" xfId="15676" xr:uid="{00000000-0005-0000-0000-00007F2A0000}"/>
    <cellStyle name="Currency 127 2 2 2 2 2" xfId="35596" xr:uid="{00000000-0005-0000-0000-0000802A0000}"/>
    <cellStyle name="Currency 127 2 2 2 3" xfId="21828" xr:uid="{00000000-0005-0000-0000-0000812A0000}"/>
    <cellStyle name="Currency 127 2 2 2 3 2" xfId="41748" xr:uid="{00000000-0005-0000-0000-0000822A0000}"/>
    <cellStyle name="Currency 127 2 2 2 4" xfId="29443" xr:uid="{00000000-0005-0000-0000-0000832A0000}"/>
    <cellStyle name="Currency 127 2 2 3" xfId="12610" xr:uid="{00000000-0005-0000-0000-0000842A0000}"/>
    <cellStyle name="Currency 127 2 2 3 2" xfId="32530" xr:uid="{00000000-0005-0000-0000-0000852A0000}"/>
    <cellStyle name="Currency 127 2 2 4" xfId="18762" xr:uid="{00000000-0005-0000-0000-0000862A0000}"/>
    <cellStyle name="Currency 127 2 2 4 2" xfId="38682" xr:uid="{00000000-0005-0000-0000-0000872A0000}"/>
    <cellStyle name="Currency 127 2 2 5" xfId="26377" xr:uid="{00000000-0005-0000-0000-0000882A0000}"/>
    <cellStyle name="Currency 127 2 3" xfId="7948" xr:uid="{00000000-0005-0000-0000-0000892A0000}"/>
    <cellStyle name="Currency 127 2 3 2" xfId="14142" xr:uid="{00000000-0005-0000-0000-00008A2A0000}"/>
    <cellStyle name="Currency 127 2 3 2 2" xfId="34062" xr:uid="{00000000-0005-0000-0000-00008B2A0000}"/>
    <cellStyle name="Currency 127 2 3 3" xfId="20294" xr:uid="{00000000-0005-0000-0000-00008C2A0000}"/>
    <cellStyle name="Currency 127 2 3 3 2" xfId="40214" xr:uid="{00000000-0005-0000-0000-00008D2A0000}"/>
    <cellStyle name="Currency 127 2 3 4" xfId="27909" xr:uid="{00000000-0005-0000-0000-00008E2A0000}"/>
    <cellStyle name="Currency 127 2 4" xfId="11076" xr:uid="{00000000-0005-0000-0000-00008F2A0000}"/>
    <cellStyle name="Currency 127 2 4 2" xfId="30996" xr:uid="{00000000-0005-0000-0000-0000902A0000}"/>
    <cellStyle name="Currency 127 2 5" xfId="17228" xr:uid="{00000000-0005-0000-0000-0000912A0000}"/>
    <cellStyle name="Currency 127 2 5 2" xfId="37148" xr:uid="{00000000-0005-0000-0000-0000922A0000}"/>
    <cellStyle name="Currency 127 2 6" xfId="24843" xr:uid="{00000000-0005-0000-0000-0000932A0000}"/>
    <cellStyle name="Currency 127 3" xfId="5613" xr:uid="{00000000-0005-0000-0000-0000942A0000}"/>
    <cellStyle name="Currency 127 3 2" xfId="8714" xr:uid="{00000000-0005-0000-0000-0000952A0000}"/>
    <cellStyle name="Currency 127 3 2 2" xfId="14907" xr:uid="{00000000-0005-0000-0000-0000962A0000}"/>
    <cellStyle name="Currency 127 3 2 2 2" xfId="34827" xr:uid="{00000000-0005-0000-0000-0000972A0000}"/>
    <cellStyle name="Currency 127 3 2 3" xfId="21059" xr:uid="{00000000-0005-0000-0000-0000982A0000}"/>
    <cellStyle name="Currency 127 3 2 3 2" xfId="40979" xr:uid="{00000000-0005-0000-0000-0000992A0000}"/>
    <cellStyle name="Currency 127 3 2 4" xfId="28674" xr:uid="{00000000-0005-0000-0000-00009A2A0000}"/>
    <cellStyle name="Currency 127 3 3" xfId="11841" xr:uid="{00000000-0005-0000-0000-00009B2A0000}"/>
    <cellStyle name="Currency 127 3 3 2" xfId="31761" xr:uid="{00000000-0005-0000-0000-00009C2A0000}"/>
    <cellStyle name="Currency 127 3 4" xfId="17993" xr:uid="{00000000-0005-0000-0000-00009D2A0000}"/>
    <cellStyle name="Currency 127 3 4 2" xfId="37913" xr:uid="{00000000-0005-0000-0000-00009E2A0000}"/>
    <cellStyle name="Currency 127 3 5" xfId="25608" xr:uid="{00000000-0005-0000-0000-00009F2A0000}"/>
    <cellStyle name="Currency 127 4" xfId="7179" xr:uid="{00000000-0005-0000-0000-0000A02A0000}"/>
    <cellStyle name="Currency 127 4 2" xfId="13373" xr:uid="{00000000-0005-0000-0000-0000A12A0000}"/>
    <cellStyle name="Currency 127 4 2 2" xfId="33293" xr:uid="{00000000-0005-0000-0000-0000A22A0000}"/>
    <cellStyle name="Currency 127 4 3" xfId="19525" xr:uid="{00000000-0005-0000-0000-0000A32A0000}"/>
    <cellStyle name="Currency 127 4 3 2" xfId="39445" xr:uid="{00000000-0005-0000-0000-0000A42A0000}"/>
    <cellStyle name="Currency 127 4 4" xfId="27140" xr:uid="{00000000-0005-0000-0000-0000A52A0000}"/>
    <cellStyle name="Currency 127 5" xfId="10307" xr:uid="{00000000-0005-0000-0000-0000A62A0000}"/>
    <cellStyle name="Currency 127 5 2" xfId="30227" xr:uid="{00000000-0005-0000-0000-0000A72A0000}"/>
    <cellStyle name="Currency 127 6" xfId="16459" xr:uid="{00000000-0005-0000-0000-0000A82A0000}"/>
    <cellStyle name="Currency 127 6 2" xfId="36379" xr:uid="{00000000-0005-0000-0000-0000A92A0000}"/>
    <cellStyle name="Currency 127 7" xfId="24074" xr:uid="{00000000-0005-0000-0000-0000AA2A0000}"/>
    <cellStyle name="Currency 128" xfId="2974" xr:uid="{00000000-0005-0000-0000-0000AB2A0000}"/>
    <cellStyle name="Currency 128 2" xfId="4773" xr:uid="{00000000-0005-0000-0000-0000AC2A0000}"/>
    <cellStyle name="Currency 128 2 2" xfId="6398" xr:uid="{00000000-0005-0000-0000-0000AD2A0000}"/>
    <cellStyle name="Currency 128 2 2 2" xfId="9484" xr:uid="{00000000-0005-0000-0000-0000AE2A0000}"/>
    <cellStyle name="Currency 128 2 2 2 2" xfId="15677" xr:uid="{00000000-0005-0000-0000-0000AF2A0000}"/>
    <cellStyle name="Currency 128 2 2 2 2 2" xfId="35597" xr:uid="{00000000-0005-0000-0000-0000B02A0000}"/>
    <cellStyle name="Currency 128 2 2 2 3" xfId="21829" xr:uid="{00000000-0005-0000-0000-0000B12A0000}"/>
    <cellStyle name="Currency 128 2 2 2 3 2" xfId="41749" xr:uid="{00000000-0005-0000-0000-0000B22A0000}"/>
    <cellStyle name="Currency 128 2 2 2 4" xfId="29444" xr:uid="{00000000-0005-0000-0000-0000B32A0000}"/>
    <cellStyle name="Currency 128 2 2 3" xfId="12611" xr:uid="{00000000-0005-0000-0000-0000B42A0000}"/>
    <cellStyle name="Currency 128 2 2 3 2" xfId="32531" xr:uid="{00000000-0005-0000-0000-0000B52A0000}"/>
    <cellStyle name="Currency 128 2 2 4" xfId="18763" xr:uid="{00000000-0005-0000-0000-0000B62A0000}"/>
    <cellStyle name="Currency 128 2 2 4 2" xfId="38683" xr:uid="{00000000-0005-0000-0000-0000B72A0000}"/>
    <cellStyle name="Currency 128 2 2 5" xfId="26378" xr:uid="{00000000-0005-0000-0000-0000B82A0000}"/>
    <cellStyle name="Currency 128 2 3" xfId="7949" xr:uid="{00000000-0005-0000-0000-0000B92A0000}"/>
    <cellStyle name="Currency 128 2 3 2" xfId="14143" xr:uid="{00000000-0005-0000-0000-0000BA2A0000}"/>
    <cellStyle name="Currency 128 2 3 2 2" xfId="34063" xr:uid="{00000000-0005-0000-0000-0000BB2A0000}"/>
    <cellStyle name="Currency 128 2 3 3" xfId="20295" xr:uid="{00000000-0005-0000-0000-0000BC2A0000}"/>
    <cellStyle name="Currency 128 2 3 3 2" xfId="40215" xr:uid="{00000000-0005-0000-0000-0000BD2A0000}"/>
    <cellStyle name="Currency 128 2 3 4" xfId="27910" xr:uid="{00000000-0005-0000-0000-0000BE2A0000}"/>
    <cellStyle name="Currency 128 2 4" xfId="11077" xr:uid="{00000000-0005-0000-0000-0000BF2A0000}"/>
    <cellStyle name="Currency 128 2 4 2" xfId="30997" xr:uid="{00000000-0005-0000-0000-0000C02A0000}"/>
    <cellStyle name="Currency 128 2 5" xfId="17229" xr:uid="{00000000-0005-0000-0000-0000C12A0000}"/>
    <cellStyle name="Currency 128 2 5 2" xfId="37149" xr:uid="{00000000-0005-0000-0000-0000C22A0000}"/>
    <cellStyle name="Currency 128 2 6" xfId="24844" xr:uid="{00000000-0005-0000-0000-0000C32A0000}"/>
    <cellStyle name="Currency 128 3" xfId="5614" xr:uid="{00000000-0005-0000-0000-0000C42A0000}"/>
    <cellStyle name="Currency 128 3 2" xfId="8715" xr:uid="{00000000-0005-0000-0000-0000C52A0000}"/>
    <cellStyle name="Currency 128 3 2 2" xfId="14908" xr:uid="{00000000-0005-0000-0000-0000C62A0000}"/>
    <cellStyle name="Currency 128 3 2 2 2" xfId="34828" xr:uid="{00000000-0005-0000-0000-0000C72A0000}"/>
    <cellStyle name="Currency 128 3 2 3" xfId="21060" xr:uid="{00000000-0005-0000-0000-0000C82A0000}"/>
    <cellStyle name="Currency 128 3 2 3 2" xfId="40980" xr:uid="{00000000-0005-0000-0000-0000C92A0000}"/>
    <cellStyle name="Currency 128 3 2 4" xfId="28675" xr:uid="{00000000-0005-0000-0000-0000CA2A0000}"/>
    <cellStyle name="Currency 128 3 3" xfId="11842" xr:uid="{00000000-0005-0000-0000-0000CB2A0000}"/>
    <cellStyle name="Currency 128 3 3 2" xfId="31762" xr:uid="{00000000-0005-0000-0000-0000CC2A0000}"/>
    <cellStyle name="Currency 128 3 4" xfId="17994" xr:uid="{00000000-0005-0000-0000-0000CD2A0000}"/>
    <cellStyle name="Currency 128 3 4 2" xfId="37914" xr:uid="{00000000-0005-0000-0000-0000CE2A0000}"/>
    <cellStyle name="Currency 128 3 5" xfId="25609" xr:uid="{00000000-0005-0000-0000-0000CF2A0000}"/>
    <cellStyle name="Currency 128 4" xfId="7180" xr:uid="{00000000-0005-0000-0000-0000D02A0000}"/>
    <cellStyle name="Currency 128 4 2" xfId="13374" xr:uid="{00000000-0005-0000-0000-0000D12A0000}"/>
    <cellStyle name="Currency 128 4 2 2" xfId="33294" xr:uid="{00000000-0005-0000-0000-0000D22A0000}"/>
    <cellStyle name="Currency 128 4 3" xfId="19526" xr:uid="{00000000-0005-0000-0000-0000D32A0000}"/>
    <cellStyle name="Currency 128 4 3 2" xfId="39446" xr:uid="{00000000-0005-0000-0000-0000D42A0000}"/>
    <cellStyle name="Currency 128 4 4" xfId="27141" xr:uid="{00000000-0005-0000-0000-0000D52A0000}"/>
    <cellStyle name="Currency 128 5" xfId="10308" xr:uid="{00000000-0005-0000-0000-0000D62A0000}"/>
    <cellStyle name="Currency 128 5 2" xfId="30228" xr:uid="{00000000-0005-0000-0000-0000D72A0000}"/>
    <cellStyle name="Currency 128 6" xfId="16460" xr:uid="{00000000-0005-0000-0000-0000D82A0000}"/>
    <cellStyle name="Currency 128 6 2" xfId="36380" xr:uid="{00000000-0005-0000-0000-0000D92A0000}"/>
    <cellStyle name="Currency 128 7" xfId="24075" xr:uid="{00000000-0005-0000-0000-0000DA2A0000}"/>
    <cellStyle name="Currency 129" xfId="2975" xr:uid="{00000000-0005-0000-0000-0000DB2A0000}"/>
    <cellStyle name="Currency 129 2" xfId="4774" xr:uid="{00000000-0005-0000-0000-0000DC2A0000}"/>
    <cellStyle name="Currency 129 2 2" xfId="6399" xr:uid="{00000000-0005-0000-0000-0000DD2A0000}"/>
    <cellStyle name="Currency 129 2 2 2" xfId="9485" xr:uid="{00000000-0005-0000-0000-0000DE2A0000}"/>
    <cellStyle name="Currency 129 2 2 2 2" xfId="15678" xr:uid="{00000000-0005-0000-0000-0000DF2A0000}"/>
    <cellStyle name="Currency 129 2 2 2 2 2" xfId="35598" xr:uid="{00000000-0005-0000-0000-0000E02A0000}"/>
    <cellStyle name="Currency 129 2 2 2 3" xfId="21830" xr:uid="{00000000-0005-0000-0000-0000E12A0000}"/>
    <cellStyle name="Currency 129 2 2 2 3 2" xfId="41750" xr:uid="{00000000-0005-0000-0000-0000E22A0000}"/>
    <cellStyle name="Currency 129 2 2 2 4" xfId="29445" xr:uid="{00000000-0005-0000-0000-0000E32A0000}"/>
    <cellStyle name="Currency 129 2 2 3" xfId="12612" xr:uid="{00000000-0005-0000-0000-0000E42A0000}"/>
    <cellStyle name="Currency 129 2 2 3 2" xfId="32532" xr:uid="{00000000-0005-0000-0000-0000E52A0000}"/>
    <cellStyle name="Currency 129 2 2 4" xfId="18764" xr:uid="{00000000-0005-0000-0000-0000E62A0000}"/>
    <cellStyle name="Currency 129 2 2 4 2" xfId="38684" xr:uid="{00000000-0005-0000-0000-0000E72A0000}"/>
    <cellStyle name="Currency 129 2 2 5" xfId="26379" xr:uid="{00000000-0005-0000-0000-0000E82A0000}"/>
    <cellStyle name="Currency 129 2 3" xfId="7950" xr:uid="{00000000-0005-0000-0000-0000E92A0000}"/>
    <cellStyle name="Currency 129 2 3 2" xfId="14144" xr:uid="{00000000-0005-0000-0000-0000EA2A0000}"/>
    <cellStyle name="Currency 129 2 3 2 2" xfId="34064" xr:uid="{00000000-0005-0000-0000-0000EB2A0000}"/>
    <cellStyle name="Currency 129 2 3 3" xfId="20296" xr:uid="{00000000-0005-0000-0000-0000EC2A0000}"/>
    <cellStyle name="Currency 129 2 3 3 2" xfId="40216" xr:uid="{00000000-0005-0000-0000-0000ED2A0000}"/>
    <cellStyle name="Currency 129 2 3 4" xfId="27911" xr:uid="{00000000-0005-0000-0000-0000EE2A0000}"/>
    <cellStyle name="Currency 129 2 4" xfId="11078" xr:uid="{00000000-0005-0000-0000-0000EF2A0000}"/>
    <cellStyle name="Currency 129 2 4 2" xfId="30998" xr:uid="{00000000-0005-0000-0000-0000F02A0000}"/>
    <cellStyle name="Currency 129 2 5" xfId="17230" xr:uid="{00000000-0005-0000-0000-0000F12A0000}"/>
    <cellStyle name="Currency 129 2 5 2" xfId="37150" xr:uid="{00000000-0005-0000-0000-0000F22A0000}"/>
    <cellStyle name="Currency 129 2 6" xfId="24845" xr:uid="{00000000-0005-0000-0000-0000F32A0000}"/>
    <cellStyle name="Currency 129 3" xfId="5615" xr:uid="{00000000-0005-0000-0000-0000F42A0000}"/>
    <cellStyle name="Currency 129 3 2" xfId="8716" xr:uid="{00000000-0005-0000-0000-0000F52A0000}"/>
    <cellStyle name="Currency 129 3 2 2" xfId="14909" xr:uid="{00000000-0005-0000-0000-0000F62A0000}"/>
    <cellStyle name="Currency 129 3 2 2 2" xfId="34829" xr:uid="{00000000-0005-0000-0000-0000F72A0000}"/>
    <cellStyle name="Currency 129 3 2 3" xfId="21061" xr:uid="{00000000-0005-0000-0000-0000F82A0000}"/>
    <cellStyle name="Currency 129 3 2 3 2" xfId="40981" xr:uid="{00000000-0005-0000-0000-0000F92A0000}"/>
    <cellStyle name="Currency 129 3 2 4" xfId="28676" xr:uid="{00000000-0005-0000-0000-0000FA2A0000}"/>
    <cellStyle name="Currency 129 3 3" xfId="11843" xr:uid="{00000000-0005-0000-0000-0000FB2A0000}"/>
    <cellStyle name="Currency 129 3 3 2" xfId="31763" xr:uid="{00000000-0005-0000-0000-0000FC2A0000}"/>
    <cellStyle name="Currency 129 3 4" xfId="17995" xr:uid="{00000000-0005-0000-0000-0000FD2A0000}"/>
    <cellStyle name="Currency 129 3 4 2" xfId="37915" xr:uid="{00000000-0005-0000-0000-0000FE2A0000}"/>
    <cellStyle name="Currency 129 3 5" xfId="25610" xr:uid="{00000000-0005-0000-0000-0000FF2A0000}"/>
    <cellStyle name="Currency 129 4" xfId="7181" xr:uid="{00000000-0005-0000-0000-0000002B0000}"/>
    <cellStyle name="Currency 129 4 2" xfId="13375" xr:uid="{00000000-0005-0000-0000-0000012B0000}"/>
    <cellStyle name="Currency 129 4 2 2" xfId="33295" xr:uid="{00000000-0005-0000-0000-0000022B0000}"/>
    <cellStyle name="Currency 129 4 3" xfId="19527" xr:uid="{00000000-0005-0000-0000-0000032B0000}"/>
    <cellStyle name="Currency 129 4 3 2" xfId="39447" xr:uid="{00000000-0005-0000-0000-0000042B0000}"/>
    <cellStyle name="Currency 129 4 4" xfId="27142" xr:uid="{00000000-0005-0000-0000-0000052B0000}"/>
    <cellStyle name="Currency 129 5" xfId="10309" xr:uid="{00000000-0005-0000-0000-0000062B0000}"/>
    <cellStyle name="Currency 129 5 2" xfId="30229" xr:uid="{00000000-0005-0000-0000-0000072B0000}"/>
    <cellStyle name="Currency 129 6" xfId="16461" xr:uid="{00000000-0005-0000-0000-0000082B0000}"/>
    <cellStyle name="Currency 129 6 2" xfId="36381" xr:uid="{00000000-0005-0000-0000-0000092B0000}"/>
    <cellStyle name="Currency 129 7" xfId="24076" xr:uid="{00000000-0005-0000-0000-00000A2B0000}"/>
    <cellStyle name="Currency 13" xfId="2976" xr:uid="{00000000-0005-0000-0000-00000B2B0000}"/>
    <cellStyle name="Currency 13 2" xfId="2977" xr:uid="{00000000-0005-0000-0000-00000C2B0000}"/>
    <cellStyle name="Currency 13 3" xfId="2978" xr:uid="{00000000-0005-0000-0000-00000D2B0000}"/>
    <cellStyle name="Currency 130" xfId="2979" xr:uid="{00000000-0005-0000-0000-00000E2B0000}"/>
    <cellStyle name="Currency 130 2" xfId="4775" xr:uid="{00000000-0005-0000-0000-00000F2B0000}"/>
    <cellStyle name="Currency 130 2 2" xfId="6400" xr:uid="{00000000-0005-0000-0000-0000102B0000}"/>
    <cellStyle name="Currency 130 2 2 2" xfId="9486" xr:uid="{00000000-0005-0000-0000-0000112B0000}"/>
    <cellStyle name="Currency 130 2 2 2 2" xfId="15679" xr:uid="{00000000-0005-0000-0000-0000122B0000}"/>
    <cellStyle name="Currency 130 2 2 2 2 2" xfId="35599" xr:uid="{00000000-0005-0000-0000-0000132B0000}"/>
    <cellStyle name="Currency 130 2 2 2 3" xfId="21831" xr:uid="{00000000-0005-0000-0000-0000142B0000}"/>
    <cellStyle name="Currency 130 2 2 2 3 2" xfId="41751" xr:uid="{00000000-0005-0000-0000-0000152B0000}"/>
    <cellStyle name="Currency 130 2 2 2 4" xfId="29446" xr:uid="{00000000-0005-0000-0000-0000162B0000}"/>
    <cellStyle name="Currency 130 2 2 3" xfId="12613" xr:uid="{00000000-0005-0000-0000-0000172B0000}"/>
    <cellStyle name="Currency 130 2 2 3 2" xfId="32533" xr:uid="{00000000-0005-0000-0000-0000182B0000}"/>
    <cellStyle name="Currency 130 2 2 4" xfId="18765" xr:uid="{00000000-0005-0000-0000-0000192B0000}"/>
    <cellStyle name="Currency 130 2 2 4 2" xfId="38685" xr:uid="{00000000-0005-0000-0000-00001A2B0000}"/>
    <cellStyle name="Currency 130 2 2 5" xfId="26380" xr:uid="{00000000-0005-0000-0000-00001B2B0000}"/>
    <cellStyle name="Currency 130 2 3" xfId="7951" xr:uid="{00000000-0005-0000-0000-00001C2B0000}"/>
    <cellStyle name="Currency 130 2 3 2" xfId="14145" xr:uid="{00000000-0005-0000-0000-00001D2B0000}"/>
    <cellStyle name="Currency 130 2 3 2 2" xfId="34065" xr:uid="{00000000-0005-0000-0000-00001E2B0000}"/>
    <cellStyle name="Currency 130 2 3 3" xfId="20297" xr:uid="{00000000-0005-0000-0000-00001F2B0000}"/>
    <cellStyle name="Currency 130 2 3 3 2" xfId="40217" xr:uid="{00000000-0005-0000-0000-0000202B0000}"/>
    <cellStyle name="Currency 130 2 3 4" xfId="27912" xr:uid="{00000000-0005-0000-0000-0000212B0000}"/>
    <cellStyle name="Currency 130 2 4" xfId="11079" xr:uid="{00000000-0005-0000-0000-0000222B0000}"/>
    <cellStyle name="Currency 130 2 4 2" xfId="30999" xr:uid="{00000000-0005-0000-0000-0000232B0000}"/>
    <cellStyle name="Currency 130 2 5" xfId="17231" xr:uid="{00000000-0005-0000-0000-0000242B0000}"/>
    <cellStyle name="Currency 130 2 5 2" xfId="37151" xr:uid="{00000000-0005-0000-0000-0000252B0000}"/>
    <cellStyle name="Currency 130 2 6" xfId="24846" xr:uid="{00000000-0005-0000-0000-0000262B0000}"/>
    <cellStyle name="Currency 130 3" xfId="5616" xr:uid="{00000000-0005-0000-0000-0000272B0000}"/>
    <cellStyle name="Currency 130 3 2" xfId="8717" xr:uid="{00000000-0005-0000-0000-0000282B0000}"/>
    <cellStyle name="Currency 130 3 2 2" xfId="14910" xr:uid="{00000000-0005-0000-0000-0000292B0000}"/>
    <cellStyle name="Currency 130 3 2 2 2" xfId="34830" xr:uid="{00000000-0005-0000-0000-00002A2B0000}"/>
    <cellStyle name="Currency 130 3 2 3" xfId="21062" xr:uid="{00000000-0005-0000-0000-00002B2B0000}"/>
    <cellStyle name="Currency 130 3 2 3 2" xfId="40982" xr:uid="{00000000-0005-0000-0000-00002C2B0000}"/>
    <cellStyle name="Currency 130 3 2 4" xfId="28677" xr:uid="{00000000-0005-0000-0000-00002D2B0000}"/>
    <cellStyle name="Currency 130 3 3" xfId="11844" xr:uid="{00000000-0005-0000-0000-00002E2B0000}"/>
    <cellStyle name="Currency 130 3 3 2" xfId="31764" xr:uid="{00000000-0005-0000-0000-00002F2B0000}"/>
    <cellStyle name="Currency 130 3 4" xfId="17996" xr:uid="{00000000-0005-0000-0000-0000302B0000}"/>
    <cellStyle name="Currency 130 3 4 2" xfId="37916" xr:uid="{00000000-0005-0000-0000-0000312B0000}"/>
    <cellStyle name="Currency 130 3 5" xfId="25611" xr:uid="{00000000-0005-0000-0000-0000322B0000}"/>
    <cellStyle name="Currency 130 4" xfId="7182" xr:uid="{00000000-0005-0000-0000-0000332B0000}"/>
    <cellStyle name="Currency 130 4 2" xfId="13376" xr:uid="{00000000-0005-0000-0000-0000342B0000}"/>
    <cellStyle name="Currency 130 4 2 2" xfId="33296" xr:uid="{00000000-0005-0000-0000-0000352B0000}"/>
    <cellStyle name="Currency 130 4 3" xfId="19528" xr:uid="{00000000-0005-0000-0000-0000362B0000}"/>
    <cellStyle name="Currency 130 4 3 2" xfId="39448" xr:uid="{00000000-0005-0000-0000-0000372B0000}"/>
    <cellStyle name="Currency 130 4 4" xfId="27143" xr:uid="{00000000-0005-0000-0000-0000382B0000}"/>
    <cellStyle name="Currency 130 5" xfId="10310" xr:uid="{00000000-0005-0000-0000-0000392B0000}"/>
    <cellStyle name="Currency 130 5 2" xfId="30230" xr:uid="{00000000-0005-0000-0000-00003A2B0000}"/>
    <cellStyle name="Currency 130 6" xfId="16462" xr:uid="{00000000-0005-0000-0000-00003B2B0000}"/>
    <cellStyle name="Currency 130 6 2" xfId="36382" xr:uid="{00000000-0005-0000-0000-00003C2B0000}"/>
    <cellStyle name="Currency 130 7" xfId="24077" xr:uid="{00000000-0005-0000-0000-00003D2B0000}"/>
    <cellStyle name="Currency 131" xfId="2980" xr:uid="{00000000-0005-0000-0000-00003E2B0000}"/>
    <cellStyle name="Currency 132" xfId="2981" xr:uid="{00000000-0005-0000-0000-00003F2B0000}"/>
    <cellStyle name="Currency 133" xfId="2982" xr:uid="{00000000-0005-0000-0000-0000402B0000}"/>
    <cellStyle name="Currency 134" xfId="2983" xr:uid="{00000000-0005-0000-0000-0000412B0000}"/>
    <cellStyle name="Currency 135" xfId="2984" xr:uid="{00000000-0005-0000-0000-0000422B0000}"/>
    <cellStyle name="Currency 136" xfId="2985" xr:uid="{00000000-0005-0000-0000-0000432B0000}"/>
    <cellStyle name="Currency 137" xfId="2986" xr:uid="{00000000-0005-0000-0000-0000442B0000}"/>
    <cellStyle name="Currency 138" xfId="2987" xr:uid="{00000000-0005-0000-0000-0000452B0000}"/>
    <cellStyle name="Currency 139" xfId="2988" xr:uid="{00000000-0005-0000-0000-0000462B0000}"/>
    <cellStyle name="Currency 14" xfId="2989" xr:uid="{00000000-0005-0000-0000-0000472B0000}"/>
    <cellStyle name="Currency 14 2" xfId="2990" xr:uid="{00000000-0005-0000-0000-0000482B0000}"/>
    <cellStyle name="Currency 14 3" xfId="2991" xr:uid="{00000000-0005-0000-0000-0000492B0000}"/>
    <cellStyle name="Currency 140" xfId="2992" xr:uid="{00000000-0005-0000-0000-00004A2B0000}"/>
    <cellStyle name="Currency 141" xfId="2993" xr:uid="{00000000-0005-0000-0000-00004B2B0000}"/>
    <cellStyle name="Currency 142" xfId="2994" xr:uid="{00000000-0005-0000-0000-00004C2B0000}"/>
    <cellStyle name="Currency 143" xfId="2995" xr:uid="{00000000-0005-0000-0000-00004D2B0000}"/>
    <cellStyle name="Currency 144" xfId="2996" xr:uid="{00000000-0005-0000-0000-00004E2B0000}"/>
    <cellStyle name="Currency 145" xfId="2997" xr:uid="{00000000-0005-0000-0000-00004F2B0000}"/>
    <cellStyle name="Currency 146" xfId="2998" xr:uid="{00000000-0005-0000-0000-0000502B0000}"/>
    <cellStyle name="Currency 147" xfId="2999" xr:uid="{00000000-0005-0000-0000-0000512B0000}"/>
    <cellStyle name="Currency 148" xfId="3000" xr:uid="{00000000-0005-0000-0000-0000522B0000}"/>
    <cellStyle name="Currency 149" xfId="3001" xr:uid="{00000000-0005-0000-0000-0000532B0000}"/>
    <cellStyle name="Currency 15" xfId="3002" xr:uid="{00000000-0005-0000-0000-0000542B0000}"/>
    <cellStyle name="Currency 15 2" xfId="3003" xr:uid="{00000000-0005-0000-0000-0000552B0000}"/>
    <cellStyle name="Currency 15 3" xfId="3004" xr:uid="{00000000-0005-0000-0000-0000562B0000}"/>
    <cellStyle name="Currency 150" xfId="3005" xr:uid="{00000000-0005-0000-0000-0000572B0000}"/>
    <cellStyle name="Currency 151" xfId="3006" xr:uid="{00000000-0005-0000-0000-0000582B0000}"/>
    <cellStyle name="Currency 152" xfId="3007" xr:uid="{00000000-0005-0000-0000-0000592B0000}"/>
    <cellStyle name="Currency 153" xfId="3008" xr:uid="{00000000-0005-0000-0000-00005A2B0000}"/>
    <cellStyle name="Currency 154" xfId="3009" xr:uid="{00000000-0005-0000-0000-00005B2B0000}"/>
    <cellStyle name="Currency 155" xfId="3010" xr:uid="{00000000-0005-0000-0000-00005C2B0000}"/>
    <cellStyle name="Currency 156" xfId="3011" xr:uid="{00000000-0005-0000-0000-00005D2B0000}"/>
    <cellStyle name="Currency 157" xfId="3012" xr:uid="{00000000-0005-0000-0000-00005E2B0000}"/>
    <cellStyle name="Currency 158" xfId="3013" xr:uid="{00000000-0005-0000-0000-00005F2B0000}"/>
    <cellStyle name="Currency 159" xfId="3014" xr:uid="{00000000-0005-0000-0000-0000602B0000}"/>
    <cellStyle name="Currency 159 2" xfId="4776" xr:uid="{00000000-0005-0000-0000-0000612B0000}"/>
    <cellStyle name="Currency 159 2 2" xfId="6401" xr:uid="{00000000-0005-0000-0000-0000622B0000}"/>
    <cellStyle name="Currency 159 2 2 2" xfId="9487" xr:uid="{00000000-0005-0000-0000-0000632B0000}"/>
    <cellStyle name="Currency 159 2 2 2 2" xfId="15680" xr:uid="{00000000-0005-0000-0000-0000642B0000}"/>
    <cellStyle name="Currency 159 2 2 2 2 2" xfId="35600" xr:uid="{00000000-0005-0000-0000-0000652B0000}"/>
    <cellStyle name="Currency 159 2 2 2 3" xfId="21832" xr:uid="{00000000-0005-0000-0000-0000662B0000}"/>
    <cellStyle name="Currency 159 2 2 2 3 2" xfId="41752" xr:uid="{00000000-0005-0000-0000-0000672B0000}"/>
    <cellStyle name="Currency 159 2 2 2 4" xfId="29447" xr:uid="{00000000-0005-0000-0000-0000682B0000}"/>
    <cellStyle name="Currency 159 2 2 3" xfId="12614" xr:uid="{00000000-0005-0000-0000-0000692B0000}"/>
    <cellStyle name="Currency 159 2 2 3 2" xfId="32534" xr:uid="{00000000-0005-0000-0000-00006A2B0000}"/>
    <cellStyle name="Currency 159 2 2 4" xfId="18766" xr:uid="{00000000-0005-0000-0000-00006B2B0000}"/>
    <cellStyle name="Currency 159 2 2 4 2" xfId="38686" xr:uid="{00000000-0005-0000-0000-00006C2B0000}"/>
    <cellStyle name="Currency 159 2 2 5" xfId="26381" xr:uid="{00000000-0005-0000-0000-00006D2B0000}"/>
    <cellStyle name="Currency 159 2 3" xfId="7952" xr:uid="{00000000-0005-0000-0000-00006E2B0000}"/>
    <cellStyle name="Currency 159 2 3 2" xfId="14146" xr:uid="{00000000-0005-0000-0000-00006F2B0000}"/>
    <cellStyle name="Currency 159 2 3 2 2" xfId="34066" xr:uid="{00000000-0005-0000-0000-0000702B0000}"/>
    <cellStyle name="Currency 159 2 3 3" xfId="20298" xr:uid="{00000000-0005-0000-0000-0000712B0000}"/>
    <cellStyle name="Currency 159 2 3 3 2" xfId="40218" xr:uid="{00000000-0005-0000-0000-0000722B0000}"/>
    <cellStyle name="Currency 159 2 3 4" xfId="27913" xr:uid="{00000000-0005-0000-0000-0000732B0000}"/>
    <cellStyle name="Currency 159 2 4" xfId="11080" xr:uid="{00000000-0005-0000-0000-0000742B0000}"/>
    <cellStyle name="Currency 159 2 4 2" xfId="31000" xr:uid="{00000000-0005-0000-0000-0000752B0000}"/>
    <cellStyle name="Currency 159 2 5" xfId="17232" xr:uid="{00000000-0005-0000-0000-0000762B0000}"/>
    <cellStyle name="Currency 159 2 5 2" xfId="37152" xr:uid="{00000000-0005-0000-0000-0000772B0000}"/>
    <cellStyle name="Currency 159 2 6" xfId="24847" xr:uid="{00000000-0005-0000-0000-0000782B0000}"/>
    <cellStyle name="Currency 159 3" xfId="5617" xr:uid="{00000000-0005-0000-0000-0000792B0000}"/>
    <cellStyle name="Currency 159 3 2" xfId="8718" xr:uid="{00000000-0005-0000-0000-00007A2B0000}"/>
    <cellStyle name="Currency 159 3 2 2" xfId="14911" xr:uid="{00000000-0005-0000-0000-00007B2B0000}"/>
    <cellStyle name="Currency 159 3 2 2 2" xfId="34831" xr:uid="{00000000-0005-0000-0000-00007C2B0000}"/>
    <cellStyle name="Currency 159 3 2 3" xfId="21063" xr:uid="{00000000-0005-0000-0000-00007D2B0000}"/>
    <cellStyle name="Currency 159 3 2 3 2" xfId="40983" xr:uid="{00000000-0005-0000-0000-00007E2B0000}"/>
    <cellStyle name="Currency 159 3 2 4" xfId="28678" xr:uid="{00000000-0005-0000-0000-00007F2B0000}"/>
    <cellStyle name="Currency 159 3 3" xfId="11845" xr:uid="{00000000-0005-0000-0000-0000802B0000}"/>
    <cellStyle name="Currency 159 3 3 2" xfId="31765" xr:uid="{00000000-0005-0000-0000-0000812B0000}"/>
    <cellStyle name="Currency 159 3 4" xfId="17997" xr:uid="{00000000-0005-0000-0000-0000822B0000}"/>
    <cellStyle name="Currency 159 3 4 2" xfId="37917" xr:uid="{00000000-0005-0000-0000-0000832B0000}"/>
    <cellStyle name="Currency 159 3 5" xfId="25612" xr:uid="{00000000-0005-0000-0000-0000842B0000}"/>
    <cellStyle name="Currency 159 4" xfId="7183" xr:uid="{00000000-0005-0000-0000-0000852B0000}"/>
    <cellStyle name="Currency 159 4 2" xfId="13377" xr:uid="{00000000-0005-0000-0000-0000862B0000}"/>
    <cellStyle name="Currency 159 4 2 2" xfId="33297" xr:uid="{00000000-0005-0000-0000-0000872B0000}"/>
    <cellStyle name="Currency 159 4 3" xfId="19529" xr:uid="{00000000-0005-0000-0000-0000882B0000}"/>
    <cellStyle name="Currency 159 4 3 2" xfId="39449" xr:uid="{00000000-0005-0000-0000-0000892B0000}"/>
    <cellStyle name="Currency 159 4 4" xfId="27144" xr:uid="{00000000-0005-0000-0000-00008A2B0000}"/>
    <cellStyle name="Currency 159 5" xfId="10311" xr:uid="{00000000-0005-0000-0000-00008B2B0000}"/>
    <cellStyle name="Currency 159 5 2" xfId="30231" xr:uid="{00000000-0005-0000-0000-00008C2B0000}"/>
    <cellStyle name="Currency 159 6" xfId="16463" xr:uid="{00000000-0005-0000-0000-00008D2B0000}"/>
    <cellStyle name="Currency 159 6 2" xfId="36383" xr:uid="{00000000-0005-0000-0000-00008E2B0000}"/>
    <cellStyle name="Currency 159 7" xfId="24078" xr:uid="{00000000-0005-0000-0000-00008F2B0000}"/>
    <cellStyle name="Currency 16" xfId="3015" xr:uid="{00000000-0005-0000-0000-0000902B0000}"/>
    <cellStyle name="Currency 16 2" xfId="3016" xr:uid="{00000000-0005-0000-0000-0000912B0000}"/>
    <cellStyle name="Currency 16 3" xfId="3017" xr:uid="{00000000-0005-0000-0000-0000922B0000}"/>
    <cellStyle name="Currency 160" xfId="1203" xr:uid="{00000000-0005-0000-0000-0000932B0000}"/>
    <cellStyle name="Currency 161" xfId="4505" xr:uid="{00000000-0005-0000-0000-0000942B0000}"/>
    <cellStyle name="Currency 162" xfId="4612" xr:uid="{00000000-0005-0000-0000-0000952B0000}"/>
    <cellStyle name="Currency 162 2" xfId="4617" xr:uid="{00000000-0005-0000-0000-0000962B0000}"/>
    <cellStyle name="Currency 162 3" xfId="6244" xr:uid="{00000000-0005-0000-0000-0000972B0000}"/>
    <cellStyle name="Currency 162 3 2" xfId="9330" xr:uid="{00000000-0005-0000-0000-0000982B0000}"/>
    <cellStyle name="Currency 162 3 2 2" xfId="15523" xr:uid="{00000000-0005-0000-0000-0000992B0000}"/>
    <cellStyle name="Currency 162 3 2 2 2" xfId="35443" xr:uid="{00000000-0005-0000-0000-00009A2B0000}"/>
    <cellStyle name="Currency 162 3 2 3" xfId="21675" xr:uid="{00000000-0005-0000-0000-00009B2B0000}"/>
    <cellStyle name="Currency 162 3 2 3 2" xfId="41595" xr:uid="{00000000-0005-0000-0000-00009C2B0000}"/>
    <cellStyle name="Currency 162 3 2 4" xfId="29290" xr:uid="{00000000-0005-0000-0000-00009D2B0000}"/>
    <cellStyle name="Currency 162 3 3" xfId="12457" xr:uid="{00000000-0005-0000-0000-00009E2B0000}"/>
    <cellStyle name="Currency 162 3 3 2" xfId="32377" xr:uid="{00000000-0005-0000-0000-00009F2B0000}"/>
    <cellStyle name="Currency 162 3 4" xfId="18609" xr:uid="{00000000-0005-0000-0000-0000A02B0000}"/>
    <cellStyle name="Currency 162 3 4 2" xfId="38529" xr:uid="{00000000-0005-0000-0000-0000A12B0000}"/>
    <cellStyle name="Currency 162 3 5" xfId="26224" xr:uid="{00000000-0005-0000-0000-0000A22B0000}"/>
    <cellStyle name="Currency 162 4" xfId="7795" xr:uid="{00000000-0005-0000-0000-0000A32B0000}"/>
    <cellStyle name="Currency 162 4 2" xfId="13989" xr:uid="{00000000-0005-0000-0000-0000A42B0000}"/>
    <cellStyle name="Currency 162 4 2 2" xfId="33909" xr:uid="{00000000-0005-0000-0000-0000A52B0000}"/>
    <cellStyle name="Currency 162 4 3" xfId="20141" xr:uid="{00000000-0005-0000-0000-0000A62B0000}"/>
    <cellStyle name="Currency 162 4 3 2" xfId="40061" xr:uid="{00000000-0005-0000-0000-0000A72B0000}"/>
    <cellStyle name="Currency 162 4 4" xfId="27756" xr:uid="{00000000-0005-0000-0000-0000A82B0000}"/>
    <cellStyle name="Currency 162 5" xfId="10923" xr:uid="{00000000-0005-0000-0000-0000A92B0000}"/>
    <cellStyle name="Currency 162 5 2" xfId="30843" xr:uid="{00000000-0005-0000-0000-0000AA2B0000}"/>
    <cellStyle name="Currency 162 6" xfId="17075" xr:uid="{00000000-0005-0000-0000-0000AB2B0000}"/>
    <cellStyle name="Currency 162 6 2" xfId="36995" xr:uid="{00000000-0005-0000-0000-0000AC2B0000}"/>
    <cellStyle name="Currency 162 7" xfId="24690" xr:uid="{00000000-0005-0000-0000-0000AD2B0000}"/>
    <cellStyle name="Currency 163" xfId="5386" xr:uid="{00000000-0005-0000-0000-0000AE2B0000}"/>
    <cellStyle name="Currency 164" xfId="5454" xr:uid="{00000000-0005-0000-0000-0000AF2B0000}"/>
    <cellStyle name="Currency 165" xfId="5394" xr:uid="{00000000-0005-0000-0000-0000B02B0000}"/>
    <cellStyle name="Currency 166" xfId="5445" xr:uid="{00000000-0005-0000-0000-0000B12B0000}"/>
    <cellStyle name="Currency 167" xfId="5405" xr:uid="{00000000-0005-0000-0000-0000B22B0000}"/>
    <cellStyle name="Currency 168" xfId="5391" xr:uid="{00000000-0005-0000-0000-0000B32B0000}"/>
    <cellStyle name="Currency 169" xfId="5447" xr:uid="{00000000-0005-0000-0000-0000B42B0000}"/>
    <cellStyle name="Currency 17" xfId="3018" xr:uid="{00000000-0005-0000-0000-0000B52B0000}"/>
    <cellStyle name="Currency 17 2" xfId="3019" xr:uid="{00000000-0005-0000-0000-0000B62B0000}"/>
    <cellStyle name="Currency 17 3" xfId="3020" xr:uid="{00000000-0005-0000-0000-0000B72B0000}"/>
    <cellStyle name="Currency 170" xfId="5403" xr:uid="{00000000-0005-0000-0000-0000B82B0000}"/>
    <cellStyle name="Currency 171" xfId="5443" xr:uid="{00000000-0005-0000-0000-0000B92B0000}"/>
    <cellStyle name="Currency 172" xfId="5434" xr:uid="{00000000-0005-0000-0000-0000BA2B0000}"/>
    <cellStyle name="Currency 173" xfId="5408" xr:uid="{00000000-0005-0000-0000-0000BB2B0000}"/>
    <cellStyle name="Currency 174" xfId="5430" xr:uid="{00000000-0005-0000-0000-0000BC2B0000}"/>
    <cellStyle name="Currency 175" xfId="5415" xr:uid="{00000000-0005-0000-0000-0000BD2B0000}"/>
    <cellStyle name="Currency 176" xfId="5411" xr:uid="{00000000-0005-0000-0000-0000BE2B0000}"/>
    <cellStyle name="Currency 177" xfId="5427" xr:uid="{00000000-0005-0000-0000-0000BF2B0000}"/>
    <cellStyle name="Currency 178" xfId="5414" xr:uid="{00000000-0005-0000-0000-0000C02B0000}"/>
    <cellStyle name="Currency 179" xfId="4621" xr:uid="{00000000-0005-0000-0000-0000C12B0000}"/>
    <cellStyle name="Currency 179 2" xfId="6246" xr:uid="{00000000-0005-0000-0000-0000C22B0000}"/>
    <cellStyle name="Currency 179 2 2" xfId="9332" xr:uid="{00000000-0005-0000-0000-0000C32B0000}"/>
    <cellStyle name="Currency 179 2 2 2" xfId="15525" xr:uid="{00000000-0005-0000-0000-0000C42B0000}"/>
    <cellStyle name="Currency 179 2 2 2 2" xfId="35445" xr:uid="{00000000-0005-0000-0000-0000C52B0000}"/>
    <cellStyle name="Currency 179 2 2 3" xfId="21677" xr:uid="{00000000-0005-0000-0000-0000C62B0000}"/>
    <cellStyle name="Currency 179 2 2 3 2" xfId="41597" xr:uid="{00000000-0005-0000-0000-0000C72B0000}"/>
    <cellStyle name="Currency 179 2 2 4" xfId="29292" xr:uid="{00000000-0005-0000-0000-0000C82B0000}"/>
    <cellStyle name="Currency 179 2 3" xfId="12459" xr:uid="{00000000-0005-0000-0000-0000C92B0000}"/>
    <cellStyle name="Currency 179 2 3 2" xfId="32379" xr:uid="{00000000-0005-0000-0000-0000CA2B0000}"/>
    <cellStyle name="Currency 179 2 4" xfId="18611" xr:uid="{00000000-0005-0000-0000-0000CB2B0000}"/>
    <cellStyle name="Currency 179 2 4 2" xfId="38531" xr:uid="{00000000-0005-0000-0000-0000CC2B0000}"/>
    <cellStyle name="Currency 179 2 5" xfId="26226" xr:uid="{00000000-0005-0000-0000-0000CD2B0000}"/>
    <cellStyle name="Currency 179 3" xfId="7797" xr:uid="{00000000-0005-0000-0000-0000CE2B0000}"/>
    <cellStyle name="Currency 179 3 2" xfId="13991" xr:uid="{00000000-0005-0000-0000-0000CF2B0000}"/>
    <cellStyle name="Currency 179 3 2 2" xfId="33911" xr:uid="{00000000-0005-0000-0000-0000D02B0000}"/>
    <cellStyle name="Currency 179 3 3" xfId="20143" xr:uid="{00000000-0005-0000-0000-0000D12B0000}"/>
    <cellStyle name="Currency 179 3 3 2" xfId="40063" xr:uid="{00000000-0005-0000-0000-0000D22B0000}"/>
    <cellStyle name="Currency 179 3 4" xfId="27758" xr:uid="{00000000-0005-0000-0000-0000D32B0000}"/>
    <cellStyle name="Currency 179 4" xfId="10925" xr:uid="{00000000-0005-0000-0000-0000D42B0000}"/>
    <cellStyle name="Currency 179 4 2" xfId="30845" xr:uid="{00000000-0005-0000-0000-0000D52B0000}"/>
    <cellStyle name="Currency 179 5" xfId="17077" xr:uid="{00000000-0005-0000-0000-0000D62B0000}"/>
    <cellStyle name="Currency 179 5 2" xfId="36997" xr:uid="{00000000-0005-0000-0000-0000D72B0000}"/>
    <cellStyle name="Currency 179 6" xfId="24692" xr:uid="{00000000-0005-0000-0000-0000D82B0000}"/>
    <cellStyle name="Currency 18" xfId="3021" xr:uid="{00000000-0005-0000-0000-0000D92B0000}"/>
    <cellStyle name="Currency 18 2" xfId="3022" xr:uid="{00000000-0005-0000-0000-0000DA2B0000}"/>
    <cellStyle name="Currency 18 3" xfId="3023" xr:uid="{00000000-0005-0000-0000-0000DB2B0000}"/>
    <cellStyle name="Currency 180" xfId="7026" xr:uid="{00000000-0005-0000-0000-0000DC2B0000}"/>
    <cellStyle name="Currency 181" xfId="10097" xr:uid="{00000000-0005-0000-0000-0000DD2B0000}"/>
    <cellStyle name="Currency 182" xfId="10101" xr:uid="{00000000-0005-0000-0000-0000DE2B0000}"/>
    <cellStyle name="Currency 183" xfId="10154" xr:uid="{00000000-0005-0000-0000-0000DF2B0000}"/>
    <cellStyle name="Currency 184" xfId="1062" xr:uid="{00000000-0005-0000-0000-0000E02B0000}"/>
    <cellStyle name="Currency 185" xfId="1070" xr:uid="{00000000-0005-0000-0000-0000E12B0000}"/>
    <cellStyle name="Currency 186" xfId="22467" xr:uid="{00000000-0005-0000-0000-0000E22B0000}"/>
    <cellStyle name="Currency 187" xfId="22462" xr:uid="{00000000-0005-0000-0000-0000E32B0000}"/>
    <cellStyle name="Currency 188" xfId="22470" xr:uid="{00000000-0005-0000-0000-0000E42B0000}"/>
    <cellStyle name="Currency 189" xfId="23321" xr:uid="{00000000-0005-0000-0000-0000E52B0000}"/>
    <cellStyle name="Currency 19" xfId="3024" xr:uid="{00000000-0005-0000-0000-0000E62B0000}"/>
    <cellStyle name="Currency 19 2" xfId="3025" xr:uid="{00000000-0005-0000-0000-0000E72B0000}"/>
    <cellStyle name="Currency 19 3" xfId="3026" xr:uid="{00000000-0005-0000-0000-0000E82B0000}"/>
    <cellStyle name="Currency 2" xfId="8" xr:uid="{00000000-0005-0000-0000-0000E92B0000}"/>
    <cellStyle name="Currency 2 10" xfId="212" xr:uid="{00000000-0005-0000-0000-0000EA2B0000}"/>
    <cellStyle name="Currency 2 10 2" xfId="4527" xr:uid="{00000000-0005-0000-0000-0000EB2B0000}"/>
    <cellStyle name="Currency 2 10 3" xfId="3028" xr:uid="{00000000-0005-0000-0000-0000EC2B0000}"/>
    <cellStyle name="Currency 2 11" xfId="206" xr:uid="{00000000-0005-0000-0000-0000ED2B0000}"/>
    <cellStyle name="Currency 2 11 2" xfId="4528" xr:uid="{00000000-0005-0000-0000-0000EE2B0000}"/>
    <cellStyle name="Currency 2 11 3" xfId="3029" xr:uid="{00000000-0005-0000-0000-0000EF2B0000}"/>
    <cellStyle name="Currency 2 12" xfId="232" xr:uid="{00000000-0005-0000-0000-0000F02B0000}"/>
    <cellStyle name="Currency 2 12 2" xfId="4529" xr:uid="{00000000-0005-0000-0000-0000F12B0000}"/>
    <cellStyle name="Currency 2 12 3" xfId="3030" xr:uid="{00000000-0005-0000-0000-0000F22B0000}"/>
    <cellStyle name="Currency 2 13" xfId="247" xr:uid="{00000000-0005-0000-0000-0000F32B0000}"/>
    <cellStyle name="Currency 2 13 2" xfId="4530" xr:uid="{00000000-0005-0000-0000-0000F42B0000}"/>
    <cellStyle name="Currency 2 13 3" xfId="3031" xr:uid="{00000000-0005-0000-0000-0000F52B0000}"/>
    <cellStyle name="Currency 2 14" xfId="262" xr:uid="{00000000-0005-0000-0000-0000F62B0000}"/>
    <cellStyle name="Currency 2 14 2" xfId="4531" xr:uid="{00000000-0005-0000-0000-0000F72B0000}"/>
    <cellStyle name="Currency 2 14 3" xfId="3032" xr:uid="{00000000-0005-0000-0000-0000F82B0000}"/>
    <cellStyle name="Currency 2 15" xfId="278" xr:uid="{00000000-0005-0000-0000-0000F92B0000}"/>
    <cellStyle name="Currency 2 15 2" xfId="4532" xr:uid="{00000000-0005-0000-0000-0000FA2B0000}"/>
    <cellStyle name="Currency 2 15 3" xfId="3033" xr:uid="{00000000-0005-0000-0000-0000FB2B0000}"/>
    <cellStyle name="Currency 2 16" xfId="316" xr:uid="{00000000-0005-0000-0000-0000FC2B0000}"/>
    <cellStyle name="Currency 2 16 2" xfId="4533" xr:uid="{00000000-0005-0000-0000-0000FD2B0000}"/>
    <cellStyle name="Currency 2 16 3" xfId="3034" xr:uid="{00000000-0005-0000-0000-0000FE2B0000}"/>
    <cellStyle name="Currency 2 17" xfId="337" xr:uid="{00000000-0005-0000-0000-0000FF2B0000}"/>
    <cellStyle name="Currency 2 17 2" xfId="4534" xr:uid="{00000000-0005-0000-0000-0000002C0000}"/>
    <cellStyle name="Currency 2 17 3" xfId="3035" xr:uid="{00000000-0005-0000-0000-0000012C0000}"/>
    <cellStyle name="Currency 2 18" xfId="351" xr:uid="{00000000-0005-0000-0000-0000022C0000}"/>
    <cellStyle name="Currency 2 18 2" xfId="4535" xr:uid="{00000000-0005-0000-0000-0000032C0000}"/>
    <cellStyle name="Currency 2 18 3" xfId="3036" xr:uid="{00000000-0005-0000-0000-0000042C0000}"/>
    <cellStyle name="Currency 2 19" xfId="365" xr:uid="{00000000-0005-0000-0000-0000052C0000}"/>
    <cellStyle name="Currency 2 19 2" xfId="4536" xr:uid="{00000000-0005-0000-0000-0000062C0000}"/>
    <cellStyle name="Currency 2 19 3" xfId="3037" xr:uid="{00000000-0005-0000-0000-0000072C0000}"/>
    <cellStyle name="Currency 2 2" xfId="16" xr:uid="{00000000-0005-0000-0000-0000082C0000}"/>
    <cellStyle name="Currency 2 2 10" xfId="3039" xr:uid="{00000000-0005-0000-0000-0000092C0000}"/>
    <cellStyle name="Currency 2 2 10 2" xfId="4779" xr:uid="{00000000-0005-0000-0000-00000A2C0000}"/>
    <cellStyle name="Currency 2 2 10 2 2" xfId="6404" xr:uid="{00000000-0005-0000-0000-00000B2C0000}"/>
    <cellStyle name="Currency 2 2 10 2 2 2" xfId="9490" xr:uid="{00000000-0005-0000-0000-00000C2C0000}"/>
    <cellStyle name="Currency 2 2 10 2 2 2 2" xfId="15683" xr:uid="{00000000-0005-0000-0000-00000D2C0000}"/>
    <cellStyle name="Currency 2 2 10 2 2 2 2 2" xfId="35603" xr:uid="{00000000-0005-0000-0000-00000E2C0000}"/>
    <cellStyle name="Currency 2 2 10 2 2 2 3" xfId="21835" xr:uid="{00000000-0005-0000-0000-00000F2C0000}"/>
    <cellStyle name="Currency 2 2 10 2 2 2 3 2" xfId="41755" xr:uid="{00000000-0005-0000-0000-0000102C0000}"/>
    <cellStyle name="Currency 2 2 10 2 2 2 4" xfId="29450" xr:uid="{00000000-0005-0000-0000-0000112C0000}"/>
    <cellStyle name="Currency 2 2 10 2 2 3" xfId="12617" xr:uid="{00000000-0005-0000-0000-0000122C0000}"/>
    <cellStyle name="Currency 2 2 10 2 2 3 2" xfId="32537" xr:uid="{00000000-0005-0000-0000-0000132C0000}"/>
    <cellStyle name="Currency 2 2 10 2 2 4" xfId="18769" xr:uid="{00000000-0005-0000-0000-0000142C0000}"/>
    <cellStyle name="Currency 2 2 10 2 2 4 2" xfId="38689" xr:uid="{00000000-0005-0000-0000-0000152C0000}"/>
    <cellStyle name="Currency 2 2 10 2 2 5" xfId="26384" xr:uid="{00000000-0005-0000-0000-0000162C0000}"/>
    <cellStyle name="Currency 2 2 10 2 3" xfId="7955" xr:uid="{00000000-0005-0000-0000-0000172C0000}"/>
    <cellStyle name="Currency 2 2 10 2 3 2" xfId="14149" xr:uid="{00000000-0005-0000-0000-0000182C0000}"/>
    <cellStyle name="Currency 2 2 10 2 3 2 2" xfId="34069" xr:uid="{00000000-0005-0000-0000-0000192C0000}"/>
    <cellStyle name="Currency 2 2 10 2 3 3" xfId="20301" xr:uid="{00000000-0005-0000-0000-00001A2C0000}"/>
    <cellStyle name="Currency 2 2 10 2 3 3 2" xfId="40221" xr:uid="{00000000-0005-0000-0000-00001B2C0000}"/>
    <cellStyle name="Currency 2 2 10 2 3 4" xfId="27916" xr:uid="{00000000-0005-0000-0000-00001C2C0000}"/>
    <cellStyle name="Currency 2 2 10 2 4" xfId="11083" xr:uid="{00000000-0005-0000-0000-00001D2C0000}"/>
    <cellStyle name="Currency 2 2 10 2 4 2" xfId="31003" xr:uid="{00000000-0005-0000-0000-00001E2C0000}"/>
    <cellStyle name="Currency 2 2 10 2 5" xfId="17235" xr:uid="{00000000-0005-0000-0000-00001F2C0000}"/>
    <cellStyle name="Currency 2 2 10 2 5 2" xfId="37155" xr:uid="{00000000-0005-0000-0000-0000202C0000}"/>
    <cellStyle name="Currency 2 2 10 2 6" xfId="24850" xr:uid="{00000000-0005-0000-0000-0000212C0000}"/>
    <cellStyle name="Currency 2 2 10 3" xfId="5620" xr:uid="{00000000-0005-0000-0000-0000222C0000}"/>
    <cellStyle name="Currency 2 2 10 3 2" xfId="8721" xr:uid="{00000000-0005-0000-0000-0000232C0000}"/>
    <cellStyle name="Currency 2 2 10 3 2 2" xfId="14914" xr:uid="{00000000-0005-0000-0000-0000242C0000}"/>
    <cellStyle name="Currency 2 2 10 3 2 2 2" xfId="34834" xr:uid="{00000000-0005-0000-0000-0000252C0000}"/>
    <cellStyle name="Currency 2 2 10 3 2 3" xfId="21066" xr:uid="{00000000-0005-0000-0000-0000262C0000}"/>
    <cellStyle name="Currency 2 2 10 3 2 3 2" xfId="40986" xr:uid="{00000000-0005-0000-0000-0000272C0000}"/>
    <cellStyle name="Currency 2 2 10 3 2 4" xfId="28681" xr:uid="{00000000-0005-0000-0000-0000282C0000}"/>
    <cellStyle name="Currency 2 2 10 3 3" xfId="11848" xr:uid="{00000000-0005-0000-0000-0000292C0000}"/>
    <cellStyle name="Currency 2 2 10 3 3 2" xfId="31768" xr:uid="{00000000-0005-0000-0000-00002A2C0000}"/>
    <cellStyle name="Currency 2 2 10 3 4" xfId="18000" xr:uid="{00000000-0005-0000-0000-00002B2C0000}"/>
    <cellStyle name="Currency 2 2 10 3 4 2" xfId="37920" xr:uid="{00000000-0005-0000-0000-00002C2C0000}"/>
    <cellStyle name="Currency 2 2 10 3 5" xfId="25615" xr:uid="{00000000-0005-0000-0000-00002D2C0000}"/>
    <cellStyle name="Currency 2 2 10 4" xfId="7186" xr:uid="{00000000-0005-0000-0000-00002E2C0000}"/>
    <cellStyle name="Currency 2 2 10 4 2" xfId="13380" xr:uid="{00000000-0005-0000-0000-00002F2C0000}"/>
    <cellStyle name="Currency 2 2 10 4 2 2" xfId="33300" xr:uid="{00000000-0005-0000-0000-0000302C0000}"/>
    <cellStyle name="Currency 2 2 10 4 3" xfId="19532" xr:uid="{00000000-0005-0000-0000-0000312C0000}"/>
    <cellStyle name="Currency 2 2 10 4 3 2" xfId="39452" xr:uid="{00000000-0005-0000-0000-0000322C0000}"/>
    <cellStyle name="Currency 2 2 10 4 4" xfId="27147" xr:uid="{00000000-0005-0000-0000-0000332C0000}"/>
    <cellStyle name="Currency 2 2 10 5" xfId="10314" xr:uid="{00000000-0005-0000-0000-0000342C0000}"/>
    <cellStyle name="Currency 2 2 10 5 2" xfId="30234" xr:uid="{00000000-0005-0000-0000-0000352C0000}"/>
    <cellStyle name="Currency 2 2 10 6" xfId="16466" xr:uid="{00000000-0005-0000-0000-0000362C0000}"/>
    <cellStyle name="Currency 2 2 10 6 2" xfId="36386" xr:uid="{00000000-0005-0000-0000-0000372C0000}"/>
    <cellStyle name="Currency 2 2 10 7" xfId="24081" xr:uid="{00000000-0005-0000-0000-0000382C0000}"/>
    <cellStyle name="Currency 2 2 11" xfId="3040" xr:uid="{00000000-0005-0000-0000-0000392C0000}"/>
    <cellStyle name="Currency 2 2 11 2" xfId="4780" xr:uid="{00000000-0005-0000-0000-00003A2C0000}"/>
    <cellStyle name="Currency 2 2 11 2 2" xfId="6405" xr:uid="{00000000-0005-0000-0000-00003B2C0000}"/>
    <cellStyle name="Currency 2 2 11 2 2 2" xfId="9491" xr:uid="{00000000-0005-0000-0000-00003C2C0000}"/>
    <cellStyle name="Currency 2 2 11 2 2 2 2" xfId="15684" xr:uid="{00000000-0005-0000-0000-00003D2C0000}"/>
    <cellStyle name="Currency 2 2 11 2 2 2 2 2" xfId="35604" xr:uid="{00000000-0005-0000-0000-00003E2C0000}"/>
    <cellStyle name="Currency 2 2 11 2 2 2 3" xfId="21836" xr:uid="{00000000-0005-0000-0000-00003F2C0000}"/>
    <cellStyle name="Currency 2 2 11 2 2 2 3 2" xfId="41756" xr:uid="{00000000-0005-0000-0000-0000402C0000}"/>
    <cellStyle name="Currency 2 2 11 2 2 2 4" xfId="29451" xr:uid="{00000000-0005-0000-0000-0000412C0000}"/>
    <cellStyle name="Currency 2 2 11 2 2 3" xfId="12618" xr:uid="{00000000-0005-0000-0000-0000422C0000}"/>
    <cellStyle name="Currency 2 2 11 2 2 3 2" xfId="32538" xr:uid="{00000000-0005-0000-0000-0000432C0000}"/>
    <cellStyle name="Currency 2 2 11 2 2 4" xfId="18770" xr:uid="{00000000-0005-0000-0000-0000442C0000}"/>
    <cellStyle name="Currency 2 2 11 2 2 4 2" xfId="38690" xr:uid="{00000000-0005-0000-0000-0000452C0000}"/>
    <cellStyle name="Currency 2 2 11 2 2 5" xfId="26385" xr:uid="{00000000-0005-0000-0000-0000462C0000}"/>
    <cellStyle name="Currency 2 2 11 2 3" xfId="7956" xr:uid="{00000000-0005-0000-0000-0000472C0000}"/>
    <cellStyle name="Currency 2 2 11 2 3 2" xfId="14150" xr:uid="{00000000-0005-0000-0000-0000482C0000}"/>
    <cellStyle name="Currency 2 2 11 2 3 2 2" xfId="34070" xr:uid="{00000000-0005-0000-0000-0000492C0000}"/>
    <cellStyle name="Currency 2 2 11 2 3 3" xfId="20302" xr:uid="{00000000-0005-0000-0000-00004A2C0000}"/>
    <cellStyle name="Currency 2 2 11 2 3 3 2" xfId="40222" xr:uid="{00000000-0005-0000-0000-00004B2C0000}"/>
    <cellStyle name="Currency 2 2 11 2 3 4" xfId="27917" xr:uid="{00000000-0005-0000-0000-00004C2C0000}"/>
    <cellStyle name="Currency 2 2 11 2 4" xfId="11084" xr:uid="{00000000-0005-0000-0000-00004D2C0000}"/>
    <cellStyle name="Currency 2 2 11 2 4 2" xfId="31004" xr:uid="{00000000-0005-0000-0000-00004E2C0000}"/>
    <cellStyle name="Currency 2 2 11 2 5" xfId="17236" xr:uid="{00000000-0005-0000-0000-00004F2C0000}"/>
    <cellStyle name="Currency 2 2 11 2 5 2" xfId="37156" xr:uid="{00000000-0005-0000-0000-0000502C0000}"/>
    <cellStyle name="Currency 2 2 11 2 6" xfId="24851" xr:uid="{00000000-0005-0000-0000-0000512C0000}"/>
    <cellStyle name="Currency 2 2 11 3" xfId="5621" xr:uid="{00000000-0005-0000-0000-0000522C0000}"/>
    <cellStyle name="Currency 2 2 11 3 2" xfId="8722" xr:uid="{00000000-0005-0000-0000-0000532C0000}"/>
    <cellStyle name="Currency 2 2 11 3 2 2" xfId="14915" xr:uid="{00000000-0005-0000-0000-0000542C0000}"/>
    <cellStyle name="Currency 2 2 11 3 2 2 2" xfId="34835" xr:uid="{00000000-0005-0000-0000-0000552C0000}"/>
    <cellStyle name="Currency 2 2 11 3 2 3" xfId="21067" xr:uid="{00000000-0005-0000-0000-0000562C0000}"/>
    <cellStyle name="Currency 2 2 11 3 2 3 2" xfId="40987" xr:uid="{00000000-0005-0000-0000-0000572C0000}"/>
    <cellStyle name="Currency 2 2 11 3 2 4" xfId="28682" xr:uid="{00000000-0005-0000-0000-0000582C0000}"/>
    <cellStyle name="Currency 2 2 11 3 3" xfId="11849" xr:uid="{00000000-0005-0000-0000-0000592C0000}"/>
    <cellStyle name="Currency 2 2 11 3 3 2" xfId="31769" xr:uid="{00000000-0005-0000-0000-00005A2C0000}"/>
    <cellStyle name="Currency 2 2 11 3 4" xfId="18001" xr:uid="{00000000-0005-0000-0000-00005B2C0000}"/>
    <cellStyle name="Currency 2 2 11 3 4 2" xfId="37921" xr:uid="{00000000-0005-0000-0000-00005C2C0000}"/>
    <cellStyle name="Currency 2 2 11 3 5" xfId="25616" xr:uid="{00000000-0005-0000-0000-00005D2C0000}"/>
    <cellStyle name="Currency 2 2 11 4" xfId="7187" xr:uid="{00000000-0005-0000-0000-00005E2C0000}"/>
    <cellStyle name="Currency 2 2 11 4 2" xfId="13381" xr:uid="{00000000-0005-0000-0000-00005F2C0000}"/>
    <cellStyle name="Currency 2 2 11 4 2 2" xfId="33301" xr:uid="{00000000-0005-0000-0000-0000602C0000}"/>
    <cellStyle name="Currency 2 2 11 4 3" xfId="19533" xr:uid="{00000000-0005-0000-0000-0000612C0000}"/>
    <cellStyle name="Currency 2 2 11 4 3 2" xfId="39453" xr:uid="{00000000-0005-0000-0000-0000622C0000}"/>
    <cellStyle name="Currency 2 2 11 4 4" xfId="27148" xr:uid="{00000000-0005-0000-0000-0000632C0000}"/>
    <cellStyle name="Currency 2 2 11 5" xfId="10315" xr:uid="{00000000-0005-0000-0000-0000642C0000}"/>
    <cellStyle name="Currency 2 2 11 5 2" xfId="30235" xr:uid="{00000000-0005-0000-0000-0000652C0000}"/>
    <cellStyle name="Currency 2 2 11 6" xfId="16467" xr:uid="{00000000-0005-0000-0000-0000662C0000}"/>
    <cellStyle name="Currency 2 2 11 6 2" xfId="36387" xr:uid="{00000000-0005-0000-0000-0000672C0000}"/>
    <cellStyle name="Currency 2 2 11 7" xfId="24082" xr:uid="{00000000-0005-0000-0000-0000682C0000}"/>
    <cellStyle name="Currency 2 2 12" xfId="3041" xr:uid="{00000000-0005-0000-0000-0000692C0000}"/>
    <cellStyle name="Currency 2 2 12 2" xfId="4781" xr:uid="{00000000-0005-0000-0000-00006A2C0000}"/>
    <cellStyle name="Currency 2 2 12 2 2" xfId="6406" xr:uid="{00000000-0005-0000-0000-00006B2C0000}"/>
    <cellStyle name="Currency 2 2 12 2 2 2" xfId="9492" xr:uid="{00000000-0005-0000-0000-00006C2C0000}"/>
    <cellStyle name="Currency 2 2 12 2 2 2 2" xfId="15685" xr:uid="{00000000-0005-0000-0000-00006D2C0000}"/>
    <cellStyle name="Currency 2 2 12 2 2 2 2 2" xfId="35605" xr:uid="{00000000-0005-0000-0000-00006E2C0000}"/>
    <cellStyle name="Currency 2 2 12 2 2 2 3" xfId="21837" xr:uid="{00000000-0005-0000-0000-00006F2C0000}"/>
    <cellStyle name="Currency 2 2 12 2 2 2 3 2" xfId="41757" xr:uid="{00000000-0005-0000-0000-0000702C0000}"/>
    <cellStyle name="Currency 2 2 12 2 2 2 4" xfId="29452" xr:uid="{00000000-0005-0000-0000-0000712C0000}"/>
    <cellStyle name="Currency 2 2 12 2 2 3" xfId="12619" xr:uid="{00000000-0005-0000-0000-0000722C0000}"/>
    <cellStyle name="Currency 2 2 12 2 2 3 2" xfId="32539" xr:uid="{00000000-0005-0000-0000-0000732C0000}"/>
    <cellStyle name="Currency 2 2 12 2 2 4" xfId="18771" xr:uid="{00000000-0005-0000-0000-0000742C0000}"/>
    <cellStyle name="Currency 2 2 12 2 2 4 2" xfId="38691" xr:uid="{00000000-0005-0000-0000-0000752C0000}"/>
    <cellStyle name="Currency 2 2 12 2 2 5" xfId="26386" xr:uid="{00000000-0005-0000-0000-0000762C0000}"/>
    <cellStyle name="Currency 2 2 12 2 3" xfId="7957" xr:uid="{00000000-0005-0000-0000-0000772C0000}"/>
    <cellStyle name="Currency 2 2 12 2 3 2" xfId="14151" xr:uid="{00000000-0005-0000-0000-0000782C0000}"/>
    <cellStyle name="Currency 2 2 12 2 3 2 2" xfId="34071" xr:uid="{00000000-0005-0000-0000-0000792C0000}"/>
    <cellStyle name="Currency 2 2 12 2 3 3" xfId="20303" xr:uid="{00000000-0005-0000-0000-00007A2C0000}"/>
    <cellStyle name="Currency 2 2 12 2 3 3 2" xfId="40223" xr:uid="{00000000-0005-0000-0000-00007B2C0000}"/>
    <cellStyle name="Currency 2 2 12 2 3 4" xfId="27918" xr:uid="{00000000-0005-0000-0000-00007C2C0000}"/>
    <cellStyle name="Currency 2 2 12 2 4" xfId="11085" xr:uid="{00000000-0005-0000-0000-00007D2C0000}"/>
    <cellStyle name="Currency 2 2 12 2 4 2" xfId="31005" xr:uid="{00000000-0005-0000-0000-00007E2C0000}"/>
    <cellStyle name="Currency 2 2 12 2 5" xfId="17237" xr:uid="{00000000-0005-0000-0000-00007F2C0000}"/>
    <cellStyle name="Currency 2 2 12 2 5 2" xfId="37157" xr:uid="{00000000-0005-0000-0000-0000802C0000}"/>
    <cellStyle name="Currency 2 2 12 2 6" xfId="24852" xr:uid="{00000000-0005-0000-0000-0000812C0000}"/>
    <cellStyle name="Currency 2 2 12 3" xfId="5622" xr:uid="{00000000-0005-0000-0000-0000822C0000}"/>
    <cellStyle name="Currency 2 2 12 3 2" xfId="8723" xr:uid="{00000000-0005-0000-0000-0000832C0000}"/>
    <cellStyle name="Currency 2 2 12 3 2 2" xfId="14916" xr:uid="{00000000-0005-0000-0000-0000842C0000}"/>
    <cellStyle name="Currency 2 2 12 3 2 2 2" xfId="34836" xr:uid="{00000000-0005-0000-0000-0000852C0000}"/>
    <cellStyle name="Currency 2 2 12 3 2 3" xfId="21068" xr:uid="{00000000-0005-0000-0000-0000862C0000}"/>
    <cellStyle name="Currency 2 2 12 3 2 3 2" xfId="40988" xr:uid="{00000000-0005-0000-0000-0000872C0000}"/>
    <cellStyle name="Currency 2 2 12 3 2 4" xfId="28683" xr:uid="{00000000-0005-0000-0000-0000882C0000}"/>
    <cellStyle name="Currency 2 2 12 3 3" xfId="11850" xr:uid="{00000000-0005-0000-0000-0000892C0000}"/>
    <cellStyle name="Currency 2 2 12 3 3 2" xfId="31770" xr:uid="{00000000-0005-0000-0000-00008A2C0000}"/>
    <cellStyle name="Currency 2 2 12 3 4" xfId="18002" xr:uid="{00000000-0005-0000-0000-00008B2C0000}"/>
    <cellStyle name="Currency 2 2 12 3 4 2" xfId="37922" xr:uid="{00000000-0005-0000-0000-00008C2C0000}"/>
    <cellStyle name="Currency 2 2 12 3 5" xfId="25617" xr:uid="{00000000-0005-0000-0000-00008D2C0000}"/>
    <cellStyle name="Currency 2 2 12 4" xfId="7188" xr:uid="{00000000-0005-0000-0000-00008E2C0000}"/>
    <cellStyle name="Currency 2 2 12 4 2" xfId="13382" xr:uid="{00000000-0005-0000-0000-00008F2C0000}"/>
    <cellStyle name="Currency 2 2 12 4 2 2" xfId="33302" xr:uid="{00000000-0005-0000-0000-0000902C0000}"/>
    <cellStyle name="Currency 2 2 12 4 3" xfId="19534" xr:uid="{00000000-0005-0000-0000-0000912C0000}"/>
    <cellStyle name="Currency 2 2 12 4 3 2" xfId="39454" xr:uid="{00000000-0005-0000-0000-0000922C0000}"/>
    <cellStyle name="Currency 2 2 12 4 4" xfId="27149" xr:uid="{00000000-0005-0000-0000-0000932C0000}"/>
    <cellStyle name="Currency 2 2 12 5" xfId="10316" xr:uid="{00000000-0005-0000-0000-0000942C0000}"/>
    <cellStyle name="Currency 2 2 12 5 2" xfId="30236" xr:uid="{00000000-0005-0000-0000-0000952C0000}"/>
    <cellStyle name="Currency 2 2 12 6" xfId="16468" xr:uid="{00000000-0005-0000-0000-0000962C0000}"/>
    <cellStyle name="Currency 2 2 12 6 2" xfId="36388" xr:uid="{00000000-0005-0000-0000-0000972C0000}"/>
    <cellStyle name="Currency 2 2 12 7" xfId="24083" xr:uid="{00000000-0005-0000-0000-0000982C0000}"/>
    <cellStyle name="Currency 2 2 13" xfId="3042" xr:uid="{00000000-0005-0000-0000-0000992C0000}"/>
    <cellStyle name="Currency 2 2 13 2" xfId="4782" xr:uid="{00000000-0005-0000-0000-00009A2C0000}"/>
    <cellStyle name="Currency 2 2 13 2 2" xfId="6407" xr:uid="{00000000-0005-0000-0000-00009B2C0000}"/>
    <cellStyle name="Currency 2 2 13 2 2 2" xfId="9493" xr:uid="{00000000-0005-0000-0000-00009C2C0000}"/>
    <cellStyle name="Currency 2 2 13 2 2 2 2" xfId="15686" xr:uid="{00000000-0005-0000-0000-00009D2C0000}"/>
    <cellStyle name="Currency 2 2 13 2 2 2 2 2" xfId="35606" xr:uid="{00000000-0005-0000-0000-00009E2C0000}"/>
    <cellStyle name="Currency 2 2 13 2 2 2 3" xfId="21838" xr:uid="{00000000-0005-0000-0000-00009F2C0000}"/>
    <cellStyle name="Currency 2 2 13 2 2 2 3 2" xfId="41758" xr:uid="{00000000-0005-0000-0000-0000A02C0000}"/>
    <cellStyle name="Currency 2 2 13 2 2 2 4" xfId="29453" xr:uid="{00000000-0005-0000-0000-0000A12C0000}"/>
    <cellStyle name="Currency 2 2 13 2 2 3" xfId="12620" xr:uid="{00000000-0005-0000-0000-0000A22C0000}"/>
    <cellStyle name="Currency 2 2 13 2 2 3 2" xfId="32540" xr:uid="{00000000-0005-0000-0000-0000A32C0000}"/>
    <cellStyle name="Currency 2 2 13 2 2 4" xfId="18772" xr:uid="{00000000-0005-0000-0000-0000A42C0000}"/>
    <cellStyle name="Currency 2 2 13 2 2 4 2" xfId="38692" xr:uid="{00000000-0005-0000-0000-0000A52C0000}"/>
    <cellStyle name="Currency 2 2 13 2 2 5" xfId="26387" xr:uid="{00000000-0005-0000-0000-0000A62C0000}"/>
    <cellStyle name="Currency 2 2 13 2 3" xfId="7958" xr:uid="{00000000-0005-0000-0000-0000A72C0000}"/>
    <cellStyle name="Currency 2 2 13 2 3 2" xfId="14152" xr:uid="{00000000-0005-0000-0000-0000A82C0000}"/>
    <cellStyle name="Currency 2 2 13 2 3 2 2" xfId="34072" xr:uid="{00000000-0005-0000-0000-0000A92C0000}"/>
    <cellStyle name="Currency 2 2 13 2 3 3" xfId="20304" xr:uid="{00000000-0005-0000-0000-0000AA2C0000}"/>
    <cellStyle name="Currency 2 2 13 2 3 3 2" xfId="40224" xr:uid="{00000000-0005-0000-0000-0000AB2C0000}"/>
    <cellStyle name="Currency 2 2 13 2 3 4" xfId="27919" xr:uid="{00000000-0005-0000-0000-0000AC2C0000}"/>
    <cellStyle name="Currency 2 2 13 2 4" xfId="11086" xr:uid="{00000000-0005-0000-0000-0000AD2C0000}"/>
    <cellStyle name="Currency 2 2 13 2 4 2" xfId="31006" xr:uid="{00000000-0005-0000-0000-0000AE2C0000}"/>
    <cellStyle name="Currency 2 2 13 2 5" xfId="17238" xr:uid="{00000000-0005-0000-0000-0000AF2C0000}"/>
    <cellStyle name="Currency 2 2 13 2 5 2" xfId="37158" xr:uid="{00000000-0005-0000-0000-0000B02C0000}"/>
    <cellStyle name="Currency 2 2 13 2 6" xfId="24853" xr:uid="{00000000-0005-0000-0000-0000B12C0000}"/>
    <cellStyle name="Currency 2 2 13 3" xfId="5623" xr:uid="{00000000-0005-0000-0000-0000B22C0000}"/>
    <cellStyle name="Currency 2 2 13 3 2" xfId="8724" xr:uid="{00000000-0005-0000-0000-0000B32C0000}"/>
    <cellStyle name="Currency 2 2 13 3 2 2" xfId="14917" xr:uid="{00000000-0005-0000-0000-0000B42C0000}"/>
    <cellStyle name="Currency 2 2 13 3 2 2 2" xfId="34837" xr:uid="{00000000-0005-0000-0000-0000B52C0000}"/>
    <cellStyle name="Currency 2 2 13 3 2 3" xfId="21069" xr:uid="{00000000-0005-0000-0000-0000B62C0000}"/>
    <cellStyle name="Currency 2 2 13 3 2 3 2" xfId="40989" xr:uid="{00000000-0005-0000-0000-0000B72C0000}"/>
    <cellStyle name="Currency 2 2 13 3 2 4" xfId="28684" xr:uid="{00000000-0005-0000-0000-0000B82C0000}"/>
    <cellStyle name="Currency 2 2 13 3 3" xfId="11851" xr:uid="{00000000-0005-0000-0000-0000B92C0000}"/>
    <cellStyle name="Currency 2 2 13 3 3 2" xfId="31771" xr:uid="{00000000-0005-0000-0000-0000BA2C0000}"/>
    <cellStyle name="Currency 2 2 13 3 4" xfId="18003" xr:uid="{00000000-0005-0000-0000-0000BB2C0000}"/>
    <cellStyle name="Currency 2 2 13 3 4 2" xfId="37923" xr:uid="{00000000-0005-0000-0000-0000BC2C0000}"/>
    <cellStyle name="Currency 2 2 13 3 5" xfId="25618" xr:uid="{00000000-0005-0000-0000-0000BD2C0000}"/>
    <cellStyle name="Currency 2 2 13 4" xfId="7189" xr:uid="{00000000-0005-0000-0000-0000BE2C0000}"/>
    <cellStyle name="Currency 2 2 13 4 2" xfId="13383" xr:uid="{00000000-0005-0000-0000-0000BF2C0000}"/>
    <cellStyle name="Currency 2 2 13 4 2 2" xfId="33303" xr:uid="{00000000-0005-0000-0000-0000C02C0000}"/>
    <cellStyle name="Currency 2 2 13 4 3" xfId="19535" xr:uid="{00000000-0005-0000-0000-0000C12C0000}"/>
    <cellStyle name="Currency 2 2 13 4 3 2" xfId="39455" xr:uid="{00000000-0005-0000-0000-0000C22C0000}"/>
    <cellStyle name="Currency 2 2 13 4 4" xfId="27150" xr:uid="{00000000-0005-0000-0000-0000C32C0000}"/>
    <cellStyle name="Currency 2 2 13 5" xfId="10317" xr:uid="{00000000-0005-0000-0000-0000C42C0000}"/>
    <cellStyle name="Currency 2 2 13 5 2" xfId="30237" xr:uid="{00000000-0005-0000-0000-0000C52C0000}"/>
    <cellStyle name="Currency 2 2 13 6" xfId="16469" xr:uid="{00000000-0005-0000-0000-0000C62C0000}"/>
    <cellStyle name="Currency 2 2 13 6 2" xfId="36389" xr:uid="{00000000-0005-0000-0000-0000C72C0000}"/>
    <cellStyle name="Currency 2 2 13 7" xfId="24084" xr:uid="{00000000-0005-0000-0000-0000C82C0000}"/>
    <cellStyle name="Currency 2 2 14" xfId="3043" xr:uid="{00000000-0005-0000-0000-0000C92C0000}"/>
    <cellStyle name="Currency 2 2 14 2" xfId="4783" xr:uid="{00000000-0005-0000-0000-0000CA2C0000}"/>
    <cellStyle name="Currency 2 2 14 2 2" xfId="6408" xr:uid="{00000000-0005-0000-0000-0000CB2C0000}"/>
    <cellStyle name="Currency 2 2 14 2 2 2" xfId="9494" xr:uid="{00000000-0005-0000-0000-0000CC2C0000}"/>
    <cellStyle name="Currency 2 2 14 2 2 2 2" xfId="15687" xr:uid="{00000000-0005-0000-0000-0000CD2C0000}"/>
    <cellStyle name="Currency 2 2 14 2 2 2 2 2" xfId="35607" xr:uid="{00000000-0005-0000-0000-0000CE2C0000}"/>
    <cellStyle name="Currency 2 2 14 2 2 2 3" xfId="21839" xr:uid="{00000000-0005-0000-0000-0000CF2C0000}"/>
    <cellStyle name="Currency 2 2 14 2 2 2 3 2" xfId="41759" xr:uid="{00000000-0005-0000-0000-0000D02C0000}"/>
    <cellStyle name="Currency 2 2 14 2 2 2 4" xfId="29454" xr:uid="{00000000-0005-0000-0000-0000D12C0000}"/>
    <cellStyle name="Currency 2 2 14 2 2 3" xfId="12621" xr:uid="{00000000-0005-0000-0000-0000D22C0000}"/>
    <cellStyle name="Currency 2 2 14 2 2 3 2" xfId="32541" xr:uid="{00000000-0005-0000-0000-0000D32C0000}"/>
    <cellStyle name="Currency 2 2 14 2 2 4" xfId="18773" xr:uid="{00000000-0005-0000-0000-0000D42C0000}"/>
    <cellStyle name="Currency 2 2 14 2 2 4 2" xfId="38693" xr:uid="{00000000-0005-0000-0000-0000D52C0000}"/>
    <cellStyle name="Currency 2 2 14 2 2 5" xfId="26388" xr:uid="{00000000-0005-0000-0000-0000D62C0000}"/>
    <cellStyle name="Currency 2 2 14 2 3" xfId="7959" xr:uid="{00000000-0005-0000-0000-0000D72C0000}"/>
    <cellStyle name="Currency 2 2 14 2 3 2" xfId="14153" xr:uid="{00000000-0005-0000-0000-0000D82C0000}"/>
    <cellStyle name="Currency 2 2 14 2 3 2 2" xfId="34073" xr:uid="{00000000-0005-0000-0000-0000D92C0000}"/>
    <cellStyle name="Currency 2 2 14 2 3 3" xfId="20305" xr:uid="{00000000-0005-0000-0000-0000DA2C0000}"/>
    <cellStyle name="Currency 2 2 14 2 3 3 2" xfId="40225" xr:uid="{00000000-0005-0000-0000-0000DB2C0000}"/>
    <cellStyle name="Currency 2 2 14 2 3 4" xfId="27920" xr:uid="{00000000-0005-0000-0000-0000DC2C0000}"/>
    <cellStyle name="Currency 2 2 14 2 4" xfId="11087" xr:uid="{00000000-0005-0000-0000-0000DD2C0000}"/>
    <cellStyle name="Currency 2 2 14 2 4 2" xfId="31007" xr:uid="{00000000-0005-0000-0000-0000DE2C0000}"/>
    <cellStyle name="Currency 2 2 14 2 5" xfId="17239" xr:uid="{00000000-0005-0000-0000-0000DF2C0000}"/>
    <cellStyle name="Currency 2 2 14 2 5 2" xfId="37159" xr:uid="{00000000-0005-0000-0000-0000E02C0000}"/>
    <cellStyle name="Currency 2 2 14 2 6" xfId="24854" xr:uid="{00000000-0005-0000-0000-0000E12C0000}"/>
    <cellStyle name="Currency 2 2 14 3" xfId="5624" xr:uid="{00000000-0005-0000-0000-0000E22C0000}"/>
    <cellStyle name="Currency 2 2 14 3 2" xfId="8725" xr:uid="{00000000-0005-0000-0000-0000E32C0000}"/>
    <cellStyle name="Currency 2 2 14 3 2 2" xfId="14918" xr:uid="{00000000-0005-0000-0000-0000E42C0000}"/>
    <cellStyle name="Currency 2 2 14 3 2 2 2" xfId="34838" xr:uid="{00000000-0005-0000-0000-0000E52C0000}"/>
    <cellStyle name="Currency 2 2 14 3 2 3" xfId="21070" xr:uid="{00000000-0005-0000-0000-0000E62C0000}"/>
    <cellStyle name="Currency 2 2 14 3 2 3 2" xfId="40990" xr:uid="{00000000-0005-0000-0000-0000E72C0000}"/>
    <cellStyle name="Currency 2 2 14 3 2 4" xfId="28685" xr:uid="{00000000-0005-0000-0000-0000E82C0000}"/>
    <cellStyle name="Currency 2 2 14 3 3" xfId="11852" xr:uid="{00000000-0005-0000-0000-0000E92C0000}"/>
    <cellStyle name="Currency 2 2 14 3 3 2" xfId="31772" xr:uid="{00000000-0005-0000-0000-0000EA2C0000}"/>
    <cellStyle name="Currency 2 2 14 3 4" xfId="18004" xr:uid="{00000000-0005-0000-0000-0000EB2C0000}"/>
    <cellStyle name="Currency 2 2 14 3 4 2" xfId="37924" xr:uid="{00000000-0005-0000-0000-0000EC2C0000}"/>
    <cellStyle name="Currency 2 2 14 3 5" xfId="25619" xr:uid="{00000000-0005-0000-0000-0000ED2C0000}"/>
    <cellStyle name="Currency 2 2 14 4" xfId="7190" xr:uid="{00000000-0005-0000-0000-0000EE2C0000}"/>
    <cellStyle name="Currency 2 2 14 4 2" xfId="13384" xr:uid="{00000000-0005-0000-0000-0000EF2C0000}"/>
    <cellStyle name="Currency 2 2 14 4 2 2" xfId="33304" xr:uid="{00000000-0005-0000-0000-0000F02C0000}"/>
    <cellStyle name="Currency 2 2 14 4 3" xfId="19536" xr:uid="{00000000-0005-0000-0000-0000F12C0000}"/>
    <cellStyle name="Currency 2 2 14 4 3 2" xfId="39456" xr:uid="{00000000-0005-0000-0000-0000F22C0000}"/>
    <cellStyle name="Currency 2 2 14 4 4" xfId="27151" xr:uid="{00000000-0005-0000-0000-0000F32C0000}"/>
    <cellStyle name="Currency 2 2 14 5" xfId="10318" xr:uid="{00000000-0005-0000-0000-0000F42C0000}"/>
    <cellStyle name="Currency 2 2 14 5 2" xfId="30238" xr:uid="{00000000-0005-0000-0000-0000F52C0000}"/>
    <cellStyle name="Currency 2 2 14 6" xfId="16470" xr:uid="{00000000-0005-0000-0000-0000F62C0000}"/>
    <cellStyle name="Currency 2 2 14 6 2" xfId="36390" xr:uid="{00000000-0005-0000-0000-0000F72C0000}"/>
    <cellStyle name="Currency 2 2 14 7" xfId="24085" xr:uid="{00000000-0005-0000-0000-0000F82C0000}"/>
    <cellStyle name="Currency 2 2 15" xfId="3044" xr:uid="{00000000-0005-0000-0000-0000F92C0000}"/>
    <cellStyle name="Currency 2 2 15 2" xfId="4784" xr:uid="{00000000-0005-0000-0000-0000FA2C0000}"/>
    <cellStyle name="Currency 2 2 15 2 2" xfId="6409" xr:uid="{00000000-0005-0000-0000-0000FB2C0000}"/>
    <cellStyle name="Currency 2 2 15 2 2 2" xfId="9495" xr:uid="{00000000-0005-0000-0000-0000FC2C0000}"/>
    <cellStyle name="Currency 2 2 15 2 2 2 2" xfId="15688" xr:uid="{00000000-0005-0000-0000-0000FD2C0000}"/>
    <cellStyle name="Currency 2 2 15 2 2 2 2 2" xfId="35608" xr:uid="{00000000-0005-0000-0000-0000FE2C0000}"/>
    <cellStyle name="Currency 2 2 15 2 2 2 3" xfId="21840" xr:uid="{00000000-0005-0000-0000-0000FF2C0000}"/>
    <cellStyle name="Currency 2 2 15 2 2 2 3 2" xfId="41760" xr:uid="{00000000-0005-0000-0000-0000002D0000}"/>
    <cellStyle name="Currency 2 2 15 2 2 2 4" xfId="29455" xr:uid="{00000000-0005-0000-0000-0000012D0000}"/>
    <cellStyle name="Currency 2 2 15 2 2 3" xfId="12622" xr:uid="{00000000-0005-0000-0000-0000022D0000}"/>
    <cellStyle name="Currency 2 2 15 2 2 3 2" xfId="32542" xr:uid="{00000000-0005-0000-0000-0000032D0000}"/>
    <cellStyle name="Currency 2 2 15 2 2 4" xfId="18774" xr:uid="{00000000-0005-0000-0000-0000042D0000}"/>
    <cellStyle name="Currency 2 2 15 2 2 4 2" xfId="38694" xr:uid="{00000000-0005-0000-0000-0000052D0000}"/>
    <cellStyle name="Currency 2 2 15 2 2 5" xfId="26389" xr:uid="{00000000-0005-0000-0000-0000062D0000}"/>
    <cellStyle name="Currency 2 2 15 2 3" xfId="7960" xr:uid="{00000000-0005-0000-0000-0000072D0000}"/>
    <cellStyle name="Currency 2 2 15 2 3 2" xfId="14154" xr:uid="{00000000-0005-0000-0000-0000082D0000}"/>
    <cellStyle name="Currency 2 2 15 2 3 2 2" xfId="34074" xr:uid="{00000000-0005-0000-0000-0000092D0000}"/>
    <cellStyle name="Currency 2 2 15 2 3 3" xfId="20306" xr:uid="{00000000-0005-0000-0000-00000A2D0000}"/>
    <cellStyle name="Currency 2 2 15 2 3 3 2" xfId="40226" xr:uid="{00000000-0005-0000-0000-00000B2D0000}"/>
    <cellStyle name="Currency 2 2 15 2 3 4" xfId="27921" xr:uid="{00000000-0005-0000-0000-00000C2D0000}"/>
    <cellStyle name="Currency 2 2 15 2 4" xfId="11088" xr:uid="{00000000-0005-0000-0000-00000D2D0000}"/>
    <cellStyle name="Currency 2 2 15 2 4 2" xfId="31008" xr:uid="{00000000-0005-0000-0000-00000E2D0000}"/>
    <cellStyle name="Currency 2 2 15 2 5" xfId="17240" xr:uid="{00000000-0005-0000-0000-00000F2D0000}"/>
    <cellStyle name="Currency 2 2 15 2 5 2" xfId="37160" xr:uid="{00000000-0005-0000-0000-0000102D0000}"/>
    <cellStyle name="Currency 2 2 15 2 6" xfId="24855" xr:uid="{00000000-0005-0000-0000-0000112D0000}"/>
    <cellStyle name="Currency 2 2 15 3" xfId="5625" xr:uid="{00000000-0005-0000-0000-0000122D0000}"/>
    <cellStyle name="Currency 2 2 15 3 2" xfId="8726" xr:uid="{00000000-0005-0000-0000-0000132D0000}"/>
    <cellStyle name="Currency 2 2 15 3 2 2" xfId="14919" xr:uid="{00000000-0005-0000-0000-0000142D0000}"/>
    <cellStyle name="Currency 2 2 15 3 2 2 2" xfId="34839" xr:uid="{00000000-0005-0000-0000-0000152D0000}"/>
    <cellStyle name="Currency 2 2 15 3 2 3" xfId="21071" xr:uid="{00000000-0005-0000-0000-0000162D0000}"/>
    <cellStyle name="Currency 2 2 15 3 2 3 2" xfId="40991" xr:uid="{00000000-0005-0000-0000-0000172D0000}"/>
    <cellStyle name="Currency 2 2 15 3 2 4" xfId="28686" xr:uid="{00000000-0005-0000-0000-0000182D0000}"/>
    <cellStyle name="Currency 2 2 15 3 3" xfId="11853" xr:uid="{00000000-0005-0000-0000-0000192D0000}"/>
    <cellStyle name="Currency 2 2 15 3 3 2" xfId="31773" xr:uid="{00000000-0005-0000-0000-00001A2D0000}"/>
    <cellStyle name="Currency 2 2 15 3 4" xfId="18005" xr:uid="{00000000-0005-0000-0000-00001B2D0000}"/>
    <cellStyle name="Currency 2 2 15 3 4 2" xfId="37925" xr:uid="{00000000-0005-0000-0000-00001C2D0000}"/>
    <cellStyle name="Currency 2 2 15 3 5" xfId="25620" xr:uid="{00000000-0005-0000-0000-00001D2D0000}"/>
    <cellStyle name="Currency 2 2 15 4" xfId="7191" xr:uid="{00000000-0005-0000-0000-00001E2D0000}"/>
    <cellStyle name="Currency 2 2 15 4 2" xfId="13385" xr:uid="{00000000-0005-0000-0000-00001F2D0000}"/>
    <cellStyle name="Currency 2 2 15 4 2 2" xfId="33305" xr:uid="{00000000-0005-0000-0000-0000202D0000}"/>
    <cellStyle name="Currency 2 2 15 4 3" xfId="19537" xr:uid="{00000000-0005-0000-0000-0000212D0000}"/>
    <cellStyle name="Currency 2 2 15 4 3 2" xfId="39457" xr:uid="{00000000-0005-0000-0000-0000222D0000}"/>
    <cellStyle name="Currency 2 2 15 4 4" xfId="27152" xr:uid="{00000000-0005-0000-0000-0000232D0000}"/>
    <cellStyle name="Currency 2 2 15 5" xfId="10319" xr:uid="{00000000-0005-0000-0000-0000242D0000}"/>
    <cellStyle name="Currency 2 2 15 5 2" xfId="30239" xr:uid="{00000000-0005-0000-0000-0000252D0000}"/>
    <cellStyle name="Currency 2 2 15 6" xfId="16471" xr:uid="{00000000-0005-0000-0000-0000262D0000}"/>
    <cellStyle name="Currency 2 2 15 6 2" xfId="36391" xr:uid="{00000000-0005-0000-0000-0000272D0000}"/>
    <cellStyle name="Currency 2 2 15 7" xfId="24086" xr:uid="{00000000-0005-0000-0000-0000282D0000}"/>
    <cellStyle name="Currency 2 2 16" xfId="3045" xr:uid="{00000000-0005-0000-0000-0000292D0000}"/>
    <cellStyle name="Currency 2 2 16 2" xfId="4785" xr:uid="{00000000-0005-0000-0000-00002A2D0000}"/>
    <cellStyle name="Currency 2 2 16 2 2" xfId="6410" xr:uid="{00000000-0005-0000-0000-00002B2D0000}"/>
    <cellStyle name="Currency 2 2 16 2 2 2" xfId="9496" xr:uid="{00000000-0005-0000-0000-00002C2D0000}"/>
    <cellStyle name="Currency 2 2 16 2 2 2 2" xfId="15689" xr:uid="{00000000-0005-0000-0000-00002D2D0000}"/>
    <cellStyle name="Currency 2 2 16 2 2 2 2 2" xfId="35609" xr:uid="{00000000-0005-0000-0000-00002E2D0000}"/>
    <cellStyle name="Currency 2 2 16 2 2 2 3" xfId="21841" xr:uid="{00000000-0005-0000-0000-00002F2D0000}"/>
    <cellStyle name="Currency 2 2 16 2 2 2 3 2" xfId="41761" xr:uid="{00000000-0005-0000-0000-0000302D0000}"/>
    <cellStyle name="Currency 2 2 16 2 2 2 4" xfId="29456" xr:uid="{00000000-0005-0000-0000-0000312D0000}"/>
    <cellStyle name="Currency 2 2 16 2 2 3" xfId="12623" xr:uid="{00000000-0005-0000-0000-0000322D0000}"/>
    <cellStyle name="Currency 2 2 16 2 2 3 2" xfId="32543" xr:uid="{00000000-0005-0000-0000-0000332D0000}"/>
    <cellStyle name="Currency 2 2 16 2 2 4" xfId="18775" xr:uid="{00000000-0005-0000-0000-0000342D0000}"/>
    <cellStyle name="Currency 2 2 16 2 2 4 2" xfId="38695" xr:uid="{00000000-0005-0000-0000-0000352D0000}"/>
    <cellStyle name="Currency 2 2 16 2 2 5" xfId="26390" xr:uid="{00000000-0005-0000-0000-0000362D0000}"/>
    <cellStyle name="Currency 2 2 16 2 3" xfId="7961" xr:uid="{00000000-0005-0000-0000-0000372D0000}"/>
    <cellStyle name="Currency 2 2 16 2 3 2" xfId="14155" xr:uid="{00000000-0005-0000-0000-0000382D0000}"/>
    <cellStyle name="Currency 2 2 16 2 3 2 2" xfId="34075" xr:uid="{00000000-0005-0000-0000-0000392D0000}"/>
    <cellStyle name="Currency 2 2 16 2 3 3" xfId="20307" xr:uid="{00000000-0005-0000-0000-00003A2D0000}"/>
    <cellStyle name="Currency 2 2 16 2 3 3 2" xfId="40227" xr:uid="{00000000-0005-0000-0000-00003B2D0000}"/>
    <cellStyle name="Currency 2 2 16 2 3 4" xfId="27922" xr:uid="{00000000-0005-0000-0000-00003C2D0000}"/>
    <cellStyle name="Currency 2 2 16 2 4" xfId="11089" xr:uid="{00000000-0005-0000-0000-00003D2D0000}"/>
    <cellStyle name="Currency 2 2 16 2 4 2" xfId="31009" xr:uid="{00000000-0005-0000-0000-00003E2D0000}"/>
    <cellStyle name="Currency 2 2 16 2 5" xfId="17241" xr:uid="{00000000-0005-0000-0000-00003F2D0000}"/>
    <cellStyle name="Currency 2 2 16 2 5 2" xfId="37161" xr:uid="{00000000-0005-0000-0000-0000402D0000}"/>
    <cellStyle name="Currency 2 2 16 2 6" xfId="24856" xr:uid="{00000000-0005-0000-0000-0000412D0000}"/>
    <cellStyle name="Currency 2 2 16 3" xfId="5626" xr:uid="{00000000-0005-0000-0000-0000422D0000}"/>
    <cellStyle name="Currency 2 2 16 3 2" xfId="8727" xr:uid="{00000000-0005-0000-0000-0000432D0000}"/>
    <cellStyle name="Currency 2 2 16 3 2 2" xfId="14920" xr:uid="{00000000-0005-0000-0000-0000442D0000}"/>
    <cellStyle name="Currency 2 2 16 3 2 2 2" xfId="34840" xr:uid="{00000000-0005-0000-0000-0000452D0000}"/>
    <cellStyle name="Currency 2 2 16 3 2 3" xfId="21072" xr:uid="{00000000-0005-0000-0000-0000462D0000}"/>
    <cellStyle name="Currency 2 2 16 3 2 3 2" xfId="40992" xr:uid="{00000000-0005-0000-0000-0000472D0000}"/>
    <cellStyle name="Currency 2 2 16 3 2 4" xfId="28687" xr:uid="{00000000-0005-0000-0000-0000482D0000}"/>
    <cellStyle name="Currency 2 2 16 3 3" xfId="11854" xr:uid="{00000000-0005-0000-0000-0000492D0000}"/>
    <cellStyle name="Currency 2 2 16 3 3 2" xfId="31774" xr:uid="{00000000-0005-0000-0000-00004A2D0000}"/>
    <cellStyle name="Currency 2 2 16 3 4" xfId="18006" xr:uid="{00000000-0005-0000-0000-00004B2D0000}"/>
    <cellStyle name="Currency 2 2 16 3 4 2" xfId="37926" xr:uid="{00000000-0005-0000-0000-00004C2D0000}"/>
    <cellStyle name="Currency 2 2 16 3 5" xfId="25621" xr:uid="{00000000-0005-0000-0000-00004D2D0000}"/>
    <cellStyle name="Currency 2 2 16 4" xfId="7192" xr:uid="{00000000-0005-0000-0000-00004E2D0000}"/>
    <cellStyle name="Currency 2 2 16 4 2" xfId="13386" xr:uid="{00000000-0005-0000-0000-00004F2D0000}"/>
    <cellStyle name="Currency 2 2 16 4 2 2" xfId="33306" xr:uid="{00000000-0005-0000-0000-0000502D0000}"/>
    <cellStyle name="Currency 2 2 16 4 3" xfId="19538" xr:uid="{00000000-0005-0000-0000-0000512D0000}"/>
    <cellStyle name="Currency 2 2 16 4 3 2" xfId="39458" xr:uid="{00000000-0005-0000-0000-0000522D0000}"/>
    <cellStyle name="Currency 2 2 16 4 4" xfId="27153" xr:uid="{00000000-0005-0000-0000-0000532D0000}"/>
    <cellStyle name="Currency 2 2 16 5" xfId="10320" xr:uid="{00000000-0005-0000-0000-0000542D0000}"/>
    <cellStyle name="Currency 2 2 16 5 2" xfId="30240" xr:uid="{00000000-0005-0000-0000-0000552D0000}"/>
    <cellStyle name="Currency 2 2 16 6" xfId="16472" xr:uid="{00000000-0005-0000-0000-0000562D0000}"/>
    <cellStyle name="Currency 2 2 16 6 2" xfId="36392" xr:uid="{00000000-0005-0000-0000-0000572D0000}"/>
    <cellStyle name="Currency 2 2 16 7" xfId="24087" xr:uid="{00000000-0005-0000-0000-0000582D0000}"/>
    <cellStyle name="Currency 2 2 17" xfId="3046" xr:uid="{00000000-0005-0000-0000-0000592D0000}"/>
    <cellStyle name="Currency 2 2 17 2" xfId="4786" xr:uid="{00000000-0005-0000-0000-00005A2D0000}"/>
    <cellStyle name="Currency 2 2 17 2 2" xfId="6411" xr:uid="{00000000-0005-0000-0000-00005B2D0000}"/>
    <cellStyle name="Currency 2 2 17 2 2 2" xfId="9497" xr:uid="{00000000-0005-0000-0000-00005C2D0000}"/>
    <cellStyle name="Currency 2 2 17 2 2 2 2" xfId="15690" xr:uid="{00000000-0005-0000-0000-00005D2D0000}"/>
    <cellStyle name="Currency 2 2 17 2 2 2 2 2" xfId="35610" xr:uid="{00000000-0005-0000-0000-00005E2D0000}"/>
    <cellStyle name="Currency 2 2 17 2 2 2 3" xfId="21842" xr:uid="{00000000-0005-0000-0000-00005F2D0000}"/>
    <cellStyle name="Currency 2 2 17 2 2 2 3 2" xfId="41762" xr:uid="{00000000-0005-0000-0000-0000602D0000}"/>
    <cellStyle name="Currency 2 2 17 2 2 2 4" xfId="29457" xr:uid="{00000000-0005-0000-0000-0000612D0000}"/>
    <cellStyle name="Currency 2 2 17 2 2 3" xfId="12624" xr:uid="{00000000-0005-0000-0000-0000622D0000}"/>
    <cellStyle name="Currency 2 2 17 2 2 3 2" xfId="32544" xr:uid="{00000000-0005-0000-0000-0000632D0000}"/>
    <cellStyle name="Currency 2 2 17 2 2 4" xfId="18776" xr:uid="{00000000-0005-0000-0000-0000642D0000}"/>
    <cellStyle name="Currency 2 2 17 2 2 4 2" xfId="38696" xr:uid="{00000000-0005-0000-0000-0000652D0000}"/>
    <cellStyle name="Currency 2 2 17 2 2 5" xfId="26391" xr:uid="{00000000-0005-0000-0000-0000662D0000}"/>
    <cellStyle name="Currency 2 2 17 2 3" xfId="7962" xr:uid="{00000000-0005-0000-0000-0000672D0000}"/>
    <cellStyle name="Currency 2 2 17 2 3 2" xfId="14156" xr:uid="{00000000-0005-0000-0000-0000682D0000}"/>
    <cellStyle name="Currency 2 2 17 2 3 2 2" xfId="34076" xr:uid="{00000000-0005-0000-0000-0000692D0000}"/>
    <cellStyle name="Currency 2 2 17 2 3 3" xfId="20308" xr:uid="{00000000-0005-0000-0000-00006A2D0000}"/>
    <cellStyle name="Currency 2 2 17 2 3 3 2" xfId="40228" xr:uid="{00000000-0005-0000-0000-00006B2D0000}"/>
    <cellStyle name="Currency 2 2 17 2 3 4" xfId="27923" xr:uid="{00000000-0005-0000-0000-00006C2D0000}"/>
    <cellStyle name="Currency 2 2 17 2 4" xfId="11090" xr:uid="{00000000-0005-0000-0000-00006D2D0000}"/>
    <cellStyle name="Currency 2 2 17 2 4 2" xfId="31010" xr:uid="{00000000-0005-0000-0000-00006E2D0000}"/>
    <cellStyle name="Currency 2 2 17 2 5" xfId="17242" xr:uid="{00000000-0005-0000-0000-00006F2D0000}"/>
    <cellStyle name="Currency 2 2 17 2 5 2" xfId="37162" xr:uid="{00000000-0005-0000-0000-0000702D0000}"/>
    <cellStyle name="Currency 2 2 17 2 6" xfId="24857" xr:uid="{00000000-0005-0000-0000-0000712D0000}"/>
    <cellStyle name="Currency 2 2 17 3" xfId="5627" xr:uid="{00000000-0005-0000-0000-0000722D0000}"/>
    <cellStyle name="Currency 2 2 17 3 2" xfId="8728" xr:uid="{00000000-0005-0000-0000-0000732D0000}"/>
    <cellStyle name="Currency 2 2 17 3 2 2" xfId="14921" xr:uid="{00000000-0005-0000-0000-0000742D0000}"/>
    <cellStyle name="Currency 2 2 17 3 2 2 2" xfId="34841" xr:uid="{00000000-0005-0000-0000-0000752D0000}"/>
    <cellStyle name="Currency 2 2 17 3 2 3" xfId="21073" xr:uid="{00000000-0005-0000-0000-0000762D0000}"/>
    <cellStyle name="Currency 2 2 17 3 2 3 2" xfId="40993" xr:uid="{00000000-0005-0000-0000-0000772D0000}"/>
    <cellStyle name="Currency 2 2 17 3 2 4" xfId="28688" xr:uid="{00000000-0005-0000-0000-0000782D0000}"/>
    <cellStyle name="Currency 2 2 17 3 3" xfId="11855" xr:uid="{00000000-0005-0000-0000-0000792D0000}"/>
    <cellStyle name="Currency 2 2 17 3 3 2" xfId="31775" xr:uid="{00000000-0005-0000-0000-00007A2D0000}"/>
    <cellStyle name="Currency 2 2 17 3 4" xfId="18007" xr:uid="{00000000-0005-0000-0000-00007B2D0000}"/>
    <cellStyle name="Currency 2 2 17 3 4 2" xfId="37927" xr:uid="{00000000-0005-0000-0000-00007C2D0000}"/>
    <cellStyle name="Currency 2 2 17 3 5" xfId="25622" xr:uid="{00000000-0005-0000-0000-00007D2D0000}"/>
    <cellStyle name="Currency 2 2 17 4" xfId="7193" xr:uid="{00000000-0005-0000-0000-00007E2D0000}"/>
    <cellStyle name="Currency 2 2 17 4 2" xfId="13387" xr:uid="{00000000-0005-0000-0000-00007F2D0000}"/>
    <cellStyle name="Currency 2 2 17 4 2 2" xfId="33307" xr:uid="{00000000-0005-0000-0000-0000802D0000}"/>
    <cellStyle name="Currency 2 2 17 4 3" xfId="19539" xr:uid="{00000000-0005-0000-0000-0000812D0000}"/>
    <cellStyle name="Currency 2 2 17 4 3 2" xfId="39459" xr:uid="{00000000-0005-0000-0000-0000822D0000}"/>
    <cellStyle name="Currency 2 2 17 4 4" xfId="27154" xr:uid="{00000000-0005-0000-0000-0000832D0000}"/>
    <cellStyle name="Currency 2 2 17 5" xfId="10321" xr:uid="{00000000-0005-0000-0000-0000842D0000}"/>
    <cellStyle name="Currency 2 2 17 5 2" xfId="30241" xr:uid="{00000000-0005-0000-0000-0000852D0000}"/>
    <cellStyle name="Currency 2 2 17 6" xfId="16473" xr:uid="{00000000-0005-0000-0000-0000862D0000}"/>
    <cellStyle name="Currency 2 2 17 6 2" xfId="36393" xr:uid="{00000000-0005-0000-0000-0000872D0000}"/>
    <cellStyle name="Currency 2 2 17 7" xfId="24088" xr:uid="{00000000-0005-0000-0000-0000882D0000}"/>
    <cellStyle name="Currency 2 2 18" xfId="3047" xr:uid="{00000000-0005-0000-0000-0000892D0000}"/>
    <cellStyle name="Currency 2 2 18 2" xfId="4787" xr:uid="{00000000-0005-0000-0000-00008A2D0000}"/>
    <cellStyle name="Currency 2 2 18 2 2" xfId="6412" xr:uid="{00000000-0005-0000-0000-00008B2D0000}"/>
    <cellStyle name="Currency 2 2 18 2 2 2" xfId="9498" xr:uid="{00000000-0005-0000-0000-00008C2D0000}"/>
    <cellStyle name="Currency 2 2 18 2 2 2 2" xfId="15691" xr:uid="{00000000-0005-0000-0000-00008D2D0000}"/>
    <cellStyle name="Currency 2 2 18 2 2 2 2 2" xfId="35611" xr:uid="{00000000-0005-0000-0000-00008E2D0000}"/>
    <cellStyle name="Currency 2 2 18 2 2 2 3" xfId="21843" xr:uid="{00000000-0005-0000-0000-00008F2D0000}"/>
    <cellStyle name="Currency 2 2 18 2 2 2 3 2" xfId="41763" xr:uid="{00000000-0005-0000-0000-0000902D0000}"/>
    <cellStyle name="Currency 2 2 18 2 2 2 4" xfId="29458" xr:uid="{00000000-0005-0000-0000-0000912D0000}"/>
    <cellStyle name="Currency 2 2 18 2 2 3" xfId="12625" xr:uid="{00000000-0005-0000-0000-0000922D0000}"/>
    <cellStyle name="Currency 2 2 18 2 2 3 2" xfId="32545" xr:uid="{00000000-0005-0000-0000-0000932D0000}"/>
    <cellStyle name="Currency 2 2 18 2 2 4" xfId="18777" xr:uid="{00000000-0005-0000-0000-0000942D0000}"/>
    <cellStyle name="Currency 2 2 18 2 2 4 2" xfId="38697" xr:uid="{00000000-0005-0000-0000-0000952D0000}"/>
    <cellStyle name="Currency 2 2 18 2 2 5" xfId="26392" xr:uid="{00000000-0005-0000-0000-0000962D0000}"/>
    <cellStyle name="Currency 2 2 18 2 3" xfId="7963" xr:uid="{00000000-0005-0000-0000-0000972D0000}"/>
    <cellStyle name="Currency 2 2 18 2 3 2" xfId="14157" xr:uid="{00000000-0005-0000-0000-0000982D0000}"/>
    <cellStyle name="Currency 2 2 18 2 3 2 2" xfId="34077" xr:uid="{00000000-0005-0000-0000-0000992D0000}"/>
    <cellStyle name="Currency 2 2 18 2 3 3" xfId="20309" xr:uid="{00000000-0005-0000-0000-00009A2D0000}"/>
    <cellStyle name="Currency 2 2 18 2 3 3 2" xfId="40229" xr:uid="{00000000-0005-0000-0000-00009B2D0000}"/>
    <cellStyle name="Currency 2 2 18 2 3 4" xfId="27924" xr:uid="{00000000-0005-0000-0000-00009C2D0000}"/>
    <cellStyle name="Currency 2 2 18 2 4" xfId="11091" xr:uid="{00000000-0005-0000-0000-00009D2D0000}"/>
    <cellStyle name="Currency 2 2 18 2 4 2" xfId="31011" xr:uid="{00000000-0005-0000-0000-00009E2D0000}"/>
    <cellStyle name="Currency 2 2 18 2 5" xfId="17243" xr:uid="{00000000-0005-0000-0000-00009F2D0000}"/>
    <cellStyle name="Currency 2 2 18 2 5 2" xfId="37163" xr:uid="{00000000-0005-0000-0000-0000A02D0000}"/>
    <cellStyle name="Currency 2 2 18 2 6" xfId="24858" xr:uid="{00000000-0005-0000-0000-0000A12D0000}"/>
    <cellStyle name="Currency 2 2 18 3" xfId="5628" xr:uid="{00000000-0005-0000-0000-0000A22D0000}"/>
    <cellStyle name="Currency 2 2 18 3 2" xfId="8729" xr:uid="{00000000-0005-0000-0000-0000A32D0000}"/>
    <cellStyle name="Currency 2 2 18 3 2 2" xfId="14922" xr:uid="{00000000-0005-0000-0000-0000A42D0000}"/>
    <cellStyle name="Currency 2 2 18 3 2 2 2" xfId="34842" xr:uid="{00000000-0005-0000-0000-0000A52D0000}"/>
    <cellStyle name="Currency 2 2 18 3 2 3" xfId="21074" xr:uid="{00000000-0005-0000-0000-0000A62D0000}"/>
    <cellStyle name="Currency 2 2 18 3 2 3 2" xfId="40994" xr:uid="{00000000-0005-0000-0000-0000A72D0000}"/>
    <cellStyle name="Currency 2 2 18 3 2 4" xfId="28689" xr:uid="{00000000-0005-0000-0000-0000A82D0000}"/>
    <cellStyle name="Currency 2 2 18 3 3" xfId="11856" xr:uid="{00000000-0005-0000-0000-0000A92D0000}"/>
    <cellStyle name="Currency 2 2 18 3 3 2" xfId="31776" xr:uid="{00000000-0005-0000-0000-0000AA2D0000}"/>
    <cellStyle name="Currency 2 2 18 3 4" xfId="18008" xr:uid="{00000000-0005-0000-0000-0000AB2D0000}"/>
    <cellStyle name="Currency 2 2 18 3 4 2" xfId="37928" xr:uid="{00000000-0005-0000-0000-0000AC2D0000}"/>
    <cellStyle name="Currency 2 2 18 3 5" xfId="25623" xr:uid="{00000000-0005-0000-0000-0000AD2D0000}"/>
    <cellStyle name="Currency 2 2 18 4" xfId="7194" xr:uid="{00000000-0005-0000-0000-0000AE2D0000}"/>
    <cellStyle name="Currency 2 2 18 4 2" xfId="13388" xr:uid="{00000000-0005-0000-0000-0000AF2D0000}"/>
    <cellStyle name="Currency 2 2 18 4 2 2" xfId="33308" xr:uid="{00000000-0005-0000-0000-0000B02D0000}"/>
    <cellStyle name="Currency 2 2 18 4 3" xfId="19540" xr:uid="{00000000-0005-0000-0000-0000B12D0000}"/>
    <cellStyle name="Currency 2 2 18 4 3 2" xfId="39460" xr:uid="{00000000-0005-0000-0000-0000B22D0000}"/>
    <cellStyle name="Currency 2 2 18 4 4" xfId="27155" xr:uid="{00000000-0005-0000-0000-0000B32D0000}"/>
    <cellStyle name="Currency 2 2 18 5" xfId="10322" xr:uid="{00000000-0005-0000-0000-0000B42D0000}"/>
    <cellStyle name="Currency 2 2 18 5 2" xfId="30242" xr:uid="{00000000-0005-0000-0000-0000B52D0000}"/>
    <cellStyle name="Currency 2 2 18 6" xfId="16474" xr:uid="{00000000-0005-0000-0000-0000B62D0000}"/>
    <cellStyle name="Currency 2 2 18 6 2" xfId="36394" xr:uid="{00000000-0005-0000-0000-0000B72D0000}"/>
    <cellStyle name="Currency 2 2 18 7" xfId="24089" xr:uid="{00000000-0005-0000-0000-0000B82D0000}"/>
    <cellStyle name="Currency 2 2 19" xfId="3048" xr:uid="{00000000-0005-0000-0000-0000B92D0000}"/>
    <cellStyle name="Currency 2 2 2" xfId="3049" xr:uid="{00000000-0005-0000-0000-0000BA2D0000}"/>
    <cellStyle name="Currency 2 2 2 2" xfId="3050" xr:uid="{00000000-0005-0000-0000-0000BB2D0000}"/>
    <cellStyle name="Currency 2 2 2 2 2" xfId="4788" xr:uid="{00000000-0005-0000-0000-0000BC2D0000}"/>
    <cellStyle name="Currency 2 2 2 2 2 2" xfId="6413" xr:uid="{00000000-0005-0000-0000-0000BD2D0000}"/>
    <cellStyle name="Currency 2 2 2 2 2 2 2" xfId="9499" xr:uid="{00000000-0005-0000-0000-0000BE2D0000}"/>
    <cellStyle name="Currency 2 2 2 2 2 2 2 2" xfId="15692" xr:uid="{00000000-0005-0000-0000-0000BF2D0000}"/>
    <cellStyle name="Currency 2 2 2 2 2 2 2 2 2" xfId="35612" xr:uid="{00000000-0005-0000-0000-0000C02D0000}"/>
    <cellStyle name="Currency 2 2 2 2 2 2 2 3" xfId="21844" xr:uid="{00000000-0005-0000-0000-0000C12D0000}"/>
    <cellStyle name="Currency 2 2 2 2 2 2 2 3 2" xfId="41764" xr:uid="{00000000-0005-0000-0000-0000C22D0000}"/>
    <cellStyle name="Currency 2 2 2 2 2 2 2 4" xfId="29459" xr:uid="{00000000-0005-0000-0000-0000C32D0000}"/>
    <cellStyle name="Currency 2 2 2 2 2 2 3" xfId="12626" xr:uid="{00000000-0005-0000-0000-0000C42D0000}"/>
    <cellStyle name="Currency 2 2 2 2 2 2 3 2" xfId="32546" xr:uid="{00000000-0005-0000-0000-0000C52D0000}"/>
    <cellStyle name="Currency 2 2 2 2 2 2 4" xfId="18778" xr:uid="{00000000-0005-0000-0000-0000C62D0000}"/>
    <cellStyle name="Currency 2 2 2 2 2 2 4 2" xfId="38698" xr:uid="{00000000-0005-0000-0000-0000C72D0000}"/>
    <cellStyle name="Currency 2 2 2 2 2 2 5" xfId="26393" xr:uid="{00000000-0005-0000-0000-0000C82D0000}"/>
    <cellStyle name="Currency 2 2 2 2 2 3" xfId="7964" xr:uid="{00000000-0005-0000-0000-0000C92D0000}"/>
    <cellStyle name="Currency 2 2 2 2 2 3 2" xfId="14158" xr:uid="{00000000-0005-0000-0000-0000CA2D0000}"/>
    <cellStyle name="Currency 2 2 2 2 2 3 2 2" xfId="34078" xr:uid="{00000000-0005-0000-0000-0000CB2D0000}"/>
    <cellStyle name="Currency 2 2 2 2 2 3 3" xfId="20310" xr:uid="{00000000-0005-0000-0000-0000CC2D0000}"/>
    <cellStyle name="Currency 2 2 2 2 2 3 3 2" xfId="40230" xr:uid="{00000000-0005-0000-0000-0000CD2D0000}"/>
    <cellStyle name="Currency 2 2 2 2 2 3 4" xfId="27925" xr:uid="{00000000-0005-0000-0000-0000CE2D0000}"/>
    <cellStyle name="Currency 2 2 2 2 2 4" xfId="11092" xr:uid="{00000000-0005-0000-0000-0000CF2D0000}"/>
    <cellStyle name="Currency 2 2 2 2 2 4 2" xfId="31012" xr:uid="{00000000-0005-0000-0000-0000D02D0000}"/>
    <cellStyle name="Currency 2 2 2 2 2 5" xfId="17244" xr:uid="{00000000-0005-0000-0000-0000D12D0000}"/>
    <cellStyle name="Currency 2 2 2 2 2 5 2" xfId="37164" xr:uid="{00000000-0005-0000-0000-0000D22D0000}"/>
    <cellStyle name="Currency 2 2 2 2 2 6" xfId="24859" xr:uid="{00000000-0005-0000-0000-0000D32D0000}"/>
    <cellStyle name="Currency 2 2 2 2 3" xfId="5629" xr:uid="{00000000-0005-0000-0000-0000D42D0000}"/>
    <cellStyle name="Currency 2 2 2 2 3 2" xfId="8730" xr:uid="{00000000-0005-0000-0000-0000D52D0000}"/>
    <cellStyle name="Currency 2 2 2 2 3 2 2" xfId="14923" xr:uid="{00000000-0005-0000-0000-0000D62D0000}"/>
    <cellStyle name="Currency 2 2 2 2 3 2 2 2" xfId="34843" xr:uid="{00000000-0005-0000-0000-0000D72D0000}"/>
    <cellStyle name="Currency 2 2 2 2 3 2 3" xfId="21075" xr:uid="{00000000-0005-0000-0000-0000D82D0000}"/>
    <cellStyle name="Currency 2 2 2 2 3 2 3 2" xfId="40995" xr:uid="{00000000-0005-0000-0000-0000D92D0000}"/>
    <cellStyle name="Currency 2 2 2 2 3 2 4" xfId="28690" xr:uid="{00000000-0005-0000-0000-0000DA2D0000}"/>
    <cellStyle name="Currency 2 2 2 2 3 3" xfId="11857" xr:uid="{00000000-0005-0000-0000-0000DB2D0000}"/>
    <cellStyle name="Currency 2 2 2 2 3 3 2" xfId="31777" xr:uid="{00000000-0005-0000-0000-0000DC2D0000}"/>
    <cellStyle name="Currency 2 2 2 2 3 4" xfId="18009" xr:uid="{00000000-0005-0000-0000-0000DD2D0000}"/>
    <cellStyle name="Currency 2 2 2 2 3 4 2" xfId="37929" xr:uid="{00000000-0005-0000-0000-0000DE2D0000}"/>
    <cellStyle name="Currency 2 2 2 2 3 5" xfId="25624" xr:uid="{00000000-0005-0000-0000-0000DF2D0000}"/>
    <cellStyle name="Currency 2 2 2 2 4" xfId="7195" xr:uid="{00000000-0005-0000-0000-0000E02D0000}"/>
    <cellStyle name="Currency 2 2 2 2 4 2" xfId="13389" xr:uid="{00000000-0005-0000-0000-0000E12D0000}"/>
    <cellStyle name="Currency 2 2 2 2 4 2 2" xfId="33309" xr:uid="{00000000-0005-0000-0000-0000E22D0000}"/>
    <cellStyle name="Currency 2 2 2 2 4 3" xfId="19541" xr:uid="{00000000-0005-0000-0000-0000E32D0000}"/>
    <cellStyle name="Currency 2 2 2 2 4 3 2" xfId="39461" xr:uid="{00000000-0005-0000-0000-0000E42D0000}"/>
    <cellStyle name="Currency 2 2 2 2 4 4" xfId="27156" xr:uid="{00000000-0005-0000-0000-0000E52D0000}"/>
    <cellStyle name="Currency 2 2 2 2 5" xfId="10323" xr:uid="{00000000-0005-0000-0000-0000E62D0000}"/>
    <cellStyle name="Currency 2 2 2 2 5 2" xfId="30243" xr:uid="{00000000-0005-0000-0000-0000E72D0000}"/>
    <cellStyle name="Currency 2 2 2 2 6" xfId="16475" xr:uid="{00000000-0005-0000-0000-0000E82D0000}"/>
    <cellStyle name="Currency 2 2 2 2 6 2" xfId="36395" xr:uid="{00000000-0005-0000-0000-0000E92D0000}"/>
    <cellStyle name="Currency 2 2 2 2 7" xfId="24090" xr:uid="{00000000-0005-0000-0000-0000EA2D0000}"/>
    <cellStyle name="Currency 2 2 2 3" xfId="3051" xr:uid="{00000000-0005-0000-0000-0000EB2D0000}"/>
    <cellStyle name="Currency 2 2 2 3 2" xfId="4789" xr:uid="{00000000-0005-0000-0000-0000EC2D0000}"/>
    <cellStyle name="Currency 2 2 2 3 2 2" xfId="6414" xr:uid="{00000000-0005-0000-0000-0000ED2D0000}"/>
    <cellStyle name="Currency 2 2 2 3 2 2 2" xfId="9500" xr:uid="{00000000-0005-0000-0000-0000EE2D0000}"/>
    <cellStyle name="Currency 2 2 2 3 2 2 2 2" xfId="15693" xr:uid="{00000000-0005-0000-0000-0000EF2D0000}"/>
    <cellStyle name="Currency 2 2 2 3 2 2 2 2 2" xfId="35613" xr:uid="{00000000-0005-0000-0000-0000F02D0000}"/>
    <cellStyle name="Currency 2 2 2 3 2 2 2 3" xfId="21845" xr:uid="{00000000-0005-0000-0000-0000F12D0000}"/>
    <cellStyle name="Currency 2 2 2 3 2 2 2 3 2" xfId="41765" xr:uid="{00000000-0005-0000-0000-0000F22D0000}"/>
    <cellStyle name="Currency 2 2 2 3 2 2 2 4" xfId="29460" xr:uid="{00000000-0005-0000-0000-0000F32D0000}"/>
    <cellStyle name="Currency 2 2 2 3 2 2 3" xfId="12627" xr:uid="{00000000-0005-0000-0000-0000F42D0000}"/>
    <cellStyle name="Currency 2 2 2 3 2 2 3 2" xfId="32547" xr:uid="{00000000-0005-0000-0000-0000F52D0000}"/>
    <cellStyle name="Currency 2 2 2 3 2 2 4" xfId="18779" xr:uid="{00000000-0005-0000-0000-0000F62D0000}"/>
    <cellStyle name="Currency 2 2 2 3 2 2 4 2" xfId="38699" xr:uid="{00000000-0005-0000-0000-0000F72D0000}"/>
    <cellStyle name="Currency 2 2 2 3 2 2 5" xfId="26394" xr:uid="{00000000-0005-0000-0000-0000F82D0000}"/>
    <cellStyle name="Currency 2 2 2 3 2 3" xfId="7965" xr:uid="{00000000-0005-0000-0000-0000F92D0000}"/>
    <cellStyle name="Currency 2 2 2 3 2 3 2" xfId="14159" xr:uid="{00000000-0005-0000-0000-0000FA2D0000}"/>
    <cellStyle name="Currency 2 2 2 3 2 3 2 2" xfId="34079" xr:uid="{00000000-0005-0000-0000-0000FB2D0000}"/>
    <cellStyle name="Currency 2 2 2 3 2 3 3" xfId="20311" xr:uid="{00000000-0005-0000-0000-0000FC2D0000}"/>
    <cellStyle name="Currency 2 2 2 3 2 3 3 2" xfId="40231" xr:uid="{00000000-0005-0000-0000-0000FD2D0000}"/>
    <cellStyle name="Currency 2 2 2 3 2 3 4" xfId="27926" xr:uid="{00000000-0005-0000-0000-0000FE2D0000}"/>
    <cellStyle name="Currency 2 2 2 3 2 4" xfId="11093" xr:uid="{00000000-0005-0000-0000-0000FF2D0000}"/>
    <cellStyle name="Currency 2 2 2 3 2 4 2" xfId="31013" xr:uid="{00000000-0005-0000-0000-0000002E0000}"/>
    <cellStyle name="Currency 2 2 2 3 2 5" xfId="17245" xr:uid="{00000000-0005-0000-0000-0000012E0000}"/>
    <cellStyle name="Currency 2 2 2 3 2 5 2" xfId="37165" xr:uid="{00000000-0005-0000-0000-0000022E0000}"/>
    <cellStyle name="Currency 2 2 2 3 2 6" xfId="24860" xr:uid="{00000000-0005-0000-0000-0000032E0000}"/>
    <cellStyle name="Currency 2 2 2 3 3" xfId="5630" xr:uid="{00000000-0005-0000-0000-0000042E0000}"/>
    <cellStyle name="Currency 2 2 2 3 3 2" xfId="8731" xr:uid="{00000000-0005-0000-0000-0000052E0000}"/>
    <cellStyle name="Currency 2 2 2 3 3 2 2" xfId="14924" xr:uid="{00000000-0005-0000-0000-0000062E0000}"/>
    <cellStyle name="Currency 2 2 2 3 3 2 2 2" xfId="34844" xr:uid="{00000000-0005-0000-0000-0000072E0000}"/>
    <cellStyle name="Currency 2 2 2 3 3 2 3" xfId="21076" xr:uid="{00000000-0005-0000-0000-0000082E0000}"/>
    <cellStyle name="Currency 2 2 2 3 3 2 3 2" xfId="40996" xr:uid="{00000000-0005-0000-0000-0000092E0000}"/>
    <cellStyle name="Currency 2 2 2 3 3 2 4" xfId="28691" xr:uid="{00000000-0005-0000-0000-00000A2E0000}"/>
    <cellStyle name="Currency 2 2 2 3 3 3" xfId="11858" xr:uid="{00000000-0005-0000-0000-00000B2E0000}"/>
    <cellStyle name="Currency 2 2 2 3 3 3 2" xfId="31778" xr:uid="{00000000-0005-0000-0000-00000C2E0000}"/>
    <cellStyle name="Currency 2 2 2 3 3 4" xfId="18010" xr:uid="{00000000-0005-0000-0000-00000D2E0000}"/>
    <cellStyle name="Currency 2 2 2 3 3 4 2" xfId="37930" xr:uid="{00000000-0005-0000-0000-00000E2E0000}"/>
    <cellStyle name="Currency 2 2 2 3 3 5" xfId="25625" xr:uid="{00000000-0005-0000-0000-00000F2E0000}"/>
    <cellStyle name="Currency 2 2 2 3 4" xfId="7196" xr:uid="{00000000-0005-0000-0000-0000102E0000}"/>
    <cellStyle name="Currency 2 2 2 3 4 2" xfId="13390" xr:uid="{00000000-0005-0000-0000-0000112E0000}"/>
    <cellStyle name="Currency 2 2 2 3 4 2 2" xfId="33310" xr:uid="{00000000-0005-0000-0000-0000122E0000}"/>
    <cellStyle name="Currency 2 2 2 3 4 3" xfId="19542" xr:uid="{00000000-0005-0000-0000-0000132E0000}"/>
    <cellStyle name="Currency 2 2 2 3 4 3 2" xfId="39462" xr:uid="{00000000-0005-0000-0000-0000142E0000}"/>
    <cellStyle name="Currency 2 2 2 3 4 4" xfId="27157" xr:uid="{00000000-0005-0000-0000-0000152E0000}"/>
    <cellStyle name="Currency 2 2 2 3 5" xfId="10324" xr:uid="{00000000-0005-0000-0000-0000162E0000}"/>
    <cellStyle name="Currency 2 2 2 3 5 2" xfId="30244" xr:uid="{00000000-0005-0000-0000-0000172E0000}"/>
    <cellStyle name="Currency 2 2 2 3 6" xfId="16476" xr:uid="{00000000-0005-0000-0000-0000182E0000}"/>
    <cellStyle name="Currency 2 2 2 3 6 2" xfId="36396" xr:uid="{00000000-0005-0000-0000-0000192E0000}"/>
    <cellStyle name="Currency 2 2 2 3 7" xfId="24091" xr:uid="{00000000-0005-0000-0000-00001A2E0000}"/>
    <cellStyle name="Currency 2 2 2 4" xfId="3052" xr:uid="{00000000-0005-0000-0000-00001B2E0000}"/>
    <cellStyle name="Currency 2 2 2 4 2" xfId="4790" xr:uid="{00000000-0005-0000-0000-00001C2E0000}"/>
    <cellStyle name="Currency 2 2 2 4 2 2" xfId="6415" xr:uid="{00000000-0005-0000-0000-00001D2E0000}"/>
    <cellStyle name="Currency 2 2 2 4 2 2 2" xfId="9501" xr:uid="{00000000-0005-0000-0000-00001E2E0000}"/>
    <cellStyle name="Currency 2 2 2 4 2 2 2 2" xfId="15694" xr:uid="{00000000-0005-0000-0000-00001F2E0000}"/>
    <cellStyle name="Currency 2 2 2 4 2 2 2 2 2" xfId="35614" xr:uid="{00000000-0005-0000-0000-0000202E0000}"/>
    <cellStyle name="Currency 2 2 2 4 2 2 2 3" xfId="21846" xr:uid="{00000000-0005-0000-0000-0000212E0000}"/>
    <cellStyle name="Currency 2 2 2 4 2 2 2 3 2" xfId="41766" xr:uid="{00000000-0005-0000-0000-0000222E0000}"/>
    <cellStyle name="Currency 2 2 2 4 2 2 2 4" xfId="29461" xr:uid="{00000000-0005-0000-0000-0000232E0000}"/>
    <cellStyle name="Currency 2 2 2 4 2 2 3" xfId="12628" xr:uid="{00000000-0005-0000-0000-0000242E0000}"/>
    <cellStyle name="Currency 2 2 2 4 2 2 3 2" xfId="32548" xr:uid="{00000000-0005-0000-0000-0000252E0000}"/>
    <cellStyle name="Currency 2 2 2 4 2 2 4" xfId="18780" xr:uid="{00000000-0005-0000-0000-0000262E0000}"/>
    <cellStyle name="Currency 2 2 2 4 2 2 4 2" xfId="38700" xr:uid="{00000000-0005-0000-0000-0000272E0000}"/>
    <cellStyle name="Currency 2 2 2 4 2 2 5" xfId="26395" xr:uid="{00000000-0005-0000-0000-0000282E0000}"/>
    <cellStyle name="Currency 2 2 2 4 2 3" xfId="7966" xr:uid="{00000000-0005-0000-0000-0000292E0000}"/>
    <cellStyle name="Currency 2 2 2 4 2 3 2" xfId="14160" xr:uid="{00000000-0005-0000-0000-00002A2E0000}"/>
    <cellStyle name="Currency 2 2 2 4 2 3 2 2" xfId="34080" xr:uid="{00000000-0005-0000-0000-00002B2E0000}"/>
    <cellStyle name="Currency 2 2 2 4 2 3 3" xfId="20312" xr:uid="{00000000-0005-0000-0000-00002C2E0000}"/>
    <cellStyle name="Currency 2 2 2 4 2 3 3 2" xfId="40232" xr:uid="{00000000-0005-0000-0000-00002D2E0000}"/>
    <cellStyle name="Currency 2 2 2 4 2 3 4" xfId="27927" xr:uid="{00000000-0005-0000-0000-00002E2E0000}"/>
    <cellStyle name="Currency 2 2 2 4 2 4" xfId="11094" xr:uid="{00000000-0005-0000-0000-00002F2E0000}"/>
    <cellStyle name="Currency 2 2 2 4 2 4 2" xfId="31014" xr:uid="{00000000-0005-0000-0000-0000302E0000}"/>
    <cellStyle name="Currency 2 2 2 4 2 5" xfId="17246" xr:uid="{00000000-0005-0000-0000-0000312E0000}"/>
    <cellStyle name="Currency 2 2 2 4 2 5 2" xfId="37166" xr:uid="{00000000-0005-0000-0000-0000322E0000}"/>
    <cellStyle name="Currency 2 2 2 4 2 6" xfId="24861" xr:uid="{00000000-0005-0000-0000-0000332E0000}"/>
    <cellStyle name="Currency 2 2 2 4 3" xfId="5631" xr:uid="{00000000-0005-0000-0000-0000342E0000}"/>
    <cellStyle name="Currency 2 2 2 4 3 2" xfId="8732" xr:uid="{00000000-0005-0000-0000-0000352E0000}"/>
    <cellStyle name="Currency 2 2 2 4 3 2 2" xfId="14925" xr:uid="{00000000-0005-0000-0000-0000362E0000}"/>
    <cellStyle name="Currency 2 2 2 4 3 2 2 2" xfId="34845" xr:uid="{00000000-0005-0000-0000-0000372E0000}"/>
    <cellStyle name="Currency 2 2 2 4 3 2 3" xfId="21077" xr:uid="{00000000-0005-0000-0000-0000382E0000}"/>
    <cellStyle name="Currency 2 2 2 4 3 2 3 2" xfId="40997" xr:uid="{00000000-0005-0000-0000-0000392E0000}"/>
    <cellStyle name="Currency 2 2 2 4 3 2 4" xfId="28692" xr:uid="{00000000-0005-0000-0000-00003A2E0000}"/>
    <cellStyle name="Currency 2 2 2 4 3 3" xfId="11859" xr:uid="{00000000-0005-0000-0000-00003B2E0000}"/>
    <cellStyle name="Currency 2 2 2 4 3 3 2" xfId="31779" xr:uid="{00000000-0005-0000-0000-00003C2E0000}"/>
    <cellStyle name="Currency 2 2 2 4 3 4" xfId="18011" xr:uid="{00000000-0005-0000-0000-00003D2E0000}"/>
    <cellStyle name="Currency 2 2 2 4 3 4 2" xfId="37931" xr:uid="{00000000-0005-0000-0000-00003E2E0000}"/>
    <cellStyle name="Currency 2 2 2 4 3 5" xfId="25626" xr:uid="{00000000-0005-0000-0000-00003F2E0000}"/>
    <cellStyle name="Currency 2 2 2 4 4" xfId="7197" xr:uid="{00000000-0005-0000-0000-0000402E0000}"/>
    <cellStyle name="Currency 2 2 2 4 4 2" xfId="13391" xr:uid="{00000000-0005-0000-0000-0000412E0000}"/>
    <cellStyle name="Currency 2 2 2 4 4 2 2" xfId="33311" xr:uid="{00000000-0005-0000-0000-0000422E0000}"/>
    <cellStyle name="Currency 2 2 2 4 4 3" xfId="19543" xr:uid="{00000000-0005-0000-0000-0000432E0000}"/>
    <cellStyle name="Currency 2 2 2 4 4 3 2" xfId="39463" xr:uid="{00000000-0005-0000-0000-0000442E0000}"/>
    <cellStyle name="Currency 2 2 2 4 4 4" xfId="27158" xr:uid="{00000000-0005-0000-0000-0000452E0000}"/>
    <cellStyle name="Currency 2 2 2 4 5" xfId="10325" xr:uid="{00000000-0005-0000-0000-0000462E0000}"/>
    <cellStyle name="Currency 2 2 2 4 5 2" xfId="30245" xr:uid="{00000000-0005-0000-0000-0000472E0000}"/>
    <cellStyle name="Currency 2 2 2 4 6" xfId="16477" xr:uid="{00000000-0005-0000-0000-0000482E0000}"/>
    <cellStyle name="Currency 2 2 2 4 6 2" xfId="36397" xr:uid="{00000000-0005-0000-0000-0000492E0000}"/>
    <cellStyle name="Currency 2 2 2 4 7" xfId="24092" xr:uid="{00000000-0005-0000-0000-00004A2E0000}"/>
    <cellStyle name="Currency 2 2 2 5" xfId="3053" xr:uid="{00000000-0005-0000-0000-00004B2E0000}"/>
    <cellStyle name="Currency 2 2 2 5 2" xfId="4791" xr:uid="{00000000-0005-0000-0000-00004C2E0000}"/>
    <cellStyle name="Currency 2 2 2 5 2 2" xfId="6416" xr:uid="{00000000-0005-0000-0000-00004D2E0000}"/>
    <cellStyle name="Currency 2 2 2 5 2 2 2" xfId="9502" xr:uid="{00000000-0005-0000-0000-00004E2E0000}"/>
    <cellStyle name="Currency 2 2 2 5 2 2 2 2" xfId="15695" xr:uid="{00000000-0005-0000-0000-00004F2E0000}"/>
    <cellStyle name="Currency 2 2 2 5 2 2 2 2 2" xfId="35615" xr:uid="{00000000-0005-0000-0000-0000502E0000}"/>
    <cellStyle name="Currency 2 2 2 5 2 2 2 3" xfId="21847" xr:uid="{00000000-0005-0000-0000-0000512E0000}"/>
    <cellStyle name="Currency 2 2 2 5 2 2 2 3 2" xfId="41767" xr:uid="{00000000-0005-0000-0000-0000522E0000}"/>
    <cellStyle name="Currency 2 2 2 5 2 2 2 4" xfId="29462" xr:uid="{00000000-0005-0000-0000-0000532E0000}"/>
    <cellStyle name="Currency 2 2 2 5 2 2 3" xfId="12629" xr:uid="{00000000-0005-0000-0000-0000542E0000}"/>
    <cellStyle name="Currency 2 2 2 5 2 2 3 2" xfId="32549" xr:uid="{00000000-0005-0000-0000-0000552E0000}"/>
    <cellStyle name="Currency 2 2 2 5 2 2 4" xfId="18781" xr:uid="{00000000-0005-0000-0000-0000562E0000}"/>
    <cellStyle name="Currency 2 2 2 5 2 2 4 2" xfId="38701" xr:uid="{00000000-0005-0000-0000-0000572E0000}"/>
    <cellStyle name="Currency 2 2 2 5 2 2 5" xfId="26396" xr:uid="{00000000-0005-0000-0000-0000582E0000}"/>
    <cellStyle name="Currency 2 2 2 5 2 3" xfId="7967" xr:uid="{00000000-0005-0000-0000-0000592E0000}"/>
    <cellStyle name="Currency 2 2 2 5 2 3 2" xfId="14161" xr:uid="{00000000-0005-0000-0000-00005A2E0000}"/>
    <cellStyle name="Currency 2 2 2 5 2 3 2 2" xfId="34081" xr:uid="{00000000-0005-0000-0000-00005B2E0000}"/>
    <cellStyle name="Currency 2 2 2 5 2 3 3" xfId="20313" xr:uid="{00000000-0005-0000-0000-00005C2E0000}"/>
    <cellStyle name="Currency 2 2 2 5 2 3 3 2" xfId="40233" xr:uid="{00000000-0005-0000-0000-00005D2E0000}"/>
    <cellStyle name="Currency 2 2 2 5 2 3 4" xfId="27928" xr:uid="{00000000-0005-0000-0000-00005E2E0000}"/>
    <cellStyle name="Currency 2 2 2 5 2 4" xfId="11095" xr:uid="{00000000-0005-0000-0000-00005F2E0000}"/>
    <cellStyle name="Currency 2 2 2 5 2 4 2" xfId="31015" xr:uid="{00000000-0005-0000-0000-0000602E0000}"/>
    <cellStyle name="Currency 2 2 2 5 2 5" xfId="17247" xr:uid="{00000000-0005-0000-0000-0000612E0000}"/>
    <cellStyle name="Currency 2 2 2 5 2 5 2" xfId="37167" xr:uid="{00000000-0005-0000-0000-0000622E0000}"/>
    <cellStyle name="Currency 2 2 2 5 2 6" xfId="24862" xr:uid="{00000000-0005-0000-0000-0000632E0000}"/>
    <cellStyle name="Currency 2 2 2 5 3" xfId="5632" xr:uid="{00000000-0005-0000-0000-0000642E0000}"/>
    <cellStyle name="Currency 2 2 2 5 3 2" xfId="8733" xr:uid="{00000000-0005-0000-0000-0000652E0000}"/>
    <cellStyle name="Currency 2 2 2 5 3 2 2" xfId="14926" xr:uid="{00000000-0005-0000-0000-0000662E0000}"/>
    <cellStyle name="Currency 2 2 2 5 3 2 2 2" xfId="34846" xr:uid="{00000000-0005-0000-0000-0000672E0000}"/>
    <cellStyle name="Currency 2 2 2 5 3 2 3" xfId="21078" xr:uid="{00000000-0005-0000-0000-0000682E0000}"/>
    <cellStyle name="Currency 2 2 2 5 3 2 3 2" xfId="40998" xr:uid="{00000000-0005-0000-0000-0000692E0000}"/>
    <cellStyle name="Currency 2 2 2 5 3 2 4" xfId="28693" xr:uid="{00000000-0005-0000-0000-00006A2E0000}"/>
    <cellStyle name="Currency 2 2 2 5 3 3" xfId="11860" xr:uid="{00000000-0005-0000-0000-00006B2E0000}"/>
    <cellStyle name="Currency 2 2 2 5 3 3 2" xfId="31780" xr:uid="{00000000-0005-0000-0000-00006C2E0000}"/>
    <cellStyle name="Currency 2 2 2 5 3 4" xfId="18012" xr:uid="{00000000-0005-0000-0000-00006D2E0000}"/>
    <cellStyle name="Currency 2 2 2 5 3 4 2" xfId="37932" xr:uid="{00000000-0005-0000-0000-00006E2E0000}"/>
    <cellStyle name="Currency 2 2 2 5 3 5" xfId="25627" xr:uid="{00000000-0005-0000-0000-00006F2E0000}"/>
    <cellStyle name="Currency 2 2 2 5 4" xfId="7198" xr:uid="{00000000-0005-0000-0000-0000702E0000}"/>
    <cellStyle name="Currency 2 2 2 5 4 2" xfId="13392" xr:uid="{00000000-0005-0000-0000-0000712E0000}"/>
    <cellStyle name="Currency 2 2 2 5 4 2 2" xfId="33312" xr:uid="{00000000-0005-0000-0000-0000722E0000}"/>
    <cellStyle name="Currency 2 2 2 5 4 3" xfId="19544" xr:uid="{00000000-0005-0000-0000-0000732E0000}"/>
    <cellStyle name="Currency 2 2 2 5 4 3 2" xfId="39464" xr:uid="{00000000-0005-0000-0000-0000742E0000}"/>
    <cellStyle name="Currency 2 2 2 5 4 4" xfId="27159" xr:uid="{00000000-0005-0000-0000-0000752E0000}"/>
    <cellStyle name="Currency 2 2 2 5 5" xfId="10326" xr:uid="{00000000-0005-0000-0000-0000762E0000}"/>
    <cellStyle name="Currency 2 2 2 5 5 2" xfId="30246" xr:uid="{00000000-0005-0000-0000-0000772E0000}"/>
    <cellStyle name="Currency 2 2 2 5 6" xfId="16478" xr:uid="{00000000-0005-0000-0000-0000782E0000}"/>
    <cellStyle name="Currency 2 2 2 5 6 2" xfId="36398" xr:uid="{00000000-0005-0000-0000-0000792E0000}"/>
    <cellStyle name="Currency 2 2 2 5 7" xfId="24093" xr:uid="{00000000-0005-0000-0000-00007A2E0000}"/>
    <cellStyle name="Currency 2 2 20" xfId="3038" xr:uid="{00000000-0005-0000-0000-00007B2E0000}"/>
    <cellStyle name="Currency 2 2 20 2" xfId="4778" xr:uid="{00000000-0005-0000-0000-00007C2E0000}"/>
    <cellStyle name="Currency 2 2 20 2 2" xfId="6403" xr:uid="{00000000-0005-0000-0000-00007D2E0000}"/>
    <cellStyle name="Currency 2 2 20 2 2 2" xfId="9489" xr:uid="{00000000-0005-0000-0000-00007E2E0000}"/>
    <cellStyle name="Currency 2 2 20 2 2 2 2" xfId="15682" xr:uid="{00000000-0005-0000-0000-00007F2E0000}"/>
    <cellStyle name="Currency 2 2 20 2 2 2 2 2" xfId="35602" xr:uid="{00000000-0005-0000-0000-0000802E0000}"/>
    <cellStyle name="Currency 2 2 20 2 2 2 3" xfId="21834" xr:uid="{00000000-0005-0000-0000-0000812E0000}"/>
    <cellStyle name="Currency 2 2 20 2 2 2 3 2" xfId="41754" xr:uid="{00000000-0005-0000-0000-0000822E0000}"/>
    <cellStyle name="Currency 2 2 20 2 2 2 4" xfId="29449" xr:uid="{00000000-0005-0000-0000-0000832E0000}"/>
    <cellStyle name="Currency 2 2 20 2 2 3" xfId="12616" xr:uid="{00000000-0005-0000-0000-0000842E0000}"/>
    <cellStyle name="Currency 2 2 20 2 2 3 2" xfId="32536" xr:uid="{00000000-0005-0000-0000-0000852E0000}"/>
    <cellStyle name="Currency 2 2 20 2 2 4" xfId="18768" xr:uid="{00000000-0005-0000-0000-0000862E0000}"/>
    <cellStyle name="Currency 2 2 20 2 2 4 2" xfId="38688" xr:uid="{00000000-0005-0000-0000-0000872E0000}"/>
    <cellStyle name="Currency 2 2 20 2 2 5" xfId="26383" xr:uid="{00000000-0005-0000-0000-0000882E0000}"/>
    <cellStyle name="Currency 2 2 20 2 3" xfId="7954" xr:uid="{00000000-0005-0000-0000-0000892E0000}"/>
    <cellStyle name="Currency 2 2 20 2 3 2" xfId="14148" xr:uid="{00000000-0005-0000-0000-00008A2E0000}"/>
    <cellStyle name="Currency 2 2 20 2 3 2 2" xfId="34068" xr:uid="{00000000-0005-0000-0000-00008B2E0000}"/>
    <cellStyle name="Currency 2 2 20 2 3 3" xfId="20300" xr:uid="{00000000-0005-0000-0000-00008C2E0000}"/>
    <cellStyle name="Currency 2 2 20 2 3 3 2" xfId="40220" xr:uid="{00000000-0005-0000-0000-00008D2E0000}"/>
    <cellStyle name="Currency 2 2 20 2 3 4" xfId="27915" xr:uid="{00000000-0005-0000-0000-00008E2E0000}"/>
    <cellStyle name="Currency 2 2 20 2 4" xfId="11082" xr:uid="{00000000-0005-0000-0000-00008F2E0000}"/>
    <cellStyle name="Currency 2 2 20 2 4 2" xfId="31002" xr:uid="{00000000-0005-0000-0000-0000902E0000}"/>
    <cellStyle name="Currency 2 2 20 2 5" xfId="17234" xr:uid="{00000000-0005-0000-0000-0000912E0000}"/>
    <cellStyle name="Currency 2 2 20 2 5 2" xfId="37154" xr:uid="{00000000-0005-0000-0000-0000922E0000}"/>
    <cellStyle name="Currency 2 2 20 2 6" xfId="24849" xr:uid="{00000000-0005-0000-0000-0000932E0000}"/>
    <cellStyle name="Currency 2 2 20 3" xfId="5619" xr:uid="{00000000-0005-0000-0000-0000942E0000}"/>
    <cellStyle name="Currency 2 2 20 3 2" xfId="8720" xr:uid="{00000000-0005-0000-0000-0000952E0000}"/>
    <cellStyle name="Currency 2 2 20 3 2 2" xfId="14913" xr:uid="{00000000-0005-0000-0000-0000962E0000}"/>
    <cellStyle name="Currency 2 2 20 3 2 2 2" xfId="34833" xr:uid="{00000000-0005-0000-0000-0000972E0000}"/>
    <cellStyle name="Currency 2 2 20 3 2 3" xfId="21065" xr:uid="{00000000-0005-0000-0000-0000982E0000}"/>
    <cellStyle name="Currency 2 2 20 3 2 3 2" xfId="40985" xr:uid="{00000000-0005-0000-0000-0000992E0000}"/>
    <cellStyle name="Currency 2 2 20 3 2 4" xfId="28680" xr:uid="{00000000-0005-0000-0000-00009A2E0000}"/>
    <cellStyle name="Currency 2 2 20 3 3" xfId="11847" xr:uid="{00000000-0005-0000-0000-00009B2E0000}"/>
    <cellStyle name="Currency 2 2 20 3 3 2" xfId="31767" xr:uid="{00000000-0005-0000-0000-00009C2E0000}"/>
    <cellStyle name="Currency 2 2 20 3 4" xfId="17999" xr:uid="{00000000-0005-0000-0000-00009D2E0000}"/>
    <cellStyle name="Currency 2 2 20 3 4 2" xfId="37919" xr:uid="{00000000-0005-0000-0000-00009E2E0000}"/>
    <cellStyle name="Currency 2 2 20 3 5" xfId="25614" xr:uid="{00000000-0005-0000-0000-00009F2E0000}"/>
    <cellStyle name="Currency 2 2 20 4" xfId="7185" xr:uid="{00000000-0005-0000-0000-0000A02E0000}"/>
    <cellStyle name="Currency 2 2 20 4 2" xfId="13379" xr:uid="{00000000-0005-0000-0000-0000A12E0000}"/>
    <cellStyle name="Currency 2 2 20 4 2 2" xfId="33299" xr:uid="{00000000-0005-0000-0000-0000A22E0000}"/>
    <cellStyle name="Currency 2 2 20 4 3" xfId="19531" xr:uid="{00000000-0005-0000-0000-0000A32E0000}"/>
    <cellStyle name="Currency 2 2 20 4 3 2" xfId="39451" xr:uid="{00000000-0005-0000-0000-0000A42E0000}"/>
    <cellStyle name="Currency 2 2 20 4 4" xfId="27146" xr:uid="{00000000-0005-0000-0000-0000A52E0000}"/>
    <cellStyle name="Currency 2 2 20 5" xfId="10313" xr:uid="{00000000-0005-0000-0000-0000A62E0000}"/>
    <cellStyle name="Currency 2 2 20 5 2" xfId="30233" xr:uid="{00000000-0005-0000-0000-0000A72E0000}"/>
    <cellStyle name="Currency 2 2 20 6" xfId="16465" xr:uid="{00000000-0005-0000-0000-0000A82E0000}"/>
    <cellStyle name="Currency 2 2 20 6 2" xfId="36385" xr:uid="{00000000-0005-0000-0000-0000A92E0000}"/>
    <cellStyle name="Currency 2 2 20 7" xfId="24080" xr:uid="{00000000-0005-0000-0000-0000AA2E0000}"/>
    <cellStyle name="Currency 2 2 3" xfId="3054" xr:uid="{00000000-0005-0000-0000-0000AB2E0000}"/>
    <cellStyle name="Currency 2 2 3 10" xfId="16479" xr:uid="{00000000-0005-0000-0000-0000AC2E0000}"/>
    <cellStyle name="Currency 2 2 3 10 2" xfId="36399" xr:uid="{00000000-0005-0000-0000-0000AD2E0000}"/>
    <cellStyle name="Currency 2 2 3 11" xfId="24094" xr:uid="{00000000-0005-0000-0000-0000AE2E0000}"/>
    <cellStyle name="Currency 2 2 3 2" xfId="3055" xr:uid="{00000000-0005-0000-0000-0000AF2E0000}"/>
    <cellStyle name="Currency 2 2 3 2 2" xfId="4793" xr:uid="{00000000-0005-0000-0000-0000B02E0000}"/>
    <cellStyle name="Currency 2 2 3 2 2 2" xfId="6418" xr:uid="{00000000-0005-0000-0000-0000B12E0000}"/>
    <cellStyle name="Currency 2 2 3 2 2 2 2" xfId="9504" xr:uid="{00000000-0005-0000-0000-0000B22E0000}"/>
    <cellStyle name="Currency 2 2 3 2 2 2 2 2" xfId="15697" xr:uid="{00000000-0005-0000-0000-0000B32E0000}"/>
    <cellStyle name="Currency 2 2 3 2 2 2 2 2 2" xfId="35617" xr:uid="{00000000-0005-0000-0000-0000B42E0000}"/>
    <cellStyle name="Currency 2 2 3 2 2 2 2 3" xfId="21849" xr:uid="{00000000-0005-0000-0000-0000B52E0000}"/>
    <cellStyle name="Currency 2 2 3 2 2 2 2 3 2" xfId="41769" xr:uid="{00000000-0005-0000-0000-0000B62E0000}"/>
    <cellStyle name="Currency 2 2 3 2 2 2 2 4" xfId="29464" xr:uid="{00000000-0005-0000-0000-0000B72E0000}"/>
    <cellStyle name="Currency 2 2 3 2 2 2 3" xfId="12631" xr:uid="{00000000-0005-0000-0000-0000B82E0000}"/>
    <cellStyle name="Currency 2 2 3 2 2 2 3 2" xfId="32551" xr:uid="{00000000-0005-0000-0000-0000B92E0000}"/>
    <cellStyle name="Currency 2 2 3 2 2 2 4" xfId="18783" xr:uid="{00000000-0005-0000-0000-0000BA2E0000}"/>
    <cellStyle name="Currency 2 2 3 2 2 2 4 2" xfId="38703" xr:uid="{00000000-0005-0000-0000-0000BB2E0000}"/>
    <cellStyle name="Currency 2 2 3 2 2 2 5" xfId="26398" xr:uid="{00000000-0005-0000-0000-0000BC2E0000}"/>
    <cellStyle name="Currency 2 2 3 2 2 3" xfId="7969" xr:uid="{00000000-0005-0000-0000-0000BD2E0000}"/>
    <cellStyle name="Currency 2 2 3 2 2 3 2" xfId="14163" xr:uid="{00000000-0005-0000-0000-0000BE2E0000}"/>
    <cellStyle name="Currency 2 2 3 2 2 3 2 2" xfId="34083" xr:uid="{00000000-0005-0000-0000-0000BF2E0000}"/>
    <cellStyle name="Currency 2 2 3 2 2 3 3" xfId="20315" xr:uid="{00000000-0005-0000-0000-0000C02E0000}"/>
    <cellStyle name="Currency 2 2 3 2 2 3 3 2" xfId="40235" xr:uid="{00000000-0005-0000-0000-0000C12E0000}"/>
    <cellStyle name="Currency 2 2 3 2 2 3 4" xfId="27930" xr:uid="{00000000-0005-0000-0000-0000C22E0000}"/>
    <cellStyle name="Currency 2 2 3 2 2 4" xfId="11097" xr:uid="{00000000-0005-0000-0000-0000C32E0000}"/>
    <cellStyle name="Currency 2 2 3 2 2 4 2" xfId="31017" xr:uid="{00000000-0005-0000-0000-0000C42E0000}"/>
    <cellStyle name="Currency 2 2 3 2 2 5" xfId="17249" xr:uid="{00000000-0005-0000-0000-0000C52E0000}"/>
    <cellStyle name="Currency 2 2 3 2 2 5 2" xfId="37169" xr:uid="{00000000-0005-0000-0000-0000C62E0000}"/>
    <cellStyle name="Currency 2 2 3 2 2 6" xfId="24864" xr:uid="{00000000-0005-0000-0000-0000C72E0000}"/>
    <cellStyle name="Currency 2 2 3 2 3" xfId="5634" xr:uid="{00000000-0005-0000-0000-0000C82E0000}"/>
    <cellStyle name="Currency 2 2 3 2 3 2" xfId="8735" xr:uid="{00000000-0005-0000-0000-0000C92E0000}"/>
    <cellStyle name="Currency 2 2 3 2 3 2 2" xfId="14928" xr:uid="{00000000-0005-0000-0000-0000CA2E0000}"/>
    <cellStyle name="Currency 2 2 3 2 3 2 2 2" xfId="34848" xr:uid="{00000000-0005-0000-0000-0000CB2E0000}"/>
    <cellStyle name="Currency 2 2 3 2 3 2 3" xfId="21080" xr:uid="{00000000-0005-0000-0000-0000CC2E0000}"/>
    <cellStyle name="Currency 2 2 3 2 3 2 3 2" xfId="41000" xr:uid="{00000000-0005-0000-0000-0000CD2E0000}"/>
    <cellStyle name="Currency 2 2 3 2 3 2 4" xfId="28695" xr:uid="{00000000-0005-0000-0000-0000CE2E0000}"/>
    <cellStyle name="Currency 2 2 3 2 3 3" xfId="11862" xr:uid="{00000000-0005-0000-0000-0000CF2E0000}"/>
    <cellStyle name="Currency 2 2 3 2 3 3 2" xfId="31782" xr:uid="{00000000-0005-0000-0000-0000D02E0000}"/>
    <cellStyle name="Currency 2 2 3 2 3 4" xfId="18014" xr:uid="{00000000-0005-0000-0000-0000D12E0000}"/>
    <cellStyle name="Currency 2 2 3 2 3 4 2" xfId="37934" xr:uid="{00000000-0005-0000-0000-0000D22E0000}"/>
    <cellStyle name="Currency 2 2 3 2 3 5" xfId="25629" xr:uid="{00000000-0005-0000-0000-0000D32E0000}"/>
    <cellStyle name="Currency 2 2 3 2 4" xfId="7200" xr:uid="{00000000-0005-0000-0000-0000D42E0000}"/>
    <cellStyle name="Currency 2 2 3 2 4 2" xfId="13394" xr:uid="{00000000-0005-0000-0000-0000D52E0000}"/>
    <cellStyle name="Currency 2 2 3 2 4 2 2" xfId="33314" xr:uid="{00000000-0005-0000-0000-0000D62E0000}"/>
    <cellStyle name="Currency 2 2 3 2 4 3" xfId="19546" xr:uid="{00000000-0005-0000-0000-0000D72E0000}"/>
    <cellStyle name="Currency 2 2 3 2 4 3 2" xfId="39466" xr:uid="{00000000-0005-0000-0000-0000D82E0000}"/>
    <cellStyle name="Currency 2 2 3 2 4 4" xfId="27161" xr:uid="{00000000-0005-0000-0000-0000D92E0000}"/>
    <cellStyle name="Currency 2 2 3 2 5" xfId="10328" xr:uid="{00000000-0005-0000-0000-0000DA2E0000}"/>
    <cellStyle name="Currency 2 2 3 2 5 2" xfId="30248" xr:uid="{00000000-0005-0000-0000-0000DB2E0000}"/>
    <cellStyle name="Currency 2 2 3 2 6" xfId="16480" xr:uid="{00000000-0005-0000-0000-0000DC2E0000}"/>
    <cellStyle name="Currency 2 2 3 2 6 2" xfId="36400" xr:uid="{00000000-0005-0000-0000-0000DD2E0000}"/>
    <cellStyle name="Currency 2 2 3 2 7" xfId="24095" xr:uid="{00000000-0005-0000-0000-0000DE2E0000}"/>
    <cellStyle name="Currency 2 2 3 3" xfId="3056" xr:uid="{00000000-0005-0000-0000-0000DF2E0000}"/>
    <cellStyle name="Currency 2 2 3 3 2" xfId="4794" xr:uid="{00000000-0005-0000-0000-0000E02E0000}"/>
    <cellStyle name="Currency 2 2 3 3 2 2" xfId="6419" xr:uid="{00000000-0005-0000-0000-0000E12E0000}"/>
    <cellStyle name="Currency 2 2 3 3 2 2 2" xfId="9505" xr:uid="{00000000-0005-0000-0000-0000E22E0000}"/>
    <cellStyle name="Currency 2 2 3 3 2 2 2 2" xfId="15698" xr:uid="{00000000-0005-0000-0000-0000E32E0000}"/>
    <cellStyle name="Currency 2 2 3 3 2 2 2 2 2" xfId="35618" xr:uid="{00000000-0005-0000-0000-0000E42E0000}"/>
    <cellStyle name="Currency 2 2 3 3 2 2 2 3" xfId="21850" xr:uid="{00000000-0005-0000-0000-0000E52E0000}"/>
    <cellStyle name="Currency 2 2 3 3 2 2 2 3 2" xfId="41770" xr:uid="{00000000-0005-0000-0000-0000E62E0000}"/>
    <cellStyle name="Currency 2 2 3 3 2 2 2 4" xfId="29465" xr:uid="{00000000-0005-0000-0000-0000E72E0000}"/>
    <cellStyle name="Currency 2 2 3 3 2 2 3" xfId="12632" xr:uid="{00000000-0005-0000-0000-0000E82E0000}"/>
    <cellStyle name="Currency 2 2 3 3 2 2 3 2" xfId="32552" xr:uid="{00000000-0005-0000-0000-0000E92E0000}"/>
    <cellStyle name="Currency 2 2 3 3 2 2 4" xfId="18784" xr:uid="{00000000-0005-0000-0000-0000EA2E0000}"/>
    <cellStyle name="Currency 2 2 3 3 2 2 4 2" xfId="38704" xr:uid="{00000000-0005-0000-0000-0000EB2E0000}"/>
    <cellStyle name="Currency 2 2 3 3 2 2 5" xfId="26399" xr:uid="{00000000-0005-0000-0000-0000EC2E0000}"/>
    <cellStyle name="Currency 2 2 3 3 2 3" xfId="7970" xr:uid="{00000000-0005-0000-0000-0000ED2E0000}"/>
    <cellStyle name="Currency 2 2 3 3 2 3 2" xfId="14164" xr:uid="{00000000-0005-0000-0000-0000EE2E0000}"/>
    <cellStyle name="Currency 2 2 3 3 2 3 2 2" xfId="34084" xr:uid="{00000000-0005-0000-0000-0000EF2E0000}"/>
    <cellStyle name="Currency 2 2 3 3 2 3 3" xfId="20316" xr:uid="{00000000-0005-0000-0000-0000F02E0000}"/>
    <cellStyle name="Currency 2 2 3 3 2 3 3 2" xfId="40236" xr:uid="{00000000-0005-0000-0000-0000F12E0000}"/>
    <cellStyle name="Currency 2 2 3 3 2 3 4" xfId="27931" xr:uid="{00000000-0005-0000-0000-0000F22E0000}"/>
    <cellStyle name="Currency 2 2 3 3 2 4" xfId="11098" xr:uid="{00000000-0005-0000-0000-0000F32E0000}"/>
    <cellStyle name="Currency 2 2 3 3 2 4 2" xfId="31018" xr:uid="{00000000-0005-0000-0000-0000F42E0000}"/>
    <cellStyle name="Currency 2 2 3 3 2 5" xfId="17250" xr:uid="{00000000-0005-0000-0000-0000F52E0000}"/>
    <cellStyle name="Currency 2 2 3 3 2 5 2" xfId="37170" xr:uid="{00000000-0005-0000-0000-0000F62E0000}"/>
    <cellStyle name="Currency 2 2 3 3 2 6" xfId="24865" xr:uid="{00000000-0005-0000-0000-0000F72E0000}"/>
    <cellStyle name="Currency 2 2 3 3 3" xfId="5635" xr:uid="{00000000-0005-0000-0000-0000F82E0000}"/>
    <cellStyle name="Currency 2 2 3 3 3 2" xfId="8736" xr:uid="{00000000-0005-0000-0000-0000F92E0000}"/>
    <cellStyle name="Currency 2 2 3 3 3 2 2" xfId="14929" xr:uid="{00000000-0005-0000-0000-0000FA2E0000}"/>
    <cellStyle name="Currency 2 2 3 3 3 2 2 2" xfId="34849" xr:uid="{00000000-0005-0000-0000-0000FB2E0000}"/>
    <cellStyle name="Currency 2 2 3 3 3 2 3" xfId="21081" xr:uid="{00000000-0005-0000-0000-0000FC2E0000}"/>
    <cellStyle name="Currency 2 2 3 3 3 2 3 2" xfId="41001" xr:uid="{00000000-0005-0000-0000-0000FD2E0000}"/>
    <cellStyle name="Currency 2 2 3 3 3 2 4" xfId="28696" xr:uid="{00000000-0005-0000-0000-0000FE2E0000}"/>
    <cellStyle name="Currency 2 2 3 3 3 3" xfId="11863" xr:uid="{00000000-0005-0000-0000-0000FF2E0000}"/>
    <cellStyle name="Currency 2 2 3 3 3 3 2" xfId="31783" xr:uid="{00000000-0005-0000-0000-0000002F0000}"/>
    <cellStyle name="Currency 2 2 3 3 3 4" xfId="18015" xr:uid="{00000000-0005-0000-0000-0000012F0000}"/>
    <cellStyle name="Currency 2 2 3 3 3 4 2" xfId="37935" xr:uid="{00000000-0005-0000-0000-0000022F0000}"/>
    <cellStyle name="Currency 2 2 3 3 3 5" xfId="25630" xr:uid="{00000000-0005-0000-0000-0000032F0000}"/>
    <cellStyle name="Currency 2 2 3 3 4" xfId="7201" xr:uid="{00000000-0005-0000-0000-0000042F0000}"/>
    <cellStyle name="Currency 2 2 3 3 4 2" xfId="13395" xr:uid="{00000000-0005-0000-0000-0000052F0000}"/>
    <cellStyle name="Currency 2 2 3 3 4 2 2" xfId="33315" xr:uid="{00000000-0005-0000-0000-0000062F0000}"/>
    <cellStyle name="Currency 2 2 3 3 4 3" xfId="19547" xr:uid="{00000000-0005-0000-0000-0000072F0000}"/>
    <cellStyle name="Currency 2 2 3 3 4 3 2" xfId="39467" xr:uid="{00000000-0005-0000-0000-0000082F0000}"/>
    <cellStyle name="Currency 2 2 3 3 4 4" xfId="27162" xr:uid="{00000000-0005-0000-0000-0000092F0000}"/>
    <cellStyle name="Currency 2 2 3 3 5" xfId="10329" xr:uid="{00000000-0005-0000-0000-00000A2F0000}"/>
    <cellStyle name="Currency 2 2 3 3 5 2" xfId="30249" xr:uid="{00000000-0005-0000-0000-00000B2F0000}"/>
    <cellStyle name="Currency 2 2 3 3 6" xfId="16481" xr:uid="{00000000-0005-0000-0000-00000C2F0000}"/>
    <cellStyle name="Currency 2 2 3 3 6 2" xfId="36401" xr:uid="{00000000-0005-0000-0000-00000D2F0000}"/>
    <cellStyle name="Currency 2 2 3 3 7" xfId="24096" xr:uid="{00000000-0005-0000-0000-00000E2F0000}"/>
    <cellStyle name="Currency 2 2 3 4" xfId="3057" xr:uid="{00000000-0005-0000-0000-00000F2F0000}"/>
    <cellStyle name="Currency 2 2 3 4 2" xfId="4795" xr:uid="{00000000-0005-0000-0000-0000102F0000}"/>
    <cellStyle name="Currency 2 2 3 4 2 2" xfId="6420" xr:uid="{00000000-0005-0000-0000-0000112F0000}"/>
    <cellStyle name="Currency 2 2 3 4 2 2 2" xfId="9506" xr:uid="{00000000-0005-0000-0000-0000122F0000}"/>
    <cellStyle name="Currency 2 2 3 4 2 2 2 2" xfId="15699" xr:uid="{00000000-0005-0000-0000-0000132F0000}"/>
    <cellStyle name="Currency 2 2 3 4 2 2 2 2 2" xfId="35619" xr:uid="{00000000-0005-0000-0000-0000142F0000}"/>
    <cellStyle name="Currency 2 2 3 4 2 2 2 3" xfId="21851" xr:uid="{00000000-0005-0000-0000-0000152F0000}"/>
    <cellStyle name="Currency 2 2 3 4 2 2 2 3 2" xfId="41771" xr:uid="{00000000-0005-0000-0000-0000162F0000}"/>
    <cellStyle name="Currency 2 2 3 4 2 2 2 4" xfId="29466" xr:uid="{00000000-0005-0000-0000-0000172F0000}"/>
    <cellStyle name="Currency 2 2 3 4 2 2 3" xfId="12633" xr:uid="{00000000-0005-0000-0000-0000182F0000}"/>
    <cellStyle name="Currency 2 2 3 4 2 2 3 2" xfId="32553" xr:uid="{00000000-0005-0000-0000-0000192F0000}"/>
    <cellStyle name="Currency 2 2 3 4 2 2 4" xfId="18785" xr:uid="{00000000-0005-0000-0000-00001A2F0000}"/>
    <cellStyle name="Currency 2 2 3 4 2 2 4 2" xfId="38705" xr:uid="{00000000-0005-0000-0000-00001B2F0000}"/>
    <cellStyle name="Currency 2 2 3 4 2 2 5" xfId="26400" xr:uid="{00000000-0005-0000-0000-00001C2F0000}"/>
    <cellStyle name="Currency 2 2 3 4 2 3" xfId="7971" xr:uid="{00000000-0005-0000-0000-00001D2F0000}"/>
    <cellStyle name="Currency 2 2 3 4 2 3 2" xfId="14165" xr:uid="{00000000-0005-0000-0000-00001E2F0000}"/>
    <cellStyle name="Currency 2 2 3 4 2 3 2 2" xfId="34085" xr:uid="{00000000-0005-0000-0000-00001F2F0000}"/>
    <cellStyle name="Currency 2 2 3 4 2 3 3" xfId="20317" xr:uid="{00000000-0005-0000-0000-0000202F0000}"/>
    <cellStyle name="Currency 2 2 3 4 2 3 3 2" xfId="40237" xr:uid="{00000000-0005-0000-0000-0000212F0000}"/>
    <cellStyle name="Currency 2 2 3 4 2 3 4" xfId="27932" xr:uid="{00000000-0005-0000-0000-0000222F0000}"/>
    <cellStyle name="Currency 2 2 3 4 2 4" xfId="11099" xr:uid="{00000000-0005-0000-0000-0000232F0000}"/>
    <cellStyle name="Currency 2 2 3 4 2 4 2" xfId="31019" xr:uid="{00000000-0005-0000-0000-0000242F0000}"/>
    <cellStyle name="Currency 2 2 3 4 2 5" xfId="17251" xr:uid="{00000000-0005-0000-0000-0000252F0000}"/>
    <cellStyle name="Currency 2 2 3 4 2 5 2" xfId="37171" xr:uid="{00000000-0005-0000-0000-0000262F0000}"/>
    <cellStyle name="Currency 2 2 3 4 2 6" xfId="24866" xr:uid="{00000000-0005-0000-0000-0000272F0000}"/>
    <cellStyle name="Currency 2 2 3 4 3" xfId="5636" xr:uid="{00000000-0005-0000-0000-0000282F0000}"/>
    <cellStyle name="Currency 2 2 3 4 3 2" xfId="8737" xr:uid="{00000000-0005-0000-0000-0000292F0000}"/>
    <cellStyle name="Currency 2 2 3 4 3 2 2" xfId="14930" xr:uid="{00000000-0005-0000-0000-00002A2F0000}"/>
    <cellStyle name="Currency 2 2 3 4 3 2 2 2" xfId="34850" xr:uid="{00000000-0005-0000-0000-00002B2F0000}"/>
    <cellStyle name="Currency 2 2 3 4 3 2 3" xfId="21082" xr:uid="{00000000-0005-0000-0000-00002C2F0000}"/>
    <cellStyle name="Currency 2 2 3 4 3 2 3 2" xfId="41002" xr:uid="{00000000-0005-0000-0000-00002D2F0000}"/>
    <cellStyle name="Currency 2 2 3 4 3 2 4" xfId="28697" xr:uid="{00000000-0005-0000-0000-00002E2F0000}"/>
    <cellStyle name="Currency 2 2 3 4 3 3" xfId="11864" xr:uid="{00000000-0005-0000-0000-00002F2F0000}"/>
    <cellStyle name="Currency 2 2 3 4 3 3 2" xfId="31784" xr:uid="{00000000-0005-0000-0000-0000302F0000}"/>
    <cellStyle name="Currency 2 2 3 4 3 4" xfId="18016" xr:uid="{00000000-0005-0000-0000-0000312F0000}"/>
    <cellStyle name="Currency 2 2 3 4 3 4 2" xfId="37936" xr:uid="{00000000-0005-0000-0000-0000322F0000}"/>
    <cellStyle name="Currency 2 2 3 4 3 5" xfId="25631" xr:uid="{00000000-0005-0000-0000-0000332F0000}"/>
    <cellStyle name="Currency 2 2 3 4 4" xfId="7202" xr:uid="{00000000-0005-0000-0000-0000342F0000}"/>
    <cellStyle name="Currency 2 2 3 4 4 2" xfId="13396" xr:uid="{00000000-0005-0000-0000-0000352F0000}"/>
    <cellStyle name="Currency 2 2 3 4 4 2 2" xfId="33316" xr:uid="{00000000-0005-0000-0000-0000362F0000}"/>
    <cellStyle name="Currency 2 2 3 4 4 3" xfId="19548" xr:uid="{00000000-0005-0000-0000-0000372F0000}"/>
    <cellStyle name="Currency 2 2 3 4 4 3 2" xfId="39468" xr:uid="{00000000-0005-0000-0000-0000382F0000}"/>
    <cellStyle name="Currency 2 2 3 4 4 4" xfId="27163" xr:uid="{00000000-0005-0000-0000-0000392F0000}"/>
    <cellStyle name="Currency 2 2 3 4 5" xfId="10330" xr:uid="{00000000-0005-0000-0000-00003A2F0000}"/>
    <cellStyle name="Currency 2 2 3 4 5 2" xfId="30250" xr:uid="{00000000-0005-0000-0000-00003B2F0000}"/>
    <cellStyle name="Currency 2 2 3 4 6" xfId="16482" xr:uid="{00000000-0005-0000-0000-00003C2F0000}"/>
    <cellStyle name="Currency 2 2 3 4 6 2" xfId="36402" xr:uid="{00000000-0005-0000-0000-00003D2F0000}"/>
    <cellStyle name="Currency 2 2 3 4 7" xfId="24097" xr:uid="{00000000-0005-0000-0000-00003E2F0000}"/>
    <cellStyle name="Currency 2 2 3 5" xfId="3058" xr:uid="{00000000-0005-0000-0000-00003F2F0000}"/>
    <cellStyle name="Currency 2 2 3 5 2" xfId="4796" xr:uid="{00000000-0005-0000-0000-0000402F0000}"/>
    <cellStyle name="Currency 2 2 3 5 2 2" xfId="6421" xr:uid="{00000000-0005-0000-0000-0000412F0000}"/>
    <cellStyle name="Currency 2 2 3 5 2 2 2" xfId="9507" xr:uid="{00000000-0005-0000-0000-0000422F0000}"/>
    <cellStyle name="Currency 2 2 3 5 2 2 2 2" xfId="15700" xr:uid="{00000000-0005-0000-0000-0000432F0000}"/>
    <cellStyle name="Currency 2 2 3 5 2 2 2 2 2" xfId="35620" xr:uid="{00000000-0005-0000-0000-0000442F0000}"/>
    <cellStyle name="Currency 2 2 3 5 2 2 2 3" xfId="21852" xr:uid="{00000000-0005-0000-0000-0000452F0000}"/>
    <cellStyle name="Currency 2 2 3 5 2 2 2 3 2" xfId="41772" xr:uid="{00000000-0005-0000-0000-0000462F0000}"/>
    <cellStyle name="Currency 2 2 3 5 2 2 2 4" xfId="29467" xr:uid="{00000000-0005-0000-0000-0000472F0000}"/>
    <cellStyle name="Currency 2 2 3 5 2 2 3" xfId="12634" xr:uid="{00000000-0005-0000-0000-0000482F0000}"/>
    <cellStyle name="Currency 2 2 3 5 2 2 3 2" xfId="32554" xr:uid="{00000000-0005-0000-0000-0000492F0000}"/>
    <cellStyle name="Currency 2 2 3 5 2 2 4" xfId="18786" xr:uid="{00000000-0005-0000-0000-00004A2F0000}"/>
    <cellStyle name="Currency 2 2 3 5 2 2 4 2" xfId="38706" xr:uid="{00000000-0005-0000-0000-00004B2F0000}"/>
    <cellStyle name="Currency 2 2 3 5 2 2 5" xfId="26401" xr:uid="{00000000-0005-0000-0000-00004C2F0000}"/>
    <cellStyle name="Currency 2 2 3 5 2 3" xfId="7972" xr:uid="{00000000-0005-0000-0000-00004D2F0000}"/>
    <cellStyle name="Currency 2 2 3 5 2 3 2" xfId="14166" xr:uid="{00000000-0005-0000-0000-00004E2F0000}"/>
    <cellStyle name="Currency 2 2 3 5 2 3 2 2" xfId="34086" xr:uid="{00000000-0005-0000-0000-00004F2F0000}"/>
    <cellStyle name="Currency 2 2 3 5 2 3 3" xfId="20318" xr:uid="{00000000-0005-0000-0000-0000502F0000}"/>
    <cellStyle name="Currency 2 2 3 5 2 3 3 2" xfId="40238" xr:uid="{00000000-0005-0000-0000-0000512F0000}"/>
    <cellStyle name="Currency 2 2 3 5 2 3 4" xfId="27933" xr:uid="{00000000-0005-0000-0000-0000522F0000}"/>
    <cellStyle name="Currency 2 2 3 5 2 4" xfId="11100" xr:uid="{00000000-0005-0000-0000-0000532F0000}"/>
    <cellStyle name="Currency 2 2 3 5 2 4 2" xfId="31020" xr:uid="{00000000-0005-0000-0000-0000542F0000}"/>
    <cellStyle name="Currency 2 2 3 5 2 5" xfId="17252" xr:uid="{00000000-0005-0000-0000-0000552F0000}"/>
    <cellStyle name="Currency 2 2 3 5 2 5 2" xfId="37172" xr:uid="{00000000-0005-0000-0000-0000562F0000}"/>
    <cellStyle name="Currency 2 2 3 5 2 6" xfId="24867" xr:uid="{00000000-0005-0000-0000-0000572F0000}"/>
    <cellStyle name="Currency 2 2 3 5 3" xfId="5637" xr:uid="{00000000-0005-0000-0000-0000582F0000}"/>
    <cellStyle name="Currency 2 2 3 5 3 2" xfId="8738" xr:uid="{00000000-0005-0000-0000-0000592F0000}"/>
    <cellStyle name="Currency 2 2 3 5 3 2 2" xfId="14931" xr:uid="{00000000-0005-0000-0000-00005A2F0000}"/>
    <cellStyle name="Currency 2 2 3 5 3 2 2 2" xfId="34851" xr:uid="{00000000-0005-0000-0000-00005B2F0000}"/>
    <cellStyle name="Currency 2 2 3 5 3 2 3" xfId="21083" xr:uid="{00000000-0005-0000-0000-00005C2F0000}"/>
    <cellStyle name="Currency 2 2 3 5 3 2 3 2" xfId="41003" xr:uid="{00000000-0005-0000-0000-00005D2F0000}"/>
    <cellStyle name="Currency 2 2 3 5 3 2 4" xfId="28698" xr:uid="{00000000-0005-0000-0000-00005E2F0000}"/>
    <cellStyle name="Currency 2 2 3 5 3 3" xfId="11865" xr:uid="{00000000-0005-0000-0000-00005F2F0000}"/>
    <cellStyle name="Currency 2 2 3 5 3 3 2" xfId="31785" xr:uid="{00000000-0005-0000-0000-0000602F0000}"/>
    <cellStyle name="Currency 2 2 3 5 3 4" xfId="18017" xr:uid="{00000000-0005-0000-0000-0000612F0000}"/>
    <cellStyle name="Currency 2 2 3 5 3 4 2" xfId="37937" xr:uid="{00000000-0005-0000-0000-0000622F0000}"/>
    <cellStyle name="Currency 2 2 3 5 3 5" xfId="25632" xr:uid="{00000000-0005-0000-0000-0000632F0000}"/>
    <cellStyle name="Currency 2 2 3 5 4" xfId="7203" xr:uid="{00000000-0005-0000-0000-0000642F0000}"/>
    <cellStyle name="Currency 2 2 3 5 4 2" xfId="13397" xr:uid="{00000000-0005-0000-0000-0000652F0000}"/>
    <cellStyle name="Currency 2 2 3 5 4 2 2" xfId="33317" xr:uid="{00000000-0005-0000-0000-0000662F0000}"/>
    <cellStyle name="Currency 2 2 3 5 4 3" xfId="19549" xr:uid="{00000000-0005-0000-0000-0000672F0000}"/>
    <cellStyle name="Currency 2 2 3 5 4 3 2" xfId="39469" xr:uid="{00000000-0005-0000-0000-0000682F0000}"/>
    <cellStyle name="Currency 2 2 3 5 4 4" xfId="27164" xr:uid="{00000000-0005-0000-0000-0000692F0000}"/>
    <cellStyle name="Currency 2 2 3 5 5" xfId="10331" xr:uid="{00000000-0005-0000-0000-00006A2F0000}"/>
    <cellStyle name="Currency 2 2 3 5 5 2" xfId="30251" xr:uid="{00000000-0005-0000-0000-00006B2F0000}"/>
    <cellStyle name="Currency 2 2 3 5 6" xfId="16483" xr:uid="{00000000-0005-0000-0000-00006C2F0000}"/>
    <cellStyle name="Currency 2 2 3 5 6 2" xfId="36403" xr:uid="{00000000-0005-0000-0000-00006D2F0000}"/>
    <cellStyle name="Currency 2 2 3 5 7" xfId="24098" xr:uid="{00000000-0005-0000-0000-00006E2F0000}"/>
    <cellStyle name="Currency 2 2 3 6" xfId="4792" xr:uid="{00000000-0005-0000-0000-00006F2F0000}"/>
    <cellStyle name="Currency 2 2 3 6 2" xfId="6417" xr:uid="{00000000-0005-0000-0000-0000702F0000}"/>
    <cellStyle name="Currency 2 2 3 6 2 2" xfId="9503" xr:uid="{00000000-0005-0000-0000-0000712F0000}"/>
    <cellStyle name="Currency 2 2 3 6 2 2 2" xfId="15696" xr:uid="{00000000-0005-0000-0000-0000722F0000}"/>
    <cellStyle name="Currency 2 2 3 6 2 2 2 2" xfId="35616" xr:uid="{00000000-0005-0000-0000-0000732F0000}"/>
    <cellStyle name="Currency 2 2 3 6 2 2 3" xfId="21848" xr:uid="{00000000-0005-0000-0000-0000742F0000}"/>
    <cellStyle name="Currency 2 2 3 6 2 2 3 2" xfId="41768" xr:uid="{00000000-0005-0000-0000-0000752F0000}"/>
    <cellStyle name="Currency 2 2 3 6 2 2 4" xfId="29463" xr:uid="{00000000-0005-0000-0000-0000762F0000}"/>
    <cellStyle name="Currency 2 2 3 6 2 3" xfId="12630" xr:uid="{00000000-0005-0000-0000-0000772F0000}"/>
    <cellStyle name="Currency 2 2 3 6 2 3 2" xfId="32550" xr:uid="{00000000-0005-0000-0000-0000782F0000}"/>
    <cellStyle name="Currency 2 2 3 6 2 4" xfId="18782" xr:uid="{00000000-0005-0000-0000-0000792F0000}"/>
    <cellStyle name="Currency 2 2 3 6 2 4 2" xfId="38702" xr:uid="{00000000-0005-0000-0000-00007A2F0000}"/>
    <cellStyle name="Currency 2 2 3 6 2 5" xfId="26397" xr:uid="{00000000-0005-0000-0000-00007B2F0000}"/>
    <cellStyle name="Currency 2 2 3 6 3" xfId="7968" xr:uid="{00000000-0005-0000-0000-00007C2F0000}"/>
    <cellStyle name="Currency 2 2 3 6 3 2" xfId="14162" xr:uid="{00000000-0005-0000-0000-00007D2F0000}"/>
    <cellStyle name="Currency 2 2 3 6 3 2 2" xfId="34082" xr:uid="{00000000-0005-0000-0000-00007E2F0000}"/>
    <cellStyle name="Currency 2 2 3 6 3 3" xfId="20314" xr:uid="{00000000-0005-0000-0000-00007F2F0000}"/>
    <cellStyle name="Currency 2 2 3 6 3 3 2" xfId="40234" xr:uid="{00000000-0005-0000-0000-0000802F0000}"/>
    <cellStyle name="Currency 2 2 3 6 3 4" xfId="27929" xr:uid="{00000000-0005-0000-0000-0000812F0000}"/>
    <cellStyle name="Currency 2 2 3 6 4" xfId="11096" xr:uid="{00000000-0005-0000-0000-0000822F0000}"/>
    <cellStyle name="Currency 2 2 3 6 4 2" xfId="31016" xr:uid="{00000000-0005-0000-0000-0000832F0000}"/>
    <cellStyle name="Currency 2 2 3 6 5" xfId="17248" xr:uid="{00000000-0005-0000-0000-0000842F0000}"/>
    <cellStyle name="Currency 2 2 3 6 5 2" xfId="37168" xr:uid="{00000000-0005-0000-0000-0000852F0000}"/>
    <cellStyle name="Currency 2 2 3 6 6" xfId="24863" xr:uid="{00000000-0005-0000-0000-0000862F0000}"/>
    <cellStyle name="Currency 2 2 3 7" xfId="5633" xr:uid="{00000000-0005-0000-0000-0000872F0000}"/>
    <cellStyle name="Currency 2 2 3 7 2" xfId="8734" xr:uid="{00000000-0005-0000-0000-0000882F0000}"/>
    <cellStyle name="Currency 2 2 3 7 2 2" xfId="14927" xr:uid="{00000000-0005-0000-0000-0000892F0000}"/>
    <cellStyle name="Currency 2 2 3 7 2 2 2" xfId="34847" xr:uid="{00000000-0005-0000-0000-00008A2F0000}"/>
    <cellStyle name="Currency 2 2 3 7 2 3" xfId="21079" xr:uid="{00000000-0005-0000-0000-00008B2F0000}"/>
    <cellStyle name="Currency 2 2 3 7 2 3 2" xfId="40999" xr:uid="{00000000-0005-0000-0000-00008C2F0000}"/>
    <cellStyle name="Currency 2 2 3 7 2 4" xfId="28694" xr:uid="{00000000-0005-0000-0000-00008D2F0000}"/>
    <cellStyle name="Currency 2 2 3 7 3" xfId="11861" xr:uid="{00000000-0005-0000-0000-00008E2F0000}"/>
    <cellStyle name="Currency 2 2 3 7 3 2" xfId="31781" xr:uid="{00000000-0005-0000-0000-00008F2F0000}"/>
    <cellStyle name="Currency 2 2 3 7 4" xfId="18013" xr:uid="{00000000-0005-0000-0000-0000902F0000}"/>
    <cellStyle name="Currency 2 2 3 7 4 2" xfId="37933" xr:uid="{00000000-0005-0000-0000-0000912F0000}"/>
    <cellStyle name="Currency 2 2 3 7 5" xfId="25628" xr:uid="{00000000-0005-0000-0000-0000922F0000}"/>
    <cellStyle name="Currency 2 2 3 8" xfId="7199" xr:uid="{00000000-0005-0000-0000-0000932F0000}"/>
    <cellStyle name="Currency 2 2 3 8 2" xfId="13393" xr:uid="{00000000-0005-0000-0000-0000942F0000}"/>
    <cellStyle name="Currency 2 2 3 8 2 2" xfId="33313" xr:uid="{00000000-0005-0000-0000-0000952F0000}"/>
    <cellStyle name="Currency 2 2 3 8 3" xfId="19545" xr:uid="{00000000-0005-0000-0000-0000962F0000}"/>
    <cellStyle name="Currency 2 2 3 8 3 2" xfId="39465" xr:uid="{00000000-0005-0000-0000-0000972F0000}"/>
    <cellStyle name="Currency 2 2 3 8 4" xfId="27160" xr:uid="{00000000-0005-0000-0000-0000982F0000}"/>
    <cellStyle name="Currency 2 2 3 9" xfId="10327" xr:uid="{00000000-0005-0000-0000-0000992F0000}"/>
    <cellStyle name="Currency 2 2 3 9 2" xfId="30247" xr:uid="{00000000-0005-0000-0000-00009A2F0000}"/>
    <cellStyle name="Currency 2 2 4" xfId="3059" xr:uid="{00000000-0005-0000-0000-00009B2F0000}"/>
    <cellStyle name="Currency 2 2 4 2" xfId="4797" xr:uid="{00000000-0005-0000-0000-00009C2F0000}"/>
    <cellStyle name="Currency 2 2 4 2 2" xfId="6422" xr:uid="{00000000-0005-0000-0000-00009D2F0000}"/>
    <cellStyle name="Currency 2 2 4 2 2 2" xfId="9508" xr:uid="{00000000-0005-0000-0000-00009E2F0000}"/>
    <cellStyle name="Currency 2 2 4 2 2 2 2" xfId="15701" xr:uid="{00000000-0005-0000-0000-00009F2F0000}"/>
    <cellStyle name="Currency 2 2 4 2 2 2 2 2" xfId="35621" xr:uid="{00000000-0005-0000-0000-0000A02F0000}"/>
    <cellStyle name="Currency 2 2 4 2 2 2 3" xfId="21853" xr:uid="{00000000-0005-0000-0000-0000A12F0000}"/>
    <cellStyle name="Currency 2 2 4 2 2 2 3 2" xfId="41773" xr:uid="{00000000-0005-0000-0000-0000A22F0000}"/>
    <cellStyle name="Currency 2 2 4 2 2 2 4" xfId="29468" xr:uid="{00000000-0005-0000-0000-0000A32F0000}"/>
    <cellStyle name="Currency 2 2 4 2 2 3" xfId="12635" xr:uid="{00000000-0005-0000-0000-0000A42F0000}"/>
    <cellStyle name="Currency 2 2 4 2 2 3 2" xfId="32555" xr:uid="{00000000-0005-0000-0000-0000A52F0000}"/>
    <cellStyle name="Currency 2 2 4 2 2 4" xfId="18787" xr:uid="{00000000-0005-0000-0000-0000A62F0000}"/>
    <cellStyle name="Currency 2 2 4 2 2 4 2" xfId="38707" xr:uid="{00000000-0005-0000-0000-0000A72F0000}"/>
    <cellStyle name="Currency 2 2 4 2 2 5" xfId="26402" xr:uid="{00000000-0005-0000-0000-0000A82F0000}"/>
    <cellStyle name="Currency 2 2 4 2 3" xfId="7973" xr:uid="{00000000-0005-0000-0000-0000A92F0000}"/>
    <cellStyle name="Currency 2 2 4 2 3 2" xfId="14167" xr:uid="{00000000-0005-0000-0000-0000AA2F0000}"/>
    <cellStyle name="Currency 2 2 4 2 3 2 2" xfId="34087" xr:uid="{00000000-0005-0000-0000-0000AB2F0000}"/>
    <cellStyle name="Currency 2 2 4 2 3 3" xfId="20319" xr:uid="{00000000-0005-0000-0000-0000AC2F0000}"/>
    <cellStyle name="Currency 2 2 4 2 3 3 2" xfId="40239" xr:uid="{00000000-0005-0000-0000-0000AD2F0000}"/>
    <cellStyle name="Currency 2 2 4 2 3 4" xfId="27934" xr:uid="{00000000-0005-0000-0000-0000AE2F0000}"/>
    <cellStyle name="Currency 2 2 4 2 4" xfId="11101" xr:uid="{00000000-0005-0000-0000-0000AF2F0000}"/>
    <cellStyle name="Currency 2 2 4 2 4 2" xfId="31021" xr:uid="{00000000-0005-0000-0000-0000B02F0000}"/>
    <cellStyle name="Currency 2 2 4 2 5" xfId="17253" xr:uid="{00000000-0005-0000-0000-0000B12F0000}"/>
    <cellStyle name="Currency 2 2 4 2 5 2" xfId="37173" xr:uid="{00000000-0005-0000-0000-0000B22F0000}"/>
    <cellStyle name="Currency 2 2 4 2 6" xfId="24868" xr:uid="{00000000-0005-0000-0000-0000B32F0000}"/>
    <cellStyle name="Currency 2 2 4 3" xfId="5638" xr:uid="{00000000-0005-0000-0000-0000B42F0000}"/>
    <cellStyle name="Currency 2 2 4 3 2" xfId="8739" xr:uid="{00000000-0005-0000-0000-0000B52F0000}"/>
    <cellStyle name="Currency 2 2 4 3 2 2" xfId="14932" xr:uid="{00000000-0005-0000-0000-0000B62F0000}"/>
    <cellStyle name="Currency 2 2 4 3 2 2 2" xfId="34852" xr:uid="{00000000-0005-0000-0000-0000B72F0000}"/>
    <cellStyle name="Currency 2 2 4 3 2 3" xfId="21084" xr:uid="{00000000-0005-0000-0000-0000B82F0000}"/>
    <cellStyle name="Currency 2 2 4 3 2 3 2" xfId="41004" xr:uid="{00000000-0005-0000-0000-0000B92F0000}"/>
    <cellStyle name="Currency 2 2 4 3 2 4" xfId="28699" xr:uid="{00000000-0005-0000-0000-0000BA2F0000}"/>
    <cellStyle name="Currency 2 2 4 3 3" xfId="11866" xr:uid="{00000000-0005-0000-0000-0000BB2F0000}"/>
    <cellStyle name="Currency 2 2 4 3 3 2" xfId="31786" xr:uid="{00000000-0005-0000-0000-0000BC2F0000}"/>
    <cellStyle name="Currency 2 2 4 3 4" xfId="18018" xr:uid="{00000000-0005-0000-0000-0000BD2F0000}"/>
    <cellStyle name="Currency 2 2 4 3 4 2" xfId="37938" xr:uid="{00000000-0005-0000-0000-0000BE2F0000}"/>
    <cellStyle name="Currency 2 2 4 3 5" xfId="25633" xr:uid="{00000000-0005-0000-0000-0000BF2F0000}"/>
    <cellStyle name="Currency 2 2 4 4" xfId="7204" xr:uid="{00000000-0005-0000-0000-0000C02F0000}"/>
    <cellStyle name="Currency 2 2 4 4 2" xfId="13398" xr:uid="{00000000-0005-0000-0000-0000C12F0000}"/>
    <cellStyle name="Currency 2 2 4 4 2 2" xfId="33318" xr:uid="{00000000-0005-0000-0000-0000C22F0000}"/>
    <cellStyle name="Currency 2 2 4 4 3" xfId="19550" xr:uid="{00000000-0005-0000-0000-0000C32F0000}"/>
    <cellStyle name="Currency 2 2 4 4 3 2" xfId="39470" xr:uid="{00000000-0005-0000-0000-0000C42F0000}"/>
    <cellStyle name="Currency 2 2 4 4 4" xfId="27165" xr:uid="{00000000-0005-0000-0000-0000C52F0000}"/>
    <cellStyle name="Currency 2 2 4 5" xfId="10332" xr:uid="{00000000-0005-0000-0000-0000C62F0000}"/>
    <cellStyle name="Currency 2 2 4 5 2" xfId="30252" xr:uid="{00000000-0005-0000-0000-0000C72F0000}"/>
    <cellStyle name="Currency 2 2 4 6" xfId="16484" xr:uid="{00000000-0005-0000-0000-0000C82F0000}"/>
    <cellStyle name="Currency 2 2 4 6 2" xfId="36404" xr:uid="{00000000-0005-0000-0000-0000C92F0000}"/>
    <cellStyle name="Currency 2 2 4 7" xfId="24099" xr:uid="{00000000-0005-0000-0000-0000CA2F0000}"/>
    <cellStyle name="Currency 2 2 5" xfId="3060" xr:uid="{00000000-0005-0000-0000-0000CB2F0000}"/>
    <cellStyle name="Currency 2 2 5 2" xfId="4798" xr:uid="{00000000-0005-0000-0000-0000CC2F0000}"/>
    <cellStyle name="Currency 2 2 5 2 2" xfId="6423" xr:uid="{00000000-0005-0000-0000-0000CD2F0000}"/>
    <cellStyle name="Currency 2 2 5 2 2 2" xfId="9509" xr:uid="{00000000-0005-0000-0000-0000CE2F0000}"/>
    <cellStyle name="Currency 2 2 5 2 2 2 2" xfId="15702" xr:uid="{00000000-0005-0000-0000-0000CF2F0000}"/>
    <cellStyle name="Currency 2 2 5 2 2 2 2 2" xfId="35622" xr:uid="{00000000-0005-0000-0000-0000D02F0000}"/>
    <cellStyle name="Currency 2 2 5 2 2 2 3" xfId="21854" xr:uid="{00000000-0005-0000-0000-0000D12F0000}"/>
    <cellStyle name="Currency 2 2 5 2 2 2 3 2" xfId="41774" xr:uid="{00000000-0005-0000-0000-0000D22F0000}"/>
    <cellStyle name="Currency 2 2 5 2 2 2 4" xfId="29469" xr:uid="{00000000-0005-0000-0000-0000D32F0000}"/>
    <cellStyle name="Currency 2 2 5 2 2 3" xfId="12636" xr:uid="{00000000-0005-0000-0000-0000D42F0000}"/>
    <cellStyle name="Currency 2 2 5 2 2 3 2" xfId="32556" xr:uid="{00000000-0005-0000-0000-0000D52F0000}"/>
    <cellStyle name="Currency 2 2 5 2 2 4" xfId="18788" xr:uid="{00000000-0005-0000-0000-0000D62F0000}"/>
    <cellStyle name="Currency 2 2 5 2 2 4 2" xfId="38708" xr:uid="{00000000-0005-0000-0000-0000D72F0000}"/>
    <cellStyle name="Currency 2 2 5 2 2 5" xfId="26403" xr:uid="{00000000-0005-0000-0000-0000D82F0000}"/>
    <cellStyle name="Currency 2 2 5 2 3" xfId="7974" xr:uid="{00000000-0005-0000-0000-0000D92F0000}"/>
    <cellStyle name="Currency 2 2 5 2 3 2" xfId="14168" xr:uid="{00000000-0005-0000-0000-0000DA2F0000}"/>
    <cellStyle name="Currency 2 2 5 2 3 2 2" xfId="34088" xr:uid="{00000000-0005-0000-0000-0000DB2F0000}"/>
    <cellStyle name="Currency 2 2 5 2 3 3" xfId="20320" xr:uid="{00000000-0005-0000-0000-0000DC2F0000}"/>
    <cellStyle name="Currency 2 2 5 2 3 3 2" xfId="40240" xr:uid="{00000000-0005-0000-0000-0000DD2F0000}"/>
    <cellStyle name="Currency 2 2 5 2 3 4" xfId="27935" xr:uid="{00000000-0005-0000-0000-0000DE2F0000}"/>
    <cellStyle name="Currency 2 2 5 2 4" xfId="11102" xr:uid="{00000000-0005-0000-0000-0000DF2F0000}"/>
    <cellStyle name="Currency 2 2 5 2 4 2" xfId="31022" xr:uid="{00000000-0005-0000-0000-0000E02F0000}"/>
    <cellStyle name="Currency 2 2 5 2 5" xfId="17254" xr:uid="{00000000-0005-0000-0000-0000E12F0000}"/>
    <cellStyle name="Currency 2 2 5 2 5 2" xfId="37174" xr:uid="{00000000-0005-0000-0000-0000E22F0000}"/>
    <cellStyle name="Currency 2 2 5 2 6" xfId="24869" xr:uid="{00000000-0005-0000-0000-0000E32F0000}"/>
    <cellStyle name="Currency 2 2 5 3" xfId="5639" xr:uid="{00000000-0005-0000-0000-0000E42F0000}"/>
    <cellStyle name="Currency 2 2 5 3 2" xfId="8740" xr:uid="{00000000-0005-0000-0000-0000E52F0000}"/>
    <cellStyle name="Currency 2 2 5 3 2 2" xfId="14933" xr:uid="{00000000-0005-0000-0000-0000E62F0000}"/>
    <cellStyle name="Currency 2 2 5 3 2 2 2" xfId="34853" xr:uid="{00000000-0005-0000-0000-0000E72F0000}"/>
    <cellStyle name="Currency 2 2 5 3 2 3" xfId="21085" xr:uid="{00000000-0005-0000-0000-0000E82F0000}"/>
    <cellStyle name="Currency 2 2 5 3 2 3 2" xfId="41005" xr:uid="{00000000-0005-0000-0000-0000E92F0000}"/>
    <cellStyle name="Currency 2 2 5 3 2 4" xfId="28700" xr:uid="{00000000-0005-0000-0000-0000EA2F0000}"/>
    <cellStyle name="Currency 2 2 5 3 3" xfId="11867" xr:uid="{00000000-0005-0000-0000-0000EB2F0000}"/>
    <cellStyle name="Currency 2 2 5 3 3 2" xfId="31787" xr:uid="{00000000-0005-0000-0000-0000EC2F0000}"/>
    <cellStyle name="Currency 2 2 5 3 4" xfId="18019" xr:uid="{00000000-0005-0000-0000-0000ED2F0000}"/>
    <cellStyle name="Currency 2 2 5 3 4 2" xfId="37939" xr:uid="{00000000-0005-0000-0000-0000EE2F0000}"/>
    <cellStyle name="Currency 2 2 5 3 5" xfId="25634" xr:uid="{00000000-0005-0000-0000-0000EF2F0000}"/>
    <cellStyle name="Currency 2 2 5 4" xfId="7205" xr:uid="{00000000-0005-0000-0000-0000F02F0000}"/>
    <cellStyle name="Currency 2 2 5 4 2" xfId="13399" xr:uid="{00000000-0005-0000-0000-0000F12F0000}"/>
    <cellStyle name="Currency 2 2 5 4 2 2" xfId="33319" xr:uid="{00000000-0005-0000-0000-0000F22F0000}"/>
    <cellStyle name="Currency 2 2 5 4 3" xfId="19551" xr:uid="{00000000-0005-0000-0000-0000F32F0000}"/>
    <cellStyle name="Currency 2 2 5 4 3 2" xfId="39471" xr:uid="{00000000-0005-0000-0000-0000F42F0000}"/>
    <cellStyle name="Currency 2 2 5 4 4" xfId="27166" xr:uid="{00000000-0005-0000-0000-0000F52F0000}"/>
    <cellStyle name="Currency 2 2 5 5" xfId="10333" xr:uid="{00000000-0005-0000-0000-0000F62F0000}"/>
    <cellStyle name="Currency 2 2 5 5 2" xfId="30253" xr:uid="{00000000-0005-0000-0000-0000F72F0000}"/>
    <cellStyle name="Currency 2 2 5 6" xfId="16485" xr:uid="{00000000-0005-0000-0000-0000F82F0000}"/>
    <cellStyle name="Currency 2 2 5 6 2" xfId="36405" xr:uid="{00000000-0005-0000-0000-0000F92F0000}"/>
    <cellStyle name="Currency 2 2 5 7" xfId="24100" xr:uid="{00000000-0005-0000-0000-0000FA2F0000}"/>
    <cellStyle name="Currency 2 2 6" xfId="3061" xr:uid="{00000000-0005-0000-0000-0000FB2F0000}"/>
    <cellStyle name="Currency 2 2 6 2" xfId="4799" xr:uid="{00000000-0005-0000-0000-0000FC2F0000}"/>
    <cellStyle name="Currency 2 2 6 2 2" xfId="6424" xr:uid="{00000000-0005-0000-0000-0000FD2F0000}"/>
    <cellStyle name="Currency 2 2 6 2 2 2" xfId="9510" xr:uid="{00000000-0005-0000-0000-0000FE2F0000}"/>
    <cellStyle name="Currency 2 2 6 2 2 2 2" xfId="15703" xr:uid="{00000000-0005-0000-0000-0000FF2F0000}"/>
    <cellStyle name="Currency 2 2 6 2 2 2 2 2" xfId="35623" xr:uid="{00000000-0005-0000-0000-000000300000}"/>
    <cellStyle name="Currency 2 2 6 2 2 2 3" xfId="21855" xr:uid="{00000000-0005-0000-0000-000001300000}"/>
    <cellStyle name="Currency 2 2 6 2 2 2 3 2" xfId="41775" xr:uid="{00000000-0005-0000-0000-000002300000}"/>
    <cellStyle name="Currency 2 2 6 2 2 2 4" xfId="29470" xr:uid="{00000000-0005-0000-0000-000003300000}"/>
    <cellStyle name="Currency 2 2 6 2 2 3" xfId="12637" xr:uid="{00000000-0005-0000-0000-000004300000}"/>
    <cellStyle name="Currency 2 2 6 2 2 3 2" xfId="32557" xr:uid="{00000000-0005-0000-0000-000005300000}"/>
    <cellStyle name="Currency 2 2 6 2 2 4" xfId="18789" xr:uid="{00000000-0005-0000-0000-000006300000}"/>
    <cellStyle name="Currency 2 2 6 2 2 4 2" xfId="38709" xr:uid="{00000000-0005-0000-0000-000007300000}"/>
    <cellStyle name="Currency 2 2 6 2 2 5" xfId="26404" xr:uid="{00000000-0005-0000-0000-000008300000}"/>
    <cellStyle name="Currency 2 2 6 2 3" xfId="7975" xr:uid="{00000000-0005-0000-0000-000009300000}"/>
    <cellStyle name="Currency 2 2 6 2 3 2" xfId="14169" xr:uid="{00000000-0005-0000-0000-00000A300000}"/>
    <cellStyle name="Currency 2 2 6 2 3 2 2" xfId="34089" xr:uid="{00000000-0005-0000-0000-00000B300000}"/>
    <cellStyle name="Currency 2 2 6 2 3 3" xfId="20321" xr:uid="{00000000-0005-0000-0000-00000C300000}"/>
    <cellStyle name="Currency 2 2 6 2 3 3 2" xfId="40241" xr:uid="{00000000-0005-0000-0000-00000D300000}"/>
    <cellStyle name="Currency 2 2 6 2 3 4" xfId="27936" xr:uid="{00000000-0005-0000-0000-00000E300000}"/>
    <cellStyle name="Currency 2 2 6 2 4" xfId="11103" xr:uid="{00000000-0005-0000-0000-00000F300000}"/>
    <cellStyle name="Currency 2 2 6 2 4 2" xfId="31023" xr:uid="{00000000-0005-0000-0000-000010300000}"/>
    <cellStyle name="Currency 2 2 6 2 5" xfId="17255" xr:uid="{00000000-0005-0000-0000-000011300000}"/>
    <cellStyle name="Currency 2 2 6 2 5 2" xfId="37175" xr:uid="{00000000-0005-0000-0000-000012300000}"/>
    <cellStyle name="Currency 2 2 6 2 6" xfId="24870" xr:uid="{00000000-0005-0000-0000-000013300000}"/>
    <cellStyle name="Currency 2 2 6 3" xfId="5640" xr:uid="{00000000-0005-0000-0000-000014300000}"/>
    <cellStyle name="Currency 2 2 6 3 2" xfId="8741" xr:uid="{00000000-0005-0000-0000-000015300000}"/>
    <cellStyle name="Currency 2 2 6 3 2 2" xfId="14934" xr:uid="{00000000-0005-0000-0000-000016300000}"/>
    <cellStyle name="Currency 2 2 6 3 2 2 2" xfId="34854" xr:uid="{00000000-0005-0000-0000-000017300000}"/>
    <cellStyle name="Currency 2 2 6 3 2 3" xfId="21086" xr:uid="{00000000-0005-0000-0000-000018300000}"/>
    <cellStyle name="Currency 2 2 6 3 2 3 2" xfId="41006" xr:uid="{00000000-0005-0000-0000-000019300000}"/>
    <cellStyle name="Currency 2 2 6 3 2 4" xfId="28701" xr:uid="{00000000-0005-0000-0000-00001A300000}"/>
    <cellStyle name="Currency 2 2 6 3 3" xfId="11868" xr:uid="{00000000-0005-0000-0000-00001B300000}"/>
    <cellStyle name="Currency 2 2 6 3 3 2" xfId="31788" xr:uid="{00000000-0005-0000-0000-00001C300000}"/>
    <cellStyle name="Currency 2 2 6 3 4" xfId="18020" xr:uid="{00000000-0005-0000-0000-00001D300000}"/>
    <cellStyle name="Currency 2 2 6 3 4 2" xfId="37940" xr:uid="{00000000-0005-0000-0000-00001E300000}"/>
    <cellStyle name="Currency 2 2 6 3 5" xfId="25635" xr:uid="{00000000-0005-0000-0000-00001F300000}"/>
    <cellStyle name="Currency 2 2 6 4" xfId="7206" xr:uid="{00000000-0005-0000-0000-000020300000}"/>
    <cellStyle name="Currency 2 2 6 4 2" xfId="13400" xr:uid="{00000000-0005-0000-0000-000021300000}"/>
    <cellStyle name="Currency 2 2 6 4 2 2" xfId="33320" xr:uid="{00000000-0005-0000-0000-000022300000}"/>
    <cellStyle name="Currency 2 2 6 4 3" xfId="19552" xr:uid="{00000000-0005-0000-0000-000023300000}"/>
    <cellStyle name="Currency 2 2 6 4 3 2" xfId="39472" xr:uid="{00000000-0005-0000-0000-000024300000}"/>
    <cellStyle name="Currency 2 2 6 4 4" xfId="27167" xr:uid="{00000000-0005-0000-0000-000025300000}"/>
    <cellStyle name="Currency 2 2 6 5" xfId="10334" xr:uid="{00000000-0005-0000-0000-000026300000}"/>
    <cellStyle name="Currency 2 2 6 5 2" xfId="30254" xr:uid="{00000000-0005-0000-0000-000027300000}"/>
    <cellStyle name="Currency 2 2 6 6" xfId="16486" xr:uid="{00000000-0005-0000-0000-000028300000}"/>
    <cellStyle name="Currency 2 2 6 6 2" xfId="36406" xr:uid="{00000000-0005-0000-0000-000029300000}"/>
    <cellStyle name="Currency 2 2 6 7" xfId="24101" xr:uid="{00000000-0005-0000-0000-00002A300000}"/>
    <cellStyle name="Currency 2 2 7" xfId="3062" xr:uid="{00000000-0005-0000-0000-00002B300000}"/>
    <cellStyle name="Currency 2 2 7 2" xfId="4800" xr:uid="{00000000-0005-0000-0000-00002C300000}"/>
    <cellStyle name="Currency 2 2 7 2 2" xfId="6425" xr:uid="{00000000-0005-0000-0000-00002D300000}"/>
    <cellStyle name="Currency 2 2 7 2 2 2" xfId="9511" xr:uid="{00000000-0005-0000-0000-00002E300000}"/>
    <cellStyle name="Currency 2 2 7 2 2 2 2" xfId="15704" xr:uid="{00000000-0005-0000-0000-00002F300000}"/>
    <cellStyle name="Currency 2 2 7 2 2 2 2 2" xfId="35624" xr:uid="{00000000-0005-0000-0000-000030300000}"/>
    <cellStyle name="Currency 2 2 7 2 2 2 3" xfId="21856" xr:uid="{00000000-0005-0000-0000-000031300000}"/>
    <cellStyle name="Currency 2 2 7 2 2 2 3 2" xfId="41776" xr:uid="{00000000-0005-0000-0000-000032300000}"/>
    <cellStyle name="Currency 2 2 7 2 2 2 4" xfId="29471" xr:uid="{00000000-0005-0000-0000-000033300000}"/>
    <cellStyle name="Currency 2 2 7 2 2 3" xfId="12638" xr:uid="{00000000-0005-0000-0000-000034300000}"/>
    <cellStyle name="Currency 2 2 7 2 2 3 2" xfId="32558" xr:uid="{00000000-0005-0000-0000-000035300000}"/>
    <cellStyle name="Currency 2 2 7 2 2 4" xfId="18790" xr:uid="{00000000-0005-0000-0000-000036300000}"/>
    <cellStyle name="Currency 2 2 7 2 2 4 2" xfId="38710" xr:uid="{00000000-0005-0000-0000-000037300000}"/>
    <cellStyle name="Currency 2 2 7 2 2 5" xfId="26405" xr:uid="{00000000-0005-0000-0000-000038300000}"/>
    <cellStyle name="Currency 2 2 7 2 3" xfId="7976" xr:uid="{00000000-0005-0000-0000-000039300000}"/>
    <cellStyle name="Currency 2 2 7 2 3 2" xfId="14170" xr:uid="{00000000-0005-0000-0000-00003A300000}"/>
    <cellStyle name="Currency 2 2 7 2 3 2 2" xfId="34090" xr:uid="{00000000-0005-0000-0000-00003B300000}"/>
    <cellStyle name="Currency 2 2 7 2 3 3" xfId="20322" xr:uid="{00000000-0005-0000-0000-00003C300000}"/>
    <cellStyle name="Currency 2 2 7 2 3 3 2" xfId="40242" xr:uid="{00000000-0005-0000-0000-00003D300000}"/>
    <cellStyle name="Currency 2 2 7 2 3 4" xfId="27937" xr:uid="{00000000-0005-0000-0000-00003E300000}"/>
    <cellStyle name="Currency 2 2 7 2 4" xfId="11104" xr:uid="{00000000-0005-0000-0000-00003F300000}"/>
    <cellStyle name="Currency 2 2 7 2 4 2" xfId="31024" xr:uid="{00000000-0005-0000-0000-000040300000}"/>
    <cellStyle name="Currency 2 2 7 2 5" xfId="17256" xr:uid="{00000000-0005-0000-0000-000041300000}"/>
    <cellStyle name="Currency 2 2 7 2 5 2" xfId="37176" xr:uid="{00000000-0005-0000-0000-000042300000}"/>
    <cellStyle name="Currency 2 2 7 2 6" xfId="24871" xr:uid="{00000000-0005-0000-0000-000043300000}"/>
    <cellStyle name="Currency 2 2 7 3" xfId="5641" xr:uid="{00000000-0005-0000-0000-000044300000}"/>
    <cellStyle name="Currency 2 2 7 3 2" xfId="8742" xr:uid="{00000000-0005-0000-0000-000045300000}"/>
    <cellStyle name="Currency 2 2 7 3 2 2" xfId="14935" xr:uid="{00000000-0005-0000-0000-000046300000}"/>
    <cellStyle name="Currency 2 2 7 3 2 2 2" xfId="34855" xr:uid="{00000000-0005-0000-0000-000047300000}"/>
    <cellStyle name="Currency 2 2 7 3 2 3" xfId="21087" xr:uid="{00000000-0005-0000-0000-000048300000}"/>
    <cellStyle name="Currency 2 2 7 3 2 3 2" xfId="41007" xr:uid="{00000000-0005-0000-0000-000049300000}"/>
    <cellStyle name="Currency 2 2 7 3 2 4" xfId="28702" xr:uid="{00000000-0005-0000-0000-00004A300000}"/>
    <cellStyle name="Currency 2 2 7 3 3" xfId="11869" xr:uid="{00000000-0005-0000-0000-00004B300000}"/>
    <cellStyle name="Currency 2 2 7 3 3 2" xfId="31789" xr:uid="{00000000-0005-0000-0000-00004C300000}"/>
    <cellStyle name="Currency 2 2 7 3 4" xfId="18021" xr:uid="{00000000-0005-0000-0000-00004D300000}"/>
    <cellStyle name="Currency 2 2 7 3 4 2" xfId="37941" xr:uid="{00000000-0005-0000-0000-00004E300000}"/>
    <cellStyle name="Currency 2 2 7 3 5" xfId="25636" xr:uid="{00000000-0005-0000-0000-00004F300000}"/>
    <cellStyle name="Currency 2 2 7 4" xfId="7207" xr:uid="{00000000-0005-0000-0000-000050300000}"/>
    <cellStyle name="Currency 2 2 7 4 2" xfId="13401" xr:uid="{00000000-0005-0000-0000-000051300000}"/>
    <cellStyle name="Currency 2 2 7 4 2 2" xfId="33321" xr:uid="{00000000-0005-0000-0000-000052300000}"/>
    <cellStyle name="Currency 2 2 7 4 3" xfId="19553" xr:uid="{00000000-0005-0000-0000-000053300000}"/>
    <cellStyle name="Currency 2 2 7 4 3 2" xfId="39473" xr:uid="{00000000-0005-0000-0000-000054300000}"/>
    <cellStyle name="Currency 2 2 7 4 4" xfId="27168" xr:uid="{00000000-0005-0000-0000-000055300000}"/>
    <cellStyle name="Currency 2 2 7 5" xfId="10335" xr:uid="{00000000-0005-0000-0000-000056300000}"/>
    <cellStyle name="Currency 2 2 7 5 2" xfId="30255" xr:uid="{00000000-0005-0000-0000-000057300000}"/>
    <cellStyle name="Currency 2 2 7 6" xfId="16487" xr:uid="{00000000-0005-0000-0000-000058300000}"/>
    <cellStyle name="Currency 2 2 7 6 2" xfId="36407" xr:uid="{00000000-0005-0000-0000-000059300000}"/>
    <cellStyle name="Currency 2 2 7 7" xfId="24102" xr:uid="{00000000-0005-0000-0000-00005A300000}"/>
    <cellStyle name="Currency 2 2 8" xfId="3063" xr:uid="{00000000-0005-0000-0000-00005B300000}"/>
    <cellStyle name="Currency 2 2 8 2" xfId="4801" xr:uid="{00000000-0005-0000-0000-00005C300000}"/>
    <cellStyle name="Currency 2 2 8 2 2" xfId="6426" xr:uid="{00000000-0005-0000-0000-00005D300000}"/>
    <cellStyle name="Currency 2 2 8 2 2 2" xfId="9512" xr:uid="{00000000-0005-0000-0000-00005E300000}"/>
    <cellStyle name="Currency 2 2 8 2 2 2 2" xfId="15705" xr:uid="{00000000-0005-0000-0000-00005F300000}"/>
    <cellStyle name="Currency 2 2 8 2 2 2 2 2" xfId="35625" xr:uid="{00000000-0005-0000-0000-000060300000}"/>
    <cellStyle name="Currency 2 2 8 2 2 2 3" xfId="21857" xr:uid="{00000000-0005-0000-0000-000061300000}"/>
    <cellStyle name="Currency 2 2 8 2 2 2 3 2" xfId="41777" xr:uid="{00000000-0005-0000-0000-000062300000}"/>
    <cellStyle name="Currency 2 2 8 2 2 2 4" xfId="29472" xr:uid="{00000000-0005-0000-0000-000063300000}"/>
    <cellStyle name="Currency 2 2 8 2 2 3" xfId="12639" xr:uid="{00000000-0005-0000-0000-000064300000}"/>
    <cellStyle name="Currency 2 2 8 2 2 3 2" xfId="32559" xr:uid="{00000000-0005-0000-0000-000065300000}"/>
    <cellStyle name="Currency 2 2 8 2 2 4" xfId="18791" xr:uid="{00000000-0005-0000-0000-000066300000}"/>
    <cellStyle name="Currency 2 2 8 2 2 4 2" xfId="38711" xr:uid="{00000000-0005-0000-0000-000067300000}"/>
    <cellStyle name="Currency 2 2 8 2 2 5" xfId="26406" xr:uid="{00000000-0005-0000-0000-000068300000}"/>
    <cellStyle name="Currency 2 2 8 2 3" xfId="7977" xr:uid="{00000000-0005-0000-0000-000069300000}"/>
    <cellStyle name="Currency 2 2 8 2 3 2" xfId="14171" xr:uid="{00000000-0005-0000-0000-00006A300000}"/>
    <cellStyle name="Currency 2 2 8 2 3 2 2" xfId="34091" xr:uid="{00000000-0005-0000-0000-00006B300000}"/>
    <cellStyle name="Currency 2 2 8 2 3 3" xfId="20323" xr:uid="{00000000-0005-0000-0000-00006C300000}"/>
    <cellStyle name="Currency 2 2 8 2 3 3 2" xfId="40243" xr:uid="{00000000-0005-0000-0000-00006D300000}"/>
    <cellStyle name="Currency 2 2 8 2 3 4" xfId="27938" xr:uid="{00000000-0005-0000-0000-00006E300000}"/>
    <cellStyle name="Currency 2 2 8 2 4" xfId="11105" xr:uid="{00000000-0005-0000-0000-00006F300000}"/>
    <cellStyle name="Currency 2 2 8 2 4 2" xfId="31025" xr:uid="{00000000-0005-0000-0000-000070300000}"/>
    <cellStyle name="Currency 2 2 8 2 5" xfId="17257" xr:uid="{00000000-0005-0000-0000-000071300000}"/>
    <cellStyle name="Currency 2 2 8 2 5 2" xfId="37177" xr:uid="{00000000-0005-0000-0000-000072300000}"/>
    <cellStyle name="Currency 2 2 8 2 6" xfId="24872" xr:uid="{00000000-0005-0000-0000-000073300000}"/>
    <cellStyle name="Currency 2 2 8 3" xfId="5642" xr:uid="{00000000-0005-0000-0000-000074300000}"/>
    <cellStyle name="Currency 2 2 8 3 2" xfId="8743" xr:uid="{00000000-0005-0000-0000-000075300000}"/>
    <cellStyle name="Currency 2 2 8 3 2 2" xfId="14936" xr:uid="{00000000-0005-0000-0000-000076300000}"/>
    <cellStyle name="Currency 2 2 8 3 2 2 2" xfId="34856" xr:uid="{00000000-0005-0000-0000-000077300000}"/>
    <cellStyle name="Currency 2 2 8 3 2 3" xfId="21088" xr:uid="{00000000-0005-0000-0000-000078300000}"/>
    <cellStyle name="Currency 2 2 8 3 2 3 2" xfId="41008" xr:uid="{00000000-0005-0000-0000-000079300000}"/>
    <cellStyle name="Currency 2 2 8 3 2 4" xfId="28703" xr:uid="{00000000-0005-0000-0000-00007A300000}"/>
    <cellStyle name="Currency 2 2 8 3 3" xfId="11870" xr:uid="{00000000-0005-0000-0000-00007B300000}"/>
    <cellStyle name="Currency 2 2 8 3 3 2" xfId="31790" xr:uid="{00000000-0005-0000-0000-00007C300000}"/>
    <cellStyle name="Currency 2 2 8 3 4" xfId="18022" xr:uid="{00000000-0005-0000-0000-00007D300000}"/>
    <cellStyle name="Currency 2 2 8 3 4 2" xfId="37942" xr:uid="{00000000-0005-0000-0000-00007E300000}"/>
    <cellStyle name="Currency 2 2 8 3 5" xfId="25637" xr:uid="{00000000-0005-0000-0000-00007F300000}"/>
    <cellStyle name="Currency 2 2 8 4" xfId="7208" xr:uid="{00000000-0005-0000-0000-000080300000}"/>
    <cellStyle name="Currency 2 2 8 4 2" xfId="13402" xr:uid="{00000000-0005-0000-0000-000081300000}"/>
    <cellStyle name="Currency 2 2 8 4 2 2" xfId="33322" xr:uid="{00000000-0005-0000-0000-000082300000}"/>
    <cellStyle name="Currency 2 2 8 4 3" xfId="19554" xr:uid="{00000000-0005-0000-0000-000083300000}"/>
    <cellStyle name="Currency 2 2 8 4 3 2" xfId="39474" xr:uid="{00000000-0005-0000-0000-000084300000}"/>
    <cellStyle name="Currency 2 2 8 4 4" xfId="27169" xr:uid="{00000000-0005-0000-0000-000085300000}"/>
    <cellStyle name="Currency 2 2 8 5" xfId="10336" xr:uid="{00000000-0005-0000-0000-000086300000}"/>
    <cellStyle name="Currency 2 2 8 5 2" xfId="30256" xr:uid="{00000000-0005-0000-0000-000087300000}"/>
    <cellStyle name="Currency 2 2 8 6" xfId="16488" xr:uid="{00000000-0005-0000-0000-000088300000}"/>
    <cellStyle name="Currency 2 2 8 6 2" xfId="36408" xr:uid="{00000000-0005-0000-0000-000089300000}"/>
    <cellStyle name="Currency 2 2 8 7" xfId="24103" xr:uid="{00000000-0005-0000-0000-00008A300000}"/>
    <cellStyle name="Currency 2 2 9" xfId="3064" xr:uid="{00000000-0005-0000-0000-00008B300000}"/>
    <cellStyle name="Currency 2 2 9 2" xfId="4802" xr:uid="{00000000-0005-0000-0000-00008C300000}"/>
    <cellStyle name="Currency 2 2 9 2 2" xfId="6427" xr:uid="{00000000-0005-0000-0000-00008D300000}"/>
    <cellStyle name="Currency 2 2 9 2 2 2" xfId="9513" xr:uid="{00000000-0005-0000-0000-00008E300000}"/>
    <cellStyle name="Currency 2 2 9 2 2 2 2" xfId="15706" xr:uid="{00000000-0005-0000-0000-00008F300000}"/>
    <cellStyle name="Currency 2 2 9 2 2 2 2 2" xfId="35626" xr:uid="{00000000-0005-0000-0000-000090300000}"/>
    <cellStyle name="Currency 2 2 9 2 2 2 3" xfId="21858" xr:uid="{00000000-0005-0000-0000-000091300000}"/>
    <cellStyle name="Currency 2 2 9 2 2 2 3 2" xfId="41778" xr:uid="{00000000-0005-0000-0000-000092300000}"/>
    <cellStyle name="Currency 2 2 9 2 2 2 4" xfId="29473" xr:uid="{00000000-0005-0000-0000-000093300000}"/>
    <cellStyle name="Currency 2 2 9 2 2 3" xfId="12640" xr:uid="{00000000-0005-0000-0000-000094300000}"/>
    <cellStyle name="Currency 2 2 9 2 2 3 2" xfId="32560" xr:uid="{00000000-0005-0000-0000-000095300000}"/>
    <cellStyle name="Currency 2 2 9 2 2 4" xfId="18792" xr:uid="{00000000-0005-0000-0000-000096300000}"/>
    <cellStyle name="Currency 2 2 9 2 2 4 2" xfId="38712" xr:uid="{00000000-0005-0000-0000-000097300000}"/>
    <cellStyle name="Currency 2 2 9 2 2 5" xfId="26407" xr:uid="{00000000-0005-0000-0000-000098300000}"/>
    <cellStyle name="Currency 2 2 9 2 3" xfId="7978" xr:uid="{00000000-0005-0000-0000-000099300000}"/>
    <cellStyle name="Currency 2 2 9 2 3 2" xfId="14172" xr:uid="{00000000-0005-0000-0000-00009A300000}"/>
    <cellStyle name="Currency 2 2 9 2 3 2 2" xfId="34092" xr:uid="{00000000-0005-0000-0000-00009B300000}"/>
    <cellStyle name="Currency 2 2 9 2 3 3" xfId="20324" xr:uid="{00000000-0005-0000-0000-00009C300000}"/>
    <cellStyle name="Currency 2 2 9 2 3 3 2" xfId="40244" xr:uid="{00000000-0005-0000-0000-00009D300000}"/>
    <cellStyle name="Currency 2 2 9 2 3 4" xfId="27939" xr:uid="{00000000-0005-0000-0000-00009E300000}"/>
    <cellStyle name="Currency 2 2 9 2 4" xfId="11106" xr:uid="{00000000-0005-0000-0000-00009F300000}"/>
    <cellStyle name="Currency 2 2 9 2 4 2" xfId="31026" xr:uid="{00000000-0005-0000-0000-0000A0300000}"/>
    <cellStyle name="Currency 2 2 9 2 5" xfId="17258" xr:uid="{00000000-0005-0000-0000-0000A1300000}"/>
    <cellStyle name="Currency 2 2 9 2 5 2" xfId="37178" xr:uid="{00000000-0005-0000-0000-0000A2300000}"/>
    <cellStyle name="Currency 2 2 9 2 6" xfId="24873" xr:uid="{00000000-0005-0000-0000-0000A3300000}"/>
    <cellStyle name="Currency 2 2 9 3" xfId="5643" xr:uid="{00000000-0005-0000-0000-0000A4300000}"/>
    <cellStyle name="Currency 2 2 9 3 2" xfId="8744" xr:uid="{00000000-0005-0000-0000-0000A5300000}"/>
    <cellStyle name="Currency 2 2 9 3 2 2" xfId="14937" xr:uid="{00000000-0005-0000-0000-0000A6300000}"/>
    <cellStyle name="Currency 2 2 9 3 2 2 2" xfId="34857" xr:uid="{00000000-0005-0000-0000-0000A7300000}"/>
    <cellStyle name="Currency 2 2 9 3 2 3" xfId="21089" xr:uid="{00000000-0005-0000-0000-0000A8300000}"/>
    <cellStyle name="Currency 2 2 9 3 2 3 2" xfId="41009" xr:uid="{00000000-0005-0000-0000-0000A9300000}"/>
    <cellStyle name="Currency 2 2 9 3 2 4" xfId="28704" xr:uid="{00000000-0005-0000-0000-0000AA300000}"/>
    <cellStyle name="Currency 2 2 9 3 3" xfId="11871" xr:uid="{00000000-0005-0000-0000-0000AB300000}"/>
    <cellStyle name="Currency 2 2 9 3 3 2" xfId="31791" xr:uid="{00000000-0005-0000-0000-0000AC300000}"/>
    <cellStyle name="Currency 2 2 9 3 4" xfId="18023" xr:uid="{00000000-0005-0000-0000-0000AD300000}"/>
    <cellStyle name="Currency 2 2 9 3 4 2" xfId="37943" xr:uid="{00000000-0005-0000-0000-0000AE300000}"/>
    <cellStyle name="Currency 2 2 9 3 5" xfId="25638" xr:uid="{00000000-0005-0000-0000-0000AF300000}"/>
    <cellStyle name="Currency 2 2 9 4" xfId="7209" xr:uid="{00000000-0005-0000-0000-0000B0300000}"/>
    <cellStyle name="Currency 2 2 9 4 2" xfId="13403" xr:uid="{00000000-0005-0000-0000-0000B1300000}"/>
    <cellStyle name="Currency 2 2 9 4 2 2" xfId="33323" xr:uid="{00000000-0005-0000-0000-0000B2300000}"/>
    <cellStyle name="Currency 2 2 9 4 3" xfId="19555" xr:uid="{00000000-0005-0000-0000-0000B3300000}"/>
    <cellStyle name="Currency 2 2 9 4 3 2" xfId="39475" xr:uid="{00000000-0005-0000-0000-0000B4300000}"/>
    <cellStyle name="Currency 2 2 9 4 4" xfId="27170" xr:uid="{00000000-0005-0000-0000-0000B5300000}"/>
    <cellStyle name="Currency 2 2 9 5" xfId="10337" xr:uid="{00000000-0005-0000-0000-0000B6300000}"/>
    <cellStyle name="Currency 2 2 9 5 2" xfId="30257" xr:uid="{00000000-0005-0000-0000-0000B7300000}"/>
    <cellStyle name="Currency 2 2 9 6" xfId="16489" xr:uid="{00000000-0005-0000-0000-0000B8300000}"/>
    <cellStyle name="Currency 2 2 9 6 2" xfId="36409" xr:uid="{00000000-0005-0000-0000-0000B9300000}"/>
    <cellStyle name="Currency 2 2 9 7" xfId="24104" xr:uid="{00000000-0005-0000-0000-0000BA300000}"/>
    <cellStyle name="Currency 2 20" xfId="407" xr:uid="{00000000-0005-0000-0000-0000BB300000}"/>
    <cellStyle name="Currency 2 20 2" xfId="3065" xr:uid="{00000000-0005-0000-0000-0000BC300000}"/>
    <cellStyle name="Currency 2 21" xfId="434" xr:uid="{00000000-0005-0000-0000-0000BD300000}"/>
    <cellStyle name="Currency 2 21 2" xfId="3066" xr:uid="{00000000-0005-0000-0000-0000BE300000}"/>
    <cellStyle name="Currency 2 22" xfId="462" xr:uid="{00000000-0005-0000-0000-0000BF300000}"/>
    <cellStyle name="Currency 2 22 2" xfId="3067" xr:uid="{00000000-0005-0000-0000-0000C0300000}"/>
    <cellStyle name="Currency 2 23" xfId="437" xr:uid="{00000000-0005-0000-0000-0000C1300000}"/>
    <cellStyle name="Currency 2 23 2" xfId="3068" xr:uid="{00000000-0005-0000-0000-0000C2300000}"/>
    <cellStyle name="Currency 2 24" xfId="511" xr:uid="{00000000-0005-0000-0000-0000C3300000}"/>
    <cellStyle name="Currency 2 24 2" xfId="3069" xr:uid="{00000000-0005-0000-0000-0000C4300000}"/>
    <cellStyle name="Currency 2 24 3" xfId="3070" xr:uid="{00000000-0005-0000-0000-0000C5300000}"/>
    <cellStyle name="Currency 2 25" xfId="553" xr:uid="{00000000-0005-0000-0000-0000C6300000}"/>
    <cellStyle name="Currency 2 25 2" xfId="3072" xr:uid="{00000000-0005-0000-0000-0000C7300000}"/>
    <cellStyle name="Currency 2 25 3" xfId="3071" xr:uid="{00000000-0005-0000-0000-0000C8300000}"/>
    <cellStyle name="Currency 2 26" xfId="572" xr:uid="{00000000-0005-0000-0000-0000C9300000}"/>
    <cellStyle name="Currency 2 26 2" xfId="3074" xr:uid="{00000000-0005-0000-0000-0000CA300000}"/>
    <cellStyle name="Currency 2 26 3" xfId="3073" xr:uid="{00000000-0005-0000-0000-0000CB300000}"/>
    <cellStyle name="Currency 2 27" xfId="604" xr:uid="{00000000-0005-0000-0000-0000CC300000}"/>
    <cellStyle name="Currency 2 27 2" xfId="4777" xr:uid="{00000000-0005-0000-0000-0000CD300000}"/>
    <cellStyle name="Currency 2 27 2 2" xfId="6402" xr:uid="{00000000-0005-0000-0000-0000CE300000}"/>
    <cellStyle name="Currency 2 27 2 2 2" xfId="9488" xr:uid="{00000000-0005-0000-0000-0000CF300000}"/>
    <cellStyle name="Currency 2 27 2 2 2 2" xfId="15681" xr:uid="{00000000-0005-0000-0000-0000D0300000}"/>
    <cellStyle name="Currency 2 27 2 2 2 2 2" xfId="35601" xr:uid="{00000000-0005-0000-0000-0000D1300000}"/>
    <cellStyle name="Currency 2 27 2 2 2 3" xfId="21833" xr:uid="{00000000-0005-0000-0000-0000D2300000}"/>
    <cellStyle name="Currency 2 27 2 2 2 3 2" xfId="41753" xr:uid="{00000000-0005-0000-0000-0000D3300000}"/>
    <cellStyle name="Currency 2 27 2 2 2 4" xfId="29448" xr:uid="{00000000-0005-0000-0000-0000D4300000}"/>
    <cellStyle name="Currency 2 27 2 2 3" xfId="12615" xr:uid="{00000000-0005-0000-0000-0000D5300000}"/>
    <cellStyle name="Currency 2 27 2 2 3 2" xfId="32535" xr:uid="{00000000-0005-0000-0000-0000D6300000}"/>
    <cellStyle name="Currency 2 27 2 2 4" xfId="18767" xr:uid="{00000000-0005-0000-0000-0000D7300000}"/>
    <cellStyle name="Currency 2 27 2 2 4 2" xfId="38687" xr:uid="{00000000-0005-0000-0000-0000D8300000}"/>
    <cellStyle name="Currency 2 27 2 2 5" xfId="26382" xr:uid="{00000000-0005-0000-0000-0000D9300000}"/>
    <cellStyle name="Currency 2 27 2 3" xfId="7953" xr:uid="{00000000-0005-0000-0000-0000DA300000}"/>
    <cellStyle name="Currency 2 27 2 3 2" xfId="14147" xr:uid="{00000000-0005-0000-0000-0000DB300000}"/>
    <cellStyle name="Currency 2 27 2 3 2 2" xfId="34067" xr:uid="{00000000-0005-0000-0000-0000DC300000}"/>
    <cellStyle name="Currency 2 27 2 3 3" xfId="20299" xr:uid="{00000000-0005-0000-0000-0000DD300000}"/>
    <cellStyle name="Currency 2 27 2 3 3 2" xfId="40219" xr:uid="{00000000-0005-0000-0000-0000DE300000}"/>
    <cellStyle name="Currency 2 27 2 3 4" xfId="27914" xr:uid="{00000000-0005-0000-0000-0000DF300000}"/>
    <cellStyle name="Currency 2 27 2 4" xfId="11081" xr:uid="{00000000-0005-0000-0000-0000E0300000}"/>
    <cellStyle name="Currency 2 27 2 4 2" xfId="31001" xr:uid="{00000000-0005-0000-0000-0000E1300000}"/>
    <cellStyle name="Currency 2 27 2 5" xfId="17233" xr:uid="{00000000-0005-0000-0000-0000E2300000}"/>
    <cellStyle name="Currency 2 27 2 5 2" xfId="37153" xr:uid="{00000000-0005-0000-0000-0000E3300000}"/>
    <cellStyle name="Currency 2 27 2 6" xfId="24848" xr:uid="{00000000-0005-0000-0000-0000E4300000}"/>
    <cellStyle name="Currency 2 27 3" xfId="5618" xr:uid="{00000000-0005-0000-0000-0000E5300000}"/>
    <cellStyle name="Currency 2 27 3 2" xfId="8719" xr:uid="{00000000-0005-0000-0000-0000E6300000}"/>
    <cellStyle name="Currency 2 27 3 2 2" xfId="14912" xr:uid="{00000000-0005-0000-0000-0000E7300000}"/>
    <cellStyle name="Currency 2 27 3 2 2 2" xfId="34832" xr:uid="{00000000-0005-0000-0000-0000E8300000}"/>
    <cellStyle name="Currency 2 27 3 2 3" xfId="21064" xr:uid="{00000000-0005-0000-0000-0000E9300000}"/>
    <cellStyle name="Currency 2 27 3 2 3 2" xfId="40984" xr:uid="{00000000-0005-0000-0000-0000EA300000}"/>
    <cellStyle name="Currency 2 27 3 2 4" xfId="28679" xr:uid="{00000000-0005-0000-0000-0000EB300000}"/>
    <cellStyle name="Currency 2 27 3 3" xfId="11846" xr:uid="{00000000-0005-0000-0000-0000EC300000}"/>
    <cellStyle name="Currency 2 27 3 3 2" xfId="31766" xr:uid="{00000000-0005-0000-0000-0000ED300000}"/>
    <cellStyle name="Currency 2 27 3 4" xfId="17998" xr:uid="{00000000-0005-0000-0000-0000EE300000}"/>
    <cellStyle name="Currency 2 27 3 4 2" xfId="37918" xr:uid="{00000000-0005-0000-0000-0000EF300000}"/>
    <cellStyle name="Currency 2 27 3 5" xfId="25613" xr:uid="{00000000-0005-0000-0000-0000F0300000}"/>
    <cellStyle name="Currency 2 27 4" xfId="7184" xr:uid="{00000000-0005-0000-0000-0000F1300000}"/>
    <cellStyle name="Currency 2 27 4 2" xfId="13378" xr:uid="{00000000-0005-0000-0000-0000F2300000}"/>
    <cellStyle name="Currency 2 27 4 2 2" xfId="33298" xr:uid="{00000000-0005-0000-0000-0000F3300000}"/>
    <cellStyle name="Currency 2 27 4 3" xfId="19530" xr:uid="{00000000-0005-0000-0000-0000F4300000}"/>
    <cellStyle name="Currency 2 27 4 3 2" xfId="39450" xr:uid="{00000000-0005-0000-0000-0000F5300000}"/>
    <cellStyle name="Currency 2 27 4 4" xfId="27145" xr:uid="{00000000-0005-0000-0000-0000F6300000}"/>
    <cellStyle name="Currency 2 27 5" xfId="10312" xr:uid="{00000000-0005-0000-0000-0000F7300000}"/>
    <cellStyle name="Currency 2 27 5 2" xfId="30232" xr:uid="{00000000-0005-0000-0000-0000F8300000}"/>
    <cellStyle name="Currency 2 27 6" xfId="16464" xr:uid="{00000000-0005-0000-0000-0000F9300000}"/>
    <cellStyle name="Currency 2 27 6 2" xfId="36384" xr:uid="{00000000-0005-0000-0000-0000FA300000}"/>
    <cellStyle name="Currency 2 27 7" xfId="3027" xr:uid="{00000000-0005-0000-0000-0000FB300000}"/>
    <cellStyle name="Currency 2 27 7 2" xfId="24079" xr:uid="{00000000-0005-0000-0000-0000FC300000}"/>
    <cellStyle name="Currency 2 28" xfId="631" xr:uid="{00000000-0005-0000-0000-0000FD300000}"/>
    <cellStyle name="Currency 2 28 2" xfId="10104" xr:uid="{00000000-0005-0000-0000-0000FE300000}"/>
    <cellStyle name="Currency 2 29" xfId="657" xr:uid="{00000000-0005-0000-0000-0000FF300000}"/>
    <cellStyle name="Currency 2 3" xfId="19" xr:uid="{00000000-0005-0000-0000-000000310000}"/>
    <cellStyle name="Currency 2 3 2" xfId="3076" xr:uid="{00000000-0005-0000-0000-000001310000}"/>
    <cellStyle name="Currency 2 3 3" xfId="4537" xr:uid="{00000000-0005-0000-0000-000002310000}"/>
    <cellStyle name="Currency 2 3 4" xfId="3075" xr:uid="{00000000-0005-0000-0000-000003310000}"/>
    <cellStyle name="Currency 2 3 5" xfId="10137" xr:uid="{00000000-0005-0000-0000-000004310000}"/>
    <cellStyle name="Currency 2 30" xfId="681" xr:uid="{00000000-0005-0000-0000-000005310000}"/>
    <cellStyle name="Currency 2 4" xfId="128" xr:uid="{00000000-0005-0000-0000-000006310000}"/>
    <cellStyle name="Currency 2 4 2" xfId="4538" xr:uid="{00000000-0005-0000-0000-000007310000}"/>
    <cellStyle name="Currency 2 4 3" xfId="3077" xr:uid="{00000000-0005-0000-0000-000008310000}"/>
    <cellStyle name="Currency 2 5" xfId="146" xr:uid="{00000000-0005-0000-0000-000009310000}"/>
    <cellStyle name="Currency 2 6" xfId="141" xr:uid="{00000000-0005-0000-0000-00000A310000}"/>
    <cellStyle name="Currency 2 6 2" xfId="4539" xr:uid="{00000000-0005-0000-0000-00000B310000}"/>
    <cellStyle name="Currency 2 6 3" xfId="3078" xr:uid="{00000000-0005-0000-0000-00000C310000}"/>
    <cellStyle name="Currency 2 7" xfId="159" xr:uid="{00000000-0005-0000-0000-00000D310000}"/>
    <cellStyle name="Currency 2 7 2" xfId="4540" xr:uid="{00000000-0005-0000-0000-00000E310000}"/>
    <cellStyle name="Currency 2 7 3" xfId="3079" xr:uid="{00000000-0005-0000-0000-00000F310000}"/>
    <cellStyle name="Currency 2 8" xfId="209" xr:uid="{00000000-0005-0000-0000-000010310000}"/>
    <cellStyle name="Currency 2 8 2" xfId="4541" xr:uid="{00000000-0005-0000-0000-000011310000}"/>
    <cellStyle name="Currency 2 8 3" xfId="3080" xr:uid="{00000000-0005-0000-0000-000012310000}"/>
    <cellStyle name="Currency 2 9" xfId="163" xr:uid="{00000000-0005-0000-0000-000013310000}"/>
    <cellStyle name="Currency 2 9 2" xfId="4542" xr:uid="{00000000-0005-0000-0000-000014310000}"/>
    <cellStyle name="Currency 2 9 3" xfId="3081" xr:uid="{00000000-0005-0000-0000-000015310000}"/>
    <cellStyle name="Currency 20" xfId="3082" xr:uid="{00000000-0005-0000-0000-000016310000}"/>
    <cellStyle name="Currency 20 2" xfId="3083" xr:uid="{00000000-0005-0000-0000-000017310000}"/>
    <cellStyle name="Currency 20 3" xfId="3084" xr:uid="{00000000-0005-0000-0000-000018310000}"/>
    <cellStyle name="Currency 21" xfId="3085" xr:uid="{00000000-0005-0000-0000-000019310000}"/>
    <cellStyle name="Currency 22" xfId="3086" xr:uid="{00000000-0005-0000-0000-00001A310000}"/>
    <cellStyle name="Currency 23" xfId="3087" xr:uid="{00000000-0005-0000-0000-00001B310000}"/>
    <cellStyle name="Currency 24" xfId="3088" xr:uid="{00000000-0005-0000-0000-00001C310000}"/>
    <cellStyle name="Currency 25" xfId="3089" xr:uid="{00000000-0005-0000-0000-00001D310000}"/>
    <cellStyle name="Currency 26" xfId="3090" xr:uid="{00000000-0005-0000-0000-00001E310000}"/>
    <cellStyle name="Currency 27" xfId="3091" xr:uid="{00000000-0005-0000-0000-00001F310000}"/>
    <cellStyle name="Currency 28" xfId="3092" xr:uid="{00000000-0005-0000-0000-000020310000}"/>
    <cellStyle name="Currency 29" xfId="3093" xr:uid="{00000000-0005-0000-0000-000021310000}"/>
    <cellStyle name="Currency 3" xfId="13" xr:uid="{00000000-0005-0000-0000-000022310000}"/>
    <cellStyle name="Currency 3 10" xfId="207" xr:uid="{00000000-0005-0000-0000-000023310000}"/>
    <cellStyle name="Currency 3 10 2" xfId="4803" xr:uid="{00000000-0005-0000-0000-000024310000}"/>
    <cellStyle name="Currency 3 10 2 2" xfId="6428" xr:uid="{00000000-0005-0000-0000-000025310000}"/>
    <cellStyle name="Currency 3 10 2 2 2" xfId="9514" xr:uid="{00000000-0005-0000-0000-000026310000}"/>
    <cellStyle name="Currency 3 10 2 2 2 2" xfId="15707" xr:uid="{00000000-0005-0000-0000-000027310000}"/>
    <cellStyle name="Currency 3 10 2 2 2 2 2" xfId="35627" xr:uid="{00000000-0005-0000-0000-000028310000}"/>
    <cellStyle name="Currency 3 10 2 2 2 3" xfId="21859" xr:uid="{00000000-0005-0000-0000-000029310000}"/>
    <cellStyle name="Currency 3 10 2 2 2 3 2" xfId="41779" xr:uid="{00000000-0005-0000-0000-00002A310000}"/>
    <cellStyle name="Currency 3 10 2 2 2 4" xfId="29474" xr:uid="{00000000-0005-0000-0000-00002B310000}"/>
    <cellStyle name="Currency 3 10 2 2 3" xfId="12641" xr:uid="{00000000-0005-0000-0000-00002C310000}"/>
    <cellStyle name="Currency 3 10 2 2 3 2" xfId="32561" xr:uid="{00000000-0005-0000-0000-00002D310000}"/>
    <cellStyle name="Currency 3 10 2 2 4" xfId="18793" xr:uid="{00000000-0005-0000-0000-00002E310000}"/>
    <cellStyle name="Currency 3 10 2 2 4 2" xfId="38713" xr:uid="{00000000-0005-0000-0000-00002F310000}"/>
    <cellStyle name="Currency 3 10 2 2 5" xfId="26408" xr:uid="{00000000-0005-0000-0000-000030310000}"/>
    <cellStyle name="Currency 3 10 2 3" xfId="7979" xr:uid="{00000000-0005-0000-0000-000031310000}"/>
    <cellStyle name="Currency 3 10 2 3 2" xfId="14173" xr:uid="{00000000-0005-0000-0000-000032310000}"/>
    <cellStyle name="Currency 3 10 2 3 2 2" xfId="34093" xr:uid="{00000000-0005-0000-0000-000033310000}"/>
    <cellStyle name="Currency 3 10 2 3 3" xfId="20325" xr:uid="{00000000-0005-0000-0000-000034310000}"/>
    <cellStyle name="Currency 3 10 2 3 3 2" xfId="40245" xr:uid="{00000000-0005-0000-0000-000035310000}"/>
    <cellStyle name="Currency 3 10 2 3 4" xfId="27940" xr:uid="{00000000-0005-0000-0000-000036310000}"/>
    <cellStyle name="Currency 3 10 2 4" xfId="11107" xr:uid="{00000000-0005-0000-0000-000037310000}"/>
    <cellStyle name="Currency 3 10 2 4 2" xfId="31027" xr:uid="{00000000-0005-0000-0000-000038310000}"/>
    <cellStyle name="Currency 3 10 2 5" xfId="17259" xr:uid="{00000000-0005-0000-0000-000039310000}"/>
    <cellStyle name="Currency 3 10 2 5 2" xfId="37179" xr:uid="{00000000-0005-0000-0000-00003A310000}"/>
    <cellStyle name="Currency 3 10 2 6" xfId="24874" xr:uid="{00000000-0005-0000-0000-00003B310000}"/>
    <cellStyle name="Currency 3 10 3" xfId="5644" xr:uid="{00000000-0005-0000-0000-00003C310000}"/>
    <cellStyle name="Currency 3 10 3 2" xfId="8745" xr:uid="{00000000-0005-0000-0000-00003D310000}"/>
    <cellStyle name="Currency 3 10 3 2 2" xfId="14938" xr:uid="{00000000-0005-0000-0000-00003E310000}"/>
    <cellStyle name="Currency 3 10 3 2 2 2" xfId="34858" xr:uid="{00000000-0005-0000-0000-00003F310000}"/>
    <cellStyle name="Currency 3 10 3 2 3" xfId="21090" xr:uid="{00000000-0005-0000-0000-000040310000}"/>
    <cellStyle name="Currency 3 10 3 2 3 2" xfId="41010" xr:uid="{00000000-0005-0000-0000-000041310000}"/>
    <cellStyle name="Currency 3 10 3 2 4" xfId="28705" xr:uid="{00000000-0005-0000-0000-000042310000}"/>
    <cellStyle name="Currency 3 10 3 3" xfId="11872" xr:uid="{00000000-0005-0000-0000-000043310000}"/>
    <cellStyle name="Currency 3 10 3 3 2" xfId="31792" xr:uid="{00000000-0005-0000-0000-000044310000}"/>
    <cellStyle name="Currency 3 10 3 4" xfId="18024" xr:uid="{00000000-0005-0000-0000-000045310000}"/>
    <cellStyle name="Currency 3 10 3 4 2" xfId="37944" xr:uid="{00000000-0005-0000-0000-000046310000}"/>
    <cellStyle name="Currency 3 10 3 5" xfId="25639" xr:uid="{00000000-0005-0000-0000-000047310000}"/>
    <cellStyle name="Currency 3 10 4" xfId="7210" xr:uid="{00000000-0005-0000-0000-000048310000}"/>
    <cellStyle name="Currency 3 10 4 2" xfId="13404" xr:uid="{00000000-0005-0000-0000-000049310000}"/>
    <cellStyle name="Currency 3 10 4 2 2" xfId="33324" xr:uid="{00000000-0005-0000-0000-00004A310000}"/>
    <cellStyle name="Currency 3 10 4 3" xfId="19556" xr:uid="{00000000-0005-0000-0000-00004B310000}"/>
    <cellStyle name="Currency 3 10 4 3 2" xfId="39476" xr:uid="{00000000-0005-0000-0000-00004C310000}"/>
    <cellStyle name="Currency 3 10 4 4" xfId="27171" xr:uid="{00000000-0005-0000-0000-00004D310000}"/>
    <cellStyle name="Currency 3 10 5" xfId="10338" xr:uid="{00000000-0005-0000-0000-00004E310000}"/>
    <cellStyle name="Currency 3 10 5 2" xfId="30258" xr:uid="{00000000-0005-0000-0000-00004F310000}"/>
    <cellStyle name="Currency 3 10 6" xfId="16490" xr:uid="{00000000-0005-0000-0000-000050310000}"/>
    <cellStyle name="Currency 3 10 6 2" xfId="36410" xr:uid="{00000000-0005-0000-0000-000051310000}"/>
    <cellStyle name="Currency 3 10 7" xfId="3094" xr:uid="{00000000-0005-0000-0000-000052310000}"/>
    <cellStyle name="Currency 3 10 7 2" xfId="24105" xr:uid="{00000000-0005-0000-0000-000053310000}"/>
    <cellStyle name="Currency 3 11" xfId="221" xr:uid="{00000000-0005-0000-0000-000054310000}"/>
    <cellStyle name="Currency 3 11 2" xfId="4804" xr:uid="{00000000-0005-0000-0000-000055310000}"/>
    <cellStyle name="Currency 3 11 2 2" xfId="6429" xr:uid="{00000000-0005-0000-0000-000056310000}"/>
    <cellStyle name="Currency 3 11 2 2 2" xfId="9515" xr:uid="{00000000-0005-0000-0000-000057310000}"/>
    <cellStyle name="Currency 3 11 2 2 2 2" xfId="15708" xr:uid="{00000000-0005-0000-0000-000058310000}"/>
    <cellStyle name="Currency 3 11 2 2 2 2 2" xfId="35628" xr:uid="{00000000-0005-0000-0000-000059310000}"/>
    <cellStyle name="Currency 3 11 2 2 2 3" xfId="21860" xr:uid="{00000000-0005-0000-0000-00005A310000}"/>
    <cellStyle name="Currency 3 11 2 2 2 3 2" xfId="41780" xr:uid="{00000000-0005-0000-0000-00005B310000}"/>
    <cellStyle name="Currency 3 11 2 2 2 4" xfId="29475" xr:uid="{00000000-0005-0000-0000-00005C310000}"/>
    <cellStyle name="Currency 3 11 2 2 3" xfId="12642" xr:uid="{00000000-0005-0000-0000-00005D310000}"/>
    <cellStyle name="Currency 3 11 2 2 3 2" xfId="32562" xr:uid="{00000000-0005-0000-0000-00005E310000}"/>
    <cellStyle name="Currency 3 11 2 2 4" xfId="18794" xr:uid="{00000000-0005-0000-0000-00005F310000}"/>
    <cellStyle name="Currency 3 11 2 2 4 2" xfId="38714" xr:uid="{00000000-0005-0000-0000-000060310000}"/>
    <cellStyle name="Currency 3 11 2 2 5" xfId="26409" xr:uid="{00000000-0005-0000-0000-000061310000}"/>
    <cellStyle name="Currency 3 11 2 3" xfId="7980" xr:uid="{00000000-0005-0000-0000-000062310000}"/>
    <cellStyle name="Currency 3 11 2 3 2" xfId="14174" xr:uid="{00000000-0005-0000-0000-000063310000}"/>
    <cellStyle name="Currency 3 11 2 3 2 2" xfId="34094" xr:uid="{00000000-0005-0000-0000-000064310000}"/>
    <cellStyle name="Currency 3 11 2 3 3" xfId="20326" xr:uid="{00000000-0005-0000-0000-000065310000}"/>
    <cellStyle name="Currency 3 11 2 3 3 2" xfId="40246" xr:uid="{00000000-0005-0000-0000-000066310000}"/>
    <cellStyle name="Currency 3 11 2 3 4" xfId="27941" xr:uid="{00000000-0005-0000-0000-000067310000}"/>
    <cellStyle name="Currency 3 11 2 4" xfId="11108" xr:uid="{00000000-0005-0000-0000-000068310000}"/>
    <cellStyle name="Currency 3 11 2 4 2" xfId="31028" xr:uid="{00000000-0005-0000-0000-000069310000}"/>
    <cellStyle name="Currency 3 11 2 5" xfId="17260" xr:uid="{00000000-0005-0000-0000-00006A310000}"/>
    <cellStyle name="Currency 3 11 2 5 2" xfId="37180" xr:uid="{00000000-0005-0000-0000-00006B310000}"/>
    <cellStyle name="Currency 3 11 2 6" xfId="24875" xr:uid="{00000000-0005-0000-0000-00006C310000}"/>
    <cellStyle name="Currency 3 11 3" xfId="5645" xr:uid="{00000000-0005-0000-0000-00006D310000}"/>
    <cellStyle name="Currency 3 11 3 2" xfId="8746" xr:uid="{00000000-0005-0000-0000-00006E310000}"/>
    <cellStyle name="Currency 3 11 3 2 2" xfId="14939" xr:uid="{00000000-0005-0000-0000-00006F310000}"/>
    <cellStyle name="Currency 3 11 3 2 2 2" xfId="34859" xr:uid="{00000000-0005-0000-0000-000070310000}"/>
    <cellStyle name="Currency 3 11 3 2 3" xfId="21091" xr:uid="{00000000-0005-0000-0000-000071310000}"/>
    <cellStyle name="Currency 3 11 3 2 3 2" xfId="41011" xr:uid="{00000000-0005-0000-0000-000072310000}"/>
    <cellStyle name="Currency 3 11 3 2 4" xfId="28706" xr:uid="{00000000-0005-0000-0000-000073310000}"/>
    <cellStyle name="Currency 3 11 3 3" xfId="11873" xr:uid="{00000000-0005-0000-0000-000074310000}"/>
    <cellStyle name="Currency 3 11 3 3 2" xfId="31793" xr:uid="{00000000-0005-0000-0000-000075310000}"/>
    <cellStyle name="Currency 3 11 3 4" xfId="18025" xr:uid="{00000000-0005-0000-0000-000076310000}"/>
    <cellStyle name="Currency 3 11 3 4 2" xfId="37945" xr:uid="{00000000-0005-0000-0000-000077310000}"/>
    <cellStyle name="Currency 3 11 3 5" xfId="25640" xr:uid="{00000000-0005-0000-0000-000078310000}"/>
    <cellStyle name="Currency 3 11 4" xfId="7211" xr:uid="{00000000-0005-0000-0000-000079310000}"/>
    <cellStyle name="Currency 3 11 4 2" xfId="13405" xr:uid="{00000000-0005-0000-0000-00007A310000}"/>
    <cellStyle name="Currency 3 11 4 2 2" xfId="33325" xr:uid="{00000000-0005-0000-0000-00007B310000}"/>
    <cellStyle name="Currency 3 11 4 3" xfId="19557" xr:uid="{00000000-0005-0000-0000-00007C310000}"/>
    <cellStyle name="Currency 3 11 4 3 2" xfId="39477" xr:uid="{00000000-0005-0000-0000-00007D310000}"/>
    <cellStyle name="Currency 3 11 4 4" xfId="27172" xr:uid="{00000000-0005-0000-0000-00007E310000}"/>
    <cellStyle name="Currency 3 11 5" xfId="10339" xr:uid="{00000000-0005-0000-0000-00007F310000}"/>
    <cellStyle name="Currency 3 11 5 2" xfId="30259" xr:uid="{00000000-0005-0000-0000-000080310000}"/>
    <cellStyle name="Currency 3 11 6" xfId="16491" xr:uid="{00000000-0005-0000-0000-000081310000}"/>
    <cellStyle name="Currency 3 11 6 2" xfId="36411" xr:uid="{00000000-0005-0000-0000-000082310000}"/>
    <cellStyle name="Currency 3 11 7" xfId="3095" xr:uid="{00000000-0005-0000-0000-000083310000}"/>
    <cellStyle name="Currency 3 11 7 2" xfId="24106" xr:uid="{00000000-0005-0000-0000-000084310000}"/>
    <cellStyle name="Currency 3 12" xfId="240" xr:uid="{00000000-0005-0000-0000-000085310000}"/>
    <cellStyle name="Currency 3 12 2" xfId="4805" xr:uid="{00000000-0005-0000-0000-000086310000}"/>
    <cellStyle name="Currency 3 12 2 2" xfId="6430" xr:uid="{00000000-0005-0000-0000-000087310000}"/>
    <cellStyle name="Currency 3 12 2 2 2" xfId="9516" xr:uid="{00000000-0005-0000-0000-000088310000}"/>
    <cellStyle name="Currency 3 12 2 2 2 2" xfId="15709" xr:uid="{00000000-0005-0000-0000-000089310000}"/>
    <cellStyle name="Currency 3 12 2 2 2 2 2" xfId="35629" xr:uid="{00000000-0005-0000-0000-00008A310000}"/>
    <cellStyle name="Currency 3 12 2 2 2 3" xfId="21861" xr:uid="{00000000-0005-0000-0000-00008B310000}"/>
    <cellStyle name="Currency 3 12 2 2 2 3 2" xfId="41781" xr:uid="{00000000-0005-0000-0000-00008C310000}"/>
    <cellStyle name="Currency 3 12 2 2 2 4" xfId="29476" xr:uid="{00000000-0005-0000-0000-00008D310000}"/>
    <cellStyle name="Currency 3 12 2 2 3" xfId="12643" xr:uid="{00000000-0005-0000-0000-00008E310000}"/>
    <cellStyle name="Currency 3 12 2 2 3 2" xfId="32563" xr:uid="{00000000-0005-0000-0000-00008F310000}"/>
    <cellStyle name="Currency 3 12 2 2 4" xfId="18795" xr:uid="{00000000-0005-0000-0000-000090310000}"/>
    <cellStyle name="Currency 3 12 2 2 4 2" xfId="38715" xr:uid="{00000000-0005-0000-0000-000091310000}"/>
    <cellStyle name="Currency 3 12 2 2 5" xfId="26410" xr:uid="{00000000-0005-0000-0000-000092310000}"/>
    <cellStyle name="Currency 3 12 2 3" xfId="7981" xr:uid="{00000000-0005-0000-0000-000093310000}"/>
    <cellStyle name="Currency 3 12 2 3 2" xfId="14175" xr:uid="{00000000-0005-0000-0000-000094310000}"/>
    <cellStyle name="Currency 3 12 2 3 2 2" xfId="34095" xr:uid="{00000000-0005-0000-0000-000095310000}"/>
    <cellStyle name="Currency 3 12 2 3 3" xfId="20327" xr:uid="{00000000-0005-0000-0000-000096310000}"/>
    <cellStyle name="Currency 3 12 2 3 3 2" xfId="40247" xr:uid="{00000000-0005-0000-0000-000097310000}"/>
    <cellStyle name="Currency 3 12 2 3 4" xfId="27942" xr:uid="{00000000-0005-0000-0000-000098310000}"/>
    <cellStyle name="Currency 3 12 2 4" xfId="11109" xr:uid="{00000000-0005-0000-0000-000099310000}"/>
    <cellStyle name="Currency 3 12 2 4 2" xfId="31029" xr:uid="{00000000-0005-0000-0000-00009A310000}"/>
    <cellStyle name="Currency 3 12 2 5" xfId="17261" xr:uid="{00000000-0005-0000-0000-00009B310000}"/>
    <cellStyle name="Currency 3 12 2 5 2" xfId="37181" xr:uid="{00000000-0005-0000-0000-00009C310000}"/>
    <cellStyle name="Currency 3 12 2 6" xfId="24876" xr:uid="{00000000-0005-0000-0000-00009D310000}"/>
    <cellStyle name="Currency 3 12 3" xfId="5646" xr:uid="{00000000-0005-0000-0000-00009E310000}"/>
    <cellStyle name="Currency 3 12 3 2" xfId="8747" xr:uid="{00000000-0005-0000-0000-00009F310000}"/>
    <cellStyle name="Currency 3 12 3 2 2" xfId="14940" xr:uid="{00000000-0005-0000-0000-0000A0310000}"/>
    <cellStyle name="Currency 3 12 3 2 2 2" xfId="34860" xr:uid="{00000000-0005-0000-0000-0000A1310000}"/>
    <cellStyle name="Currency 3 12 3 2 3" xfId="21092" xr:uid="{00000000-0005-0000-0000-0000A2310000}"/>
    <cellStyle name="Currency 3 12 3 2 3 2" xfId="41012" xr:uid="{00000000-0005-0000-0000-0000A3310000}"/>
    <cellStyle name="Currency 3 12 3 2 4" xfId="28707" xr:uid="{00000000-0005-0000-0000-0000A4310000}"/>
    <cellStyle name="Currency 3 12 3 3" xfId="11874" xr:uid="{00000000-0005-0000-0000-0000A5310000}"/>
    <cellStyle name="Currency 3 12 3 3 2" xfId="31794" xr:uid="{00000000-0005-0000-0000-0000A6310000}"/>
    <cellStyle name="Currency 3 12 3 4" xfId="18026" xr:uid="{00000000-0005-0000-0000-0000A7310000}"/>
    <cellStyle name="Currency 3 12 3 4 2" xfId="37946" xr:uid="{00000000-0005-0000-0000-0000A8310000}"/>
    <cellStyle name="Currency 3 12 3 5" xfId="25641" xr:uid="{00000000-0005-0000-0000-0000A9310000}"/>
    <cellStyle name="Currency 3 12 4" xfId="7212" xr:uid="{00000000-0005-0000-0000-0000AA310000}"/>
    <cellStyle name="Currency 3 12 4 2" xfId="13406" xr:uid="{00000000-0005-0000-0000-0000AB310000}"/>
    <cellStyle name="Currency 3 12 4 2 2" xfId="33326" xr:uid="{00000000-0005-0000-0000-0000AC310000}"/>
    <cellStyle name="Currency 3 12 4 3" xfId="19558" xr:uid="{00000000-0005-0000-0000-0000AD310000}"/>
    <cellStyle name="Currency 3 12 4 3 2" xfId="39478" xr:uid="{00000000-0005-0000-0000-0000AE310000}"/>
    <cellStyle name="Currency 3 12 4 4" xfId="27173" xr:uid="{00000000-0005-0000-0000-0000AF310000}"/>
    <cellStyle name="Currency 3 12 5" xfId="10340" xr:uid="{00000000-0005-0000-0000-0000B0310000}"/>
    <cellStyle name="Currency 3 12 5 2" xfId="30260" xr:uid="{00000000-0005-0000-0000-0000B1310000}"/>
    <cellStyle name="Currency 3 12 6" xfId="16492" xr:uid="{00000000-0005-0000-0000-0000B2310000}"/>
    <cellStyle name="Currency 3 12 6 2" xfId="36412" xr:uid="{00000000-0005-0000-0000-0000B3310000}"/>
    <cellStyle name="Currency 3 12 7" xfId="3096" xr:uid="{00000000-0005-0000-0000-0000B4310000}"/>
    <cellStyle name="Currency 3 12 7 2" xfId="24107" xr:uid="{00000000-0005-0000-0000-0000B5310000}"/>
    <cellStyle name="Currency 3 13" xfId="255" xr:uid="{00000000-0005-0000-0000-0000B6310000}"/>
    <cellStyle name="Currency 3 13 2" xfId="4806" xr:uid="{00000000-0005-0000-0000-0000B7310000}"/>
    <cellStyle name="Currency 3 13 2 2" xfId="6431" xr:uid="{00000000-0005-0000-0000-0000B8310000}"/>
    <cellStyle name="Currency 3 13 2 2 2" xfId="9517" xr:uid="{00000000-0005-0000-0000-0000B9310000}"/>
    <cellStyle name="Currency 3 13 2 2 2 2" xfId="15710" xr:uid="{00000000-0005-0000-0000-0000BA310000}"/>
    <cellStyle name="Currency 3 13 2 2 2 2 2" xfId="35630" xr:uid="{00000000-0005-0000-0000-0000BB310000}"/>
    <cellStyle name="Currency 3 13 2 2 2 3" xfId="21862" xr:uid="{00000000-0005-0000-0000-0000BC310000}"/>
    <cellStyle name="Currency 3 13 2 2 2 3 2" xfId="41782" xr:uid="{00000000-0005-0000-0000-0000BD310000}"/>
    <cellStyle name="Currency 3 13 2 2 2 4" xfId="29477" xr:uid="{00000000-0005-0000-0000-0000BE310000}"/>
    <cellStyle name="Currency 3 13 2 2 3" xfId="12644" xr:uid="{00000000-0005-0000-0000-0000BF310000}"/>
    <cellStyle name="Currency 3 13 2 2 3 2" xfId="32564" xr:uid="{00000000-0005-0000-0000-0000C0310000}"/>
    <cellStyle name="Currency 3 13 2 2 4" xfId="18796" xr:uid="{00000000-0005-0000-0000-0000C1310000}"/>
    <cellStyle name="Currency 3 13 2 2 4 2" xfId="38716" xr:uid="{00000000-0005-0000-0000-0000C2310000}"/>
    <cellStyle name="Currency 3 13 2 2 5" xfId="26411" xr:uid="{00000000-0005-0000-0000-0000C3310000}"/>
    <cellStyle name="Currency 3 13 2 3" xfId="7982" xr:uid="{00000000-0005-0000-0000-0000C4310000}"/>
    <cellStyle name="Currency 3 13 2 3 2" xfId="14176" xr:uid="{00000000-0005-0000-0000-0000C5310000}"/>
    <cellStyle name="Currency 3 13 2 3 2 2" xfId="34096" xr:uid="{00000000-0005-0000-0000-0000C6310000}"/>
    <cellStyle name="Currency 3 13 2 3 3" xfId="20328" xr:uid="{00000000-0005-0000-0000-0000C7310000}"/>
    <cellStyle name="Currency 3 13 2 3 3 2" xfId="40248" xr:uid="{00000000-0005-0000-0000-0000C8310000}"/>
    <cellStyle name="Currency 3 13 2 3 4" xfId="27943" xr:uid="{00000000-0005-0000-0000-0000C9310000}"/>
    <cellStyle name="Currency 3 13 2 4" xfId="11110" xr:uid="{00000000-0005-0000-0000-0000CA310000}"/>
    <cellStyle name="Currency 3 13 2 4 2" xfId="31030" xr:uid="{00000000-0005-0000-0000-0000CB310000}"/>
    <cellStyle name="Currency 3 13 2 5" xfId="17262" xr:uid="{00000000-0005-0000-0000-0000CC310000}"/>
    <cellStyle name="Currency 3 13 2 5 2" xfId="37182" xr:uid="{00000000-0005-0000-0000-0000CD310000}"/>
    <cellStyle name="Currency 3 13 2 6" xfId="24877" xr:uid="{00000000-0005-0000-0000-0000CE310000}"/>
    <cellStyle name="Currency 3 13 3" xfId="5647" xr:uid="{00000000-0005-0000-0000-0000CF310000}"/>
    <cellStyle name="Currency 3 13 3 2" xfId="8748" xr:uid="{00000000-0005-0000-0000-0000D0310000}"/>
    <cellStyle name="Currency 3 13 3 2 2" xfId="14941" xr:uid="{00000000-0005-0000-0000-0000D1310000}"/>
    <cellStyle name="Currency 3 13 3 2 2 2" xfId="34861" xr:uid="{00000000-0005-0000-0000-0000D2310000}"/>
    <cellStyle name="Currency 3 13 3 2 3" xfId="21093" xr:uid="{00000000-0005-0000-0000-0000D3310000}"/>
    <cellStyle name="Currency 3 13 3 2 3 2" xfId="41013" xr:uid="{00000000-0005-0000-0000-0000D4310000}"/>
    <cellStyle name="Currency 3 13 3 2 4" xfId="28708" xr:uid="{00000000-0005-0000-0000-0000D5310000}"/>
    <cellStyle name="Currency 3 13 3 3" xfId="11875" xr:uid="{00000000-0005-0000-0000-0000D6310000}"/>
    <cellStyle name="Currency 3 13 3 3 2" xfId="31795" xr:uid="{00000000-0005-0000-0000-0000D7310000}"/>
    <cellStyle name="Currency 3 13 3 4" xfId="18027" xr:uid="{00000000-0005-0000-0000-0000D8310000}"/>
    <cellStyle name="Currency 3 13 3 4 2" xfId="37947" xr:uid="{00000000-0005-0000-0000-0000D9310000}"/>
    <cellStyle name="Currency 3 13 3 5" xfId="25642" xr:uid="{00000000-0005-0000-0000-0000DA310000}"/>
    <cellStyle name="Currency 3 13 4" xfId="7213" xr:uid="{00000000-0005-0000-0000-0000DB310000}"/>
    <cellStyle name="Currency 3 13 4 2" xfId="13407" xr:uid="{00000000-0005-0000-0000-0000DC310000}"/>
    <cellStyle name="Currency 3 13 4 2 2" xfId="33327" xr:uid="{00000000-0005-0000-0000-0000DD310000}"/>
    <cellStyle name="Currency 3 13 4 3" xfId="19559" xr:uid="{00000000-0005-0000-0000-0000DE310000}"/>
    <cellStyle name="Currency 3 13 4 3 2" xfId="39479" xr:uid="{00000000-0005-0000-0000-0000DF310000}"/>
    <cellStyle name="Currency 3 13 4 4" xfId="27174" xr:uid="{00000000-0005-0000-0000-0000E0310000}"/>
    <cellStyle name="Currency 3 13 5" xfId="10341" xr:uid="{00000000-0005-0000-0000-0000E1310000}"/>
    <cellStyle name="Currency 3 13 5 2" xfId="30261" xr:uid="{00000000-0005-0000-0000-0000E2310000}"/>
    <cellStyle name="Currency 3 13 6" xfId="16493" xr:uid="{00000000-0005-0000-0000-0000E3310000}"/>
    <cellStyle name="Currency 3 13 6 2" xfId="36413" xr:uid="{00000000-0005-0000-0000-0000E4310000}"/>
    <cellStyle name="Currency 3 13 7" xfId="3097" xr:uid="{00000000-0005-0000-0000-0000E5310000}"/>
    <cellStyle name="Currency 3 13 7 2" xfId="24108" xr:uid="{00000000-0005-0000-0000-0000E6310000}"/>
    <cellStyle name="Currency 3 14" xfId="307" xr:uid="{00000000-0005-0000-0000-0000E7310000}"/>
    <cellStyle name="Currency 3 14 2" xfId="4807" xr:uid="{00000000-0005-0000-0000-0000E8310000}"/>
    <cellStyle name="Currency 3 14 2 2" xfId="6432" xr:uid="{00000000-0005-0000-0000-0000E9310000}"/>
    <cellStyle name="Currency 3 14 2 2 2" xfId="9518" xr:uid="{00000000-0005-0000-0000-0000EA310000}"/>
    <cellStyle name="Currency 3 14 2 2 2 2" xfId="15711" xr:uid="{00000000-0005-0000-0000-0000EB310000}"/>
    <cellStyle name="Currency 3 14 2 2 2 2 2" xfId="35631" xr:uid="{00000000-0005-0000-0000-0000EC310000}"/>
    <cellStyle name="Currency 3 14 2 2 2 3" xfId="21863" xr:uid="{00000000-0005-0000-0000-0000ED310000}"/>
    <cellStyle name="Currency 3 14 2 2 2 3 2" xfId="41783" xr:uid="{00000000-0005-0000-0000-0000EE310000}"/>
    <cellStyle name="Currency 3 14 2 2 2 4" xfId="29478" xr:uid="{00000000-0005-0000-0000-0000EF310000}"/>
    <cellStyle name="Currency 3 14 2 2 3" xfId="12645" xr:uid="{00000000-0005-0000-0000-0000F0310000}"/>
    <cellStyle name="Currency 3 14 2 2 3 2" xfId="32565" xr:uid="{00000000-0005-0000-0000-0000F1310000}"/>
    <cellStyle name="Currency 3 14 2 2 4" xfId="18797" xr:uid="{00000000-0005-0000-0000-0000F2310000}"/>
    <cellStyle name="Currency 3 14 2 2 4 2" xfId="38717" xr:uid="{00000000-0005-0000-0000-0000F3310000}"/>
    <cellStyle name="Currency 3 14 2 2 5" xfId="26412" xr:uid="{00000000-0005-0000-0000-0000F4310000}"/>
    <cellStyle name="Currency 3 14 2 3" xfId="7983" xr:uid="{00000000-0005-0000-0000-0000F5310000}"/>
    <cellStyle name="Currency 3 14 2 3 2" xfId="14177" xr:uid="{00000000-0005-0000-0000-0000F6310000}"/>
    <cellStyle name="Currency 3 14 2 3 2 2" xfId="34097" xr:uid="{00000000-0005-0000-0000-0000F7310000}"/>
    <cellStyle name="Currency 3 14 2 3 3" xfId="20329" xr:uid="{00000000-0005-0000-0000-0000F8310000}"/>
    <cellStyle name="Currency 3 14 2 3 3 2" xfId="40249" xr:uid="{00000000-0005-0000-0000-0000F9310000}"/>
    <cellStyle name="Currency 3 14 2 3 4" xfId="27944" xr:uid="{00000000-0005-0000-0000-0000FA310000}"/>
    <cellStyle name="Currency 3 14 2 4" xfId="11111" xr:uid="{00000000-0005-0000-0000-0000FB310000}"/>
    <cellStyle name="Currency 3 14 2 4 2" xfId="31031" xr:uid="{00000000-0005-0000-0000-0000FC310000}"/>
    <cellStyle name="Currency 3 14 2 5" xfId="17263" xr:uid="{00000000-0005-0000-0000-0000FD310000}"/>
    <cellStyle name="Currency 3 14 2 5 2" xfId="37183" xr:uid="{00000000-0005-0000-0000-0000FE310000}"/>
    <cellStyle name="Currency 3 14 2 6" xfId="24878" xr:uid="{00000000-0005-0000-0000-0000FF310000}"/>
    <cellStyle name="Currency 3 14 3" xfId="5648" xr:uid="{00000000-0005-0000-0000-000000320000}"/>
    <cellStyle name="Currency 3 14 3 2" xfId="8749" xr:uid="{00000000-0005-0000-0000-000001320000}"/>
    <cellStyle name="Currency 3 14 3 2 2" xfId="14942" xr:uid="{00000000-0005-0000-0000-000002320000}"/>
    <cellStyle name="Currency 3 14 3 2 2 2" xfId="34862" xr:uid="{00000000-0005-0000-0000-000003320000}"/>
    <cellStyle name="Currency 3 14 3 2 3" xfId="21094" xr:uid="{00000000-0005-0000-0000-000004320000}"/>
    <cellStyle name="Currency 3 14 3 2 3 2" xfId="41014" xr:uid="{00000000-0005-0000-0000-000005320000}"/>
    <cellStyle name="Currency 3 14 3 2 4" xfId="28709" xr:uid="{00000000-0005-0000-0000-000006320000}"/>
    <cellStyle name="Currency 3 14 3 3" xfId="11876" xr:uid="{00000000-0005-0000-0000-000007320000}"/>
    <cellStyle name="Currency 3 14 3 3 2" xfId="31796" xr:uid="{00000000-0005-0000-0000-000008320000}"/>
    <cellStyle name="Currency 3 14 3 4" xfId="18028" xr:uid="{00000000-0005-0000-0000-000009320000}"/>
    <cellStyle name="Currency 3 14 3 4 2" xfId="37948" xr:uid="{00000000-0005-0000-0000-00000A320000}"/>
    <cellStyle name="Currency 3 14 3 5" xfId="25643" xr:uid="{00000000-0005-0000-0000-00000B320000}"/>
    <cellStyle name="Currency 3 14 4" xfId="7214" xr:uid="{00000000-0005-0000-0000-00000C320000}"/>
    <cellStyle name="Currency 3 14 4 2" xfId="13408" xr:uid="{00000000-0005-0000-0000-00000D320000}"/>
    <cellStyle name="Currency 3 14 4 2 2" xfId="33328" xr:uid="{00000000-0005-0000-0000-00000E320000}"/>
    <cellStyle name="Currency 3 14 4 3" xfId="19560" xr:uid="{00000000-0005-0000-0000-00000F320000}"/>
    <cellStyle name="Currency 3 14 4 3 2" xfId="39480" xr:uid="{00000000-0005-0000-0000-000010320000}"/>
    <cellStyle name="Currency 3 14 4 4" xfId="27175" xr:uid="{00000000-0005-0000-0000-000011320000}"/>
    <cellStyle name="Currency 3 14 5" xfId="10342" xr:uid="{00000000-0005-0000-0000-000012320000}"/>
    <cellStyle name="Currency 3 14 5 2" xfId="30262" xr:uid="{00000000-0005-0000-0000-000013320000}"/>
    <cellStyle name="Currency 3 14 6" xfId="16494" xr:uid="{00000000-0005-0000-0000-000014320000}"/>
    <cellStyle name="Currency 3 14 6 2" xfId="36414" xr:uid="{00000000-0005-0000-0000-000015320000}"/>
    <cellStyle name="Currency 3 14 7" xfId="3098" xr:uid="{00000000-0005-0000-0000-000016320000}"/>
    <cellStyle name="Currency 3 14 7 2" xfId="24109" xr:uid="{00000000-0005-0000-0000-000017320000}"/>
    <cellStyle name="Currency 3 15" xfId="340" xr:uid="{00000000-0005-0000-0000-000018320000}"/>
    <cellStyle name="Currency 3 15 2" xfId="4808" xr:uid="{00000000-0005-0000-0000-000019320000}"/>
    <cellStyle name="Currency 3 15 2 2" xfId="6433" xr:uid="{00000000-0005-0000-0000-00001A320000}"/>
    <cellStyle name="Currency 3 15 2 2 2" xfId="9519" xr:uid="{00000000-0005-0000-0000-00001B320000}"/>
    <cellStyle name="Currency 3 15 2 2 2 2" xfId="15712" xr:uid="{00000000-0005-0000-0000-00001C320000}"/>
    <cellStyle name="Currency 3 15 2 2 2 2 2" xfId="35632" xr:uid="{00000000-0005-0000-0000-00001D320000}"/>
    <cellStyle name="Currency 3 15 2 2 2 3" xfId="21864" xr:uid="{00000000-0005-0000-0000-00001E320000}"/>
    <cellStyle name="Currency 3 15 2 2 2 3 2" xfId="41784" xr:uid="{00000000-0005-0000-0000-00001F320000}"/>
    <cellStyle name="Currency 3 15 2 2 2 4" xfId="29479" xr:uid="{00000000-0005-0000-0000-000020320000}"/>
    <cellStyle name="Currency 3 15 2 2 3" xfId="12646" xr:uid="{00000000-0005-0000-0000-000021320000}"/>
    <cellStyle name="Currency 3 15 2 2 3 2" xfId="32566" xr:uid="{00000000-0005-0000-0000-000022320000}"/>
    <cellStyle name="Currency 3 15 2 2 4" xfId="18798" xr:uid="{00000000-0005-0000-0000-000023320000}"/>
    <cellStyle name="Currency 3 15 2 2 4 2" xfId="38718" xr:uid="{00000000-0005-0000-0000-000024320000}"/>
    <cellStyle name="Currency 3 15 2 2 5" xfId="26413" xr:uid="{00000000-0005-0000-0000-000025320000}"/>
    <cellStyle name="Currency 3 15 2 3" xfId="7984" xr:uid="{00000000-0005-0000-0000-000026320000}"/>
    <cellStyle name="Currency 3 15 2 3 2" xfId="14178" xr:uid="{00000000-0005-0000-0000-000027320000}"/>
    <cellStyle name="Currency 3 15 2 3 2 2" xfId="34098" xr:uid="{00000000-0005-0000-0000-000028320000}"/>
    <cellStyle name="Currency 3 15 2 3 3" xfId="20330" xr:uid="{00000000-0005-0000-0000-000029320000}"/>
    <cellStyle name="Currency 3 15 2 3 3 2" xfId="40250" xr:uid="{00000000-0005-0000-0000-00002A320000}"/>
    <cellStyle name="Currency 3 15 2 3 4" xfId="27945" xr:uid="{00000000-0005-0000-0000-00002B320000}"/>
    <cellStyle name="Currency 3 15 2 4" xfId="11112" xr:uid="{00000000-0005-0000-0000-00002C320000}"/>
    <cellStyle name="Currency 3 15 2 4 2" xfId="31032" xr:uid="{00000000-0005-0000-0000-00002D320000}"/>
    <cellStyle name="Currency 3 15 2 5" xfId="17264" xr:uid="{00000000-0005-0000-0000-00002E320000}"/>
    <cellStyle name="Currency 3 15 2 5 2" xfId="37184" xr:uid="{00000000-0005-0000-0000-00002F320000}"/>
    <cellStyle name="Currency 3 15 2 6" xfId="24879" xr:uid="{00000000-0005-0000-0000-000030320000}"/>
    <cellStyle name="Currency 3 15 3" xfId="5649" xr:uid="{00000000-0005-0000-0000-000031320000}"/>
    <cellStyle name="Currency 3 15 3 2" xfId="8750" xr:uid="{00000000-0005-0000-0000-000032320000}"/>
    <cellStyle name="Currency 3 15 3 2 2" xfId="14943" xr:uid="{00000000-0005-0000-0000-000033320000}"/>
    <cellStyle name="Currency 3 15 3 2 2 2" xfId="34863" xr:uid="{00000000-0005-0000-0000-000034320000}"/>
    <cellStyle name="Currency 3 15 3 2 3" xfId="21095" xr:uid="{00000000-0005-0000-0000-000035320000}"/>
    <cellStyle name="Currency 3 15 3 2 3 2" xfId="41015" xr:uid="{00000000-0005-0000-0000-000036320000}"/>
    <cellStyle name="Currency 3 15 3 2 4" xfId="28710" xr:uid="{00000000-0005-0000-0000-000037320000}"/>
    <cellStyle name="Currency 3 15 3 3" xfId="11877" xr:uid="{00000000-0005-0000-0000-000038320000}"/>
    <cellStyle name="Currency 3 15 3 3 2" xfId="31797" xr:uid="{00000000-0005-0000-0000-000039320000}"/>
    <cellStyle name="Currency 3 15 3 4" xfId="18029" xr:uid="{00000000-0005-0000-0000-00003A320000}"/>
    <cellStyle name="Currency 3 15 3 4 2" xfId="37949" xr:uid="{00000000-0005-0000-0000-00003B320000}"/>
    <cellStyle name="Currency 3 15 3 5" xfId="25644" xr:uid="{00000000-0005-0000-0000-00003C320000}"/>
    <cellStyle name="Currency 3 15 4" xfId="7215" xr:uid="{00000000-0005-0000-0000-00003D320000}"/>
    <cellStyle name="Currency 3 15 4 2" xfId="13409" xr:uid="{00000000-0005-0000-0000-00003E320000}"/>
    <cellStyle name="Currency 3 15 4 2 2" xfId="33329" xr:uid="{00000000-0005-0000-0000-00003F320000}"/>
    <cellStyle name="Currency 3 15 4 3" xfId="19561" xr:uid="{00000000-0005-0000-0000-000040320000}"/>
    <cellStyle name="Currency 3 15 4 3 2" xfId="39481" xr:uid="{00000000-0005-0000-0000-000041320000}"/>
    <cellStyle name="Currency 3 15 4 4" xfId="27176" xr:uid="{00000000-0005-0000-0000-000042320000}"/>
    <cellStyle name="Currency 3 15 5" xfId="10343" xr:uid="{00000000-0005-0000-0000-000043320000}"/>
    <cellStyle name="Currency 3 15 5 2" xfId="30263" xr:uid="{00000000-0005-0000-0000-000044320000}"/>
    <cellStyle name="Currency 3 15 6" xfId="16495" xr:uid="{00000000-0005-0000-0000-000045320000}"/>
    <cellStyle name="Currency 3 15 6 2" xfId="36415" xr:uid="{00000000-0005-0000-0000-000046320000}"/>
    <cellStyle name="Currency 3 15 7" xfId="3099" xr:uid="{00000000-0005-0000-0000-000047320000}"/>
    <cellStyle name="Currency 3 15 7 2" xfId="24110" xr:uid="{00000000-0005-0000-0000-000048320000}"/>
    <cellStyle name="Currency 3 16" xfId="363" xr:uid="{00000000-0005-0000-0000-000049320000}"/>
    <cellStyle name="Currency 3 16 2" xfId="4809" xr:uid="{00000000-0005-0000-0000-00004A320000}"/>
    <cellStyle name="Currency 3 16 2 2" xfId="6434" xr:uid="{00000000-0005-0000-0000-00004B320000}"/>
    <cellStyle name="Currency 3 16 2 2 2" xfId="9520" xr:uid="{00000000-0005-0000-0000-00004C320000}"/>
    <cellStyle name="Currency 3 16 2 2 2 2" xfId="15713" xr:uid="{00000000-0005-0000-0000-00004D320000}"/>
    <cellStyle name="Currency 3 16 2 2 2 2 2" xfId="35633" xr:uid="{00000000-0005-0000-0000-00004E320000}"/>
    <cellStyle name="Currency 3 16 2 2 2 3" xfId="21865" xr:uid="{00000000-0005-0000-0000-00004F320000}"/>
    <cellStyle name="Currency 3 16 2 2 2 3 2" xfId="41785" xr:uid="{00000000-0005-0000-0000-000050320000}"/>
    <cellStyle name="Currency 3 16 2 2 2 4" xfId="29480" xr:uid="{00000000-0005-0000-0000-000051320000}"/>
    <cellStyle name="Currency 3 16 2 2 3" xfId="12647" xr:uid="{00000000-0005-0000-0000-000052320000}"/>
    <cellStyle name="Currency 3 16 2 2 3 2" xfId="32567" xr:uid="{00000000-0005-0000-0000-000053320000}"/>
    <cellStyle name="Currency 3 16 2 2 4" xfId="18799" xr:uid="{00000000-0005-0000-0000-000054320000}"/>
    <cellStyle name="Currency 3 16 2 2 4 2" xfId="38719" xr:uid="{00000000-0005-0000-0000-000055320000}"/>
    <cellStyle name="Currency 3 16 2 2 5" xfId="26414" xr:uid="{00000000-0005-0000-0000-000056320000}"/>
    <cellStyle name="Currency 3 16 2 3" xfId="7985" xr:uid="{00000000-0005-0000-0000-000057320000}"/>
    <cellStyle name="Currency 3 16 2 3 2" xfId="14179" xr:uid="{00000000-0005-0000-0000-000058320000}"/>
    <cellStyle name="Currency 3 16 2 3 2 2" xfId="34099" xr:uid="{00000000-0005-0000-0000-000059320000}"/>
    <cellStyle name="Currency 3 16 2 3 3" xfId="20331" xr:uid="{00000000-0005-0000-0000-00005A320000}"/>
    <cellStyle name="Currency 3 16 2 3 3 2" xfId="40251" xr:uid="{00000000-0005-0000-0000-00005B320000}"/>
    <cellStyle name="Currency 3 16 2 3 4" xfId="27946" xr:uid="{00000000-0005-0000-0000-00005C320000}"/>
    <cellStyle name="Currency 3 16 2 4" xfId="11113" xr:uid="{00000000-0005-0000-0000-00005D320000}"/>
    <cellStyle name="Currency 3 16 2 4 2" xfId="31033" xr:uid="{00000000-0005-0000-0000-00005E320000}"/>
    <cellStyle name="Currency 3 16 2 5" xfId="17265" xr:uid="{00000000-0005-0000-0000-00005F320000}"/>
    <cellStyle name="Currency 3 16 2 5 2" xfId="37185" xr:uid="{00000000-0005-0000-0000-000060320000}"/>
    <cellStyle name="Currency 3 16 2 6" xfId="24880" xr:uid="{00000000-0005-0000-0000-000061320000}"/>
    <cellStyle name="Currency 3 16 3" xfId="5650" xr:uid="{00000000-0005-0000-0000-000062320000}"/>
    <cellStyle name="Currency 3 16 3 2" xfId="8751" xr:uid="{00000000-0005-0000-0000-000063320000}"/>
    <cellStyle name="Currency 3 16 3 2 2" xfId="14944" xr:uid="{00000000-0005-0000-0000-000064320000}"/>
    <cellStyle name="Currency 3 16 3 2 2 2" xfId="34864" xr:uid="{00000000-0005-0000-0000-000065320000}"/>
    <cellStyle name="Currency 3 16 3 2 3" xfId="21096" xr:uid="{00000000-0005-0000-0000-000066320000}"/>
    <cellStyle name="Currency 3 16 3 2 3 2" xfId="41016" xr:uid="{00000000-0005-0000-0000-000067320000}"/>
    <cellStyle name="Currency 3 16 3 2 4" xfId="28711" xr:uid="{00000000-0005-0000-0000-000068320000}"/>
    <cellStyle name="Currency 3 16 3 3" xfId="11878" xr:uid="{00000000-0005-0000-0000-000069320000}"/>
    <cellStyle name="Currency 3 16 3 3 2" xfId="31798" xr:uid="{00000000-0005-0000-0000-00006A320000}"/>
    <cellStyle name="Currency 3 16 3 4" xfId="18030" xr:uid="{00000000-0005-0000-0000-00006B320000}"/>
    <cellStyle name="Currency 3 16 3 4 2" xfId="37950" xr:uid="{00000000-0005-0000-0000-00006C320000}"/>
    <cellStyle name="Currency 3 16 3 5" xfId="25645" xr:uid="{00000000-0005-0000-0000-00006D320000}"/>
    <cellStyle name="Currency 3 16 4" xfId="7216" xr:uid="{00000000-0005-0000-0000-00006E320000}"/>
    <cellStyle name="Currency 3 16 4 2" xfId="13410" xr:uid="{00000000-0005-0000-0000-00006F320000}"/>
    <cellStyle name="Currency 3 16 4 2 2" xfId="33330" xr:uid="{00000000-0005-0000-0000-000070320000}"/>
    <cellStyle name="Currency 3 16 4 3" xfId="19562" xr:uid="{00000000-0005-0000-0000-000071320000}"/>
    <cellStyle name="Currency 3 16 4 3 2" xfId="39482" xr:uid="{00000000-0005-0000-0000-000072320000}"/>
    <cellStyle name="Currency 3 16 4 4" xfId="27177" xr:uid="{00000000-0005-0000-0000-000073320000}"/>
    <cellStyle name="Currency 3 16 5" xfId="10344" xr:uid="{00000000-0005-0000-0000-000074320000}"/>
    <cellStyle name="Currency 3 16 5 2" xfId="30264" xr:uid="{00000000-0005-0000-0000-000075320000}"/>
    <cellStyle name="Currency 3 16 6" xfId="16496" xr:uid="{00000000-0005-0000-0000-000076320000}"/>
    <cellStyle name="Currency 3 16 6 2" xfId="36416" xr:uid="{00000000-0005-0000-0000-000077320000}"/>
    <cellStyle name="Currency 3 16 7" xfId="3100" xr:uid="{00000000-0005-0000-0000-000078320000}"/>
    <cellStyle name="Currency 3 16 7 2" xfId="24111" xr:uid="{00000000-0005-0000-0000-000079320000}"/>
    <cellStyle name="Currency 3 17" xfId="377" xr:uid="{00000000-0005-0000-0000-00007A320000}"/>
    <cellStyle name="Currency 3 17 2" xfId="4810" xr:uid="{00000000-0005-0000-0000-00007B320000}"/>
    <cellStyle name="Currency 3 17 2 2" xfId="6435" xr:uid="{00000000-0005-0000-0000-00007C320000}"/>
    <cellStyle name="Currency 3 17 2 2 2" xfId="9521" xr:uid="{00000000-0005-0000-0000-00007D320000}"/>
    <cellStyle name="Currency 3 17 2 2 2 2" xfId="15714" xr:uid="{00000000-0005-0000-0000-00007E320000}"/>
    <cellStyle name="Currency 3 17 2 2 2 2 2" xfId="35634" xr:uid="{00000000-0005-0000-0000-00007F320000}"/>
    <cellStyle name="Currency 3 17 2 2 2 3" xfId="21866" xr:uid="{00000000-0005-0000-0000-000080320000}"/>
    <cellStyle name="Currency 3 17 2 2 2 3 2" xfId="41786" xr:uid="{00000000-0005-0000-0000-000081320000}"/>
    <cellStyle name="Currency 3 17 2 2 2 4" xfId="29481" xr:uid="{00000000-0005-0000-0000-000082320000}"/>
    <cellStyle name="Currency 3 17 2 2 3" xfId="12648" xr:uid="{00000000-0005-0000-0000-000083320000}"/>
    <cellStyle name="Currency 3 17 2 2 3 2" xfId="32568" xr:uid="{00000000-0005-0000-0000-000084320000}"/>
    <cellStyle name="Currency 3 17 2 2 4" xfId="18800" xr:uid="{00000000-0005-0000-0000-000085320000}"/>
    <cellStyle name="Currency 3 17 2 2 4 2" xfId="38720" xr:uid="{00000000-0005-0000-0000-000086320000}"/>
    <cellStyle name="Currency 3 17 2 2 5" xfId="26415" xr:uid="{00000000-0005-0000-0000-000087320000}"/>
    <cellStyle name="Currency 3 17 2 3" xfId="7986" xr:uid="{00000000-0005-0000-0000-000088320000}"/>
    <cellStyle name="Currency 3 17 2 3 2" xfId="14180" xr:uid="{00000000-0005-0000-0000-000089320000}"/>
    <cellStyle name="Currency 3 17 2 3 2 2" xfId="34100" xr:uid="{00000000-0005-0000-0000-00008A320000}"/>
    <cellStyle name="Currency 3 17 2 3 3" xfId="20332" xr:uid="{00000000-0005-0000-0000-00008B320000}"/>
    <cellStyle name="Currency 3 17 2 3 3 2" xfId="40252" xr:uid="{00000000-0005-0000-0000-00008C320000}"/>
    <cellStyle name="Currency 3 17 2 3 4" xfId="27947" xr:uid="{00000000-0005-0000-0000-00008D320000}"/>
    <cellStyle name="Currency 3 17 2 4" xfId="11114" xr:uid="{00000000-0005-0000-0000-00008E320000}"/>
    <cellStyle name="Currency 3 17 2 4 2" xfId="31034" xr:uid="{00000000-0005-0000-0000-00008F320000}"/>
    <cellStyle name="Currency 3 17 2 5" xfId="17266" xr:uid="{00000000-0005-0000-0000-000090320000}"/>
    <cellStyle name="Currency 3 17 2 5 2" xfId="37186" xr:uid="{00000000-0005-0000-0000-000091320000}"/>
    <cellStyle name="Currency 3 17 2 6" xfId="24881" xr:uid="{00000000-0005-0000-0000-000092320000}"/>
    <cellStyle name="Currency 3 17 3" xfId="5651" xr:uid="{00000000-0005-0000-0000-000093320000}"/>
    <cellStyle name="Currency 3 17 3 2" xfId="8752" xr:uid="{00000000-0005-0000-0000-000094320000}"/>
    <cellStyle name="Currency 3 17 3 2 2" xfId="14945" xr:uid="{00000000-0005-0000-0000-000095320000}"/>
    <cellStyle name="Currency 3 17 3 2 2 2" xfId="34865" xr:uid="{00000000-0005-0000-0000-000096320000}"/>
    <cellStyle name="Currency 3 17 3 2 3" xfId="21097" xr:uid="{00000000-0005-0000-0000-000097320000}"/>
    <cellStyle name="Currency 3 17 3 2 3 2" xfId="41017" xr:uid="{00000000-0005-0000-0000-000098320000}"/>
    <cellStyle name="Currency 3 17 3 2 4" xfId="28712" xr:uid="{00000000-0005-0000-0000-000099320000}"/>
    <cellStyle name="Currency 3 17 3 3" xfId="11879" xr:uid="{00000000-0005-0000-0000-00009A320000}"/>
    <cellStyle name="Currency 3 17 3 3 2" xfId="31799" xr:uid="{00000000-0005-0000-0000-00009B320000}"/>
    <cellStyle name="Currency 3 17 3 4" xfId="18031" xr:uid="{00000000-0005-0000-0000-00009C320000}"/>
    <cellStyle name="Currency 3 17 3 4 2" xfId="37951" xr:uid="{00000000-0005-0000-0000-00009D320000}"/>
    <cellStyle name="Currency 3 17 3 5" xfId="25646" xr:uid="{00000000-0005-0000-0000-00009E320000}"/>
    <cellStyle name="Currency 3 17 4" xfId="7217" xr:uid="{00000000-0005-0000-0000-00009F320000}"/>
    <cellStyle name="Currency 3 17 4 2" xfId="13411" xr:uid="{00000000-0005-0000-0000-0000A0320000}"/>
    <cellStyle name="Currency 3 17 4 2 2" xfId="33331" xr:uid="{00000000-0005-0000-0000-0000A1320000}"/>
    <cellStyle name="Currency 3 17 4 3" xfId="19563" xr:uid="{00000000-0005-0000-0000-0000A2320000}"/>
    <cellStyle name="Currency 3 17 4 3 2" xfId="39483" xr:uid="{00000000-0005-0000-0000-0000A3320000}"/>
    <cellStyle name="Currency 3 17 4 4" xfId="27178" xr:uid="{00000000-0005-0000-0000-0000A4320000}"/>
    <cellStyle name="Currency 3 17 5" xfId="10345" xr:uid="{00000000-0005-0000-0000-0000A5320000}"/>
    <cellStyle name="Currency 3 17 5 2" xfId="30265" xr:uid="{00000000-0005-0000-0000-0000A6320000}"/>
    <cellStyle name="Currency 3 17 6" xfId="16497" xr:uid="{00000000-0005-0000-0000-0000A7320000}"/>
    <cellStyle name="Currency 3 17 6 2" xfId="36417" xr:uid="{00000000-0005-0000-0000-0000A8320000}"/>
    <cellStyle name="Currency 3 17 7" xfId="3101" xr:uid="{00000000-0005-0000-0000-0000A9320000}"/>
    <cellStyle name="Currency 3 17 7 2" xfId="24112" xr:uid="{00000000-0005-0000-0000-0000AA320000}"/>
    <cellStyle name="Currency 3 18" xfId="384" xr:uid="{00000000-0005-0000-0000-0000AB320000}"/>
    <cellStyle name="Currency 3 18 2" xfId="4811" xr:uid="{00000000-0005-0000-0000-0000AC320000}"/>
    <cellStyle name="Currency 3 18 2 2" xfId="6436" xr:uid="{00000000-0005-0000-0000-0000AD320000}"/>
    <cellStyle name="Currency 3 18 2 2 2" xfId="9522" xr:uid="{00000000-0005-0000-0000-0000AE320000}"/>
    <cellStyle name="Currency 3 18 2 2 2 2" xfId="15715" xr:uid="{00000000-0005-0000-0000-0000AF320000}"/>
    <cellStyle name="Currency 3 18 2 2 2 2 2" xfId="35635" xr:uid="{00000000-0005-0000-0000-0000B0320000}"/>
    <cellStyle name="Currency 3 18 2 2 2 3" xfId="21867" xr:uid="{00000000-0005-0000-0000-0000B1320000}"/>
    <cellStyle name="Currency 3 18 2 2 2 3 2" xfId="41787" xr:uid="{00000000-0005-0000-0000-0000B2320000}"/>
    <cellStyle name="Currency 3 18 2 2 2 4" xfId="29482" xr:uid="{00000000-0005-0000-0000-0000B3320000}"/>
    <cellStyle name="Currency 3 18 2 2 3" xfId="12649" xr:uid="{00000000-0005-0000-0000-0000B4320000}"/>
    <cellStyle name="Currency 3 18 2 2 3 2" xfId="32569" xr:uid="{00000000-0005-0000-0000-0000B5320000}"/>
    <cellStyle name="Currency 3 18 2 2 4" xfId="18801" xr:uid="{00000000-0005-0000-0000-0000B6320000}"/>
    <cellStyle name="Currency 3 18 2 2 4 2" xfId="38721" xr:uid="{00000000-0005-0000-0000-0000B7320000}"/>
    <cellStyle name="Currency 3 18 2 2 5" xfId="26416" xr:uid="{00000000-0005-0000-0000-0000B8320000}"/>
    <cellStyle name="Currency 3 18 2 3" xfId="7987" xr:uid="{00000000-0005-0000-0000-0000B9320000}"/>
    <cellStyle name="Currency 3 18 2 3 2" xfId="14181" xr:uid="{00000000-0005-0000-0000-0000BA320000}"/>
    <cellStyle name="Currency 3 18 2 3 2 2" xfId="34101" xr:uid="{00000000-0005-0000-0000-0000BB320000}"/>
    <cellStyle name="Currency 3 18 2 3 3" xfId="20333" xr:uid="{00000000-0005-0000-0000-0000BC320000}"/>
    <cellStyle name="Currency 3 18 2 3 3 2" xfId="40253" xr:uid="{00000000-0005-0000-0000-0000BD320000}"/>
    <cellStyle name="Currency 3 18 2 3 4" xfId="27948" xr:uid="{00000000-0005-0000-0000-0000BE320000}"/>
    <cellStyle name="Currency 3 18 2 4" xfId="11115" xr:uid="{00000000-0005-0000-0000-0000BF320000}"/>
    <cellStyle name="Currency 3 18 2 4 2" xfId="31035" xr:uid="{00000000-0005-0000-0000-0000C0320000}"/>
    <cellStyle name="Currency 3 18 2 5" xfId="17267" xr:uid="{00000000-0005-0000-0000-0000C1320000}"/>
    <cellStyle name="Currency 3 18 2 5 2" xfId="37187" xr:uid="{00000000-0005-0000-0000-0000C2320000}"/>
    <cellStyle name="Currency 3 18 2 6" xfId="24882" xr:uid="{00000000-0005-0000-0000-0000C3320000}"/>
    <cellStyle name="Currency 3 18 3" xfId="5652" xr:uid="{00000000-0005-0000-0000-0000C4320000}"/>
    <cellStyle name="Currency 3 18 3 2" xfId="8753" xr:uid="{00000000-0005-0000-0000-0000C5320000}"/>
    <cellStyle name="Currency 3 18 3 2 2" xfId="14946" xr:uid="{00000000-0005-0000-0000-0000C6320000}"/>
    <cellStyle name="Currency 3 18 3 2 2 2" xfId="34866" xr:uid="{00000000-0005-0000-0000-0000C7320000}"/>
    <cellStyle name="Currency 3 18 3 2 3" xfId="21098" xr:uid="{00000000-0005-0000-0000-0000C8320000}"/>
    <cellStyle name="Currency 3 18 3 2 3 2" xfId="41018" xr:uid="{00000000-0005-0000-0000-0000C9320000}"/>
    <cellStyle name="Currency 3 18 3 2 4" xfId="28713" xr:uid="{00000000-0005-0000-0000-0000CA320000}"/>
    <cellStyle name="Currency 3 18 3 3" xfId="11880" xr:uid="{00000000-0005-0000-0000-0000CB320000}"/>
    <cellStyle name="Currency 3 18 3 3 2" xfId="31800" xr:uid="{00000000-0005-0000-0000-0000CC320000}"/>
    <cellStyle name="Currency 3 18 3 4" xfId="18032" xr:uid="{00000000-0005-0000-0000-0000CD320000}"/>
    <cellStyle name="Currency 3 18 3 4 2" xfId="37952" xr:uid="{00000000-0005-0000-0000-0000CE320000}"/>
    <cellStyle name="Currency 3 18 3 5" xfId="25647" xr:uid="{00000000-0005-0000-0000-0000CF320000}"/>
    <cellStyle name="Currency 3 18 4" xfId="7218" xr:uid="{00000000-0005-0000-0000-0000D0320000}"/>
    <cellStyle name="Currency 3 18 4 2" xfId="13412" xr:uid="{00000000-0005-0000-0000-0000D1320000}"/>
    <cellStyle name="Currency 3 18 4 2 2" xfId="33332" xr:uid="{00000000-0005-0000-0000-0000D2320000}"/>
    <cellStyle name="Currency 3 18 4 3" xfId="19564" xr:uid="{00000000-0005-0000-0000-0000D3320000}"/>
    <cellStyle name="Currency 3 18 4 3 2" xfId="39484" xr:uid="{00000000-0005-0000-0000-0000D4320000}"/>
    <cellStyle name="Currency 3 18 4 4" xfId="27179" xr:uid="{00000000-0005-0000-0000-0000D5320000}"/>
    <cellStyle name="Currency 3 18 5" xfId="10346" xr:uid="{00000000-0005-0000-0000-0000D6320000}"/>
    <cellStyle name="Currency 3 18 5 2" xfId="30266" xr:uid="{00000000-0005-0000-0000-0000D7320000}"/>
    <cellStyle name="Currency 3 18 6" xfId="16498" xr:uid="{00000000-0005-0000-0000-0000D8320000}"/>
    <cellStyle name="Currency 3 18 6 2" xfId="36418" xr:uid="{00000000-0005-0000-0000-0000D9320000}"/>
    <cellStyle name="Currency 3 18 7" xfId="3102" xr:uid="{00000000-0005-0000-0000-0000DA320000}"/>
    <cellStyle name="Currency 3 18 7 2" xfId="24113" xr:uid="{00000000-0005-0000-0000-0000DB320000}"/>
    <cellStyle name="Currency 3 19" xfId="399" xr:uid="{00000000-0005-0000-0000-0000DC320000}"/>
    <cellStyle name="Currency 3 19 2" xfId="4812" xr:uid="{00000000-0005-0000-0000-0000DD320000}"/>
    <cellStyle name="Currency 3 19 2 2" xfId="6437" xr:uid="{00000000-0005-0000-0000-0000DE320000}"/>
    <cellStyle name="Currency 3 19 2 2 2" xfId="9523" xr:uid="{00000000-0005-0000-0000-0000DF320000}"/>
    <cellStyle name="Currency 3 19 2 2 2 2" xfId="15716" xr:uid="{00000000-0005-0000-0000-0000E0320000}"/>
    <cellStyle name="Currency 3 19 2 2 2 2 2" xfId="35636" xr:uid="{00000000-0005-0000-0000-0000E1320000}"/>
    <cellStyle name="Currency 3 19 2 2 2 3" xfId="21868" xr:uid="{00000000-0005-0000-0000-0000E2320000}"/>
    <cellStyle name="Currency 3 19 2 2 2 3 2" xfId="41788" xr:uid="{00000000-0005-0000-0000-0000E3320000}"/>
    <cellStyle name="Currency 3 19 2 2 2 4" xfId="29483" xr:uid="{00000000-0005-0000-0000-0000E4320000}"/>
    <cellStyle name="Currency 3 19 2 2 3" xfId="12650" xr:uid="{00000000-0005-0000-0000-0000E5320000}"/>
    <cellStyle name="Currency 3 19 2 2 3 2" xfId="32570" xr:uid="{00000000-0005-0000-0000-0000E6320000}"/>
    <cellStyle name="Currency 3 19 2 2 4" xfId="18802" xr:uid="{00000000-0005-0000-0000-0000E7320000}"/>
    <cellStyle name="Currency 3 19 2 2 4 2" xfId="38722" xr:uid="{00000000-0005-0000-0000-0000E8320000}"/>
    <cellStyle name="Currency 3 19 2 2 5" xfId="26417" xr:uid="{00000000-0005-0000-0000-0000E9320000}"/>
    <cellStyle name="Currency 3 19 2 3" xfId="7988" xr:uid="{00000000-0005-0000-0000-0000EA320000}"/>
    <cellStyle name="Currency 3 19 2 3 2" xfId="14182" xr:uid="{00000000-0005-0000-0000-0000EB320000}"/>
    <cellStyle name="Currency 3 19 2 3 2 2" xfId="34102" xr:uid="{00000000-0005-0000-0000-0000EC320000}"/>
    <cellStyle name="Currency 3 19 2 3 3" xfId="20334" xr:uid="{00000000-0005-0000-0000-0000ED320000}"/>
    <cellStyle name="Currency 3 19 2 3 3 2" xfId="40254" xr:uid="{00000000-0005-0000-0000-0000EE320000}"/>
    <cellStyle name="Currency 3 19 2 3 4" xfId="27949" xr:uid="{00000000-0005-0000-0000-0000EF320000}"/>
    <cellStyle name="Currency 3 19 2 4" xfId="11116" xr:uid="{00000000-0005-0000-0000-0000F0320000}"/>
    <cellStyle name="Currency 3 19 2 4 2" xfId="31036" xr:uid="{00000000-0005-0000-0000-0000F1320000}"/>
    <cellStyle name="Currency 3 19 2 5" xfId="17268" xr:uid="{00000000-0005-0000-0000-0000F2320000}"/>
    <cellStyle name="Currency 3 19 2 5 2" xfId="37188" xr:uid="{00000000-0005-0000-0000-0000F3320000}"/>
    <cellStyle name="Currency 3 19 2 6" xfId="24883" xr:uid="{00000000-0005-0000-0000-0000F4320000}"/>
    <cellStyle name="Currency 3 19 3" xfId="5653" xr:uid="{00000000-0005-0000-0000-0000F5320000}"/>
    <cellStyle name="Currency 3 19 3 2" xfId="8754" xr:uid="{00000000-0005-0000-0000-0000F6320000}"/>
    <cellStyle name="Currency 3 19 3 2 2" xfId="14947" xr:uid="{00000000-0005-0000-0000-0000F7320000}"/>
    <cellStyle name="Currency 3 19 3 2 2 2" xfId="34867" xr:uid="{00000000-0005-0000-0000-0000F8320000}"/>
    <cellStyle name="Currency 3 19 3 2 3" xfId="21099" xr:uid="{00000000-0005-0000-0000-0000F9320000}"/>
    <cellStyle name="Currency 3 19 3 2 3 2" xfId="41019" xr:uid="{00000000-0005-0000-0000-0000FA320000}"/>
    <cellStyle name="Currency 3 19 3 2 4" xfId="28714" xr:uid="{00000000-0005-0000-0000-0000FB320000}"/>
    <cellStyle name="Currency 3 19 3 3" xfId="11881" xr:uid="{00000000-0005-0000-0000-0000FC320000}"/>
    <cellStyle name="Currency 3 19 3 3 2" xfId="31801" xr:uid="{00000000-0005-0000-0000-0000FD320000}"/>
    <cellStyle name="Currency 3 19 3 4" xfId="18033" xr:uid="{00000000-0005-0000-0000-0000FE320000}"/>
    <cellStyle name="Currency 3 19 3 4 2" xfId="37953" xr:uid="{00000000-0005-0000-0000-0000FF320000}"/>
    <cellStyle name="Currency 3 19 3 5" xfId="25648" xr:uid="{00000000-0005-0000-0000-000000330000}"/>
    <cellStyle name="Currency 3 19 4" xfId="7219" xr:uid="{00000000-0005-0000-0000-000001330000}"/>
    <cellStyle name="Currency 3 19 4 2" xfId="13413" xr:uid="{00000000-0005-0000-0000-000002330000}"/>
    <cellStyle name="Currency 3 19 4 2 2" xfId="33333" xr:uid="{00000000-0005-0000-0000-000003330000}"/>
    <cellStyle name="Currency 3 19 4 3" xfId="19565" xr:uid="{00000000-0005-0000-0000-000004330000}"/>
    <cellStyle name="Currency 3 19 4 3 2" xfId="39485" xr:uid="{00000000-0005-0000-0000-000005330000}"/>
    <cellStyle name="Currency 3 19 4 4" xfId="27180" xr:uid="{00000000-0005-0000-0000-000006330000}"/>
    <cellStyle name="Currency 3 19 5" xfId="10347" xr:uid="{00000000-0005-0000-0000-000007330000}"/>
    <cellStyle name="Currency 3 19 5 2" xfId="30267" xr:uid="{00000000-0005-0000-0000-000008330000}"/>
    <cellStyle name="Currency 3 19 6" xfId="16499" xr:uid="{00000000-0005-0000-0000-000009330000}"/>
    <cellStyle name="Currency 3 19 6 2" xfId="36419" xr:uid="{00000000-0005-0000-0000-00000A330000}"/>
    <cellStyle name="Currency 3 19 7" xfId="3103" xr:uid="{00000000-0005-0000-0000-00000B330000}"/>
    <cellStyle name="Currency 3 19 7 2" xfId="24114" xr:uid="{00000000-0005-0000-0000-00000C330000}"/>
    <cellStyle name="Currency 3 2" xfId="20" xr:uid="{00000000-0005-0000-0000-00000D330000}"/>
    <cellStyle name="Currency 3 2 2" xfId="131" xr:uid="{00000000-0005-0000-0000-00000E330000}"/>
    <cellStyle name="Currency 3 2 2 2" xfId="4813" xr:uid="{00000000-0005-0000-0000-00000F330000}"/>
    <cellStyle name="Currency 3 2 2 2 2" xfId="6438" xr:uid="{00000000-0005-0000-0000-000010330000}"/>
    <cellStyle name="Currency 3 2 2 2 2 2" xfId="9524" xr:uid="{00000000-0005-0000-0000-000011330000}"/>
    <cellStyle name="Currency 3 2 2 2 2 2 2" xfId="15717" xr:uid="{00000000-0005-0000-0000-000012330000}"/>
    <cellStyle name="Currency 3 2 2 2 2 2 2 2" xfId="35637" xr:uid="{00000000-0005-0000-0000-000013330000}"/>
    <cellStyle name="Currency 3 2 2 2 2 2 3" xfId="21869" xr:uid="{00000000-0005-0000-0000-000014330000}"/>
    <cellStyle name="Currency 3 2 2 2 2 2 3 2" xfId="41789" xr:uid="{00000000-0005-0000-0000-000015330000}"/>
    <cellStyle name="Currency 3 2 2 2 2 2 4" xfId="29484" xr:uid="{00000000-0005-0000-0000-000016330000}"/>
    <cellStyle name="Currency 3 2 2 2 2 3" xfId="12651" xr:uid="{00000000-0005-0000-0000-000017330000}"/>
    <cellStyle name="Currency 3 2 2 2 2 3 2" xfId="32571" xr:uid="{00000000-0005-0000-0000-000018330000}"/>
    <cellStyle name="Currency 3 2 2 2 2 4" xfId="18803" xr:uid="{00000000-0005-0000-0000-000019330000}"/>
    <cellStyle name="Currency 3 2 2 2 2 4 2" xfId="38723" xr:uid="{00000000-0005-0000-0000-00001A330000}"/>
    <cellStyle name="Currency 3 2 2 2 2 5" xfId="26418" xr:uid="{00000000-0005-0000-0000-00001B330000}"/>
    <cellStyle name="Currency 3 2 2 2 3" xfId="7989" xr:uid="{00000000-0005-0000-0000-00001C330000}"/>
    <cellStyle name="Currency 3 2 2 2 3 2" xfId="14183" xr:uid="{00000000-0005-0000-0000-00001D330000}"/>
    <cellStyle name="Currency 3 2 2 2 3 2 2" xfId="34103" xr:uid="{00000000-0005-0000-0000-00001E330000}"/>
    <cellStyle name="Currency 3 2 2 2 3 3" xfId="20335" xr:uid="{00000000-0005-0000-0000-00001F330000}"/>
    <cellStyle name="Currency 3 2 2 2 3 3 2" xfId="40255" xr:uid="{00000000-0005-0000-0000-000020330000}"/>
    <cellStyle name="Currency 3 2 2 2 3 4" xfId="27950" xr:uid="{00000000-0005-0000-0000-000021330000}"/>
    <cellStyle name="Currency 3 2 2 2 4" xfId="11117" xr:uid="{00000000-0005-0000-0000-000022330000}"/>
    <cellStyle name="Currency 3 2 2 2 4 2" xfId="31037" xr:uid="{00000000-0005-0000-0000-000023330000}"/>
    <cellStyle name="Currency 3 2 2 2 5" xfId="17269" xr:uid="{00000000-0005-0000-0000-000024330000}"/>
    <cellStyle name="Currency 3 2 2 2 5 2" xfId="37189" xr:uid="{00000000-0005-0000-0000-000025330000}"/>
    <cellStyle name="Currency 3 2 2 2 6" xfId="24884" xr:uid="{00000000-0005-0000-0000-000026330000}"/>
    <cellStyle name="Currency 3 2 2 3" xfId="5654" xr:uid="{00000000-0005-0000-0000-000027330000}"/>
    <cellStyle name="Currency 3 2 2 3 2" xfId="8755" xr:uid="{00000000-0005-0000-0000-000028330000}"/>
    <cellStyle name="Currency 3 2 2 3 2 2" xfId="14948" xr:uid="{00000000-0005-0000-0000-000029330000}"/>
    <cellStyle name="Currency 3 2 2 3 2 2 2" xfId="34868" xr:uid="{00000000-0005-0000-0000-00002A330000}"/>
    <cellStyle name="Currency 3 2 2 3 2 3" xfId="21100" xr:uid="{00000000-0005-0000-0000-00002B330000}"/>
    <cellStyle name="Currency 3 2 2 3 2 3 2" xfId="41020" xr:uid="{00000000-0005-0000-0000-00002C330000}"/>
    <cellStyle name="Currency 3 2 2 3 2 4" xfId="28715" xr:uid="{00000000-0005-0000-0000-00002D330000}"/>
    <cellStyle name="Currency 3 2 2 3 3" xfId="11882" xr:uid="{00000000-0005-0000-0000-00002E330000}"/>
    <cellStyle name="Currency 3 2 2 3 3 2" xfId="31802" xr:uid="{00000000-0005-0000-0000-00002F330000}"/>
    <cellStyle name="Currency 3 2 2 3 4" xfId="18034" xr:uid="{00000000-0005-0000-0000-000030330000}"/>
    <cellStyle name="Currency 3 2 2 3 4 2" xfId="37954" xr:uid="{00000000-0005-0000-0000-000031330000}"/>
    <cellStyle name="Currency 3 2 2 3 5" xfId="25649" xr:uid="{00000000-0005-0000-0000-000032330000}"/>
    <cellStyle name="Currency 3 2 2 4" xfId="7220" xr:uid="{00000000-0005-0000-0000-000033330000}"/>
    <cellStyle name="Currency 3 2 2 4 2" xfId="13414" xr:uid="{00000000-0005-0000-0000-000034330000}"/>
    <cellStyle name="Currency 3 2 2 4 2 2" xfId="33334" xr:uid="{00000000-0005-0000-0000-000035330000}"/>
    <cellStyle name="Currency 3 2 2 4 3" xfId="19566" xr:uid="{00000000-0005-0000-0000-000036330000}"/>
    <cellStyle name="Currency 3 2 2 4 3 2" xfId="39486" xr:uid="{00000000-0005-0000-0000-000037330000}"/>
    <cellStyle name="Currency 3 2 2 4 4" xfId="27181" xr:uid="{00000000-0005-0000-0000-000038330000}"/>
    <cellStyle name="Currency 3 2 2 5" xfId="10348" xr:uid="{00000000-0005-0000-0000-000039330000}"/>
    <cellStyle name="Currency 3 2 2 5 2" xfId="30268" xr:uid="{00000000-0005-0000-0000-00003A330000}"/>
    <cellStyle name="Currency 3 2 2 6" xfId="16500" xr:uid="{00000000-0005-0000-0000-00003B330000}"/>
    <cellStyle name="Currency 3 2 2 6 2" xfId="36420" xr:uid="{00000000-0005-0000-0000-00003C330000}"/>
    <cellStyle name="Currency 3 2 2 7" xfId="3105" xr:uid="{00000000-0005-0000-0000-00003D330000}"/>
    <cellStyle name="Currency 3 2 2 7 2" xfId="24115" xr:uid="{00000000-0005-0000-0000-00003E330000}"/>
    <cellStyle name="Currency 3 2 3" xfId="3106" xr:uid="{00000000-0005-0000-0000-00003F330000}"/>
    <cellStyle name="Currency 3 2 3 2" xfId="4814" xr:uid="{00000000-0005-0000-0000-000040330000}"/>
    <cellStyle name="Currency 3 2 3 2 2" xfId="6439" xr:uid="{00000000-0005-0000-0000-000041330000}"/>
    <cellStyle name="Currency 3 2 3 2 2 2" xfId="9525" xr:uid="{00000000-0005-0000-0000-000042330000}"/>
    <cellStyle name="Currency 3 2 3 2 2 2 2" xfId="15718" xr:uid="{00000000-0005-0000-0000-000043330000}"/>
    <cellStyle name="Currency 3 2 3 2 2 2 2 2" xfId="35638" xr:uid="{00000000-0005-0000-0000-000044330000}"/>
    <cellStyle name="Currency 3 2 3 2 2 2 3" xfId="21870" xr:uid="{00000000-0005-0000-0000-000045330000}"/>
    <cellStyle name="Currency 3 2 3 2 2 2 3 2" xfId="41790" xr:uid="{00000000-0005-0000-0000-000046330000}"/>
    <cellStyle name="Currency 3 2 3 2 2 2 4" xfId="29485" xr:uid="{00000000-0005-0000-0000-000047330000}"/>
    <cellStyle name="Currency 3 2 3 2 2 3" xfId="12652" xr:uid="{00000000-0005-0000-0000-000048330000}"/>
    <cellStyle name="Currency 3 2 3 2 2 3 2" xfId="32572" xr:uid="{00000000-0005-0000-0000-000049330000}"/>
    <cellStyle name="Currency 3 2 3 2 2 4" xfId="18804" xr:uid="{00000000-0005-0000-0000-00004A330000}"/>
    <cellStyle name="Currency 3 2 3 2 2 4 2" xfId="38724" xr:uid="{00000000-0005-0000-0000-00004B330000}"/>
    <cellStyle name="Currency 3 2 3 2 2 5" xfId="26419" xr:uid="{00000000-0005-0000-0000-00004C330000}"/>
    <cellStyle name="Currency 3 2 3 2 3" xfId="7990" xr:uid="{00000000-0005-0000-0000-00004D330000}"/>
    <cellStyle name="Currency 3 2 3 2 3 2" xfId="14184" xr:uid="{00000000-0005-0000-0000-00004E330000}"/>
    <cellStyle name="Currency 3 2 3 2 3 2 2" xfId="34104" xr:uid="{00000000-0005-0000-0000-00004F330000}"/>
    <cellStyle name="Currency 3 2 3 2 3 3" xfId="20336" xr:uid="{00000000-0005-0000-0000-000050330000}"/>
    <cellStyle name="Currency 3 2 3 2 3 3 2" xfId="40256" xr:uid="{00000000-0005-0000-0000-000051330000}"/>
    <cellStyle name="Currency 3 2 3 2 3 4" xfId="27951" xr:uid="{00000000-0005-0000-0000-000052330000}"/>
    <cellStyle name="Currency 3 2 3 2 4" xfId="11118" xr:uid="{00000000-0005-0000-0000-000053330000}"/>
    <cellStyle name="Currency 3 2 3 2 4 2" xfId="31038" xr:uid="{00000000-0005-0000-0000-000054330000}"/>
    <cellStyle name="Currency 3 2 3 2 5" xfId="17270" xr:uid="{00000000-0005-0000-0000-000055330000}"/>
    <cellStyle name="Currency 3 2 3 2 5 2" xfId="37190" xr:uid="{00000000-0005-0000-0000-000056330000}"/>
    <cellStyle name="Currency 3 2 3 2 6" xfId="24885" xr:uid="{00000000-0005-0000-0000-000057330000}"/>
    <cellStyle name="Currency 3 2 3 3" xfId="5655" xr:uid="{00000000-0005-0000-0000-000058330000}"/>
    <cellStyle name="Currency 3 2 3 3 2" xfId="8756" xr:uid="{00000000-0005-0000-0000-000059330000}"/>
    <cellStyle name="Currency 3 2 3 3 2 2" xfId="14949" xr:uid="{00000000-0005-0000-0000-00005A330000}"/>
    <cellStyle name="Currency 3 2 3 3 2 2 2" xfId="34869" xr:uid="{00000000-0005-0000-0000-00005B330000}"/>
    <cellStyle name="Currency 3 2 3 3 2 3" xfId="21101" xr:uid="{00000000-0005-0000-0000-00005C330000}"/>
    <cellStyle name="Currency 3 2 3 3 2 3 2" xfId="41021" xr:uid="{00000000-0005-0000-0000-00005D330000}"/>
    <cellStyle name="Currency 3 2 3 3 2 4" xfId="28716" xr:uid="{00000000-0005-0000-0000-00005E330000}"/>
    <cellStyle name="Currency 3 2 3 3 3" xfId="11883" xr:uid="{00000000-0005-0000-0000-00005F330000}"/>
    <cellStyle name="Currency 3 2 3 3 3 2" xfId="31803" xr:uid="{00000000-0005-0000-0000-000060330000}"/>
    <cellStyle name="Currency 3 2 3 3 4" xfId="18035" xr:uid="{00000000-0005-0000-0000-000061330000}"/>
    <cellStyle name="Currency 3 2 3 3 4 2" xfId="37955" xr:uid="{00000000-0005-0000-0000-000062330000}"/>
    <cellStyle name="Currency 3 2 3 3 5" xfId="25650" xr:uid="{00000000-0005-0000-0000-000063330000}"/>
    <cellStyle name="Currency 3 2 3 4" xfId="7221" xr:uid="{00000000-0005-0000-0000-000064330000}"/>
    <cellStyle name="Currency 3 2 3 4 2" xfId="13415" xr:uid="{00000000-0005-0000-0000-000065330000}"/>
    <cellStyle name="Currency 3 2 3 4 2 2" xfId="33335" xr:uid="{00000000-0005-0000-0000-000066330000}"/>
    <cellStyle name="Currency 3 2 3 4 3" xfId="19567" xr:uid="{00000000-0005-0000-0000-000067330000}"/>
    <cellStyle name="Currency 3 2 3 4 3 2" xfId="39487" xr:uid="{00000000-0005-0000-0000-000068330000}"/>
    <cellStyle name="Currency 3 2 3 4 4" xfId="27182" xr:uid="{00000000-0005-0000-0000-000069330000}"/>
    <cellStyle name="Currency 3 2 3 5" xfId="10349" xr:uid="{00000000-0005-0000-0000-00006A330000}"/>
    <cellStyle name="Currency 3 2 3 5 2" xfId="30269" xr:uid="{00000000-0005-0000-0000-00006B330000}"/>
    <cellStyle name="Currency 3 2 3 6" xfId="16501" xr:uid="{00000000-0005-0000-0000-00006C330000}"/>
    <cellStyle name="Currency 3 2 3 6 2" xfId="36421" xr:uid="{00000000-0005-0000-0000-00006D330000}"/>
    <cellStyle name="Currency 3 2 3 7" xfId="24116" xr:uid="{00000000-0005-0000-0000-00006E330000}"/>
    <cellStyle name="Currency 3 2 4" xfId="3107" xr:uid="{00000000-0005-0000-0000-00006F330000}"/>
    <cellStyle name="Currency 3 2 4 2" xfId="4815" xr:uid="{00000000-0005-0000-0000-000070330000}"/>
    <cellStyle name="Currency 3 2 4 2 2" xfId="6440" xr:uid="{00000000-0005-0000-0000-000071330000}"/>
    <cellStyle name="Currency 3 2 4 2 2 2" xfId="9526" xr:uid="{00000000-0005-0000-0000-000072330000}"/>
    <cellStyle name="Currency 3 2 4 2 2 2 2" xfId="15719" xr:uid="{00000000-0005-0000-0000-000073330000}"/>
    <cellStyle name="Currency 3 2 4 2 2 2 2 2" xfId="35639" xr:uid="{00000000-0005-0000-0000-000074330000}"/>
    <cellStyle name="Currency 3 2 4 2 2 2 3" xfId="21871" xr:uid="{00000000-0005-0000-0000-000075330000}"/>
    <cellStyle name="Currency 3 2 4 2 2 2 3 2" xfId="41791" xr:uid="{00000000-0005-0000-0000-000076330000}"/>
    <cellStyle name="Currency 3 2 4 2 2 2 4" xfId="29486" xr:uid="{00000000-0005-0000-0000-000077330000}"/>
    <cellStyle name="Currency 3 2 4 2 2 3" xfId="12653" xr:uid="{00000000-0005-0000-0000-000078330000}"/>
    <cellStyle name="Currency 3 2 4 2 2 3 2" xfId="32573" xr:uid="{00000000-0005-0000-0000-000079330000}"/>
    <cellStyle name="Currency 3 2 4 2 2 4" xfId="18805" xr:uid="{00000000-0005-0000-0000-00007A330000}"/>
    <cellStyle name="Currency 3 2 4 2 2 4 2" xfId="38725" xr:uid="{00000000-0005-0000-0000-00007B330000}"/>
    <cellStyle name="Currency 3 2 4 2 2 5" xfId="26420" xr:uid="{00000000-0005-0000-0000-00007C330000}"/>
    <cellStyle name="Currency 3 2 4 2 3" xfId="7991" xr:uid="{00000000-0005-0000-0000-00007D330000}"/>
    <cellStyle name="Currency 3 2 4 2 3 2" xfId="14185" xr:uid="{00000000-0005-0000-0000-00007E330000}"/>
    <cellStyle name="Currency 3 2 4 2 3 2 2" xfId="34105" xr:uid="{00000000-0005-0000-0000-00007F330000}"/>
    <cellStyle name="Currency 3 2 4 2 3 3" xfId="20337" xr:uid="{00000000-0005-0000-0000-000080330000}"/>
    <cellStyle name="Currency 3 2 4 2 3 3 2" xfId="40257" xr:uid="{00000000-0005-0000-0000-000081330000}"/>
    <cellStyle name="Currency 3 2 4 2 3 4" xfId="27952" xr:uid="{00000000-0005-0000-0000-000082330000}"/>
    <cellStyle name="Currency 3 2 4 2 4" xfId="11119" xr:uid="{00000000-0005-0000-0000-000083330000}"/>
    <cellStyle name="Currency 3 2 4 2 4 2" xfId="31039" xr:uid="{00000000-0005-0000-0000-000084330000}"/>
    <cellStyle name="Currency 3 2 4 2 5" xfId="17271" xr:uid="{00000000-0005-0000-0000-000085330000}"/>
    <cellStyle name="Currency 3 2 4 2 5 2" xfId="37191" xr:uid="{00000000-0005-0000-0000-000086330000}"/>
    <cellStyle name="Currency 3 2 4 2 6" xfId="24886" xr:uid="{00000000-0005-0000-0000-000087330000}"/>
    <cellStyle name="Currency 3 2 4 3" xfId="5656" xr:uid="{00000000-0005-0000-0000-000088330000}"/>
    <cellStyle name="Currency 3 2 4 3 2" xfId="8757" xr:uid="{00000000-0005-0000-0000-000089330000}"/>
    <cellStyle name="Currency 3 2 4 3 2 2" xfId="14950" xr:uid="{00000000-0005-0000-0000-00008A330000}"/>
    <cellStyle name="Currency 3 2 4 3 2 2 2" xfId="34870" xr:uid="{00000000-0005-0000-0000-00008B330000}"/>
    <cellStyle name="Currency 3 2 4 3 2 3" xfId="21102" xr:uid="{00000000-0005-0000-0000-00008C330000}"/>
    <cellStyle name="Currency 3 2 4 3 2 3 2" xfId="41022" xr:uid="{00000000-0005-0000-0000-00008D330000}"/>
    <cellStyle name="Currency 3 2 4 3 2 4" xfId="28717" xr:uid="{00000000-0005-0000-0000-00008E330000}"/>
    <cellStyle name="Currency 3 2 4 3 3" xfId="11884" xr:uid="{00000000-0005-0000-0000-00008F330000}"/>
    <cellStyle name="Currency 3 2 4 3 3 2" xfId="31804" xr:uid="{00000000-0005-0000-0000-000090330000}"/>
    <cellStyle name="Currency 3 2 4 3 4" xfId="18036" xr:uid="{00000000-0005-0000-0000-000091330000}"/>
    <cellStyle name="Currency 3 2 4 3 4 2" xfId="37956" xr:uid="{00000000-0005-0000-0000-000092330000}"/>
    <cellStyle name="Currency 3 2 4 3 5" xfId="25651" xr:uid="{00000000-0005-0000-0000-000093330000}"/>
    <cellStyle name="Currency 3 2 4 4" xfId="7222" xr:uid="{00000000-0005-0000-0000-000094330000}"/>
    <cellStyle name="Currency 3 2 4 4 2" xfId="13416" xr:uid="{00000000-0005-0000-0000-000095330000}"/>
    <cellStyle name="Currency 3 2 4 4 2 2" xfId="33336" xr:uid="{00000000-0005-0000-0000-000096330000}"/>
    <cellStyle name="Currency 3 2 4 4 3" xfId="19568" xr:uid="{00000000-0005-0000-0000-000097330000}"/>
    <cellStyle name="Currency 3 2 4 4 3 2" xfId="39488" xr:uid="{00000000-0005-0000-0000-000098330000}"/>
    <cellStyle name="Currency 3 2 4 4 4" xfId="27183" xr:uid="{00000000-0005-0000-0000-000099330000}"/>
    <cellStyle name="Currency 3 2 4 5" xfId="10350" xr:uid="{00000000-0005-0000-0000-00009A330000}"/>
    <cellStyle name="Currency 3 2 4 5 2" xfId="30270" xr:uid="{00000000-0005-0000-0000-00009B330000}"/>
    <cellStyle name="Currency 3 2 4 6" xfId="16502" xr:uid="{00000000-0005-0000-0000-00009C330000}"/>
    <cellStyle name="Currency 3 2 4 6 2" xfId="36422" xr:uid="{00000000-0005-0000-0000-00009D330000}"/>
    <cellStyle name="Currency 3 2 4 7" xfId="24117" xr:uid="{00000000-0005-0000-0000-00009E330000}"/>
    <cellStyle name="Currency 3 2 5" xfId="3108" xr:uid="{00000000-0005-0000-0000-00009F330000}"/>
    <cellStyle name="Currency 3 2 5 2" xfId="4816" xr:uid="{00000000-0005-0000-0000-0000A0330000}"/>
    <cellStyle name="Currency 3 2 5 2 2" xfId="6441" xr:uid="{00000000-0005-0000-0000-0000A1330000}"/>
    <cellStyle name="Currency 3 2 5 2 2 2" xfId="9527" xr:uid="{00000000-0005-0000-0000-0000A2330000}"/>
    <cellStyle name="Currency 3 2 5 2 2 2 2" xfId="15720" xr:uid="{00000000-0005-0000-0000-0000A3330000}"/>
    <cellStyle name="Currency 3 2 5 2 2 2 2 2" xfId="35640" xr:uid="{00000000-0005-0000-0000-0000A4330000}"/>
    <cellStyle name="Currency 3 2 5 2 2 2 3" xfId="21872" xr:uid="{00000000-0005-0000-0000-0000A5330000}"/>
    <cellStyle name="Currency 3 2 5 2 2 2 3 2" xfId="41792" xr:uid="{00000000-0005-0000-0000-0000A6330000}"/>
    <cellStyle name="Currency 3 2 5 2 2 2 4" xfId="29487" xr:uid="{00000000-0005-0000-0000-0000A7330000}"/>
    <cellStyle name="Currency 3 2 5 2 2 3" xfId="12654" xr:uid="{00000000-0005-0000-0000-0000A8330000}"/>
    <cellStyle name="Currency 3 2 5 2 2 3 2" xfId="32574" xr:uid="{00000000-0005-0000-0000-0000A9330000}"/>
    <cellStyle name="Currency 3 2 5 2 2 4" xfId="18806" xr:uid="{00000000-0005-0000-0000-0000AA330000}"/>
    <cellStyle name="Currency 3 2 5 2 2 4 2" xfId="38726" xr:uid="{00000000-0005-0000-0000-0000AB330000}"/>
    <cellStyle name="Currency 3 2 5 2 2 5" xfId="26421" xr:uid="{00000000-0005-0000-0000-0000AC330000}"/>
    <cellStyle name="Currency 3 2 5 2 3" xfId="7992" xr:uid="{00000000-0005-0000-0000-0000AD330000}"/>
    <cellStyle name="Currency 3 2 5 2 3 2" xfId="14186" xr:uid="{00000000-0005-0000-0000-0000AE330000}"/>
    <cellStyle name="Currency 3 2 5 2 3 2 2" xfId="34106" xr:uid="{00000000-0005-0000-0000-0000AF330000}"/>
    <cellStyle name="Currency 3 2 5 2 3 3" xfId="20338" xr:uid="{00000000-0005-0000-0000-0000B0330000}"/>
    <cellStyle name="Currency 3 2 5 2 3 3 2" xfId="40258" xr:uid="{00000000-0005-0000-0000-0000B1330000}"/>
    <cellStyle name="Currency 3 2 5 2 3 4" xfId="27953" xr:uid="{00000000-0005-0000-0000-0000B2330000}"/>
    <cellStyle name="Currency 3 2 5 2 4" xfId="11120" xr:uid="{00000000-0005-0000-0000-0000B3330000}"/>
    <cellStyle name="Currency 3 2 5 2 4 2" xfId="31040" xr:uid="{00000000-0005-0000-0000-0000B4330000}"/>
    <cellStyle name="Currency 3 2 5 2 5" xfId="17272" xr:uid="{00000000-0005-0000-0000-0000B5330000}"/>
    <cellStyle name="Currency 3 2 5 2 5 2" xfId="37192" xr:uid="{00000000-0005-0000-0000-0000B6330000}"/>
    <cellStyle name="Currency 3 2 5 2 6" xfId="24887" xr:uid="{00000000-0005-0000-0000-0000B7330000}"/>
    <cellStyle name="Currency 3 2 5 3" xfId="5657" xr:uid="{00000000-0005-0000-0000-0000B8330000}"/>
    <cellStyle name="Currency 3 2 5 3 2" xfId="8758" xr:uid="{00000000-0005-0000-0000-0000B9330000}"/>
    <cellStyle name="Currency 3 2 5 3 2 2" xfId="14951" xr:uid="{00000000-0005-0000-0000-0000BA330000}"/>
    <cellStyle name="Currency 3 2 5 3 2 2 2" xfId="34871" xr:uid="{00000000-0005-0000-0000-0000BB330000}"/>
    <cellStyle name="Currency 3 2 5 3 2 3" xfId="21103" xr:uid="{00000000-0005-0000-0000-0000BC330000}"/>
    <cellStyle name="Currency 3 2 5 3 2 3 2" xfId="41023" xr:uid="{00000000-0005-0000-0000-0000BD330000}"/>
    <cellStyle name="Currency 3 2 5 3 2 4" xfId="28718" xr:uid="{00000000-0005-0000-0000-0000BE330000}"/>
    <cellStyle name="Currency 3 2 5 3 3" xfId="11885" xr:uid="{00000000-0005-0000-0000-0000BF330000}"/>
    <cellStyle name="Currency 3 2 5 3 3 2" xfId="31805" xr:uid="{00000000-0005-0000-0000-0000C0330000}"/>
    <cellStyle name="Currency 3 2 5 3 4" xfId="18037" xr:uid="{00000000-0005-0000-0000-0000C1330000}"/>
    <cellStyle name="Currency 3 2 5 3 4 2" xfId="37957" xr:uid="{00000000-0005-0000-0000-0000C2330000}"/>
    <cellStyle name="Currency 3 2 5 3 5" xfId="25652" xr:uid="{00000000-0005-0000-0000-0000C3330000}"/>
    <cellStyle name="Currency 3 2 5 4" xfId="7223" xr:uid="{00000000-0005-0000-0000-0000C4330000}"/>
    <cellStyle name="Currency 3 2 5 4 2" xfId="13417" xr:uid="{00000000-0005-0000-0000-0000C5330000}"/>
    <cellStyle name="Currency 3 2 5 4 2 2" xfId="33337" xr:uid="{00000000-0005-0000-0000-0000C6330000}"/>
    <cellStyle name="Currency 3 2 5 4 3" xfId="19569" xr:uid="{00000000-0005-0000-0000-0000C7330000}"/>
    <cellStyle name="Currency 3 2 5 4 3 2" xfId="39489" xr:uid="{00000000-0005-0000-0000-0000C8330000}"/>
    <cellStyle name="Currency 3 2 5 4 4" xfId="27184" xr:uid="{00000000-0005-0000-0000-0000C9330000}"/>
    <cellStyle name="Currency 3 2 5 5" xfId="10351" xr:uid="{00000000-0005-0000-0000-0000CA330000}"/>
    <cellStyle name="Currency 3 2 5 5 2" xfId="30271" xr:uid="{00000000-0005-0000-0000-0000CB330000}"/>
    <cellStyle name="Currency 3 2 5 6" xfId="16503" xr:uid="{00000000-0005-0000-0000-0000CC330000}"/>
    <cellStyle name="Currency 3 2 5 6 2" xfId="36423" xr:uid="{00000000-0005-0000-0000-0000CD330000}"/>
    <cellStyle name="Currency 3 2 5 7" xfId="24118" xr:uid="{00000000-0005-0000-0000-0000CE330000}"/>
    <cellStyle name="Currency 3 2 6" xfId="3109" xr:uid="{00000000-0005-0000-0000-0000CF330000}"/>
    <cellStyle name="Currency 3 2 7" xfId="3110" xr:uid="{00000000-0005-0000-0000-0000D0330000}"/>
    <cellStyle name="Currency 3 2 8" xfId="10143" xr:uid="{00000000-0005-0000-0000-0000D1330000}"/>
    <cellStyle name="Currency 3 2 9" xfId="3104" xr:uid="{00000000-0005-0000-0000-0000D2330000}"/>
    <cellStyle name="Currency 3 20" xfId="427" xr:uid="{00000000-0005-0000-0000-0000D3330000}"/>
    <cellStyle name="Currency 3 20 2" xfId="4817" xr:uid="{00000000-0005-0000-0000-0000D4330000}"/>
    <cellStyle name="Currency 3 20 2 2" xfId="6442" xr:uid="{00000000-0005-0000-0000-0000D5330000}"/>
    <cellStyle name="Currency 3 20 2 2 2" xfId="9528" xr:uid="{00000000-0005-0000-0000-0000D6330000}"/>
    <cellStyle name="Currency 3 20 2 2 2 2" xfId="15721" xr:uid="{00000000-0005-0000-0000-0000D7330000}"/>
    <cellStyle name="Currency 3 20 2 2 2 2 2" xfId="35641" xr:uid="{00000000-0005-0000-0000-0000D8330000}"/>
    <cellStyle name="Currency 3 20 2 2 2 3" xfId="21873" xr:uid="{00000000-0005-0000-0000-0000D9330000}"/>
    <cellStyle name="Currency 3 20 2 2 2 3 2" xfId="41793" xr:uid="{00000000-0005-0000-0000-0000DA330000}"/>
    <cellStyle name="Currency 3 20 2 2 2 4" xfId="29488" xr:uid="{00000000-0005-0000-0000-0000DB330000}"/>
    <cellStyle name="Currency 3 20 2 2 3" xfId="12655" xr:uid="{00000000-0005-0000-0000-0000DC330000}"/>
    <cellStyle name="Currency 3 20 2 2 3 2" xfId="32575" xr:uid="{00000000-0005-0000-0000-0000DD330000}"/>
    <cellStyle name="Currency 3 20 2 2 4" xfId="18807" xr:uid="{00000000-0005-0000-0000-0000DE330000}"/>
    <cellStyle name="Currency 3 20 2 2 4 2" xfId="38727" xr:uid="{00000000-0005-0000-0000-0000DF330000}"/>
    <cellStyle name="Currency 3 20 2 2 5" xfId="26422" xr:uid="{00000000-0005-0000-0000-0000E0330000}"/>
    <cellStyle name="Currency 3 20 2 3" xfId="7993" xr:uid="{00000000-0005-0000-0000-0000E1330000}"/>
    <cellStyle name="Currency 3 20 2 3 2" xfId="14187" xr:uid="{00000000-0005-0000-0000-0000E2330000}"/>
    <cellStyle name="Currency 3 20 2 3 2 2" xfId="34107" xr:uid="{00000000-0005-0000-0000-0000E3330000}"/>
    <cellStyle name="Currency 3 20 2 3 3" xfId="20339" xr:uid="{00000000-0005-0000-0000-0000E4330000}"/>
    <cellStyle name="Currency 3 20 2 3 3 2" xfId="40259" xr:uid="{00000000-0005-0000-0000-0000E5330000}"/>
    <cellStyle name="Currency 3 20 2 3 4" xfId="27954" xr:uid="{00000000-0005-0000-0000-0000E6330000}"/>
    <cellStyle name="Currency 3 20 2 4" xfId="11121" xr:uid="{00000000-0005-0000-0000-0000E7330000}"/>
    <cellStyle name="Currency 3 20 2 4 2" xfId="31041" xr:uid="{00000000-0005-0000-0000-0000E8330000}"/>
    <cellStyle name="Currency 3 20 2 5" xfId="17273" xr:uid="{00000000-0005-0000-0000-0000E9330000}"/>
    <cellStyle name="Currency 3 20 2 5 2" xfId="37193" xr:uid="{00000000-0005-0000-0000-0000EA330000}"/>
    <cellStyle name="Currency 3 20 2 6" xfId="24888" xr:uid="{00000000-0005-0000-0000-0000EB330000}"/>
    <cellStyle name="Currency 3 20 3" xfId="5658" xr:uid="{00000000-0005-0000-0000-0000EC330000}"/>
    <cellStyle name="Currency 3 20 3 2" xfId="8759" xr:uid="{00000000-0005-0000-0000-0000ED330000}"/>
    <cellStyle name="Currency 3 20 3 2 2" xfId="14952" xr:uid="{00000000-0005-0000-0000-0000EE330000}"/>
    <cellStyle name="Currency 3 20 3 2 2 2" xfId="34872" xr:uid="{00000000-0005-0000-0000-0000EF330000}"/>
    <cellStyle name="Currency 3 20 3 2 3" xfId="21104" xr:uid="{00000000-0005-0000-0000-0000F0330000}"/>
    <cellStyle name="Currency 3 20 3 2 3 2" xfId="41024" xr:uid="{00000000-0005-0000-0000-0000F1330000}"/>
    <cellStyle name="Currency 3 20 3 2 4" xfId="28719" xr:uid="{00000000-0005-0000-0000-0000F2330000}"/>
    <cellStyle name="Currency 3 20 3 3" xfId="11886" xr:uid="{00000000-0005-0000-0000-0000F3330000}"/>
    <cellStyle name="Currency 3 20 3 3 2" xfId="31806" xr:uid="{00000000-0005-0000-0000-0000F4330000}"/>
    <cellStyle name="Currency 3 20 3 4" xfId="18038" xr:uid="{00000000-0005-0000-0000-0000F5330000}"/>
    <cellStyle name="Currency 3 20 3 4 2" xfId="37958" xr:uid="{00000000-0005-0000-0000-0000F6330000}"/>
    <cellStyle name="Currency 3 20 3 5" xfId="25653" xr:uid="{00000000-0005-0000-0000-0000F7330000}"/>
    <cellStyle name="Currency 3 20 4" xfId="7224" xr:uid="{00000000-0005-0000-0000-0000F8330000}"/>
    <cellStyle name="Currency 3 20 4 2" xfId="13418" xr:uid="{00000000-0005-0000-0000-0000F9330000}"/>
    <cellStyle name="Currency 3 20 4 2 2" xfId="33338" xr:uid="{00000000-0005-0000-0000-0000FA330000}"/>
    <cellStyle name="Currency 3 20 4 3" xfId="19570" xr:uid="{00000000-0005-0000-0000-0000FB330000}"/>
    <cellStyle name="Currency 3 20 4 3 2" xfId="39490" xr:uid="{00000000-0005-0000-0000-0000FC330000}"/>
    <cellStyle name="Currency 3 20 4 4" xfId="27185" xr:uid="{00000000-0005-0000-0000-0000FD330000}"/>
    <cellStyle name="Currency 3 20 5" xfId="10352" xr:uid="{00000000-0005-0000-0000-0000FE330000}"/>
    <cellStyle name="Currency 3 20 5 2" xfId="30272" xr:uid="{00000000-0005-0000-0000-0000FF330000}"/>
    <cellStyle name="Currency 3 20 6" xfId="16504" xr:uid="{00000000-0005-0000-0000-000000340000}"/>
    <cellStyle name="Currency 3 20 6 2" xfId="36424" xr:uid="{00000000-0005-0000-0000-000001340000}"/>
    <cellStyle name="Currency 3 20 7" xfId="3111" xr:uid="{00000000-0005-0000-0000-000002340000}"/>
    <cellStyle name="Currency 3 20 7 2" xfId="24119" xr:uid="{00000000-0005-0000-0000-000003340000}"/>
    <cellStyle name="Currency 3 21" xfId="495" xr:uid="{00000000-0005-0000-0000-000004340000}"/>
    <cellStyle name="Currency 3 21 2" xfId="4818" xr:uid="{00000000-0005-0000-0000-000005340000}"/>
    <cellStyle name="Currency 3 21 2 2" xfId="6443" xr:uid="{00000000-0005-0000-0000-000006340000}"/>
    <cellStyle name="Currency 3 21 2 2 2" xfId="9529" xr:uid="{00000000-0005-0000-0000-000007340000}"/>
    <cellStyle name="Currency 3 21 2 2 2 2" xfId="15722" xr:uid="{00000000-0005-0000-0000-000008340000}"/>
    <cellStyle name="Currency 3 21 2 2 2 2 2" xfId="35642" xr:uid="{00000000-0005-0000-0000-000009340000}"/>
    <cellStyle name="Currency 3 21 2 2 2 3" xfId="21874" xr:uid="{00000000-0005-0000-0000-00000A340000}"/>
    <cellStyle name="Currency 3 21 2 2 2 3 2" xfId="41794" xr:uid="{00000000-0005-0000-0000-00000B340000}"/>
    <cellStyle name="Currency 3 21 2 2 2 4" xfId="29489" xr:uid="{00000000-0005-0000-0000-00000C340000}"/>
    <cellStyle name="Currency 3 21 2 2 3" xfId="12656" xr:uid="{00000000-0005-0000-0000-00000D340000}"/>
    <cellStyle name="Currency 3 21 2 2 3 2" xfId="32576" xr:uid="{00000000-0005-0000-0000-00000E340000}"/>
    <cellStyle name="Currency 3 21 2 2 4" xfId="18808" xr:uid="{00000000-0005-0000-0000-00000F340000}"/>
    <cellStyle name="Currency 3 21 2 2 4 2" xfId="38728" xr:uid="{00000000-0005-0000-0000-000010340000}"/>
    <cellStyle name="Currency 3 21 2 2 5" xfId="26423" xr:uid="{00000000-0005-0000-0000-000011340000}"/>
    <cellStyle name="Currency 3 21 2 3" xfId="7994" xr:uid="{00000000-0005-0000-0000-000012340000}"/>
    <cellStyle name="Currency 3 21 2 3 2" xfId="14188" xr:uid="{00000000-0005-0000-0000-000013340000}"/>
    <cellStyle name="Currency 3 21 2 3 2 2" xfId="34108" xr:uid="{00000000-0005-0000-0000-000014340000}"/>
    <cellStyle name="Currency 3 21 2 3 3" xfId="20340" xr:uid="{00000000-0005-0000-0000-000015340000}"/>
    <cellStyle name="Currency 3 21 2 3 3 2" xfId="40260" xr:uid="{00000000-0005-0000-0000-000016340000}"/>
    <cellStyle name="Currency 3 21 2 3 4" xfId="27955" xr:uid="{00000000-0005-0000-0000-000017340000}"/>
    <cellStyle name="Currency 3 21 2 4" xfId="11122" xr:uid="{00000000-0005-0000-0000-000018340000}"/>
    <cellStyle name="Currency 3 21 2 4 2" xfId="31042" xr:uid="{00000000-0005-0000-0000-000019340000}"/>
    <cellStyle name="Currency 3 21 2 5" xfId="17274" xr:uid="{00000000-0005-0000-0000-00001A340000}"/>
    <cellStyle name="Currency 3 21 2 5 2" xfId="37194" xr:uid="{00000000-0005-0000-0000-00001B340000}"/>
    <cellStyle name="Currency 3 21 2 6" xfId="24889" xr:uid="{00000000-0005-0000-0000-00001C340000}"/>
    <cellStyle name="Currency 3 21 3" xfId="5659" xr:uid="{00000000-0005-0000-0000-00001D340000}"/>
    <cellStyle name="Currency 3 21 3 2" xfId="8760" xr:uid="{00000000-0005-0000-0000-00001E340000}"/>
    <cellStyle name="Currency 3 21 3 2 2" xfId="14953" xr:uid="{00000000-0005-0000-0000-00001F340000}"/>
    <cellStyle name="Currency 3 21 3 2 2 2" xfId="34873" xr:uid="{00000000-0005-0000-0000-000020340000}"/>
    <cellStyle name="Currency 3 21 3 2 3" xfId="21105" xr:uid="{00000000-0005-0000-0000-000021340000}"/>
    <cellStyle name="Currency 3 21 3 2 3 2" xfId="41025" xr:uid="{00000000-0005-0000-0000-000022340000}"/>
    <cellStyle name="Currency 3 21 3 2 4" xfId="28720" xr:uid="{00000000-0005-0000-0000-000023340000}"/>
    <cellStyle name="Currency 3 21 3 3" xfId="11887" xr:uid="{00000000-0005-0000-0000-000024340000}"/>
    <cellStyle name="Currency 3 21 3 3 2" xfId="31807" xr:uid="{00000000-0005-0000-0000-000025340000}"/>
    <cellStyle name="Currency 3 21 3 4" xfId="18039" xr:uid="{00000000-0005-0000-0000-000026340000}"/>
    <cellStyle name="Currency 3 21 3 4 2" xfId="37959" xr:uid="{00000000-0005-0000-0000-000027340000}"/>
    <cellStyle name="Currency 3 21 3 5" xfId="25654" xr:uid="{00000000-0005-0000-0000-000028340000}"/>
    <cellStyle name="Currency 3 21 4" xfId="7225" xr:uid="{00000000-0005-0000-0000-000029340000}"/>
    <cellStyle name="Currency 3 21 4 2" xfId="13419" xr:uid="{00000000-0005-0000-0000-00002A340000}"/>
    <cellStyle name="Currency 3 21 4 2 2" xfId="33339" xr:uid="{00000000-0005-0000-0000-00002B340000}"/>
    <cellStyle name="Currency 3 21 4 3" xfId="19571" xr:uid="{00000000-0005-0000-0000-00002C340000}"/>
    <cellStyle name="Currency 3 21 4 3 2" xfId="39491" xr:uid="{00000000-0005-0000-0000-00002D340000}"/>
    <cellStyle name="Currency 3 21 4 4" xfId="27186" xr:uid="{00000000-0005-0000-0000-00002E340000}"/>
    <cellStyle name="Currency 3 21 5" xfId="10353" xr:uid="{00000000-0005-0000-0000-00002F340000}"/>
    <cellStyle name="Currency 3 21 5 2" xfId="30273" xr:uid="{00000000-0005-0000-0000-000030340000}"/>
    <cellStyle name="Currency 3 21 6" xfId="16505" xr:uid="{00000000-0005-0000-0000-000031340000}"/>
    <cellStyle name="Currency 3 21 6 2" xfId="36425" xr:uid="{00000000-0005-0000-0000-000032340000}"/>
    <cellStyle name="Currency 3 21 7" xfId="3112" xr:uid="{00000000-0005-0000-0000-000033340000}"/>
    <cellStyle name="Currency 3 21 7 2" xfId="24120" xr:uid="{00000000-0005-0000-0000-000034340000}"/>
    <cellStyle name="Currency 3 22" xfId="544" xr:uid="{00000000-0005-0000-0000-000035340000}"/>
    <cellStyle name="Currency 3 22 2" xfId="3114" xr:uid="{00000000-0005-0000-0000-000036340000}"/>
    <cellStyle name="Currency 3 22 3" xfId="3115" xr:uid="{00000000-0005-0000-0000-000037340000}"/>
    <cellStyle name="Currency 3 22 4" xfId="3113" xr:uid="{00000000-0005-0000-0000-000038340000}"/>
    <cellStyle name="Currency 3 23" xfId="555" xr:uid="{00000000-0005-0000-0000-000039340000}"/>
    <cellStyle name="Currency 3 23 2" xfId="10108" xr:uid="{00000000-0005-0000-0000-00003A340000}"/>
    <cellStyle name="Currency 3 24" xfId="584" xr:uid="{00000000-0005-0000-0000-00003B340000}"/>
    <cellStyle name="Currency 3 25" xfId="564" xr:uid="{00000000-0005-0000-0000-00003C340000}"/>
    <cellStyle name="Currency 3 26" xfId="596" xr:uid="{00000000-0005-0000-0000-00003D340000}"/>
    <cellStyle name="Currency 3 27" xfId="624" xr:uid="{00000000-0005-0000-0000-00003E340000}"/>
    <cellStyle name="Currency 3 28" xfId="650" xr:uid="{00000000-0005-0000-0000-00003F340000}"/>
    <cellStyle name="Currency 3 29" xfId="730" xr:uid="{00000000-0005-0000-0000-000040340000}"/>
    <cellStyle name="Currency 3 3" xfId="91" xr:uid="{00000000-0005-0000-0000-000041340000}"/>
    <cellStyle name="Currency 3 3 10" xfId="7226" xr:uid="{00000000-0005-0000-0000-000042340000}"/>
    <cellStyle name="Currency 3 3 10 2" xfId="13420" xr:uid="{00000000-0005-0000-0000-000043340000}"/>
    <cellStyle name="Currency 3 3 10 2 2" xfId="33340" xr:uid="{00000000-0005-0000-0000-000044340000}"/>
    <cellStyle name="Currency 3 3 10 3" xfId="19572" xr:uid="{00000000-0005-0000-0000-000045340000}"/>
    <cellStyle name="Currency 3 3 10 3 2" xfId="39492" xr:uid="{00000000-0005-0000-0000-000046340000}"/>
    <cellStyle name="Currency 3 3 10 4" xfId="27187" xr:uid="{00000000-0005-0000-0000-000047340000}"/>
    <cellStyle name="Currency 3 3 11" xfId="10138" xr:uid="{00000000-0005-0000-0000-000048340000}"/>
    <cellStyle name="Currency 3 3 12" xfId="10354" xr:uid="{00000000-0005-0000-0000-000049340000}"/>
    <cellStyle name="Currency 3 3 12 2" xfId="30274" xr:uid="{00000000-0005-0000-0000-00004A340000}"/>
    <cellStyle name="Currency 3 3 13" xfId="16506" xr:uid="{00000000-0005-0000-0000-00004B340000}"/>
    <cellStyle name="Currency 3 3 13 2" xfId="36426" xr:uid="{00000000-0005-0000-0000-00004C340000}"/>
    <cellStyle name="Currency 3 3 14" xfId="3116" xr:uid="{00000000-0005-0000-0000-00004D340000}"/>
    <cellStyle name="Currency 3 3 14 2" xfId="24121" xr:uid="{00000000-0005-0000-0000-00004E340000}"/>
    <cellStyle name="Currency 3 3 2" xfId="140" xr:uid="{00000000-0005-0000-0000-00004F340000}"/>
    <cellStyle name="Currency 3 3 2 2" xfId="4820" xr:uid="{00000000-0005-0000-0000-000050340000}"/>
    <cellStyle name="Currency 3 3 2 2 2" xfId="6445" xr:uid="{00000000-0005-0000-0000-000051340000}"/>
    <cellStyle name="Currency 3 3 2 2 2 2" xfId="9531" xr:uid="{00000000-0005-0000-0000-000052340000}"/>
    <cellStyle name="Currency 3 3 2 2 2 2 2" xfId="15724" xr:uid="{00000000-0005-0000-0000-000053340000}"/>
    <cellStyle name="Currency 3 3 2 2 2 2 2 2" xfId="35644" xr:uid="{00000000-0005-0000-0000-000054340000}"/>
    <cellStyle name="Currency 3 3 2 2 2 2 3" xfId="21876" xr:uid="{00000000-0005-0000-0000-000055340000}"/>
    <cellStyle name="Currency 3 3 2 2 2 2 3 2" xfId="41796" xr:uid="{00000000-0005-0000-0000-000056340000}"/>
    <cellStyle name="Currency 3 3 2 2 2 2 4" xfId="29491" xr:uid="{00000000-0005-0000-0000-000057340000}"/>
    <cellStyle name="Currency 3 3 2 2 2 3" xfId="12658" xr:uid="{00000000-0005-0000-0000-000058340000}"/>
    <cellStyle name="Currency 3 3 2 2 2 3 2" xfId="32578" xr:uid="{00000000-0005-0000-0000-000059340000}"/>
    <cellStyle name="Currency 3 3 2 2 2 4" xfId="18810" xr:uid="{00000000-0005-0000-0000-00005A340000}"/>
    <cellStyle name="Currency 3 3 2 2 2 4 2" xfId="38730" xr:uid="{00000000-0005-0000-0000-00005B340000}"/>
    <cellStyle name="Currency 3 3 2 2 2 5" xfId="26425" xr:uid="{00000000-0005-0000-0000-00005C340000}"/>
    <cellStyle name="Currency 3 3 2 2 3" xfId="7996" xr:uid="{00000000-0005-0000-0000-00005D340000}"/>
    <cellStyle name="Currency 3 3 2 2 3 2" xfId="14190" xr:uid="{00000000-0005-0000-0000-00005E340000}"/>
    <cellStyle name="Currency 3 3 2 2 3 2 2" xfId="34110" xr:uid="{00000000-0005-0000-0000-00005F340000}"/>
    <cellStyle name="Currency 3 3 2 2 3 3" xfId="20342" xr:uid="{00000000-0005-0000-0000-000060340000}"/>
    <cellStyle name="Currency 3 3 2 2 3 3 2" xfId="40262" xr:uid="{00000000-0005-0000-0000-000061340000}"/>
    <cellStyle name="Currency 3 3 2 2 3 4" xfId="27957" xr:uid="{00000000-0005-0000-0000-000062340000}"/>
    <cellStyle name="Currency 3 3 2 2 4" xfId="11124" xr:uid="{00000000-0005-0000-0000-000063340000}"/>
    <cellStyle name="Currency 3 3 2 2 4 2" xfId="31044" xr:uid="{00000000-0005-0000-0000-000064340000}"/>
    <cellStyle name="Currency 3 3 2 2 5" xfId="17276" xr:uid="{00000000-0005-0000-0000-000065340000}"/>
    <cellStyle name="Currency 3 3 2 2 5 2" xfId="37196" xr:uid="{00000000-0005-0000-0000-000066340000}"/>
    <cellStyle name="Currency 3 3 2 2 6" xfId="24891" xr:uid="{00000000-0005-0000-0000-000067340000}"/>
    <cellStyle name="Currency 3 3 2 3" xfId="5661" xr:uid="{00000000-0005-0000-0000-000068340000}"/>
    <cellStyle name="Currency 3 3 2 3 2" xfId="8762" xr:uid="{00000000-0005-0000-0000-000069340000}"/>
    <cellStyle name="Currency 3 3 2 3 2 2" xfId="14955" xr:uid="{00000000-0005-0000-0000-00006A340000}"/>
    <cellStyle name="Currency 3 3 2 3 2 2 2" xfId="34875" xr:uid="{00000000-0005-0000-0000-00006B340000}"/>
    <cellStyle name="Currency 3 3 2 3 2 3" xfId="21107" xr:uid="{00000000-0005-0000-0000-00006C340000}"/>
    <cellStyle name="Currency 3 3 2 3 2 3 2" xfId="41027" xr:uid="{00000000-0005-0000-0000-00006D340000}"/>
    <cellStyle name="Currency 3 3 2 3 2 4" xfId="28722" xr:uid="{00000000-0005-0000-0000-00006E340000}"/>
    <cellStyle name="Currency 3 3 2 3 3" xfId="11889" xr:uid="{00000000-0005-0000-0000-00006F340000}"/>
    <cellStyle name="Currency 3 3 2 3 3 2" xfId="31809" xr:uid="{00000000-0005-0000-0000-000070340000}"/>
    <cellStyle name="Currency 3 3 2 3 4" xfId="18041" xr:uid="{00000000-0005-0000-0000-000071340000}"/>
    <cellStyle name="Currency 3 3 2 3 4 2" xfId="37961" xr:uid="{00000000-0005-0000-0000-000072340000}"/>
    <cellStyle name="Currency 3 3 2 3 5" xfId="25656" xr:uid="{00000000-0005-0000-0000-000073340000}"/>
    <cellStyle name="Currency 3 3 2 4" xfId="7227" xr:uid="{00000000-0005-0000-0000-000074340000}"/>
    <cellStyle name="Currency 3 3 2 4 2" xfId="13421" xr:uid="{00000000-0005-0000-0000-000075340000}"/>
    <cellStyle name="Currency 3 3 2 4 2 2" xfId="33341" xr:uid="{00000000-0005-0000-0000-000076340000}"/>
    <cellStyle name="Currency 3 3 2 4 3" xfId="19573" xr:uid="{00000000-0005-0000-0000-000077340000}"/>
    <cellStyle name="Currency 3 3 2 4 3 2" xfId="39493" xr:uid="{00000000-0005-0000-0000-000078340000}"/>
    <cellStyle name="Currency 3 3 2 4 4" xfId="27188" xr:uid="{00000000-0005-0000-0000-000079340000}"/>
    <cellStyle name="Currency 3 3 2 5" xfId="10355" xr:uid="{00000000-0005-0000-0000-00007A340000}"/>
    <cellStyle name="Currency 3 3 2 5 2" xfId="30275" xr:uid="{00000000-0005-0000-0000-00007B340000}"/>
    <cellStyle name="Currency 3 3 2 6" xfId="16507" xr:uid="{00000000-0005-0000-0000-00007C340000}"/>
    <cellStyle name="Currency 3 3 2 6 2" xfId="36427" xr:uid="{00000000-0005-0000-0000-00007D340000}"/>
    <cellStyle name="Currency 3 3 2 7" xfId="3117" xr:uid="{00000000-0005-0000-0000-00007E340000}"/>
    <cellStyle name="Currency 3 3 2 7 2" xfId="24122" xr:uid="{00000000-0005-0000-0000-00007F340000}"/>
    <cellStyle name="Currency 3 3 3" xfId="3118" xr:uid="{00000000-0005-0000-0000-000080340000}"/>
    <cellStyle name="Currency 3 3 3 2" xfId="4821" xr:uid="{00000000-0005-0000-0000-000081340000}"/>
    <cellStyle name="Currency 3 3 3 2 2" xfId="6446" xr:uid="{00000000-0005-0000-0000-000082340000}"/>
    <cellStyle name="Currency 3 3 3 2 2 2" xfId="9532" xr:uid="{00000000-0005-0000-0000-000083340000}"/>
    <cellStyle name="Currency 3 3 3 2 2 2 2" xfId="15725" xr:uid="{00000000-0005-0000-0000-000084340000}"/>
    <cellStyle name="Currency 3 3 3 2 2 2 2 2" xfId="35645" xr:uid="{00000000-0005-0000-0000-000085340000}"/>
    <cellStyle name="Currency 3 3 3 2 2 2 3" xfId="21877" xr:uid="{00000000-0005-0000-0000-000086340000}"/>
    <cellStyle name="Currency 3 3 3 2 2 2 3 2" xfId="41797" xr:uid="{00000000-0005-0000-0000-000087340000}"/>
    <cellStyle name="Currency 3 3 3 2 2 2 4" xfId="29492" xr:uid="{00000000-0005-0000-0000-000088340000}"/>
    <cellStyle name="Currency 3 3 3 2 2 3" xfId="12659" xr:uid="{00000000-0005-0000-0000-000089340000}"/>
    <cellStyle name="Currency 3 3 3 2 2 3 2" xfId="32579" xr:uid="{00000000-0005-0000-0000-00008A340000}"/>
    <cellStyle name="Currency 3 3 3 2 2 4" xfId="18811" xr:uid="{00000000-0005-0000-0000-00008B340000}"/>
    <cellStyle name="Currency 3 3 3 2 2 4 2" xfId="38731" xr:uid="{00000000-0005-0000-0000-00008C340000}"/>
    <cellStyle name="Currency 3 3 3 2 2 5" xfId="26426" xr:uid="{00000000-0005-0000-0000-00008D340000}"/>
    <cellStyle name="Currency 3 3 3 2 3" xfId="7997" xr:uid="{00000000-0005-0000-0000-00008E340000}"/>
    <cellStyle name="Currency 3 3 3 2 3 2" xfId="14191" xr:uid="{00000000-0005-0000-0000-00008F340000}"/>
    <cellStyle name="Currency 3 3 3 2 3 2 2" xfId="34111" xr:uid="{00000000-0005-0000-0000-000090340000}"/>
    <cellStyle name="Currency 3 3 3 2 3 3" xfId="20343" xr:uid="{00000000-0005-0000-0000-000091340000}"/>
    <cellStyle name="Currency 3 3 3 2 3 3 2" xfId="40263" xr:uid="{00000000-0005-0000-0000-000092340000}"/>
    <cellStyle name="Currency 3 3 3 2 3 4" xfId="27958" xr:uid="{00000000-0005-0000-0000-000093340000}"/>
    <cellStyle name="Currency 3 3 3 2 4" xfId="11125" xr:uid="{00000000-0005-0000-0000-000094340000}"/>
    <cellStyle name="Currency 3 3 3 2 4 2" xfId="31045" xr:uid="{00000000-0005-0000-0000-000095340000}"/>
    <cellStyle name="Currency 3 3 3 2 5" xfId="17277" xr:uid="{00000000-0005-0000-0000-000096340000}"/>
    <cellStyle name="Currency 3 3 3 2 5 2" xfId="37197" xr:uid="{00000000-0005-0000-0000-000097340000}"/>
    <cellStyle name="Currency 3 3 3 2 6" xfId="24892" xr:uid="{00000000-0005-0000-0000-000098340000}"/>
    <cellStyle name="Currency 3 3 3 3" xfId="5662" xr:uid="{00000000-0005-0000-0000-000099340000}"/>
    <cellStyle name="Currency 3 3 3 3 2" xfId="8763" xr:uid="{00000000-0005-0000-0000-00009A340000}"/>
    <cellStyle name="Currency 3 3 3 3 2 2" xfId="14956" xr:uid="{00000000-0005-0000-0000-00009B340000}"/>
    <cellStyle name="Currency 3 3 3 3 2 2 2" xfId="34876" xr:uid="{00000000-0005-0000-0000-00009C340000}"/>
    <cellStyle name="Currency 3 3 3 3 2 3" xfId="21108" xr:uid="{00000000-0005-0000-0000-00009D340000}"/>
    <cellStyle name="Currency 3 3 3 3 2 3 2" xfId="41028" xr:uid="{00000000-0005-0000-0000-00009E340000}"/>
    <cellStyle name="Currency 3 3 3 3 2 4" xfId="28723" xr:uid="{00000000-0005-0000-0000-00009F340000}"/>
    <cellStyle name="Currency 3 3 3 3 3" xfId="11890" xr:uid="{00000000-0005-0000-0000-0000A0340000}"/>
    <cellStyle name="Currency 3 3 3 3 3 2" xfId="31810" xr:uid="{00000000-0005-0000-0000-0000A1340000}"/>
    <cellStyle name="Currency 3 3 3 3 4" xfId="18042" xr:uid="{00000000-0005-0000-0000-0000A2340000}"/>
    <cellStyle name="Currency 3 3 3 3 4 2" xfId="37962" xr:uid="{00000000-0005-0000-0000-0000A3340000}"/>
    <cellStyle name="Currency 3 3 3 3 5" xfId="25657" xr:uid="{00000000-0005-0000-0000-0000A4340000}"/>
    <cellStyle name="Currency 3 3 3 4" xfId="7228" xr:uid="{00000000-0005-0000-0000-0000A5340000}"/>
    <cellStyle name="Currency 3 3 3 4 2" xfId="13422" xr:uid="{00000000-0005-0000-0000-0000A6340000}"/>
    <cellStyle name="Currency 3 3 3 4 2 2" xfId="33342" xr:uid="{00000000-0005-0000-0000-0000A7340000}"/>
    <cellStyle name="Currency 3 3 3 4 3" xfId="19574" xr:uid="{00000000-0005-0000-0000-0000A8340000}"/>
    <cellStyle name="Currency 3 3 3 4 3 2" xfId="39494" xr:uid="{00000000-0005-0000-0000-0000A9340000}"/>
    <cellStyle name="Currency 3 3 3 4 4" xfId="27189" xr:uid="{00000000-0005-0000-0000-0000AA340000}"/>
    <cellStyle name="Currency 3 3 3 5" xfId="10356" xr:uid="{00000000-0005-0000-0000-0000AB340000}"/>
    <cellStyle name="Currency 3 3 3 5 2" xfId="30276" xr:uid="{00000000-0005-0000-0000-0000AC340000}"/>
    <cellStyle name="Currency 3 3 3 6" xfId="16508" xr:uid="{00000000-0005-0000-0000-0000AD340000}"/>
    <cellStyle name="Currency 3 3 3 6 2" xfId="36428" xr:uid="{00000000-0005-0000-0000-0000AE340000}"/>
    <cellStyle name="Currency 3 3 3 7" xfId="24123" xr:uid="{00000000-0005-0000-0000-0000AF340000}"/>
    <cellStyle name="Currency 3 3 4" xfId="3119" xr:uid="{00000000-0005-0000-0000-0000B0340000}"/>
    <cellStyle name="Currency 3 3 4 2" xfId="4822" xr:uid="{00000000-0005-0000-0000-0000B1340000}"/>
    <cellStyle name="Currency 3 3 4 2 2" xfId="6447" xr:uid="{00000000-0005-0000-0000-0000B2340000}"/>
    <cellStyle name="Currency 3 3 4 2 2 2" xfId="9533" xr:uid="{00000000-0005-0000-0000-0000B3340000}"/>
    <cellStyle name="Currency 3 3 4 2 2 2 2" xfId="15726" xr:uid="{00000000-0005-0000-0000-0000B4340000}"/>
    <cellStyle name="Currency 3 3 4 2 2 2 2 2" xfId="35646" xr:uid="{00000000-0005-0000-0000-0000B5340000}"/>
    <cellStyle name="Currency 3 3 4 2 2 2 3" xfId="21878" xr:uid="{00000000-0005-0000-0000-0000B6340000}"/>
    <cellStyle name="Currency 3 3 4 2 2 2 3 2" xfId="41798" xr:uid="{00000000-0005-0000-0000-0000B7340000}"/>
    <cellStyle name="Currency 3 3 4 2 2 2 4" xfId="29493" xr:uid="{00000000-0005-0000-0000-0000B8340000}"/>
    <cellStyle name="Currency 3 3 4 2 2 3" xfId="12660" xr:uid="{00000000-0005-0000-0000-0000B9340000}"/>
    <cellStyle name="Currency 3 3 4 2 2 3 2" xfId="32580" xr:uid="{00000000-0005-0000-0000-0000BA340000}"/>
    <cellStyle name="Currency 3 3 4 2 2 4" xfId="18812" xr:uid="{00000000-0005-0000-0000-0000BB340000}"/>
    <cellStyle name="Currency 3 3 4 2 2 4 2" xfId="38732" xr:uid="{00000000-0005-0000-0000-0000BC340000}"/>
    <cellStyle name="Currency 3 3 4 2 2 5" xfId="26427" xr:uid="{00000000-0005-0000-0000-0000BD340000}"/>
    <cellStyle name="Currency 3 3 4 2 3" xfId="7998" xr:uid="{00000000-0005-0000-0000-0000BE340000}"/>
    <cellStyle name="Currency 3 3 4 2 3 2" xfId="14192" xr:uid="{00000000-0005-0000-0000-0000BF340000}"/>
    <cellStyle name="Currency 3 3 4 2 3 2 2" xfId="34112" xr:uid="{00000000-0005-0000-0000-0000C0340000}"/>
    <cellStyle name="Currency 3 3 4 2 3 3" xfId="20344" xr:uid="{00000000-0005-0000-0000-0000C1340000}"/>
    <cellStyle name="Currency 3 3 4 2 3 3 2" xfId="40264" xr:uid="{00000000-0005-0000-0000-0000C2340000}"/>
    <cellStyle name="Currency 3 3 4 2 3 4" xfId="27959" xr:uid="{00000000-0005-0000-0000-0000C3340000}"/>
    <cellStyle name="Currency 3 3 4 2 4" xfId="11126" xr:uid="{00000000-0005-0000-0000-0000C4340000}"/>
    <cellStyle name="Currency 3 3 4 2 4 2" xfId="31046" xr:uid="{00000000-0005-0000-0000-0000C5340000}"/>
    <cellStyle name="Currency 3 3 4 2 5" xfId="17278" xr:uid="{00000000-0005-0000-0000-0000C6340000}"/>
    <cellStyle name="Currency 3 3 4 2 5 2" xfId="37198" xr:uid="{00000000-0005-0000-0000-0000C7340000}"/>
    <cellStyle name="Currency 3 3 4 2 6" xfId="24893" xr:uid="{00000000-0005-0000-0000-0000C8340000}"/>
    <cellStyle name="Currency 3 3 4 3" xfId="5663" xr:uid="{00000000-0005-0000-0000-0000C9340000}"/>
    <cellStyle name="Currency 3 3 4 3 2" xfId="8764" xr:uid="{00000000-0005-0000-0000-0000CA340000}"/>
    <cellStyle name="Currency 3 3 4 3 2 2" xfId="14957" xr:uid="{00000000-0005-0000-0000-0000CB340000}"/>
    <cellStyle name="Currency 3 3 4 3 2 2 2" xfId="34877" xr:uid="{00000000-0005-0000-0000-0000CC340000}"/>
    <cellStyle name="Currency 3 3 4 3 2 3" xfId="21109" xr:uid="{00000000-0005-0000-0000-0000CD340000}"/>
    <cellStyle name="Currency 3 3 4 3 2 3 2" xfId="41029" xr:uid="{00000000-0005-0000-0000-0000CE340000}"/>
    <cellStyle name="Currency 3 3 4 3 2 4" xfId="28724" xr:uid="{00000000-0005-0000-0000-0000CF340000}"/>
    <cellStyle name="Currency 3 3 4 3 3" xfId="11891" xr:uid="{00000000-0005-0000-0000-0000D0340000}"/>
    <cellStyle name="Currency 3 3 4 3 3 2" xfId="31811" xr:uid="{00000000-0005-0000-0000-0000D1340000}"/>
    <cellStyle name="Currency 3 3 4 3 4" xfId="18043" xr:uid="{00000000-0005-0000-0000-0000D2340000}"/>
    <cellStyle name="Currency 3 3 4 3 4 2" xfId="37963" xr:uid="{00000000-0005-0000-0000-0000D3340000}"/>
    <cellStyle name="Currency 3 3 4 3 5" xfId="25658" xr:uid="{00000000-0005-0000-0000-0000D4340000}"/>
    <cellStyle name="Currency 3 3 4 4" xfId="7229" xr:uid="{00000000-0005-0000-0000-0000D5340000}"/>
    <cellStyle name="Currency 3 3 4 4 2" xfId="13423" xr:uid="{00000000-0005-0000-0000-0000D6340000}"/>
    <cellStyle name="Currency 3 3 4 4 2 2" xfId="33343" xr:uid="{00000000-0005-0000-0000-0000D7340000}"/>
    <cellStyle name="Currency 3 3 4 4 3" xfId="19575" xr:uid="{00000000-0005-0000-0000-0000D8340000}"/>
    <cellStyle name="Currency 3 3 4 4 3 2" xfId="39495" xr:uid="{00000000-0005-0000-0000-0000D9340000}"/>
    <cellStyle name="Currency 3 3 4 4 4" xfId="27190" xr:uid="{00000000-0005-0000-0000-0000DA340000}"/>
    <cellStyle name="Currency 3 3 4 5" xfId="10357" xr:uid="{00000000-0005-0000-0000-0000DB340000}"/>
    <cellStyle name="Currency 3 3 4 5 2" xfId="30277" xr:uid="{00000000-0005-0000-0000-0000DC340000}"/>
    <cellStyle name="Currency 3 3 4 6" xfId="16509" xr:uid="{00000000-0005-0000-0000-0000DD340000}"/>
    <cellStyle name="Currency 3 3 4 6 2" xfId="36429" xr:uid="{00000000-0005-0000-0000-0000DE340000}"/>
    <cellStyle name="Currency 3 3 4 7" xfId="24124" xr:uid="{00000000-0005-0000-0000-0000DF340000}"/>
    <cellStyle name="Currency 3 3 5" xfId="3120" xr:uid="{00000000-0005-0000-0000-0000E0340000}"/>
    <cellStyle name="Currency 3 3 5 2" xfId="4823" xr:uid="{00000000-0005-0000-0000-0000E1340000}"/>
    <cellStyle name="Currency 3 3 5 2 2" xfId="6448" xr:uid="{00000000-0005-0000-0000-0000E2340000}"/>
    <cellStyle name="Currency 3 3 5 2 2 2" xfId="9534" xr:uid="{00000000-0005-0000-0000-0000E3340000}"/>
    <cellStyle name="Currency 3 3 5 2 2 2 2" xfId="15727" xr:uid="{00000000-0005-0000-0000-0000E4340000}"/>
    <cellStyle name="Currency 3 3 5 2 2 2 2 2" xfId="35647" xr:uid="{00000000-0005-0000-0000-0000E5340000}"/>
    <cellStyle name="Currency 3 3 5 2 2 2 3" xfId="21879" xr:uid="{00000000-0005-0000-0000-0000E6340000}"/>
    <cellStyle name="Currency 3 3 5 2 2 2 3 2" xfId="41799" xr:uid="{00000000-0005-0000-0000-0000E7340000}"/>
    <cellStyle name="Currency 3 3 5 2 2 2 4" xfId="29494" xr:uid="{00000000-0005-0000-0000-0000E8340000}"/>
    <cellStyle name="Currency 3 3 5 2 2 3" xfId="12661" xr:uid="{00000000-0005-0000-0000-0000E9340000}"/>
    <cellStyle name="Currency 3 3 5 2 2 3 2" xfId="32581" xr:uid="{00000000-0005-0000-0000-0000EA340000}"/>
    <cellStyle name="Currency 3 3 5 2 2 4" xfId="18813" xr:uid="{00000000-0005-0000-0000-0000EB340000}"/>
    <cellStyle name="Currency 3 3 5 2 2 4 2" xfId="38733" xr:uid="{00000000-0005-0000-0000-0000EC340000}"/>
    <cellStyle name="Currency 3 3 5 2 2 5" xfId="26428" xr:uid="{00000000-0005-0000-0000-0000ED340000}"/>
    <cellStyle name="Currency 3 3 5 2 3" xfId="7999" xr:uid="{00000000-0005-0000-0000-0000EE340000}"/>
    <cellStyle name="Currency 3 3 5 2 3 2" xfId="14193" xr:uid="{00000000-0005-0000-0000-0000EF340000}"/>
    <cellStyle name="Currency 3 3 5 2 3 2 2" xfId="34113" xr:uid="{00000000-0005-0000-0000-0000F0340000}"/>
    <cellStyle name="Currency 3 3 5 2 3 3" xfId="20345" xr:uid="{00000000-0005-0000-0000-0000F1340000}"/>
    <cellStyle name="Currency 3 3 5 2 3 3 2" xfId="40265" xr:uid="{00000000-0005-0000-0000-0000F2340000}"/>
    <cellStyle name="Currency 3 3 5 2 3 4" xfId="27960" xr:uid="{00000000-0005-0000-0000-0000F3340000}"/>
    <cellStyle name="Currency 3 3 5 2 4" xfId="11127" xr:uid="{00000000-0005-0000-0000-0000F4340000}"/>
    <cellStyle name="Currency 3 3 5 2 4 2" xfId="31047" xr:uid="{00000000-0005-0000-0000-0000F5340000}"/>
    <cellStyle name="Currency 3 3 5 2 5" xfId="17279" xr:uid="{00000000-0005-0000-0000-0000F6340000}"/>
    <cellStyle name="Currency 3 3 5 2 5 2" xfId="37199" xr:uid="{00000000-0005-0000-0000-0000F7340000}"/>
    <cellStyle name="Currency 3 3 5 2 6" xfId="24894" xr:uid="{00000000-0005-0000-0000-0000F8340000}"/>
    <cellStyle name="Currency 3 3 5 3" xfId="5664" xr:uid="{00000000-0005-0000-0000-0000F9340000}"/>
    <cellStyle name="Currency 3 3 5 3 2" xfId="8765" xr:uid="{00000000-0005-0000-0000-0000FA340000}"/>
    <cellStyle name="Currency 3 3 5 3 2 2" xfId="14958" xr:uid="{00000000-0005-0000-0000-0000FB340000}"/>
    <cellStyle name="Currency 3 3 5 3 2 2 2" xfId="34878" xr:uid="{00000000-0005-0000-0000-0000FC340000}"/>
    <cellStyle name="Currency 3 3 5 3 2 3" xfId="21110" xr:uid="{00000000-0005-0000-0000-0000FD340000}"/>
    <cellStyle name="Currency 3 3 5 3 2 3 2" xfId="41030" xr:uid="{00000000-0005-0000-0000-0000FE340000}"/>
    <cellStyle name="Currency 3 3 5 3 2 4" xfId="28725" xr:uid="{00000000-0005-0000-0000-0000FF340000}"/>
    <cellStyle name="Currency 3 3 5 3 3" xfId="11892" xr:uid="{00000000-0005-0000-0000-000000350000}"/>
    <cellStyle name="Currency 3 3 5 3 3 2" xfId="31812" xr:uid="{00000000-0005-0000-0000-000001350000}"/>
    <cellStyle name="Currency 3 3 5 3 4" xfId="18044" xr:uid="{00000000-0005-0000-0000-000002350000}"/>
    <cellStyle name="Currency 3 3 5 3 4 2" xfId="37964" xr:uid="{00000000-0005-0000-0000-000003350000}"/>
    <cellStyle name="Currency 3 3 5 3 5" xfId="25659" xr:uid="{00000000-0005-0000-0000-000004350000}"/>
    <cellStyle name="Currency 3 3 5 4" xfId="7230" xr:uid="{00000000-0005-0000-0000-000005350000}"/>
    <cellStyle name="Currency 3 3 5 4 2" xfId="13424" xr:uid="{00000000-0005-0000-0000-000006350000}"/>
    <cellStyle name="Currency 3 3 5 4 2 2" xfId="33344" xr:uid="{00000000-0005-0000-0000-000007350000}"/>
    <cellStyle name="Currency 3 3 5 4 3" xfId="19576" xr:uid="{00000000-0005-0000-0000-000008350000}"/>
    <cellStyle name="Currency 3 3 5 4 3 2" xfId="39496" xr:uid="{00000000-0005-0000-0000-000009350000}"/>
    <cellStyle name="Currency 3 3 5 4 4" xfId="27191" xr:uid="{00000000-0005-0000-0000-00000A350000}"/>
    <cellStyle name="Currency 3 3 5 5" xfId="10358" xr:uid="{00000000-0005-0000-0000-00000B350000}"/>
    <cellStyle name="Currency 3 3 5 5 2" xfId="30278" xr:uid="{00000000-0005-0000-0000-00000C350000}"/>
    <cellStyle name="Currency 3 3 5 6" xfId="16510" xr:uid="{00000000-0005-0000-0000-00000D350000}"/>
    <cellStyle name="Currency 3 3 5 6 2" xfId="36430" xr:uid="{00000000-0005-0000-0000-00000E350000}"/>
    <cellStyle name="Currency 3 3 5 7" xfId="24125" xr:uid="{00000000-0005-0000-0000-00000F350000}"/>
    <cellStyle name="Currency 3 3 6" xfId="3121" xr:uid="{00000000-0005-0000-0000-000010350000}"/>
    <cellStyle name="Currency 3 3 6 2" xfId="4824" xr:uid="{00000000-0005-0000-0000-000011350000}"/>
    <cellStyle name="Currency 3 3 6 2 2" xfId="6449" xr:uid="{00000000-0005-0000-0000-000012350000}"/>
    <cellStyle name="Currency 3 3 6 2 2 2" xfId="9535" xr:uid="{00000000-0005-0000-0000-000013350000}"/>
    <cellStyle name="Currency 3 3 6 2 2 2 2" xfId="15728" xr:uid="{00000000-0005-0000-0000-000014350000}"/>
    <cellStyle name="Currency 3 3 6 2 2 2 2 2" xfId="35648" xr:uid="{00000000-0005-0000-0000-000015350000}"/>
    <cellStyle name="Currency 3 3 6 2 2 2 3" xfId="21880" xr:uid="{00000000-0005-0000-0000-000016350000}"/>
    <cellStyle name="Currency 3 3 6 2 2 2 3 2" xfId="41800" xr:uid="{00000000-0005-0000-0000-000017350000}"/>
    <cellStyle name="Currency 3 3 6 2 2 2 4" xfId="29495" xr:uid="{00000000-0005-0000-0000-000018350000}"/>
    <cellStyle name="Currency 3 3 6 2 2 3" xfId="12662" xr:uid="{00000000-0005-0000-0000-000019350000}"/>
    <cellStyle name="Currency 3 3 6 2 2 3 2" xfId="32582" xr:uid="{00000000-0005-0000-0000-00001A350000}"/>
    <cellStyle name="Currency 3 3 6 2 2 4" xfId="18814" xr:uid="{00000000-0005-0000-0000-00001B350000}"/>
    <cellStyle name="Currency 3 3 6 2 2 4 2" xfId="38734" xr:uid="{00000000-0005-0000-0000-00001C350000}"/>
    <cellStyle name="Currency 3 3 6 2 2 5" xfId="26429" xr:uid="{00000000-0005-0000-0000-00001D350000}"/>
    <cellStyle name="Currency 3 3 6 2 3" xfId="8000" xr:uid="{00000000-0005-0000-0000-00001E350000}"/>
    <cellStyle name="Currency 3 3 6 2 3 2" xfId="14194" xr:uid="{00000000-0005-0000-0000-00001F350000}"/>
    <cellStyle name="Currency 3 3 6 2 3 2 2" xfId="34114" xr:uid="{00000000-0005-0000-0000-000020350000}"/>
    <cellStyle name="Currency 3 3 6 2 3 3" xfId="20346" xr:uid="{00000000-0005-0000-0000-000021350000}"/>
    <cellStyle name="Currency 3 3 6 2 3 3 2" xfId="40266" xr:uid="{00000000-0005-0000-0000-000022350000}"/>
    <cellStyle name="Currency 3 3 6 2 3 4" xfId="27961" xr:uid="{00000000-0005-0000-0000-000023350000}"/>
    <cellStyle name="Currency 3 3 6 2 4" xfId="11128" xr:uid="{00000000-0005-0000-0000-000024350000}"/>
    <cellStyle name="Currency 3 3 6 2 4 2" xfId="31048" xr:uid="{00000000-0005-0000-0000-000025350000}"/>
    <cellStyle name="Currency 3 3 6 2 5" xfId="17280" xr:uid="{00000000-0005-0000-0000-000026350000}"/>
    <cellStyle name="Currency 3 3 6 2 5 2" xfId="37200" xr:uid="{00000000-0005-0000-0000-000027350000}"/>
    <cellStyle name="Currency 3 3 6 2 6" xfId="24895" xr:uid="{00000000-0005-0000-0000-000028350000}"/>
    <cellStyle name="Currency 3 3 6 3" xfId="5665" xr:uid="{00000000-0005-0000-0000-000029350000}"/>
    <cellStyle name="Currency 3 3 6 3 2" xfId="8766" xr:uid="{00000000-0005-0000-0000-00002A350000}"/>
    <cellStyle name="Currency 3 3 6 3 2 2" xfId="14959" xr:uid="{00000000-0005-0000-0000-00002B350000}"/>
    <cellStyle name="Currency 3 3 6 3 2 2 2" xfId="34879" xr:uid="{00000000-0005-0000-0000-00002C350000}"/>
    <cellStyle name="Currency 3 3 6 3 2 3" xfId="21111" xr:uid="{00000000-0005-0000-0000-00002D350000}"/>
    <cellStyle name="Currency 3 3 6 3 2 3 2" xfId="41031" xr:uid="{00000000-0005-0000-0000-00002E350000}"/>
    <cellStyle name="Currency 3 3 6 3 2 4" xfId="28726" xr:uid="{00000000-0005-0000-0000-00002F350000}"/>
    <cellStyle name="Currency 3 3 6 3 3" xfId="11893" xr:uid="{00000000-0005-0000-0000-000030350000}"/>
    <cellStyle name="Currency 3 3 6 3 3 2" xfId="31813" xr:uid="{00000000-0005-0000-0000-000031350000}"/>
    <cellStyle name="Currency 3 3 6 3 4" xfId="18045" xr:uid="{00000000-0005-0000-0000-000032350000}"/>
    <cellStyle name="Currency 3 3 6 3 4 2" xfId="37965" xr:uid="{00000000-0005-0000-0000-000033350000}"/>
    <cellStyle name="Currency 3 3 6 3 5" xfId="25660" xr:uid="{00000000-0005-0000-0000-000034350000}"/>
    <cellStyle name="Currency 3 3 6 4" xfId="7231" xr:uid="{00000000-0005-0000-0000-000035350000}"/>
    <cellStyle name="Currency 3 3 6 4 2" xfId="13425" xr:uid="{00000000-0005-0000-0000-000036350000}"/>
    <cellStyle name="Currency 3 3 6 4 2 2" xfId="33345" xr:uid="{00000000-0005-0000-0000-000037350000}"/>
    <cellStyle name="Currency 3 3 6 4 3" xfId="19577" xr:uid="{00000000-0005-0000-0000-000038350000}"/>
    <cellStyle name="Currency 3 3 6 4 3 2" xfId="39497" xr:uid="{00000000-0005-0000-0000-000039350000}"/>
    <cellStyle name="Currency 3 3 6 4 4" xfId="27192" xr:uid="{00000000-0005-0000-0000-00003A350000}"/>
    <cellStyle name="Currency 3 3 6 5" xfId="10359" xr:uid="{00000000-0005-0000-0000-00003B350000}"/>
    <cellStyle name="Currency 3 3 6 5 2" xfId="30279" xr:uid="{00000000-0005-0000-0000-00003C350000}"/>
    <cellStyle name="Currency 3 3 6 6" xfId="16511" xr:uid="{00000000-0005-0000-0000-00003D350000}"/>
    <cellStyle name="Currency 3 3 6 6 2" xfId="36431" xr:uid="{00000000-0005-0000-0000-00003E350000}"/>
    <cellStyle name="Currency 3 3 6 7" xfId="24126" xr:uid="{00000000-0005-0000-0000-00003F350000}"/>
    <cellStyle name="Currency 3 3 7" xfId="3122" xr:uid="{00000000-0005-0000-0000-000040350000}"/>
    <cellStyle name="Currency 3 3 8" xfId="4819" xr:uid="{00000000-0005-0000-0000-000041350000}"/>
    <cellStyle name="Currency 3 3 8 2" xfId="6444" xr:uid="{00000000-0005-0000-0000-000042350000}"/>
    <cellStyle name="Currency 3 3 8 2 2" xfId="9530" xr:uid="{00000000-0005-0000-0000-000043350000}"/>
    <cellStyle name="Currency 3 3 8 2 2 2" xfId="15723" xr:uid="{00000000-0005-0000-0000-000044350000}"/>
    <cellStyle name="Currency 3 3 8 2 2 2 2" xfId="35643" xr:uid="{00000000-0005-0000-0000-000045350000}"/>
    <cellStyle name="Currency 3 3 8 2 2 3" xfId="21875" xr:uid="{00000000-0005-0000-0000-000046350000}"/>
    <cellStyle name="Currency 3 3 8 2 2 3 2" xfId="41795" xr:uid="{00000000-0005-0000-0000-000047350000}"/>
    <cellStyle name="Currency 3 3 8 2 2 4" xfId="29490" xr:uid="{00000000-0005-0000-0000-000048350000}"/>
    <cellStyle name="Currency 3 3 8 2 3" xfId="12657" xr:uid="{00000000-0005-0000-0000-000049350000}"/>
    <cellStyle name="Currency 3 3 8 2 3 2" xfId="32577" xr:uid="{00000000-0005-0000-0000-00004A350000}"/>
    <cellStyle name="Currency 3 3 8 2 4" xfId="18809" xr:uid="{00000000-0005-0000-0000-00004B350000}"/>
    <cellStyle name="Currency 3 3 8 2 4 2" xfId="38729" xr:uid="{00000000-0005-0000-0000-00004C350000}"/>
    <cellStyle name="Currency 3 3 8 2 5" xfId="26424" xr:uid="{00000000-0005-0000-0000-00004D350000}"/>
    <cellStyle name="Currency 3 3 8 3" xfId="7995" xr:uid="{00000000-0005-0000-0000-00004E350000}"/>
    <cellStyle name="Currency 3 3 8 3 2" xfId="14189" xr:uid="{00000000-0005-0000-0000-00004F350000}"/>
    <cellStyle name="Currency 3 3 8 3 2 2" xfId="34109" xr:uid="{00000000-0005-0000-0000-000050350000}"/>
    <cellStyle name="Currency 3 3 8 3 3" xfId="20341" xr:uid="{00000000-0005-0000-0000-000051350000}"/>
    <cellStyle name="Currency 3 3 8 3 3 2" xfId="40261" xr:uid="{00000000-0005-0000-0000-000052350000}"/>
    <cellStyle name="Currency 3 3 8 3 4" xfId="27956" xr:uid="{00000000-0005-0000-0000-000053350000}"/>
    <cellStyle name="Currency 3 3 8 4" xfId="11123" xr:uid="{00000000-0005-0000-0000-000054350000}"/>
    <cellStyle name="Currency 3 3 8 4 2" xfId="31043" xr:uid="{00000000-0005-0000-0000-000055350000}"/>
    <cellStyle name="Currency 3 3 8 5" xfId="17275" xr:uid="{00000000-0005-0000-0000-000056350000}"/>
    <cellStyle name="Currency 3 3 8 5 2" xfId="37195" xr:uid="{00000000-0005-0000-0000-000057350000}"/>
    <cellStyle name="Currency 3 3 8 6" xfId="24890" xr:uid="{00000000-0005-0000-0000-000058350000}"/>
    <cellStyle name="Currency 3 3 9" xfId="5660" xr:uid="{00000000-0005-0000-0000-000059350000}"/>
    <cellStyle name="Currency 3 3 9 2" xfId="8761" xr:uid="{00000000-0005-0000-0000-00005A350000}"/>
    <cellStyle name="Currency 3 3 9 2 2" xfId="14954" xr:uid="{00000000-0005-0000-0000-00005B350000}"/>
    <cellStyle name="Currency 3 3 9 2 2 2" xfId="34874" xr:uid="{00000000-0005-0000-0000-00005C350000}"/>
    <cellStyle name="Currency 3 3 9 2 3" xfId="21106" xr:uid="{00000000-0005-0000-0000-00005D350000}"/>
    <cellStyle name="Currency 3 3 9 2 3 2" xfId="41026" xr:uid="{00000000-0005-0000-0000-00005E350000}"/>
    <cellStyle name="Currency 3 3 9 2 4" xfId="28721" xr:uid="{00000000-0005-0000-0000-00005F350000}"/>
    <cellStyle name="Currency 3 3 9 3" xfId="11888" xr:uid="{00000000-0005-0000-0000-000060350000}"/>
    <cellStyle name="Currency 3 3 9 3 2" xfId="31808" xr:uid="{00000000-0005-0000-0000-000061350000}"/>
    <cellStyle name="Currency 3 3 9 4" xfId="18040" xr:uid="{00000000-0005-0000-0000-000062350000}"/>
    <cellStyle name="Currency 3 3 9 4 2" xfId="37960" xr:uid="{00000000-0005-0000-0000-000063350000}"/>
    <cellStyle name="Currency 3 3 9 5" xfId="25655" xr:uid="{00000000-0005-0000-0000-000064350000}"/>
    <cellStyle name="Currency 3 30" xfId="734" xr:uid="{00000000-0005-0000-0000-000065350000}"/>
    <cellStyle name="Currency 3 30 2" xfId="23616" xr:uid="{00000000-0005-0000-0000-000066350000}"/>
    <cellStyle name="Currency 3 31" xfId="1041" xr:uid="{00000000-0005-0000-0000-000067350000}"/>
    <cellStyle name="Currency 3 32" xfId="22699" xr:uid="{00000000-0005-0000-0000-000068350000}"/>
    <cellStyle name="Currency 3 32 2" xfId="42610" xr:uid="{00000000-0005-0000-0000-000069350000}"/>
    <cellStyle name="Currency 3 33" xfId="23002" xr:uid="{00000000-0005-0000-0000-00006A350000}"/>
    <cellStyle name="Currency 3 33 2" xfId="42913" xr:uid="{00000000-0005-0000-0000-00006B350000}"/>
    <cellStyle name="Currency 3 34" xfId="23325" xr:uid="{00000000-0005-0000-0000-00006C350000}"/>
    <cellStyle name="Currency 3 4" xfId="168" xr:uid="{00000000-0005-0000-0000-00006D350000}"/>
    <cellStyle name="Currency 3 4 2" xfId="3124" xr:uid="{00000000-0005-0000-0000-00006E350000}"/>
    <cellStyle name="Currency 3 4 2 2" xfId="4826" xr:uid="{00000000-0005-0000-0000-00006F350000}"/>
    <cellStyle name="Currency 3 4 2 2 2" xfId="6451" xr:uid="{00000000-0005-0000-0000-000070350000}"/>
    <cellStyle name="Currency 3 4 2 2 2 2" xfId="9537" xr:uid="{00000000-0005-0000-0000-000071350000}"/>
    <cellStyle name="Currency 3 4 2 2 2 2 2" xfId="15730" xr:uid="{00000000-0005-0000-0000-000072350000}"/>
    <cellStyle name="Currency 3 4 2 2 2 2 2 2" xfId="35650" xr:uid="{00000000-0005-0000-0000-000073350000}"/>
    <cellStyle name="Currency 3 4 2 2 2 2 3" xfId="21882" xr:uid="{00000000-0005-0000-0000-000074350000}"/>
    <cellStyle name="Currency 3 4 2 2 2 2 3 2" xfId="41802" xr:uid="{00000000-0005-0000-0000-000075350000}"/>
    <cellStyle name="Currency 3 4 2 2 2 2 4" xfId="29497" xr:uid="{00000000-0005-0000-0000-000076350000}"/>
    <cellStyle name="Currency 3 4 2 2 2 3" xfId="12664" xr:uid="{00000000-0005-0000-0000-000077350000}"/>
    <cellStyle name="Currency 3 4 2 2 2 3 2" xfId="32584" xr:uid="{00000000-0005-0000-0000-000078350000}"/>
    <cellStyle name="Currency 3 4 2 2 2 4" xfId="18816" xr:uid="{00000000-0005-0000-0000-000079350000}"/>
    <cellStyle name="Currency 3 4 2 2 2 4 2" xfId="38736" xr:uid="{00000000-0005-0000-0000-00007A350000}"/>
    <cellStyle name="Currency 3 4 2 2 2 5" xfId="26431" xr:uid="{00000000-0005-0000-0000-00007B350000}"/>
    <cellStyle name="Currency 3 4 2 2 3" xfId="8002" xr:uid="{00000000-0005-0000-0000-00007C350000}"/>
    <cellStyle name="Currency 3 4 2 2 3 2" xfId="14196" xr:uid="{00000000-0005-0000-0000-00007D350000}"/>
    <cellStyle name="Currency 3 4 2 2 3 2 2" xfId="34116" xr:uid="{00000000-0005-0000-0000-00007E350000}"/>
    <cellStyle name="Currency 3 4 2 2 3 3" xfId="20348" xr:uid="{00000000-0005-0000-0000-00007F350000}"/>
    <cellStyle name="Currency 3 4 2 2 3 3 2" xfId="40268" xr:uid="{00000000-0005-0000-0000-000080350000}"/>
    <cellStyle name="Currency 3 4 2 2 3 4" xfId="27963" xr:uid="{00000000-0005-0000-0000-000081350000}"/>
    <cellStyle name="Currency 3 4 2 2 4" xfId="11130" xr:uid="{00000000-0005-0000-0000-000082350000}"/>
    <cellStyle name="Currency 3 4 2 2 4 2" xfId="31050" xr:uid="{00000000-0005-0000-0000-000083350000}"/>
    <cellStyle name="Currency 3 4 2 2 5" xfId="17282" xr:uid="{00000000-0005-0000-0000-000084350000}"/>
    <cellStyle name="Currency 3 4 2 2 5 2" xfId="37202" xr:uid="{00000000-0005-0000-0000-000085350000}"/>
    <cellStyle name="Currency 3 4 2 2 6" xfId="24897" xr:uid="{00000000-0005-0000-0000-000086350000}"/>
    <cellStyle name="Currency 3 4 2 3" xfId="5667" xr:uid="{00000000-0005-0000-0000-000087350000}"/>
    <cellStyle name="Currency 3 4 2 3 2" xfId="8768" xr:uid="{00000000-0005-0000-0000-000088350000}"/>
    <cellStyle name="Currency 3 4 2 3 2 2" xfId="14961" xr:uid="{00000000-0005-0000-0000-000089350000}"/>
    <cellStyle name="Currency 3 4 2 3 2 2 2" xfId="34881" xr:uid="{00000000-0005-0000-0000-00008A350000}"/>
    <cellStyle name="Currency 3 4 2 3 2 3" xfId="21113" xr:uid="{00000000-0005-0000-0000-00008B350000}"/>
    <cellStyle name="Currency 3 4 2 3 2 3 2" xfId="41033" xr:uid="{00000000-0005-0000-0000-00008C350000}"/>
    <cellStyle name="Currency 3 4 2 3 2 4" xfId="28728" xr:uid="{00000000-0005-0000-0000-00008D350000}"/>
    <cellStyle name="Currency 3 4 2 3 3" xfId="11895" xr:uid="{00000000-0005-0000-0000-00008E350000}"/>
    <cellStyle name="Currency 3 4 2 3 3 2" xfId="31815" xr:uid="{00000000-0005-0000-0000-00008F350000}"/>
    <cellStyle name="Currency 3 4 2 3 4" xfId="18047" xr:uid="{00000000-0005-0000-0000-000090350000}"/>
    <cellStyle name="Currency 3 4 2 3 4 2" xfId="37967" xr:uid="{00000000-0005-0000-0000-000091350000}"/>
    <cellStyle name="Currency 3 4 2 3 5" xfId="25662" xr:uid="{00000000-0005-0000-0000-000092350000}"/>
    <cellStyle name="Currency 3 4 2 4" xfId="7233" xr:uid="{00000000-0005-0000-0000-000093350000}"/>
    <cellStyle name="Currency 3 4 2 4 2" xfId="13427" xr:uid="{00000000-0005-0000-0000-000094350000}"/>
    <cellStyle name="Currency 3 4 2 4 2 2" xfId="33347" xr:uid="{00000000-0005-0000-0000-000095350000}"/>
    <cellStyle name="Currency 3 4 2 4 3" xfId="19579" xr:uid="{00000000-0005-0000-0000-000096350000}"/>
    <cellStyle name="Currency 3 4 2 4 3 2" xfId="39499" xr:uid="{00000000-0005-0000-0000-000097350000}"/>
    <cellStyle name="Currency 3 4 2 4 4" xfId="27194" xr:uid="{00000000-0005-0000-0000-000098350000}"/>
    <cellStyle name="Currency 3 4 2 5" xfId="10361" xr:uid="{00000000-0005-0000-0000-000099350000}"/>
    <cellStyle name="Currency 3 4 2 5 2" xfId="30281" xr:uid="{00000000-0005-0000-0000-00009A350000}"/>
    <cellStyle name="Currency 3 4 2 6" xfId="16513" xr:uid="{00000000-0005-0000-0000-00009B350000}"/>
    <cellStyle name="Currency 3 4 2 6 2" xfId="36433" xr:uid="{00000000-0005-0000-0000-00009C350000}"/>
    <cellStyle name="Currency 3 4 2 7" xfId="24128" xr:uid="{00000000-0005-0000-0000-00009D350000}"/>
    <cellStyle name="Currency 3 4 3" xfId="4825" xr:uid="{00000000-0005-0000-0000-00009E350000}"/>
    <cellStyle name="Currency 3 4 3 2" xfId="6450" xr:uid="{00000000-0005-0000-0000-00009F350000}"/>
    <cellStyle name="Currency 3 4 3 2 2" xfId="9536" xr:uid="{00000000-0005-0000-0000-0000A0350000}"/>
    <cellStyle name="Currency 3 4 3 2 2 2" xfId="15729" xr:uid="{00000000-0005-0000-0000-0000A1350000}"/>
    <cellStyle name="Currency 3 4 3 2 2 2 2" xfId="35649" xr:uid="{00000000-0005-0000-0000-0000A2350000}"/>
    <cellStyle name="Currency 3 4 3 2 2 3" xfId="21881" xr:uid="{00000000-0005-0000-0000-0000A3350000}"/>
    <cellStyle name="Currency 3 4 3 2 2 3 2" xfId="41801" xr:uid="{00000000-0005-0000-0000-0000A4350000}"/>
    <cellStyle name="Currency 3 4 3 2 2 4" xfId="29496" xr:uid="{00000000-0005-0000-0000-0000A5350000}"/>
    <cellStyle name="Currency 3 4 3 2 3" xfId="12663" xr:uid="{00000000-0005-0000-0000-0000A6350000}"/>
    <cellStyle name="Currency 3 4 3 2 3 2" xfId="32583" xr:uid="{00000000-0005-0000-0000-0000A7350000}"/>
    <cellStyle name="Currency 3 4 3 2 4" xfId="18815" xr:uid="{00000000-0005-0000-0000-0000A8350000}"/>
    <cellStyle name="Currency 3 4 3 2 4 2" xfId="38735" xr:uid="{00000000-0005-0000-0000-0000A9350000}"/>
    <cellStyle name="Currency 3 4 3 2 5" xfId="26430" xr:uid="{00000000-0005-0000-0000-0000AA350000}"/>
    <cellStyle name="Currency 3 4 3 3" xfId="8001" xr:uid="{00000000-0005-0000-0000-0000AB350000}"/>
    <cellStyle name="Currency 3 4 3 3 2" xfId="14195" xr:uid="{00000000-0005-0000-0000-0000AC350000}"/>
    <cellStyle name="Currency 3 4 3 3 2 2" xfId="34115" xr:uid="{00000000-0005-0000-0000-0000AD350000}"/>
    <cellStyle name="Currency 3 4 3 3 3" xfId="20347" xr:uid="{00000000-0005-0000-0000-0000AE350000}"/>
    <cellStyle name="Currency 3 4 3 3 3 2" xfId="40267" xr:uid="{00000000-0005-0000-0000-0000AF350000}"/>
    <cellStyle name="Currency 3 4 3 3 4" xfId="27962" xr:uid="{00000000-0005-0000-0000-0000B0350000}"/>
    <cellStyle name="Currency 3 4 3 4" xfId="11129" xr:uid="{00000000-0005-0000-0000-0000B1350000}"/>
    <cellStyle name="Currency 3 4 3 4 2" xfId="31049" xr:uid="{00000000-0005-0000-0000-0000B2350000}"/>
    <cellStyle name="Currency 3 4 3 5" xfId="17281" xr:uid="{00000000-0005-0000-0000-0000B3350000}"/>
    <cellStyle name="Currency 3 4 3 5 2" xfId="37201" xr:uid="{00000000-0005-0000-0000-0000B4350000}"/>
    <cellStyle name="Currency 3 4 3 6" xfId="24896" xr:uid="{00000000-0005-0000-0000-0000B5350000}"/>
    <cellStyle name="Currency 3 4 4" xfId="5666" xr:uid="{00000000-0005-0000-0000-0000B6350000}"/>
    <cellStyle name="Currency 3 4 4 2" xfId="8767" xr:uid="{00000000-0005-0000-0000-0000B7350000}"/>
    <cellStyle name="Currency 3 4 4 2 2" xfId="14960" xr:uid="{00000000-0005-0000-0000-0000B8350000}"/>
    <cellStyle name="Currency 3 4 4 2 2 2" xfId="34880" xr:uid="{00000000-0005-0000-0000-0000B9350000}"/>
    <cellStyle name="Currency 3 4 4 2 3" xfId="21112" xr:uid="{00000000-0005-0000-0000-0000BA350000}"/>
    <cellStyle name="Currency 3 4 4 2 3 2" xfId="41032" xr:uid="{00000000-0005-0000-0000-0000BB350000}"/>
    <cellStyle name="Currency 3 4 4 2 4" xfId="28727" xr:uid="{00000000-0005-0000-0000-0000BC350000}"/>
    <cellStyle name="Currency 3 4 4 3" xfId="11894" xr:uid="{00000000-0005-0000-0000-0000BD350000}"/>
    <cellStyle name="Currency 3 4 4 3 2" xfId="31814" xr:uid="{00000000-0005-0000-0000-0000BE350000}"/>
    <cellStyle name="Currency 3 4 4 4" xfId="18046" xr:uid="{00000000-0005-0000-0000-0000BF350000}"/>
    <cellStyle name="Currency 3 4 4 4 2" xfId="37966" xr:uid="{00000000-0005-0000-0000-0000C0350000}"/>
    <cellStyle name="Currency 3 4 4 5" xfId="25661" xr:uid="{00000000-0005-0000-0000-0000C1350000}"/>
    <cellStyle name="Currency 3 4 5" xfId="7232" xr:uid="{00000000-0005-0000-0000-0000C2350000}"/>
    <cellStyle name="Currency 3 4 5 2" xfId="13426" xr:uid="{00000000-0005-0000-0000-0000C3350000}"/>
    <cellStyle name="Currency 3 4 5 2 2" xfId="33346" xr:uid="{00000000-0005-0000-0000-0000C4350000}"/>
    <cellStyle name="Currency 3 4 5 3" xfId="19578" xr:uid="{00000000-0005-0000-0000-0000C5350000}"/>
    <cellStyle name="Currency 3 4 5 3 2" xfId="39498" xr:uid="{00000000-0005-0000-0000-0000C6350000}"/>
    <cellStyle name="Currency 3 4 5 4" xfId="27193" xr:uid="{00000000-0005-0000-0000-0000C7350000}"/>
    <cellStyle name="Currency 3 4 6" xfId="10360" xr:uid="{00000000-0005-0000-0000-0000C8350000}"/>
    <cellStyle name="Currency 3 4 6 2" xfId="30280" xr:uid="{00000000-0005-0000-0000-0000C9350000}"/>
    <cellStyle name="Currency 3 4 7" xfId="16512" xr:uid="{00000000-0005-0000-0000-0000CA350000}"/>
    <cellStyle name="Currency 3 4 7 2" xfId="36432" xr:uid="{00000000-0005-0000-0000-0000CB350000}"/>
    <cellStyle name="Currency 3 4 8" xfId="3123" xr:uid="{00000000-0005-0000-0000-0000CC350000}"/>
    <cellStyle name="Currency 3 4 8 2" xfId="24127" xr:uid="{00000000-0005-0000-0000-0000CD350000}"/>
    <cellStyle name="Currency 3 5" xfId="194" xr:uid="{00000000-0005-0000-0000-0000CE350000}"/>
    <cellStyle name="Currency 3 5 2" xfId="3126" xr:uid="{00000000-0005-0000-0000-0000CF350000}"/>
    <cellStyle name="Currency 3 5 2 2" xfId="4828" xr:uid="{00000000-0005-0000-0000-0000D0350000}"/>
    <cellStyle name="Currency 3 5 2 2 2" xfId="6453" xr:uid="{00000000-0005-0000-0000-0000D1350000}"/>
    <cellStyle name="Currency 3 5 2 2 2 2" xfId="9539" xr:uid="{00000000-0005-0000-0000-0000D2350000}"/>
    <cellStyle name="Currency 3 5 2 2 2 2 2" xfId="15732" xr:uid="{00000000-0005-0000-0000-0000D3350000}"/>
    <cellStyle name="Currency 3 5 2 2 2 2 2 2" xfId="35652" xr:uid="{00000000-0005-0000-0000-0000D4350000}"/>
    <cellStyle name="Currency 3 5 2 2 2 2 3" xfId="21884" xr:uid="{00000000-0005-0000-0000-0000D5350000}"/>
    <cellStyle name="Currency 3 5 2 2 2 2 3 2" xfId="41804" xr:uid="{00000000-0005-0000-0000-0000D6350000}"/>
    <cellStyle name="Currency 3 5 2 2 2 2 4" xfId="29499" xr:uid="{00000000-0005-0000-0000-0000D7350000}"/>
    <cellStyle name="Currency 3 5 2 2 2 3" xfId="12666" xr:uid="{00000000-0005-0000-0000-0000D8350000}"/>
    <cellStyle name="Currency 3 5 2 2 2 3 2" xfId="32586" xr:uid="{00000000-0005-0000-0000-0000D9350000}"/>
    <cellStyle name="Currency 3 5 2 2 2 4" xfId="18818" xr:uid="{00000000-0005-0000-0000-0000DA350000}"/>
    <cellStyle name="Currency 3 5 2 2 2 4 2" xfId="38738" xr:uid="{00000000-0005-0000-0000-0000DB350000}"/>
    <cellStyle name="Currency 3 5 2 2 2 5" xfId="26433" xr:uid="{00000000-0005-0000-0000-0000DC350000}"/>
    <cellStyle name="Currency 3 5 2 2 3" xfId="8004" xr:uid="{00000000-0005-0000-0000-0000DD350000}"/>
    <cellStyle name="Currency 3 5 2 2 3 2" xfId="14198" xr:uid="{00000000-0005-0000-0000-0000DE350000}"/>
    <cellStyle name="Currency 3 5 2 2 3 2 2" xfId="34118" xr:uid="{00000000-0005-0000-0000-0000DF350000}"/>
    <cellStyle name="Currency 3 5 2 2 3 3" xfId="20350" xr:uid="{00000000-0005-0000-0000-0000E0350000}"/>
    <cellStyle name="Currency 3 5 2 2 3 3 2" xfId="40270" xr:uid="{00000000-0005-0000-0000-0000E1350000}"/>
    <cellStyle name="Currency 3 5 2 2 3 4" xfId="27965" xr:uid="{00000000-0005-0000-0000-0000E2350000}"/>
    <cellStyle name="Currency 3 5 2 2 4" xfId="11132" xr:uid="{00000000-0005-0000-0000-0000E3350000}"/>
    <cellStyle name="Currency 3 5 2 2 4 2" xfId="31052" xr:uid="{00000000-0005-0000-0000-0000E4350000}"/>
    <cellStyle name="Currency 3 5 2 2 5" xfId="17284" xr:uid="{00000000-0005-0000-0000-0000E5350000}"/>
    <cellStyle name="Currency 3 5 2 2 5 2" xfId="37204" xr:uid="{00000000-0005-0000-0000-0000E6350000}"/>
    <cellStyle name="Currency 3 5 2 2 6" xfId="24899" xr:uid="{00000000-0005-0000-0000-0000E7350000}"/>
    <cellStyle name="Currency 3 5 2 3" xfId="5669" xr:uid="{00000000-0005-0000-0000-0000E8350000}"/>
    <cellStyle name="Currency 3 5 2 3 2" xfId="8770" xr:uid="{00000000-0005-0000-0000-0000E9350000}"/>
    <cellStyle name="Currency 3 5 2 3 2 2" xfId="14963" xr:uid="{00000000-0005-0000-0000-0000EA350000}"/>
    <cellStyle name="Currency 3 5 2 3 2 2 2" xfId="34883" xr:uid="{00000000-0005-0000-0000-0000EB350000}"/>
    <cellStyle name="Currency 3 5 2 3 2 3" xfId="21115" xr:uid="{00000000-0005-0000-0000-0000EC350000}"/>
    <cellStyle name="Currency 3 5 2 3 2 3 2" xfId="41035" xr:uid="{00000000-0005-0000-0000-0000ED350000}"/>
    <cellStyle name="Currency 3 5 2 3 2 4" xfId="28730" xr:uid="{00000000-0005-0000-0000-0000EE350000}"/>
    <cellStyle name="Currency 3 5 2 3 3" xfId="11897" xr:uid="{00000000-0005-0000-0000-0000EF350000}"/>
    <cellStyle name="Currency 3 5 2 3 3 2" xfId="31817" xr:uid="{00000000-0005-0000-0000-0000F0350000}"/>
    <cellStyle name="Currency 3 5 2 3 4" xfId="18049" xr:uid="{00000000-0005-0000-0000-0000F1350000}"/>
    <cellStyle name="Currency 3 5 2 3 4 2" xfId="37969" xr:uid="{00000000-0005-0000-0000-0000F2350000}"/>
    <cellStyle name="Currency 3 5 2 3 5" xfId="25664" xr:uid="{00000000-0005-0000-0000-0000F3350000}"/>
    <cellStyle name="Currency 3 5 2 4" xfId="7235" xr:uid="{00000000-0005-0000-0000-0000F4350000}"/>
    <cellStyle name="Currency 3 5 2 4 2" xfId="13429" xr:uid="{00000000-0005-0000-0000-0000F5350000}"/>
    <cellStyle name="Currency 3 5 2 4 2 2" xfId="33349" xr:uid="{00000000-0005-0000-0000-0000F6350000}"/>
    <cellStyle name="Currency 3 5 2 4 3" xfId="19581" xr:uid="{00000000-0005-0000-0000-0000F7350000}"/>
    <cellStyle name="Currency 3 5 2 4 3 2" xfId="39501" xr:uid="{00000000-0005-0000-0000-0000F8350000}"/>
    <cellStyle name="Currency 3 5 2 4 4" xfId="27196" xr:uid="{00000000-0005-0000-0000-0000F9350000}"/>
    <cellStyle name="Currency 3 5 2 5" xfId="10363" xr:uid="{00000000-0005-0000-0000-0000FA350000}"/>
    <cellStyle name="Currency 3 5 2 5 2" xfId="30283" xr:uid="{00000000-0005-0000-0000-0000FB350000}"/>
    <cellStyle name="Currency 3 5 2 6" xfId="16515" xr:uid="{00000000-0005-0000-0000-0000FC350000}"/>
    <cellStyle name="Currency 3 5 2 6 2" xfId="36435" xr:uid="{00000000-0005-0000-0000-0000FD350000}"/>
    <cellStyle name="Currency 3 5 2 7" xfId="24130" xr:uid="{00000000-0005-0000-0000-0000FE350000}"/>
    <cellStyle name="Currency 3 5 3" xfId="4827" xr:uid="{00000000-0005-0000-0000-0000FF350000}"/>
    <cellStyle name="Currency 3 5 3 2" xfId="6452" xr:uid="{00000000-0005-0000-0000-000000360000}"/>
    <cellStyle name="Currency 3 5 3 2 2" xfId="9538" xr:uid="{00000000-0005-0000-0000-000001360000}"/>
    <cellStyle name="Currency 3 5 3 2 2 2" xfId="15731" xr:uid="{00000000-0005-0000-0000-000002360000}"/>
    <cellStyle name="Currency 3 5 3 2 2 2 2" xfId="35651" xr:uid="{00000000-0005-0000-0000-000003360000}"/>
    <cellStyle name="Currency 3 5 3 2 2 3" xfId="21883" xr:uid="{00000000-0005-0000-0000-000004360000}"/>
    <cellStyle name="Currency 3 5 3 2 2 3 2" xfId="41803" xr:uid="{00000000-0005-0000-0000-000005360000}"/>
    <cellStyle name="Currency 3 5 3 2 2 4" xfId="29498" xr:uid="{00000000-0005-0000-0000-000006360000}"/>
    <cellStyle name="Currency 3 5 3 2 3" xfId="12665" xr:uid="{00000000-0005-0000-0000-000007360000}"/>
    <cellStyle name="Currency 3 5 3 2 3 2" xfId="32585" xr:uid="{00000000-0005-0000-0000-000008360000}"/>
    <cellStyle name="Currency 3 5 3 2 4" xfId="18817" xr:uid="{00000000-0005-0000-0000-000009360000}"/>
    <cellStyle name="Currency 3 5 3 2 4 2" xfId="38737" xr:uid="{00000000-0005-0000-0000-00000A360000}"/>
    <cellStyle name="Currency 3 5 3 2 5" xfId="26432" xr:uid="{00000000-0005-0000-0000-00000B360000}"/>
    <cellStyle name="Currency 3 5 3 3" xfId="8003" xr:uid="{00000000-0005-0000-0000-00000C360000}"/>
    <cellStyle name="Currency 3 5 3 3 2" xfId="14197" xr:uid="{00000000-0005-0000-0000-00000D360000}"/>
    <cellStyle name="Currency 3 5 3 3 2 2" xfId="34117" xr:uid="{00000000-0005-0000-0000-00000E360000}"/>
    <cellStyle name="Currency 3 5 3 3 3" xfId="20349" xr:uid="{00000000-0005-0000-0000-00000F360000}"/>
    <cellStyle name="Currency 3 5 3 3 3 2" xfId="40269" xr:uid="{00000000-0005-0000-0000-000010360000}"/>
    <cellStyle name="Currency 3 5 3 3 4" xfId="27964" xr:uid="{00000000-0005-0000-0000-000011360000}"/>
    <cellStyle name="Currency 3 5 3 4" xfId="11131" xr:uid="{00000000-0005-0000-0000-000012360000}"/>
    <cellStyle name="Currency 3 5 3 4 2" xfId="31051" xr:uid="{00000000-0005-0000-0000-000013360000}"/>
    <cellStyle name="Currency 3 5 3 5" xfId="17283" xr:uid="{00000000-0005-0000-0000-000014360000}"/>
    <cellStyle name="Currency 3 5 3 5 2" xfId="37203" xr:uid="{00000000-0005-0000-0000-000015360000}"/>
    <cellStyle name="Currency 3 5 3 6" xfId="24898" xr:uid="{00000000-0005-0000-0000-000016360000}"/>
    <cellStyle name="Currency 3 5 4" xfId="5668" xr:uid="{00000000-0005-0000-0000-000017360000}"/>
    <cellStyle name="Currency 3 5 4 2" xfId="8769" xr:uid="{00000000-0005-0000-0000-000018360000}"/>
    <cellStyle name="Currency 3 5 4 2 2" xfId="14962" xr:uid="{00000000-0005-0000-0000-000019360000}"/>
    <cellStyle name="Currency 3 5 4 2 2 2" xfId="34882" xr:uid="{00000000-0005-0000-0000-00001A360000}"/>
    <cellStyle name="Currency 3 5 4 2 3" xfId="21114" xr:uid="{00000000-0005-0000-0000-00001B360000}"/>
    <cellStyle name="Currency 3 5 4 2 3 2" xfId="41034" xr:uid="{00000000-0005-0000-0000-00001C360000}"/>
    <cellStyle name="Currency 3 5 4 2 4" xfId="28729" xr:uid="{00000000-0005-0000-0000-00001D360000}"/>
    <cellStyle name="Currency 3 5 4 3" xfId="11896" xr:uid="{00000000-0005-0000-0000-00001E360000}"/>
    <cellStyle name="Currency 3 5 4 3 2" xfId="31816" xr:uid="{00000000-0005-0000-0000-00001F360000}"/>
    <cellStyle name="Currency 3 5 4 4" xfId="18048" xr:uid="{00000000-0005-0000-0000-000020360000}"/>
    <cellStyle name="Currency 3 5 4 4 2" xfId="37968" xr:uid="{00000000-0005-0000-0000-000021360000}"/>
    <cellStyle name="Currency 3 5 4 5" xfId="25663" xr:uid="{00000000-0005-0000-0000-000022360000}"/>
    <cellStyle name="Currency 3 5 5" xfId="7234" xr:uid="{00000000-0005-0000-0000-000023360000}"/>
    <cellStyle name="Currency 3 5 5 2" xfId="13428" xr:uid="{00000000-0005-0000-0000-000024360000}"/>
    <cellStyle name="Currency 3 5 5 2 2" xfId="33348" xr:uid="{00000000-0005-0000-0000-000025360000}"/>
    <cellStyle name="Currency 3 5 5 3" xfId="19580" xr:uid="{00000000-0005-0000-0000-000026360000}"/>
    <cellStyle name="Currency 3 5 5 3 2" xfId="39500" xr:uid="{00000000-0005-0000-0000-000027360000}"/>
    <cellStyle name="Currency 3 5 5 4" xfId="27195" xr:uid="{00000000-0005-0000-0000-000028360000}"/>
    <cellStyle name="Currency 3 5 6" xfId="10362" xr:uid="{00000000-0005-0000-0000-000029360000}"/>
    <cellStyle name="Currency 3 5 6 2" xfId="30282" xr:uid="{00000000-0005-0000-0000-00002A360000}"/>
    <cellStyle name="Currency 3 5 7" xfId="16514" xr:uid="{00000000-0005-0000-0000-00002B360000}"/>
    <cellStyle name="Currency 3 5 7 2" xfId="36434" xr:uid="{00000000-0005-0000-0000-00002C360000}"/>
    <cellStyle name="Currency 3 5 8" xfId="3125" xr:uid="{00000000-0005-0000-0000-00002D360000}"/>
    <cellStyle name="Currency 3 5 8 2" xfId="24129" xr:uid="{00000000-0005-0000-0000-00002E360000}"/>
    <cellStyle name="Currency 3 6" xfId="185" xr:uid="{00000000-0005-0000-0000-00002F360000}"/>
    <cellStyle name="Currency 3 6 2" xfId="3128" xr:uid="{00000000-0005-0000-0000-000030360000}"/>
    <cellStyle name="Currency 3 6 2 2" xfId="4830" xr:uid="{00000000-0005-0000-0000-000031360000}"/>
    <cellStyle name="Currency 3 6 2 2 2" xfId="6455" xr:uid="{00000000-0005-0000-0000-000032360000}"/>
    <cellStyle name="Currency 3 6 2 2 2 2" xfId="9541" xr:uid="{00000000-0005-0000-0000-000033360000}"/>
    <cellStyle name="Currency 3 6 2 2 2 2 2" xfId="15734" xr:uid="{00000000-0005-0000-0000-000034360000}"/>
    <cellStyle name="Currency 3 6 2 2 2 2 2 2" xfId="35654" xr:uid="{00000000-0005-0000-0000-000035360000}"/>
    <cellStyle name="Currency 3 6 2 2 2 2 3" xfId="21886" xr:uid="{00000000-0005-0000-0000-000036360000}"/>
    <cellStyle name="Currency 3 6 2 2 2 2 3 2" xfId="41806" xr:uid="{00000000-0005-0000-0000-000037360000}"/>
    <cellStyle name="Currency 3 6 2 2 2 2 4" xfId="29501" xr:uid="{00000000-0005-0000-0000-000038360000}"/>
    <cellStyle name="Currency 3 6 2 2 2 3" xfId="12668" xr:uid="{00000000-0005-0000-0000-000039360000}"/>
    <cellStyle name="Currency 3 6 2 2 2 3 2" xfId="32588" xr:uid="{00000000-0005-0000-0000-00003A360000}"/>
    <cellStyle name="Currency 3 6 2 2 2 4" xfId="18820" xr:uid="{00000000-0005-0000-0000-00003B360000}"/>
    <cellStyle name="Currency 3 6 2 2 2 4 2" xfId="38740" xr:uid="{00000000-0005-0000-0000-00003C360000}"/>
    <cellStyle name="Currency 3 6 2 2 2 5" xfId="26435" xr:uid="{00000000-0005-0000-0000-00003D360000}"/>
    <cellStyle name="Currency 3 6 2 2 3" xfId="8006" xr:uid="{00000000-0005-0000-0000-00003E360000}"/>
    <cellStyle name="Currency 3 6 2 2 3 2" xfId="14200" xr:uid="{00000000-0005-0000-0000-00003F360000}"/>
    <cellStyle name="Currency 3 6 2 2 3 2 2" xfId="34120" xr:uid="{00000000-0005-0000-0000-000040360000}"/>
    <cellStyle name="Currency 3 6 2 2 3 3" xfId="20352" xr:uid="{00000000-0005-0000-0000-000041360000}"/>
    <cellStyle name="Currency 3 6 2 2 3 3 2" xfId="40272" xr:uid="{00000000-0005-0000-0000-000042360000}"/>
    <cellStyle name="Currency 3 6 2 2 3 4" xfId="27967" xr:uid="{00000000-0005-0000-0000-000043360000}"/>
    <cellStyle name="Currency 3 6 2 2 4" xfId="11134" xr:uid="{00000000-0005-0000-0000-000044360000}"/>
    <cellStyle name="Currency 3 6 2 2 4 2" xfId="31054" xr:uid="{00000000-0005-0000-0000-000045360000}"/>
    <cellStyle name="Currency 3 6 2 2 5" xfId="17286" xr:uid="{00000000-0005-0000-0000-000046360000}"/>
    <cellStyle name="Currency 3 6 2 2 5 2" xfId="37206" xr:uid="{00000000-0005-0000-0000-000047360000}"/>
    <cellStyle name="Currency 3 6 2 2 6" xfId="24901" xr:uid="{00000000-0005-0000-0000-000048360000}"/>
    <cellStyle name="Currency 3 6 2 3" xfId="5671" xr:uid="{00000000-0005-0000-0000-000049360000}"/>
    <cellStyle name="Currency 3 6 2 3 2" xfId="8772" xr:uid="{00000000-0005-0000-0000-00004A360000}"/>
    <cellStyle name="Currency 3 6 2 3 2 2" xfId="14965" xr:uid="{00000000-0005-0000-0000-00004B360000}"/>
    <cellStyle name="Currency 3 6 2 3 2 2 2" xfId="34885" xr:uid="{00000000-0005-0000-0000-00004C360000}"/>
    <cellStyle name="Currency 3 6 2 3 2 3" xfId="21117" xr:uid="{00000000-0005-0000-0000-00004D360000}"/>
    <cellStyle name="Currency 3 6 2 3 2 3 2" xfId="41037" xr:uid="{00000000-0005-0000-0000-00004E360000}"/>
    <cellStyle name="Currency 3 6 2 3 2 4" xfId="28732" xr:uid="{00000000-0005-0000-0000-00004F360000}"/>
    <cellStyle name="Currency 3 6 2 3 3" xfId="11899" xr:uid="{00000000-0005-0000-0000-000050360000}"/>
    <cellStyle name="Currency 3 6 2 3 3 2" xfId="31819" xr:uid="{00000000-0005-0000-0000-000051360000}"/>
    <cellStyle name="Currency 3 6 2 3 4" xfId="18051" xr:uid="{00000000-0005-0000-0000-000052360000}"/>
    <cellStyle name="Currency 3 6 2 3 4 2" xfId="37971" xr:uid="{00000000-0005-0000-0000-000053360000}"/>
    <cellStyle name="Currency 3 6 2 3 5" xfId="25666" xr:uid="{00000000-0005-0000-0000-000054360000}"/>
    <cellStyle name="Currency 3 6 2 4" xfId="7237" xr:uid="{00000000-0005-0000-0000-000055360000}"/>
    <cellStyle name="Currency 3 6 2 4 2" xfId="13431" xr:uid="{00000000-0005-0000-0000-000056360000}"/>
    <cellStyle name="Currency 3 6 2 4 2 2" xfId="33351" xr:uid="{00000000-0005-0000-0000-000057360000}"/>
    <cellStyle name="Currency 3 6 2 4 3" xfId="19583" xr:uid="{00000000-0005-0000-0000-000058360000}"/>
    <cellStyle name="Currency 3 6 2 4 3 2" xfId="39503" xr:uid="{00000000-0005-0000-0000-000059360000}"/>
    <cellStyle name="Currency 3 6 2 4 4" xfId="27198" xr:uid="{00000000-0005-0000-0000-00005A360000}"/>
    <cellStyle name="Currency 3 6 2 5" xfId="10365" xr:uid="{00000000-0005-0000-0000-00005B360000}"/>
    <cellStyle name="Currency 3 6 2 5 2" xfId="30285" xr:uid="{00000000-0005-0000-0000-00005C360000}"/>
    <cellStyle name="Currency 3 6 2 6" xfId="16517" xr:uid="{00000000-0005-0000-0000-00005D360000}"/>
    <cellStyle name="Currency 3 6 2 6 2" xfId="36437" xr:uid="{00000000-0005-0000-0000-00005E360000}"/>
    <cellStyle name="Currency 3 6 2 7" xfId="24132" xr:uid="{00000000-0005-0000-0000-00005F360000}"/>
    <cellStyle name="Currency 3 6 3" xfId="4829" xr:uid="{00000000-0005-0000-0000-000060360000}"/>
    <cellStyle name="Currency 3 6 3 2" xfId="6454" xr:uid="{00000000-0005-0000-0000-000061360000}"/>
    <cellStyle name="Currency 3 6 3 2 2" xfId="9540" xr:uid="{00000000-0005-0000-0000-000062360000}"/>
    <cellStyle name="Currency 3 6 3 2 2 2" xfId="15733" xr:uid="{00000000-0005-0000-0000-000063360000}"/>
    <cellStyle name="Currency 3 6 3 2 2 2 2" xfId="35653" xr:uid="{00000000-0005-0000-0000-000064360000}"/>
    <cellStyle name="Currency 3 6 3 2 2 3" xfId="21885" xr:uid="{00000000-0005-0000-0000-000065360000}"/>
    <cellStyle name="Currency 3 6 3 2 2 3 2" xfId="41805" xr:uid="{00000000-0005-0000-0000-000066360000}"/>
    <cellStyle name="Currency 3 6 3 2 2 4" xfId="29500" xr:uid="{00000000-0005-0000-0000-000067360000}"/>
    <cellStyle name="Currency 3 6 3 2 3" xfId="12667" xr:uid="{00000000-0005-0000-0000-000068360000}"/>
    <cellStyle name="Currency 3 6 3 2 3 2" xfId="32587" xr:uid="{00000000-0005-0000-0000-000069360000}"/>
    <cellStyle name="Currency 3 6 3 2 4" xfId="18819" xr:uid="{00000000-0005-0000-0000-00006A360000}"/>
    <cellStyle name="Currency 3 6 3 2 4 2" xfId="38739" xr:uid="{00000000-0005-0000-0000-00006B360000}"/>
    <cellStyle name="Currency 3 6 3 2 5" xfId="26434" xr:uid="{00000000-0005-0000-0000-00006C360000}"/>
    <cellStyle name="Currency 3 6 3 3" xfId="8005" xr:uid="{00000000-0005-0000-0000-00006D360000}"/>
    <cellStyle name="Currency 3 6 3 3 2" xfId="14199" xr:uid="{00000000-0005-0000-0000-00006E360000}"/>
    <cellStyle name="Currency 3 6 3 3 2 2" xfId="34119" xr:uid="{00000000-0005-0000-0000-00006F360000}"/>
    <cellStyle name="Currency 3 6 3 3 3" xfId="20351" xr:uid="{00000000-0005-0000-0000-000070360000}"/>
    <cellStyle name="Currency 3 6 3 3 3 2" xfId="40271" xr:uid="{00000000-0005-0000-0000-000071360000}"/>
    <cellStyle name="Currency 3 6 3 3 4" xfId="27966" xr:uid="{00000000-0005-0000-0000-000072360000}"/>
    <cellStyle name="Currency 3 6 3 4" xfId="11133" xr:uid="{00000000-0005-0000-0000-000073360000}"/>
    <cellStyle name="Currency 3 6 3 4 2" xfId="31053" xr:uid="{00000000-0005-0000-0000-000074360000}"/>
    <cellStyle name="Currency 3 6 3 5" xfId="17285" xr:uid="{00000000-0005-0000-0000-000075360000}"/>
    <cellStyle name="Currency 3 6 3 5 2" xfId="37205" xr:uid="{00000000-0005-0000-0000-000076360000}"/>
    <cellStyle name="Currency 3 6 3 6" xfId="24900" xr:uid="{00000000-0005-0000-0000-000077360000}"/>
    <cellStyle name="Currency 3 6 4" xfId="5670" xr:uid="{00000000-0005-0000-0000-000078360000}"/>
    <cellStyle name="Currency 3 6 4 2" xfId="8771" xr:uid="{00000000-0005-0000-0000-000079360000}"/>
    <cellStyle name="Currency 3 6 4 2 2" xfId="14964" xr:uid="{00000000-0005-0000-0000-00007A360000}"/>
    <cellStyle name="Currency 3 6 4 2 2 2" xfId="34884" xr:uid="{00000000-0005-0000-0000-00007B360000}"/>
    <cellStyle name="Currency 3 6 4 2 3" xfId="21116" xr:uid="{00000000-0005-0000-0000-00007C360000}"/>
    <cellStyle name="Currency 3 6 4 2 3 2" xfId="41036" xr:uid="{00000000-0005-0000-0000-00007D360000}"/>
    <cellStyle name="Currency 3 6 4 2 4" xfId="28731" xr:uid="{00000000-0005-0000-0000-00007E360000}"/>
    <cellStyle name="Currency 3 6 4 3" xfId="11898" xr:uid="{00000000-0005-0000-0000-00007F360000}"/>
    <cellStyle name="Currency 3 6 4 3 2" xfId="31818" xr:uid="{00000000-0005-0000-0000-000080360000}"/>
    <cellStyle name="Currency 3 6 4 4" xfId="18050" xr:uid="{00000000-0005-0000-0000-000081360000}"/>
    <cellStyle name="Currency 3 6 4 4 2" xfId="37970" xr:uid="{00000000-0005-0000-0000-000082360000}"/>
    <cellStyle name="Currency 3 6 4 5" xfId="25665" xr:uid="{00000000-0005-0000-0000-000083360000}"/>
    <cellStyle name="Currency 3 6 5" xfId="7236" xr:uid="{00000000-0005-0000-0000-000084360000}"/>
    <cellStyle name="Currency 3 6 5 2" xfId="13430" xr:uid="{00000000-0005-0000-0000-000085360000}"/>
    <cellStyle name="Currency 3 6 5 2 2" xfId="33350" xr:uid="{00000000-0005-0000-0000-000086360000}"/>
    <cellStyle name="Currency 3 6 5 3" xfId="19582" xr:uid="{00000000-0005-0000-0000-000087360000}"/>
    <cellStyle name="Currency 3 6 5 3 2" xfId="39502" xr:uid="{00000000-0005-0000-0000-000088360000}"/>
    <cellStyle name="Currency 3 6 5 4" xfId="27197" xr:uid="{00000000-0005-0000-0000-000089360000}"/>
    <cellStyle name="Currency 3 6 6" xfId="10364" xr:uid="{00000000-0005-0000-0000-00008A360000}"/>
    <cellStyle name="Currency 3 6 6 2" xfId="30284" xr:uid="{00000000-0005-0000-0000-00008B360000}"/>
    <cellStyle name="Currency 3 6 7" xfId="16516" xr:uid="{00000000-0005-0000-0000-00008C360000}"/>
    <cellStyle name="Currency 3 6 7 2" xfId="36436" xr:uid="{00000000-0005-0000-0000-00008D360000}"/>
    <cellStyle name="Currency 3 6 8" xfId="3127" xr:uid="{00000000-0005-0000-0000-00008E360000}"/>
    <cellStyle name="Currency 3 6 8 2" xfId="24131" xr:uid="{00000000-0005-0000-0000-00008F360000}"/>
    <cellStyle name="Currency 3 7" xfId="223" xr:uid="{00000000-0005-0000-0000-000090360000}"/>
    <cellStyle name="Currency 3 7 2" xfId="4831" xr:uid="{00000000-0005-0000-0000-000091360000}"/>
    <cellStyle name="Currency 3 7 2 2" xfId="6456" xr:uid="{00000000-0005-0000-0000-000092360000}"/>
    <cellStyle name="Currency 3 7 2 2 2" xfId="9542" xr:uid="{00000000-0005-0000-0000-000093360000}"/>
    <cellStyle name="Currency 3 7 2 2 2 2" xfId="15735" xr:uid="{00000000-0005-0000-0000-000094360000}"/>
    <cellStyle name="Currency 3 7 2 2 2 2 2" xfId="35655" xr:uid="{00000000-0005-0000-0000-000095360000}"/>
    <cellStyle name="Currency 3 7 2 2 2 3" xfId="21887" xr:uid="{00000000-0005-0000-0000-000096360000}"/>
    <cellStyle name="Currency 3 7 2 2 2 3 2" xfId="41807" xr:uid="{00000000-0005-0000-0000-000097360000}"/>
    <cellStyle name="Currency 3 7 2 2 2 4" xfId="29502" xr:uid="{00000000-0005-0000-0000-000098360000}"/>
    <cellStyle name="Currency 3 7 2 2 3" xfId="12669" xr:uid="{00000000-0005-0000-0000-000099360000}"/>
    <cellStyle name="Currency 3 7 2 2 3 2" xfId="32589" xr:uid="{00000000-0005-0000-0000-00009A360000}"/>
    <cellStyle name="Currency 3 7 2 2 4" xfId="18821" xr:uid="{00000000-0005-0000-0000-00009B360000}"/>
    <cellStyle name="Currency 3 7 2 2 4 2" xfId="38741" xr:uid="{00000000-0005-0000-0000-00009C360000}"/>
    <cellStyle name="Currency 3 7 2 2 5" xfId="26436" xr:uid="{00000000-0005-0000-0000-00009D360000}"/>
    <cellStyle name="Currency 3 7 2 3" xfId="8007" xr:uid="{00000000-0005-0000-0000-00009E360000}"/>
    <cellStyle name="Currency 3 7 2 3 2" xfId="14201" xr:uid="{00000000-0005-0000-0000-00009F360000}"/>
    <cellStyle name="Currency 3 7 2 3 2 2" xfId="34121" xr:uid="{00000000-0005-0000-0000-0000A0360000}"/>
    <cellStyle name="Currency 3 7 2 3 3" xfId="20353" xr:uid="{00000000-0005-0000-0000-0000A1360000}"/>
    <cellStyle name="Currency 3 7 2 3 3 2" xfId="40273" xr:uid="{00000000-0005-0000-0000-0000A2360000}"/>
    <cellStyle name="Currency 3 7 2 3 4" xfId="27968" xr:uid="{00000000-0005-0000-0000-0000A3360000}"/>
    <cellStyle name="Currency 3 7 2 4" xfId="11135" xr:uid="{00000000-0005-0000-0000-0000A4360000}"/>
    <cellStyle name="Currency 3 7 2 4 2" xfId="31055" xr:uid="{00000000-0005-0000-0000-0000A5360000}"/>
    <cellStyle name="Currency 3 7 2 5" xfId="17287" xr:uid="{00000000-0005-0000-0000-0000A6360000}"/>
    <cellStyle name="Currency 3 7 2 5 2" xfId="37207" xr:uid="{00000000-0005-0000-0000-0000A7360000}"/>
    <cellStyle name="Currency 3 7 2 6" xfId="24902" xr:uid="{00000000-0005-0000-0000-0000A8360000}"/>
    <cellStyle name="Currency 3 7 3" xfId="5672" xr:uid="{00000000-0005-0000-0000-0000A9360000}"/>
    <cellStyle name="Currency 3 7 3 2" xfId="8773" xr:uid="{00000000-0005-0000-0000-0000AA360000}"/>
    <cellStyle name="Currency 3 7 3 2 2" xfId="14966" xr:uid="{00000000-0005-0000-0000-0000AB360000}"/>
    <cellStyle name="Currency 3 7 3 2 2 2" xfId="34886" xr:uid="{00000000-0005-0000-0000-0000AC360000}"/>
    <cellStyle name="Currency 3 7 3 2 3" xfId="21118" xr:uid="{00000000-0005-0000-0000-0000AD360000}"/>
    <cellStyle name="Currency 3 7 3 2 3 2" xfId="41038" xr:uid="{00000000-0005-0000-0000-0000AE360000}"/>
    <cellStyle name="Currency 3 7 3 2 4" xfId="28733" xr:uid="{00000000-0005-0000-0000-0000AF360000}"/>
    <cellStyle name="Currency 3 7 3 3" xfId="11900" xr:uid="{00000000-0005-0000-0000-0000B0360000}"/>
    <cellStyle name="Currency 3 7 3 3 2" xfId="31820" xr:uid="{00000000-0005-0000-0000-0000B1360000}"/>
    <cellStyle name="Currency 3 7 3 4" xfId="18052" xr:uid="{00000000-0005-0000-0000-0000B2360000}"/>
    <cellStyle name="Currency 3 7 3 4 2" xfId="37972" xr:uid="{00000000-0005-0000-0000-0000B3360000}"/>
    <cellStyle name="Currency 3 7 3 5" xfId="25667" xr:uid="{00000000-0005-0000-0000-0000B4360000}"/>
    <cellStyle name="Currency 3 7 4" xfId="7238" xr:uid="{00000000-0005-0000-0000-0000B5360000}"/>
    <cellStyle name="Currency 3 7 4 2" xfId="13432" xr:uid="{00000000-0005-0000-0000-0000B6360000}"/>
    <cellStyle name="Currency 3 7 4 2 2" xfId="33352" xr:uid="{00000000-0005-0000-0000-0000B7360000}"/>
    <cellStyle name="Currency 3 7 4 3" xfId="19584" xr:uid="{00000000-0005-0000-0000-0000B8360000}"/>
    <cellStyle name="Currency 3 7 4 3 2" xfId="39504" xr:uid="{00000000-0005-0000-0000-0000B9360000}"/>
    <cellStyle name="Currency 3 7 4 4" xfId="27199" xr:uid="{00000000-0005-0000-0000-0000BA360000}"/>
    <cellStyle name="Currency 3 7 5" xfId="10366" xr:uid="{00000000-0005-0000-0000-0000BB360000}"/>
    <cellStyle name="Currency 3 7 5 2" xfId="30286" xr:uid="{00000000-0005-0000-0000-0000BC360000}"/>
    <cellStyle name="Currency 3 7 6" xfId="16518" xr:uid="{00000000-0005-0000-0000-0000BD360000}"/>
    <cellStyle name="Currency 3 7 6 2" xfId="36438" xr:uid="{00000000-0005-0000-0000-0000BE360000}"/>
    <cellStyle name="Currency 3 7 7" xfId="3129" xr:uid="{00000000-0005-0000-0000-0000BF360000}"/>
    <cellStyle name="Currency 3 7 7 2" xfId="24133" xr:uid="{00000000-0005-0000-0000-0000C0360000}"/>
    <cellStyle name="Currency 3 8" xfId="191" xr:uid="{00000000-0005-0000-0000-0000C1360000}"/>
    <cellStyle name="Currency 3 8 2" xfId="4832" xr:uid="{00000000-0005-0000-0000-0000C2360000}"/>
    <cellStyle name="Currency 3 8 2 2" xfId="6457" xr:uid="{00000000-0005-0000-0000-0000C3360000}"/>
    <cellStyle name="Currency 3 8 2 2 2" xfId="9543" xr:uid="{00000000-0005-0000-0000-0000C4360000}"/>
    <cellStyle name="Currency 3 8 2 2 2 2" xfId="15736" xr:uid="{00000000-0005-0000-0000-0000C5360000}"/>
    <cellStyle name="Currency 3 8 2 2 2 2 2" xfId="35656" xr:uid="{00000000-0005-0000-0000-0000C6360000}"/>
    <cellStyle name="Currency 3 8 2 2 2 3" xfId="21888" xr:uid="{00000000-0005-0000-0000-0000C7360000}"/>
    <cellStyle name="Currency 3 8 2 2 2 3 2" xfId="41808" xr:uid="{00000000-0005-0000-0000-0000C8360000}"/>
    <cellStyle name="Currency 3 8 2 2 2 4" xfId="29503" xr:uid="{00000000-0005-0000-0000-0000C9360000}"/>
    <cellStyle name="Currency 3 8 2 2 3" xfId="12670" xr:uid="{00000000-0005-0000-0000-0000CA360000}"/>
    <cellStyle name="Currency 3 8 2 2 3 2" xfId="32590" xr:uid="{00000000-0005-0000-0000-0000CB360000}"/>
    <cellStyle name="Currency 3 8 2 2 4" xfId="18822" xr:uid="{00000000-0005-0000-0000-0000CC360000}"/>
    <cellStyle name="Currency 3 8 2 2 4 2" xfId="38742" xr:uid="{00000000-0005-0000-0000-0000CD360000}"/>
    <cellStyle name="Currency 3 8 2 2 5" xfId="26437" xr:uid="{00000000-0005-0000-0000-0000CE360000}"/>
    <cellStyle name="Currency 3 8 2 3" xfId="8008" xr:uid="{00000000-0005-0000-0000-0000CF360000}"/>
    <cellStyle name="Currency 3 8 2 3 2" xfId="14202" xr:uid="{00000000-0005-0000-0000-0000D0360000}"/>
    <cellStyle name="Currency 3 8 2 3 2 2" xfId="34122" xr:uid="{00000000-0005-0000-0000-0000D1360000}"/>
    <cellStyle name="Currency 3 8 2 3 3" xfId="20354" xr:uid="{00000000-0005-0000-0000-0000D2360000}"/>
    <cellStyle name="Currency 3 8 2 3 3 2" xfId="40274" xr:uid="{00000000-0005-0000-0000-0000D3360000}"/>
    <cellStyle name="Currency 3 8 2 3 4" xfId="27969" xr:uid="{00000000-0005-0000-0000-0000D4360000}"/>
    <cellStyle name="Currency 3 8 2 4" xfId="11136" xr:uid="{00000000-0005-0000-0000-0000D5360000}"/>
    <cellStyle name="Currency 3 8 2 4 2" xfId="31056" xr:uid="{00000000-0005-0000-0000-0000D6360000}"/>
    <cellStyle name="Currency 3 8 2 5" xfId="17288" xr:uid="{00000000-0005-0000-0000-0000D7360000}"/>
    <cellStyle name="Currency 3 8 2 5 2" xfId="37208" xr:uid="{00000000-0005-0000-0000-0000D8360000}"/>
    <cellStyle name="Currency 3 8 2 6" xfId="24903" xr:uid="{00000000-0005-0000-0000-0000D9360000}"/>
    <cellStyle name="Currency 3 8 3" xfId="5673" xr:uid="{00000000-0005-0000-0000-0000DA360000}"/>
    <cellStyle name="Currency 3 8 3 2" xfId="8774" xr:uid="{00000000-0005-0000-0000-0000DB360000}"/>
    <cellStyle name="Currency 3 8 3 2 2" xfId="14967" xr:uid="{00000000-0005-0000-0000-0000DC360000}"/>
    <cellStyle name="Currency 3 8 3 2 2 2" xfId="34887" xr:uid="{00000000-0005-0000-0000-0000DD360000}"/>
    <cellStyle name="Currency 3 8 3 2 3" xfId="21119" xr:uid="{00000000-0005-0000-0000-0000DE360000}"/>
    <cellStyle name="Currency 3 8 3 2 3 2" xfId="41039" xr:uid="{00000000-0005-0000-0000-0000DF360000}"/>
    <cellStyle name="Currency 3 8 3 2 4" xfId="28734" xr:uid="{00000000-0005-0000-0000-0000E0360000}"/>
    <cellStyle name="Currency 3 8 3 3" xfId="11901" xr:uid="{00000000-0005-0000-0000-0000E1360000}"/>
    <cellStyle name="Currency 3 8 3 3 2" xfId="31821" xr:uid="{00000000-0005-0000-0000-0000E2360000}"/>
    <cellStyle name="Currency 3 8 3 4" xfId="18053" xr:uid="{00000000-0005-0000-0000-0000E3360000}"/>
    <cellStyle name="Currency 3 8 3 4 2" xfId="37973" xr:uid="{00000000-0005-0000-0000-0000E4360000}"/>
    <cellStyle name="Currency 3 8 3 5" xfId="25668" xr:uid="{00000000-0005-0000-0000-0000E5360000}"/>
    <cellStyle name="Currency 3 8 4" xfId="7239" xr:uid="{00000000-0005-0000-0000-0000E6360000}"/>
    <cellStyle name="Currency 3 8 4 2" xfId="13433" xr:uid="{00000000-0005-0000-0000-0000E7360000}"/>
    <cellStyle name="Currency 3 8 4 2 2" xfId="33353" xr:uid="{00000000-0005-0000-0000-0000E8360000}"/>
    <cellStyle name="Currency 3 8 4 3" xfId="19585" xr:uid="{00000000-0005-0000-0000-0000E9360000}"/>
    <cellStyle name="Currency 3 8 4 3 2" xfId="39505" xr:uid="{00000000-0005-0000-0000-0000EA360000}"/>
    <cellStyle name="Currency 3 8 4 4" xfId="27200" xr:uid="{00000000-0005-0000-0000-0000EB360000}"/>
    <cellStyle name="Currency 3 8 5" xfId="10367" xr:uid="{00000000-0005-0000-0000-0000EC360000}"/>
    <cellStyle name="Currency 3 8 5 2" xfId="30287" xr:uid="{00000000-0005-0000-0000-0000ED360000}"/>
    <cellStyle name="Currency 3 8 6" xfId="16519" xr:uid="{00000000-0005-0000-0000-0000EE360000}"/>
    <cellStyle name="Currency 3 8 6 2" xfId="36439" xr:uid="{00000000-0005-0000-0000-0000EF360000}"/>
    <cellStyle name="Currency 3 8 7" xfId="3130" xr:uid="{00000000-0005-0000-0000-0000F0360000}"/>
    <cellStyle name="Currency 3 8 7 2" xfId="24134" xr:uid="{00000000-0005-0000-0000-0000F1360000}"/>
    <cellStyle name="Currency 3 9" xfId="184" xr:uid="{00000000-0005-0000-0000-0000F2360000}"/>
    <cellStyle name="Currency 3 9 2" xfId="4833" xr:uid="{00000000-0005-0000-0000-0000F3360000}"/>
    <cellStyle name="Currency 3 9 2 2" xfId="6458" xr:uid="{00000000-0005-0000-0000-0000F4360000}"/>
    <cellStyle name="Currency 3 9 2 2 2" xfId="9544" xr:uid="{00000000-0005-0000-0000-0000F5360000}"/>
    <cellStyle name="Currency 3 9 2 2 2 2" xfId="15737" xr:uid="{00000000-0005-0000-0000-0000F6360000}"/>
    <cellStyle name="Currency 3 9 2 2 2 2 2" xfId="35657" xr:uid="{00000000-0005-0000-0000-0000F7360000}"/>
    <cellStyle name="Currency 3 9 2 2 2 3" xfId="21889" xr:uid="{00000000-0005-0000-0000-0000F8360000}"/>
    <cellStyle name="Currency 3 9 2 2 2 3 2" xfId="41809" xr:uid="{00000000-0005-0000-0000-0000F9360000}"/>
    <cellStyle name="Currency 3 9 2 2 2 4" xfId="29504" xr:uid="{00000000-0005-0000-0000-0000FA360000}"/>
    <cellStyle name="Currency 3 9 2 2 3" xfId="12671" xr:uid="{00000000-0005-0000-0000-0000FB360000}"/>
    <cellStyle name="Currency 3 9 2 2 3 2" xfId="32591" xr:uid="{00000000-0005-0000-0000-0000FC360000}"/>
    <cellStyle name="Currency 3 9 2 2 4" xfId="18823" xr:uid="{00000000-0005-0000-0000-0000FD360000}"/>
    <cellStyle name="Currency 3 9 2 2 4 2" xfId="38743" xr:uid="{00000000-0005-0000-0000-0000FE360000}"/>
    <cellStyle name="Currency 3 9 2 2 5" xfId="26438" xr:uid="{00000000-0005-0000-0000-0000FF360000}"/>
    <cellStyle name="Currency 3 9 2 3" xfId="8009" xr:uid="{00000000-0005-0000-0000-000000370000}"/>
    <cellStyle name="Currency 3 9 2 3 2" xfId="14203" xr:uid="{00000000-0005-0000-0000-000001370000}"/>
    <cellStyle name="Currency 3 9 2 3 2 2" xfId="34123" xr:uid="{00000000-0005-0000-0000-000002370000}"/>
    <cellStyle name="Currency 3 9 2 3 3" xfId="20355" xr:uid="{00000000-0005-0000-0000-000003370000}"/>
    <cellStyle name="Currency 3 9 2 3 3 2" xfId="40275" xr:uid="{00000000-0005-0000-0000-000004370000}"/>
    <cellStyle name="Currency 3 9 2 3 4" xfId="27970" xr:uid="{00000000-0005-0000-0000-000005370000}"/>
    <cellStyle name="Currency 3 9 2 4" xfId="11137" xr:uid="{00000000-0005-0000-0000-000006370000}"/>
    <cellStyle name="Currency 3 9 2 4 2" xfId="31057" xr:uid="{00000000-0005-0000-0000-000007370000}"/>
    <cellStyle name="Currency 3 9 2 5" xfId="17289" xr:uid="{00000000-0005-0000-0000-000008370000}"/>
    <cellStyle name="Currency 3 9 2 5 2" xfId="37209" xr:uid="{00000000-0005-0000-0000-000009370000}"/>
    <cellStyle name="Currency 3 9 2 6" xfId="24904" xr:uid="{00000000-0005-0000-0000-00000A370000}"/>
    <cellStyle name="Currency 3 9 3" xfId="5674" xr:uid="{00000000-0005-0000-0000-00000B370000}"/>
    <cellStyle name="Currency 3 9 3 2" xfId="8775" xr:uid="{00000000-0005-0000-0000-00000C370000}"/>
    <cellStyle name="Currency 3 9 3 2 2" xfId="14968" xr:uid="{00000000-0005-0000-0000-00000D370000}"/>
    <cellStyle name="Currency 3 9 3 2 2 2" xfId="34888" xr:uid="{00000000-0005-0000-0000-00000E370000}"/>
    <cellStyle name="Currency 3 9 3 2 3" xfId="21120" xr:uid="{00000000-0005-0000-0000-00000F370000}"/>
    <cellStyle name="Currency 3 9 3 2 3 2" xfId="41040" xr:uid="{00000000-0005-0000-0000-000010370000}"/>
    <cellStyle name="Currency 3 9 3 2 4" xfId="28735" xr:uid="{00000000-0005-0000-0000-000011370000}"/>
    <cellStyle name="Currency 3 9 3 3" xfId="11902" xr:uid="{00000000-0005-0000-0000-000012370000}"/>
    <cellStyle name="Currency 3 9 3 3 2" xfId="31822" xr:uid="{00000000-0005-0000-0000-000013370000}"/>
    <cellStyle name="Currency 3 9 3 4" xfId="18054" xr:uid="{00000000-0005-0000-0000-000014370000}"/>
    <cellStyle name="Currency 3 9 3 4 2" xfId="37974" xr:uid="{00000000-0005-0000-0000-000015370000}"/>
    <cellStyle name="Currency 3 9 3 5" xfId="25669" xr:uid="{00000000-0005-0000-0000-000016370000}"/>
    <cellStyle name="Currency 3 9 4" xfId="7240" xr:uid="{00000000-0005-0000-0000-000017370000}"/>
    <cellStyle name="Currency 3 9 4 2" xfId="13434" xr:uid="{00000000-0005-0000-0000-000018370000}"/>
    <cellStyle name="Currency 3 9 4 2 2" xfId="33354" xr:uid="{00000000-0005-0000-0000-000019370000}"/>
    <cellStyle name="Currency 3 9 4 3" xfId="19586" xr:uid="{00000000-0005-0000-0000-00001A370000}"/>
    <cellStyle name="Currency 3 9 4 3 2" xfId="39506" xr:uid="{00000000-0005-0000-0000-00001B370000}"/>
    <cellStyle name="Currency 3 9 4 4" xfId="27201" xr:uid="{00000000-0005-0000-0000-00001C370000}"/>
    <cellStyle name="Currency 3 9 5" xfId="10368" xr:uid="{00000000-0005-0000-0000-00001D370000}"/>
    <cellStyle name="Currency 3 9 5 2" xfId="30288" xr:uid="{00000000-0005-0000-0000-00001E370000}"/>
    <cellStyle name="Currency 3 9 6" xfId="16520" xr:uid="{00000000-0005-0000-0000-00001F370000}"/>
    <cellStyle name="Currency 3 9 6 2" xfId="36440" xr:uid="{00000000-0005-0000-0000-000020370000}"/>
    <cellStyle name="Currency 3 9 7" xfId="3131" xr:uid="{00000000-0005-0000-0000-000021370000}"/>
    <cellStyle name="Currency 3 9 7 2" xfId="24135" xr:uid="{00000000-0005-0000-0000-000022370000}"/>
    <cellStyle name="Currency 30" xfId="3132" xr:uid="{00000000-0005-0000-0000-000023370000}"/>
    <cellStyle name="Currency 31" xfId="3133" xr:uid="{00000000-0005-0000-0000-000024370000}"/>
    <cellStyle name="Currency 32" xfId="3134" xr:uid="{00000000-0005-0000-0000-000025370000}"/>
    <cellStyle name="Currency 33" xfId="3135" xr:uid="{00000000-0005-0000-0000-000026370000}"/>
    <cellStyle name="Currency 34" xfId="3136" xr:uid="{00000000-0005-0000-0000-000027370000}"/>
    <cellStyle name="Currency 35" xfId="3137" xr:uid="{00000000-0005-0000-0000-000028370000}"/>
    <cellStyle name="Currency 36" xfId="3138" xr:uid="{00000000-0005-0000-0000-000029370000}"/>
    <cellStyle name="Currency 37" xfId="3139" xr:uid="{00000000-0005-0000-0000-00002A370000}"/>
    <cellStyle name="Currency 38" xfId="3140" xr:uid="{00000000-0005-0000-0000-00002B370000}"/>
    <cellStyle name="Currency 39" xfId="3141" xr:uid="{00000000-0005-0000-0000-00002C370000}"/>
    <cellStyle name="Currency 4" xfId="21" xr:uid="{00000000-0005-0000-0000-00002D370000}"/>
    <cellStyle name="Currency 4 2" xfId="3143" xr:uid="{00000000-0005-0000-0000-00002E370000}"/>
    <cellStyle name="Currency 4 2 2" xfId="10128" xr:uid="{00000000-0005-0000-0000-00002F370000}"/>
    <cellStyle name="Currency 4 2 2 2" xfId="16300" xr:uid="{00000000-0005-0000-0000-000030370000}"/>
    <cellStyle name="Currency 4 2 2 2 2" xfId="36220" xr:uid="{00000000-0005-0000-0000-000031370000}"/>
    <cellStyle name="Currency 4 2 2 3" xfId="22452" xr:uid="{00000000-0005-0000-0000-000032370000}"/>
    <cellStyle name="Currency 4 2 2 3 2" xfId="42372" xr:uid="{00000000-0005-0000-0000-000033370000}"/>
    <cellStyle name="Currency 4 2 2 4" xfId="30067" xr:uid="{00000000-0005-0000-0000-000034370000}"/>
    <cellStyle name="Currency 4 2 3" xfId="10110" xr:uid="{00000000-0005-0000-0000-000035370000}"/>
    <cellStyle name="Currency 4 2 3 2" xfId="16291" xr:uid="{00000000-0005-0000-0000-000036370000}"/>
    <cellStyle name="Currency 4 2 3 2 2" xfId="36211" xr:uid="{00000000-0005-0000-0000-000037370000}"/>
    <cellStyle name="Currency 4 2 3 3" xfId="22443" xr:uid="{00000000-0005-0000-0000-000038370000}"/>
    <cellStyle name="Currency 4 2 3 3 2" xfId="42363" xr:uid="{00000000-0005-0000-0000-000039370000}"/>
    <cellStyle name="Currency 4 2 3 4" xfId="30058" xr:uid="{00000000-0005-0000-0000-00003A370000}"/>
    <cellStyle name="Currency 4 3" xfId="3144" xr:uid="{00000000-0005-0000-0000-00003B370000}"/>
    <cellStyle name="Currency 4 3 2" xfId="3145" xr:uid="{00000000-0005-0000-0000-00003C370000}"/>
    <cellStyle name="Currency 4 3 3" xfId="3146" xr:uid="{00000000-0005-0000-0000-00003D370000}"/>
    <cellStyle name="Currency 4 3 4" xfId="3147" xr:uid="{00000000-0005-0000-0000-00003E370000}"/>
    <cellStyle name="Currency 4 3 5" xfId="10127" xr:uid="{00000000-0005-0000-0000-00003F370000}"/>
    <cellStyle name="Currency 4 3 5 2" xfId="16299" xr:uid="{00000000-0005-0000-0000-000040370000}"/>
    <cellStyle name="Currency 4 3 5 2 2" xfId="36219" xr:uid="{00000000-0005-0000-0000-000041370000}"/>
    <cellStyle name="Currency 4 3 5 3" xfId="22451" xr:uid="{00000000-0005-0000-0000-000042370000}"/>
    <cellStyle name="Currency 4 3 5 3 2" xfId="42371" xr:uid="{00000000-0005-0000-0000-000043370000}"/>
    <cellStyle name="Currency 4 3 5 4" xfId="30066" xr:uid="{00000000-0005-0000-0000-000044370000}"/>
    <cellStyle name="Currency 4 4" xfId="3148" xr:uid="{00000000-0005-0000-0000-000045370000}"/>
    <cellStyle name="Currency 4 4 2" xfId="10144" xr:uid="{00000000-0005-0000-0000-000046370000}"/>
    <cellStyle name="Currency 4 5" xfId="4543" xr:uid="{00000000-0005-0000-0000-000047370000}"/>
    <cellStyle name="Currency 4 6" xfId="3142" xr:uid="{00000000-0005-0000-0000-000048370000}"/>
    <cellStyle name="Currency 4 7" xfId="10109" xr:uid="{00000000-0005-0000-0000-000049370000}"/>
    <cellStyle name="Currency 4 7 2" xfId="16290" xr:uid="{00000000-0005-0000-0000-00004A370000}"/>
    <cellStyle name="Currency 4 7 2 2" xfId="36210" xr:uid="{00000000-0005-0000-0000-00004B370000}"/>
    <cellStyle name="Currency 4 7 3" xfId="22442" xr:uid="{00000000-0005-0000-0000-00004C370000}"/>
    <cellStyle name="Currency 4 7 3 2" xfId="42362" xr:uid="{00000000-0005-0000-0000-00004D370000}"/>
    <cellStyle name="Currency 4 7 4" xfId="30057" xr:uid="{00000000-0005-0000-0000-00004E370000}"/>
    <cellStyle name="Currency 4 8" xfId="1100" xr:uid="{00000000-0005-0000-0000-00004F370000}"/>
    <cellStyle name="Currency 40" xfId="3149" xr:uid="{00000000-0005-0000-0000-000050370000}"/>
    <cellStyle name="Currency 41" xfId="3150" xr:uid="{00000000-0005-0000-0000-000051370000}"/>
    <cellStyle name="Currency 42" xfId="3151" xr:uid="{00000000-0005-0000-0000-000052370000}"/>
    <cellStyle name="Currency 43" xfId="3152" xr:uid="{00000000-0005-0000-0000-000053370000}"/>
    <cellStyle name="Currency 44" xfId="3153" xr:uid="{00000000-0005-0000-0000-000054370000}"/>
    <cellStyle name="Currency 45" xfId="3154" xr:uid="{00000000-0005-0000-0000-000055370000}"/>
    <cellStyle name="Currency 46" xfId="3155" xr:uid="{00000000-0005-0000-0000-000056370000}"/>
    <cellStyle name="Currency 47" xfId="3156" xr:uid="{00000000-0005-0000-0000-000057370000}"/>
    <cellStyle name="Currency 48" xfId="3157" xr:uid="{00000000-0005-0000-0000-000058370000}"/>
    <cellStyle name="Currency 49" xfId="3158" xr:uid="{00000000-0005-0000-0000-000059370000}"/>
    <cellStyle name="Currency 5" xfId="22" xr:uid="{00000000-0005-0000-0000-00005A370000}"/>
    <cellStyle name="Currency 5 10" xfId="16310" xr:uid="{00000000-0005-0000-0000-00005B370000}"/>
    <cellStyle name="Currency 5 10 2" xfId="36230" xr:uid="{00000000-0005-0000-0000-00005C370000}"/>
    <cellStyle name="Currency 5 11" xfId="1101" xr:uid="{00000000-0005-0000-0000-00005D370000}"/>
    <cellStyle name="Currency 5 11 2" xfId="23925" xr:uid="{00000000-0005-0000-0000-00005E370000}"/>
    <cellStyle name="Currency 5 2" xfId="1173" xr:uid="{00000000-0005-0000-0000-00005F370000}"/>
    <cellStyle name="Currency 5 2 10" xfId="16316" xr:uid="{00000000-0005-0000-0000-000060370000}"/>
    <cellStyle name="Currency 5 2 10 2" xfId="36236" xr:uid="{00000000-0005-0000-0000-000061370000}"/>
    <cellStyle name="Currency 5 2 11" xfId="23931" xr:uid="{00000000-0005-0000-0000-000062370000}"/>
    <cellStyle name="Currency 5 2 2" xfId="1192" xr:uid="{00000000-0005-0000-0000-000063370000}"/>
    <cellStyle name="Currency 5 2 2 2" xfId="4605" xr:uid="{00000000-0005-0000-0000-000064370000}"/>
    <cellStyle name="Currency 5 2 2 2 2" xfId="5381" xr:uid="{00000000-0005-0000-0000-000065370000}"/>
    <cellStyle name="Currency 5 2 2 2 2 2" xfId="7006" xr:uid="{00000000-0005-0000-0000-000066370000}"/>
    <cellStyle name="Currency 5 2 2 2 2 2 2" xfId="10092" xr:uid="{00000000-0005-0000-0000-000067370000}"/>
    <cellStyle name="Currency 5 2 2 2 2 2 2 2" xfId="16285" xr:uid="{00000000-0005-0000-0000-000068370000}"/>
    <cellStyle name="Currency 5 2 2 2 2 2 2 2 2" xfId="36205" xr:uid="{00000000-0005-0000-0000-000069370000}"/>
    <cellStyle name="Currency 5 2 2 2 2 2 2 3" xfId="22437" xr:uid="{00000000-0005-0000-0000-00006A370000}"/>
    <cellStyle name="Currency 5 2 2 2 2 2 2 3 2" xfId="42357" xr:uid="{00000000-0005-0000-0000-00006B370000}"/>
    <cellStyle name="Currency 5 2 2 2 2 2 2 4" xfId="30052" xr:uid="{00000000-0005-0000-0000-00006C370000}"/>
    <cellStyle name="Currency 5 2 2 2 2 2 3" xfId="13219" xr:uid="{00000000-0005-0000-0000-00006D370000}"/>
    <cellStyle name="Currency 5 2 2 2 2 2 3 2" xfId="33139" xr:uid="{00000000-0005-0000-0000-00006E370000}"/>
    <cellStyle name="Currency 5 2 2 2 2 2 4" xfId="19371" xr:uid="{00000000-0005-0000-0000-00006F370000}"/>
    <cellStyle name="Currency 5 2 2 2 2 2 4 2" xfId="39291" xr:uid="{00000000-0005-0000-0000-000070370000}"/>
    <cellStyle name="Currency 5 2 2 2 2 2 5" xfId="26986" xr:uid="{00000000-0005-0000-0000-000071370000}"/>
    <cellStyle name="Currency 5 2 2 2 2 3" xfId="8557" xr:uid="{00000000-0005-0000-0000-000072370000}"/>
    <cellStyle name="Currency 5 2 2 2 2 3 2" xfId="14751" xr:uid="{00000000-0005-0000-0000-000073370000}"/>
    <cellStyle name="Currency 5 2 2 2 2 3 2 2" xfId="34671" xr:uid="{00000000-0005-0000-0000-000074370000}"/>
    <cellStyle name="Currency 5 2 2 2 2 3 3" xfId="20903" xr:uid="{00000000-0005-0000-0000-000075370000}"/>
    <cellStyle name="Currency 5 2 2 2 2 3 3 2" xfId="40823" xr:uid="{00000000-0005-0000-0000-000076370000}"/>
    <cellStyle name="Currency 5 2 2 2 2 3 4" xfId="28518" xr:uid="{00000000-0005-0000-0000-000077370000}"/>
    <cellStyle name="Currency 5 2 2 2 2 4" xfId="11685" xr:uid="{00000000-0005-0000-0000-000078370000}"/>
    <cellStyle name="Currency 5 2 2 2 2 4 2" xfId="31605" xr:uid="{00000000-0005-0000-0000-000079370000}"/>
    <cellStyle name="Currency 5 2 2 2 2 5" xfId="17837" xr:uid="{00000000-0005-0000-0000-00007A370000}"/>
    <cellStyle name="Currency 5 2 2 2 2 5 2" xfId="37757" xr:uid="{00000000-0005-0000-0000-00007B370000}"/>
    <cellStyle name="Currency 5 2 2 2 2 6" xfId="25452" xr:uid="{00000000-0005-0000-0000-00007C370000}"/>
    <cellStyle name="Currency 5 2 2 2 3" xfId="6237" xr:uid="{00000000-0005-0000-0000-00007D370000}"/>
    <cellStyle name="Currency 5 2 2 2 3 2" xfId="9323" xr:uid="{00000000-0005-0000-0000-00007E370000}"/>
    <cellStyle name="Currency 5 2 2 2 3 2 2" xfId="15516" xr:uid="{00000000-0005-0000-0000-00007F370000}"/>
    <cellStyle name="Currency 5 2 2 2 3 2 2 2" xfId="35436" xr:uid="{00000000-0005-0000-0000-000080370000}"/>
    <cellStyle name="Currency 5 2 2 2 3 2 3" xfId="21668" xr:uid="{00000000-0005-0000-0000-000081370000}"/>
    <cellStyle name="Currency 5 2 2 2 3 2 3 2" xfId="41588" xr:uid="{00000000-0005-0000-0000-000082370000}"/>
    <cellStyle name="Currency 5 2 2 2 3 2 4" xfId="29283" xr:uid="{00000000-0005-0000-0000-000083370000}"/>
    <cellStyle name="Currency 5 2 2 2 3 3" xfId="12450" xr:uid="{00000000-0005-0000-0000-000084370000}"/>
    <cellStyle name="Currency 5 2 2 2 3 3 2" xfId="32370" xr:uid="{00000000-0005-0000-0000-000085370000}"/>
    <cellStyle name="Currency 5 2 2 2 3 4" xfId="18602" xr:uid="{00000000-0005-0000-0000-000086370000}"/>
    <cellStyle name="Currency 5 2 2 2 3 4 2" xfId="38522" xr:uid="{00000000-0005-0000-0000-000087370000}"/>
    <cellStyle name="Currency 5 2 2 2 3 5" xfId="26217" xr:uid="{00000000-0005-0000-0000-000088370000}"/>
    <cellStyle name="Currency 5 2 2 2 4" xfId="7788" xr:uid="{00000000-0005-0000-0000-000089370000}"/>
    <cellStyle name="Currency 5 2 2 2 4 2" xfId="13982" xr:uid="{00000000-0005-0000-0000-00008A370000}"/>
    <cellStyle name="Currency 5 2 2 2 4 2 2" xfId="33902" xr:uid="{00000000-0005-0000-0000-00008B370000}"/>
    <cellStyle name="Currency 5 2 2 2 4 3" xfId="20134" xr:uid="{00000000-0005-0000-0000-00008C370000}"/>
    <cellStyle name="Currency 5 2 2 2 4 3 2" xfId="40054" xr:uid="{00000000-0005-0000-0000-00008D370000}"/>
    <cellStyle name="Currency 5 2 2 2 4 4" xfId="27749" xr:uid="{00000000-0005-0000-0000-00008E370000}"/>
    <cellStyle name="Currency 5 2 2 2 5" xfId="10916" xr:uid="{00000000-0005-0000-0000-00008F370000}"/>
    <cellStyle name="Currency 5 2 2 2 5 2" xfId="30836" xr:uid="{00000000-0005-0000-0000-000090370000}"/>
    <cellStyle name="Currency 5 2 2 2 6" xfId="17068" xr:uid="{00000000-0005-0000-0000-000091370000}"/>
    <cellStyle name="Currency 5 2 2 2 6 2" xfId="36988" xr:uid="{00000000-0005-0000-0000-000092370000}"/>
    <cellStyle name="Currency 5 2 2 2 7" xfId="24683" xr:uid="{00000000-0005-0000-0000-000093370000}"/>
    <cellStyle name="Currency 5 2 2 3" xfId="3161" xr:uid="{00000000-0005-0000-0000-000094370000}"/>
    <cellStyle name="Currency 5 2 2 4" xfId="4640" xr:uid="{00000000-0005-0000-0000-000095370000}"/>
    <cellStyle name="Currency 5 2 2 4 2" xfId="6265" xr:uid="{00000000-0005-0000-0000-000096370000}"/>
    <cellStyle name="Currency 5 2 2 4 2 2" xfId="9351" xr:uid="{00000000-0005-0000-0000-000097370000}"/>
    <cellStyle name="Currency 5 2 2 4 2 2 2" xfId="15544" xr:uid="{00000000-0005-0000-0000-000098370000}"/>
    <cellStyle name="Currency 5 2 2 4 2 2 2 2" xfId="35464" xr:uid="{00000000-0005-0000-0000-000099370000}"/>
    <cellStyle name="Currency 5 2 2 4 2 2 3" xfId="21696" xr:uid="{00000000-0005-0000-0000-00009A370000}"/>
    <cellStyle name="Currency 5 2 2 4 2 2 3 2" xfId="41616" xr:uid="{00000000-0005-0000-0000-00009B370000}"/>
    <cellStyle name="Currency 5 2 2 4 2 2 4" xfId="29311" xr:uid="{00000000-0005-0000-0000-00009C370000}"/>
    <cellStyle name="Currency 5 2 2 4 2 3" xfId="12478" xr:uid="{00000000-0005-0000-0000-00009D370000}"/>
    <cellStyle name="Currency 5 2 2 4 2 3 2" xfId="32398" xr:uid="{00000000-0005-0000-0000-00009E370000}"/>
    <cellStyle name="Currency 5 2 2 4 2 4" xfId="18630" xr:uid="{00000000-0005-0000-0000-00009F370000}"/>
    <cellStyle name="Currency 5 2 2 4 2 4 2" xfId="38550" xr:uid="{00000000-0005-0000-0000-0000A0370000}"/>
    <cellStyle name="Currency 5 2 2 4 2 5" xfId="26245" xr:uid="{00000000-0005-0000-0000-0000A1370000}"/>
    <cellStyle name="Currency 5 2 2 4 3" xfId="7816" xr:uid="{00000000-0005-0000-0000-0000A2370000}"/>
    <cellStyle name="Currency 5 2 2 4 3 2" xfId="14010" xr:uid="{00000000-0005-0000-0000-0000A3370000}"/>
    <cellStyle name="Currency 5 2 2 4 3 2 2" xfId="33930" xr:uid="{00000000-0005-0000-0000-0000A4370000}"/>
    <cellStyle name="Currency 5 2 2 4 3 3" xfId="20162" xr:uid="{00000000-0005-0000-0000-0000A5370000}"/>
    <cellStyle name="Currency 5 2 2 4 3 3 2" xfId="40082" xr:uid="{00000000-0005-0000-0000-0000A6370000}"/>
    <cellStyle name="Currency 5 2 2 4 3 4" xfId="27777" xr:uid="{00000000-0005-0000-0000-0000A7370000}"/>
    <cellStyle name="Currency 5 2 2 4 4" xfId="10944" xr:uid="{00000000-0005-0000-0000-0000A8370000}"/>
    <cellStyle name="Currency 5 2 2 4 4 2" xfId="30864" xr:uid="{00000000-0005-0000-0000-0000A9370000}"/>
    <cellStyle name="Currency 5 2 2 4 5" xfId="17096" xr:uid="{00000000-0005-0000-0000-0000AA370000}"/>
    <cellStyle name="Currency 5 2 2 4 5 2" xfId="37016" xr:uid="{00000000-0005-0000-0000-0000AB370000}"/>
    <cellStyle name="Currency 5 2 2 4 6" xfId="24711" xr:uid="{00000000-0005-0000-0000-0000AC370000}"/>
    <cellStyle name="Currency 5 2 2 5" xfId="5479" xr:uid="{00000000-0005-0000-0000-0000AD370000}"/>
    <cellStyle name="Currency 5 2 2 5 2" xfId="8582" xr:uid="{00000000-0005-0000-0000-0000AE370000}"/>
    <cellStyle name="Currency 5 2 2 5 2 2" xfId="14775" xr:uid="{00000000-0005-0000-0000-0000AF370000}"/>
    <cellStyle name="Currency 5 2 2 5 2 2 2" xfId="34695" xr:uid="{00000000-0005-0000-0000-0000B0370000}"/>
    <cellStyle name="Currency 5 2 2 5 2 3" xfId="20927" xr:uid="{00000000-0005-0000-0000-0000B1370000}"/>
    <cellStyle name="Currency 5 2 2 5 2 3 2" xfId="40847" xr:uid="{00000000-0005-0000-0000-0000B2370000}"/>
    <cellStyle name="Currency 5 2 2 5 2 4" xfId="28542" xr:uid="{00000000-0005-0000-0000-0000B3370000}"/>
    <cellStyle name="Currency 5 2 2 5 3" xfId="11709" xr:uid="{00000000-0005-0000-0000-0000B4370000}"/>
    <cellStyle name="Currency 5 2 2 5 3 2" xfId="31629" xr:uid="{00000000-0005-0000-0000-0000B5370000}"/>
    <cellStyle name="Currency 5 2 2 5 4" xfId="17861" xr:uid="{00000000-0005-0000-0000-0000B6370000}"/>
    <cellStyle name="Currency 5 2 2 5 4 2" xfId="37781" xr:uid="{00000000-0005-0000-0000-0000B7370000}"/>
    <cellStyle name="Currency 5 2 2 5 5" xfId="25476" xr:uid="{00000000-0005-0000-0000-0000B8370000}"/>
    <cellStyle name="Currency 5 2 2 6" xfId="7047" xr:uid="{00000000-0005-0000-0000-0000B9370000}"/>
    <cellStyle name="Currency 5 2 2 6 2" xfId="13241" xr:uid="{00000000-0005-0000-0000-0000BA370000}"/>
    <cellStyle name="Currency 5 2 2 6 2 2" xfId="33161" xr:uid="{00000000-0005-0000-0000-0000BB370000}"/>
    <cellStyle name="Currency 5 2 2 6 3" xfId="19393" xr:uid="{00000000-0005-0000-0000-0000BC370000}"/>
    <cellStyle name="Currency 5 2 2 6 3 2" xfId="39313" xr:uid="{00000000-0005-0000-0000-0000BD370000}"/>
    <cellStyle name="Currency 5 2 2 6 4" xfId="27008" xr:uid="{00000000-0005-0000-0000-0000BE370000}"/>
    <cellStyle name="Currency 5 2 2 7" xfId="10175" xr:uid="{00000000-0005-0000-0000-0000BF370000}"/>
    <cellStyle name="Currency 5 2 2 7 2" xfId="30095" xr:uid="{00000000-0005-0000-0000-0000C0370000}"/>
    <cellStyle name="Currency 5 2 2 8" xfId="16327" xr:uid="{00000000-0005-0000-0000-0000C1370000}"/>
    <cellStyle name="Currency 5 2 2 8 2" xfId="36247" xr:uid="{00000000-0005-0000-0000-0000C2370000}"/>
    <cellStyle name="Currency 5 2 2 9" xfId="23942" xr:uid="{00000000-0005-0000-0000-0000C3370000}"/>
    <cellStyle name="Currency 5 2 3" xfId="3162" xr:uid="{00000000-0005-0000-0000-0000C4370000}"/>
    <cellStyle name="Currency 5 2 4" xfId="4588" xr:uid="{00000000-0005-0000-0000-0000C5370000}"/>
    <cellStyle name="Currency 5 2 4 2" xfId="5372" xr:uid="{00000000-0005-0000-0000-0000C6370000}"/>
    <cellStyle name="Currency 5 2 4 2 2" xfId="6997" xr:uid="{00000000-0005-0000-0000-0000C7370000}"/>
    <cellStyle name="Currency 5 2 4 2 2 2" xfId="10083" xr:uid="{00000000-0005-0000-0000-0000C8370000}"/>
    <cellStyle name="Currency 5 2 4 2 2 2 2" xfId="16276" xr:uid="{00000000-0005-0000-0000-0000C9370000}"/>
    <cellStyle name="Currency 5 2 4 2 2 2 2 2" xfId="36196" xr:uid="{00000000-0005-0000-0000-0000CA370000}"/>
    <cellStyle name="Currency 5 2 4 2 2 2 3" xfId="22428" xr:uid="{00000000-0005-0000-0000-0000CB370000}"/>
    <cellStyle name="Currency 5 2 4 2 2 2 3 2" xfId="42348" xr:uid="{00000000-0005-0000-0000-0000CC370000}"/>
    <cellStyle name="Currency 5 2 4 2 2 2 4" xfId="30043" xr:uid="{00000000-0005-0000-0000-0000CD370000}"/>
    <cellStyle name="Currency 5 2 4 2 2 3" xfId="13210" xr:uid="{00000000-0005-0000-0000-0000CE370000}"/>
    <cellStyle name="Currency 5 2 4 2 2 3 2" xfId="33130" xr:uid="{00000000-0005-0000-0000-0000CF370000}"/>
    <cellStyle name="Currency 5 2 4 2 2 4" xfId="19362" xr:uid="{00000000-0005-0000-0000-0000D0370000}"/>
    <cellStyle name="Currency 5 2 4 2 2 4 2" xfId="39282" xr:uid="{00000000-0005-0000-0000-0000D1370000}"/>
    <cellStyle name="Currency 5 2 4 2 2 5" xfId="26977" xr:uid="{00000000-0005-0000-0000-0000D2370000}"/>
    <cellStyle name="Currency 5 2 4 2 3" xfId="8548" xr:uid="{00000000-0005-0000-0000-0000D3370000}"/>
    <cellStyle name="Currency 5 2 4 2 3 2" xfId="14742" xr:uid="{00000000-0005-0000-0000-0000D4370000}"/>
    <cellStyle name="Currency 5 2 4 2 3 2 2" xfId="34662" xr:uid="{00000000-0005-0000-0000-0000D5370000}"/>
    <cellStyle name="Currency 5 2 4 2 3 3" xfId="20894" xr:uid="{00000000-0005-0000-0000-0000D6370000}"/>
    <cellStyle name="Currency 5 2 4 2 3 3 2" xfId="40814" xr:uid="{00000000-0005-0000-0000-0000D7370000}"/>
    <cellStyle name="Currency 5 2 4 2 3 4" xfId="28509" xr:uid="{00000000-0005-0000-0000-0000D8370000}"/>
    <cellStyle name="Currency 5 2 4 2 4" xfId="11676" xr:uid="{00000000-0005-0000-0000-0000D9370000}"/>
    <cellStyle name="Currency 5 2 4 2 4 2" xfId="31596" xr:uid="{00000000-0005-0000-0000-0000DA370000}"/>
    <cellStyle name="Currency 5 2 4 2 5" xfId="17828" xr:uid="{00000000-0005-0000-0000-0000DB370000}"/>
    <cellStyle name="Currency 5 2 4 2 5 2" xfId="37748" xr:uid="{00000000-0005-0000-0000-0000DC370000}"/>
    <cellStyle name="Currency 5 2 4 2 6" xfId="25443" xr:uid="{00000000-0005-0000-0000-0000DD370000}"/>
    <cellStyle name="Currency 5 2 4 3" xfId="6228" xr:uid="{00000000-0005-0000-0000-0000DE370000}"/>
    <cellStyle name="Currency 5 2 4 3 2" xfId="9314" xr:uid="{00000000-0005-0000-0000-0000DF370000}"/>
    <cellStyle name="Currency 5 2 4 3 2 2" xfId="15507" xr:uid="{00000000-0005-0000-0000-0000E0370000}"/>
    <cellStyle name="Currency 5 2 4 3 2 2 2" xfId="35427" xr:uid="{00000000-0005-0000-0000-0000E1370000}"/>
    <cellStyle name="Currency 5 2 4 3 2 3" xfId="21659" xr:uid="{00000000-0005-0000-0000-0000E2370000}"/>
    <cellStyle name="Currency 5 2 4 3 2 3 2" xfId="41579" xr:uid="{00000000-0005-0000-0000-0000E3370000}"/>
    <cellStyle name="Currency 5 2 4 3 2 4" xfId="29274" xr:uid="{00000000-0005-0000-0000-0000E4370000}"/>
    <cellStyle name="Currency 5 2 4 3 3" xfId="12441" xr:uid="{00000000-0005-0000-0000-0000E5370000}"/>
    <cellStyle name="Currency 5 2 4 3 3 2" xfId="32361" xr:uid="{00000000-0005-0000-0000-0000E6370000}"/>
    <cellStyle name="Currency 5 2 4 3 4" xfId="18593" xr:uid="{00000000-0005-0000-0000-0000E7370000}"/>
    <cellStyle name="Currency 5 2 4 3 4 2" xfId="38513" xr:uid="{00000000-0005-0000-0000-0000E8370000}"/>
    <cellStyle name="Currency 5 2 4 3 5" xfId="26208" xr:uid="{00000000-0005-0000-0000-0000E9370000}"/>
    <cellStyle name="Currency 5 2 4 4" xfId="7779" xr:uid="{00000000-0005-0000-0000-0000EA370000}"/>
    <cellStyle name="Currency 5 2 4 4 2" xfId="13973" xr:uid="{00000000-0005-0000-0000-0000EB370000}"/>
    <cellStyle name="Currency 5 2 4 4 2 2" xfId="33893" xr:uid="{00000000-0005-0000-0000-0000EC370000}"/>
    <cellStyle name="Currency 5 2 4 4 3" xfId="20125" xr:uid="{00000000-0005-0000-0000-0000ED370000}"/>
    <cellStyle name="Currency 5 2 4 4 3 2" xfId="40045" xr:uid="{00000000-0005-0000-0000-0000EE370000}"/>
    <cellStyle name="Currency 5 2 4 4 4" xfId="27740" xr:uid="{00000000-0005-0000-0000-0000EF370000}"/>
    <cellStyle name="Currency 5 2 4 5" xfId="10907" xr:uid="{00000000-0005-0000-0000-0000F0370000}"/>
    <cellStyle name="Currency 5 2 4 5 2" xfId="30827" xr:uid="{00000000-0005-0000-0000-0000F1370000}"/>
    <cellStyle name="Currency 5 2 4 6" xfId="17059" xr:uid="{00000000-0005-0000-0000-0000F2370000}"/>
    <cellStyle name="Currency 5 2 4 6 2" xfId="36979" xr:uid="{00000000-0005-0000-0000-0000F3370000}"/>
    <cellStyle name="Currency 5 2 4 7" xfId="24674" xr:uid="{00000000-0005-0000-0000-0000F4370000}"/>
    <cellStyle name="Currency 5 2 5" xfId="3160" xr:uid="{00000000-0005-0000-0000-0000F5370000}"/>
    <cellStyle name="Currency 5 2 6" xfId="4629" xr:uid="{00000000-0005-0000-0000-0000F6370000}"/>
    <cellStyle name="Currency 5 2 6 2" xfId="6254" xr:uid="{00000000-0005-0000-0000-0000F7370000}"/>
    <cellStyle name="Currency 5 2 6 2 2" xfId="9340" xr:uid="{00000000-0005-0000-0000-0000F8370000}"/>
    <cellStyle name="Currency 5 2 6 2 2 2" xfId="15533" xr:uid="{00000000-0005-0000-0000-0000F9370000}"/>
    <cellStyle name="Currency 5 2 6 2 2 2 2" xfId="35453" xr:uid="{00000000-0005-0000-0000-0000FA370000}"/>
    <cellStyle name="Currency 5 2 6 2 2 3" xfId="21685" xr:uid="{00000000-0005-0000-0000-0000FB370000}"/>
    <cellStyle name="Currency 5 2 6 2 2 3 2" xfId="41605" xr:uid="{00000000-0005-0000-0000-0000FC370000}"/>
    <cellStyle name="Currency 5 2 6 2 2 4" xfId="29300" xr:uid="{00000000-0005-0000-0000-0000FD370000}"/>
    <cellStyle name="Currency 5 2 6 2 3" xfId="12467" xr:uid="{00000000-0005-0000-0000-0000FE370000}"/>
    <cellStyle name="Currency 5 2 6 2 3 2" xfId="32387" xr:uid="{00000000-0005-0000-0000-0000FF370000}"/>
    <cellStyle name="Currency 5 2 6 2 4" xfId="18619" xr:uid="{00000000-0005-0000-0000-000000380000}"/>
    <cellStyle name="Currency 5 2 6 2 4 2" xfId="38539" xr:uid="{00000000-0005-0000-0000-000001380000}"/>
    <cellStyle name="Currency 5 2 6 2 5" xfId="26234" xr:uid="{00000000-0005-0000-0000-000002380000}"/>
    <cellStyle name="Currency 5 2 6 3" xfId="7805" xr:uid="{00000000-0005-0000-0000-000003380000}"/>
    <cellStyle name="Currency 5 2 6 3 2" xfId="13999" xr:uid="{00000000-0005-0000-0000-000004380000}"/>
    <cellStyle name="Currency 5 2 6 3 2 2" xfId="33919" xr:uid="{00000000-0005-0000-0000-000005380000}"/>
    <cellStyle name="Currency 5 2 6 3 3" xfId="20151" xr:uid="{00000000-0005-0000-0000-000006380000}"/>
    <cellStyle name="Currency 5 2 6 3 3 2" xfId="40071" xr:uid="{00000000-0005-0000-0000-000007380000}"/>
    <cellStyle name="Currency 5 2 6 3 4" xfId="27766" xr:uid="{00000000-0005-0000-0000-000008380000}"/>
    <cellStyle name="Currency 5 2 6 4" xfId="10933" xr:uid="{00000000-0005-0000-0000-000009380000}"/>
    <cellStyle name="Currency 5 2 6 4 2" xfId="30853" xr:uid="{00000000-0005-0000-0000-00000A380000}"/>
    <cellStyle name="Currency 5 2 6 5" xfId="17085" xr:uid="{00000000-0005-0000-0000-00000B380000}"/>
    <cellStyle name="Currency 5 2 6 5 2" xfId="37005" xr:uid="{00000000-0005-0000-0000-00000C380000}"/>
    <cellStyle name="Currency 5 2 6 6" xfId="24700" xr:uid="{00000000-0005-0000-0000-00000D380000}"/>
    <cellStyle name="Currency 5 2 7" xfId="5467" xr:uid="{00000000-0005-0000-0000-00000E380000}"/>
    <cellStyle name="Currency 5 2 7 2" xfId="8571" xr:uid="{00000000-0005-0000-0000-00000F380000}"/>
    <cellStyle name="Currency 5 2 7 2 2" xfId="14764" xr:uid="{00000000-0005-0000-0000-000010380000}"/>
    <cellStyle name="Currency 5 2 7 2 2 2" xfId="34684" xr:uid="{00000000-0005-0000-0000-000011380000}"/>
    <cellStyle name="Currency 5 2 7 2 3" xfId="20916" xr:uid="{00000000-0005-0000-0000-000012380000}"/>
    <cellStyle name="Currency 5 2 7 2 3 2" xfId="40836" xr:uid="{00000000-0005-0000-0000-000013380000}"/>
    <cellStyle name="Currency 5 2 7 2 4" xfId="28531" xr:uid="{00000000-0005-0000-0000-000014380000}"/>
    <cellStyle name="Currency 5 2 7 3" xfId="11698" xr:uid="{00000000-0005-0000-0000-000015380000}"/>
    <cellStyle name="Currency 5 2 7 3 2" xfId="31618" xr:uid="{00000000-0005-0000-0000-000016380000}"/>
    <cellStyle name="Currency 5 2 7 4" xfId="17850" xr:uid="{00000000-0005-0000-0000-000017380000}"/>
    <cellStyle name="Currency 5 2 7 4 2" xfId="37770" xr:uid="{00000000-0005-0000-0000-000018380000}"/>
    <cellStyle name="Currency 5 2 7 5" xfId="25465" xr:uid="{00000000-0005-0000-0000-000019380000}"/>
    <cellStyle name="Currency 5 2 8" xfId="7036" xr:uid="{00000000-0005-0000-0000-00001A380000}"/>
    <cellStyle name="Currency 5 2 8 2" xfId="13230" xr:uid="{00000000-0005-0000-0000-00001B380000}"/>
    <cellStyle name="Currency 5 2 8 2 2" xfId="33150" xr:uid="{00000000-0005-0000-0000-00001C380000}"/>
    <cellStyle name="Currency 5 2 8 3" xfId="19382" xr:uid="{00000000-0005-0000-0000-00001D380000}"/>
    <cellStyle name="Currency 5 2 8 3 2" xfId="39302" xr:uid="{00000000-0005-0000-0000-00001E380000}"/>
    <cellStyle name="Currency 5 2 8 4" xfId="26997" xr:uid="{00000000-0005-0000-0000-00001F380000}"/>
    <cellStyle name="Currency 5 2 9" xfId="10164" xr:uid="{00000000-0005-0000-0000-000020380000}"/>
    <cellStyle name="Currency 5 2 9 2" xfId="30084" xr:uid="{00000000-0005-0000-0000-000021380000}"/>
    <cellStyle name="Currency 5 3" xfId="1186" xr:uid="{00000000-0005-0000-0000-000022380000}"/>
    <cellStyle name="Currency 5 3 2" xfId="4600" xr:uid="{00000000-0005-0000-0000-000023380000}"/>
    <cellStyle name="Currency 5 3 2 2" xfId="5376" xr:uid="{00000000-0005-0000-0000-000024380000}"/>
    <cellStyle name="Currency 5 3 2 2 2" xfId="7001" xr:uid="{00000000-0005-0000-0000-000025380000}"/>
    <cellStyle name="Currency 5 3 2 2 2 2" xfId="10087" xr:uid="{00000000-0005-0000-0000-000026380000}"/>
    <cellStyle name="Currency 5 3 2 2 2 2 2" xfId="16280" xr:uid="{00000000-0005-0000-0000-000027380000}"/>
    <cellStyle name="Currency 5 3 2 2 2 2 2 2" xfId="36200" xr:uid="{00000000-0005-0000-0000-000028380000}"/>
    <cellStyle name="Currency 5 3 2 2 2 2 3" xfId="22432" xr:uid="{00000000-0005-0000-0000-000029380000}"/>
    <cellStyle name="Currency 5 3 2 2 2 2 3 2" xfId="42352" xr:uid="{00000000-0005-0000-0000-00002A380000}"/>
    <cellStyle name="Currency 5 3 2 2 2 2 4" xfId="30047" xr:uid="{00000000-0005-0000-0000-00002B380000}"/>
    <cellStyle name="Currency 5 3 2 2 2 3" xfId="13214" xr:uid="{00000000-0005-0000-0000-00002C380000}"/>
    <cellStyle name="Currency 5 3 2 2 2 3 2" xfId="33134" xr:uid="{00000000-0005-0000-0000-00002D380000}"/>
    <cellStyle name="Currency 5 3 2 2 2 4" xfId="19366" xr:uid="{00000000-0005-0000-0000-00002E380000}"/>
    <cellStyle name="Currency 5 3 2 2 2 4 2" xfId="39286" xr:uid="{00000000-0005-0000-0000-00002F380000}"/>
    <cellStyle name="Currency 5 3 2 2 2 5" xfId="26981" xr:uid="{00000000-0005-0000-0000-000030380000}"/>
    <cellStyle name="Currency 5 3 2 2 3" xfId="8552" xr:uid="{00000000-0005-0000-0000-000031380000}"/>
    <cellStyle name="Currency 5 3 2 2 3 2" xfId="14746" xr:uid="{00000000-0005-0000-0000-000032380000}"/>
    <cellStyle name="Currency 5 3 2 2 3 2 2" xfId="34666" xr:uid="{00000000-0005-0000-0000-000033380000}"/>
    <cellStyle name="Currency 5 3 2 2 3 3" xfId="20898" xr:uid="{00000000-0005-0000-0000-000034380000}"/>
    <cellStyle name="Currency 5 3 2 2 3 3 2" xfId="40818" xr:uid="{00000000-0005-0000-0000-000035380000}"/>
    <cellStyle name="Currency 5 3 2 2 3 4" xfId="28513" xr:uid="{00000000-0005-0000-0000-000036380000}"/>
    <cellStyle name="Currency 5 3 2 2 4" xfId="11680" xr:uid="{00000000-0005-0000-0000-000037380000}"/>
    <cellStyle name="Currency 5 3 2 2 4 2" xfId="31600" xr:uid="{00000000-0005-0000-0000-000038380000}"/>
    <cellStyle name="Currency 5 3 2 2 5" xfId="17832" xr:uid="{00000000-0005-0000-0000-000039380000}"/>
    <cellStyle name="Currency 5 3 2 2 5 2" xfId="37752" xr:uid="{00000000-0005-0000-0000-00003A380000}"/>
    <cellStyle name="Currency 5 3 2 2 6" xfId="25447" xr:uid="{00000000-0005-0000-0000-00003B380000}"/>
    <cellStyle name="Currency 5 3 2 3" xfId="6232" xr:uid="{00000000-0005-0000-0000-00003C380000}"/>
    <cellStyle name="Currency 5 3 2 3 2" xfId="9318" xr:uid="{00000000-0005-0000-0000-00003D380000}"/>
    <cellStyle name="Currency 5 3 2 3 2 2" xfId="15511" xr:uid="{00000000-0005-0000-0000-00003E380000}"/>
    <cellStyle name="Currency 5 3 2 3 2 2 2" xfId="35431" xr:uid="{00000000-0005-0000-0000-00003F380000}"/>
    <cellStyle name="Currency 5 3 2 3 2 3" xfId="21663" xr:uid="{00000000-0005-0000-0000-000040380000}"/>
    <cellStyle name="Currency 5 3 2 3 2 3 2" xfId="41583" xr:uid="{00000000-0005-0000-0000-000041380000}"/>
    <cellStyle name="Currency 5 3 2 3 2 4" xfId="29278" xr:uid="{00000000-0005-0000-0000-000042380000}"/>
    <cellStyle name="Currency 5 3 2 3 3" xfId="12445" xr:uid="{00000000-0005-0000-0000-000043380000}"/>
    <cellStyle name="Currency 5 3 2 3 3 2" xfId="32365" xr:uid="{00000000-0005-0000-0000-000044380000}"/>
    <cellStyle name="Currency 5 3 2 3 4" xfId="18597" xr:uid="{00000000-0005-0000-0000-000045380000}"/>
    <cellStyle name="Currency 5 3 2 3 4 2" xfId="38517" xr:uid="{00000000-0005-0000-0000-000046380000}"/>
    <cellStyle name="Currency 5 3 2 3 5" xfId="26212" xr:uid="{00000000-0005-0000-0000-000047380000}"/>
    <cellStyle name="Currency 5 3 2 4" xfId="7783" xr:uid="{00000000-0005-0000-0000-000048380000}"/>
    <cellStyle name="Currency 5 3 2 4 2" xfId="13977" xr:uid="{00000000-0005-0000-0000-000049380000}"/>
    <cellStyle name="Currency 5 3 2 4 2 2" xfId="33897" xr:uid="{00000000-0005-0000-0000-00004A380000}"/>
    <cellStyle name="Currency 5 3 2 4 3" xfId="20129" xr:uid="{00000000-0005-0000-0000-00004B380000}"/>
    <cellStyle name="Currency 5 3 2 4 3 2" xfId="40049" xr:uid="{00000000-0005-0000-0000-00004C380000}"/>
    <cellStyle name="Currency 5 3 2 4 4" xfId="27744" xr:uid="{00000000-0005-0000-0000-00004D380000}"/>
    <cellStyle name="Currency 5 3 2 5" xfId="10911" xr:uid="{00000000-0005-0000-0000-00004E380000}"/>
    <cellStyle name="Currency 5 3 2 5 2" xfId="30831" xr:uid="{00000000-0005-0000-0000-00004F380000}"/>
    <cellStyle name="Currency 5 3 2 6" xfId="17063" xr:uid="{00000000-0005-0000-0000-000050380000}"/>
    <cellStyle name="Currency 5 3 2 6 2" xfId="36983" xr:uid="{00000000-0005-0000-0000-000051380000}"/>
    <cellStyle name="Currency 5 3 2 7" xfId="24678" xr:uid="{00000000-0005-0000-0000-000052380000}"/>
    <cellStyle name="Currency 5 3 3" xfId="3163" xr:uid="{00000000-0005-0000-0000-000053380000}"/>
    <cellStyle name="Currency 5 3 4" xfId="4634" xr:uid="{00000000-0005-0000-0000-000054380000}"/>
    <cellStyle name="Currency 5 3 4 2" xfId="6259" xr:uid="{00000000-0005-0000-0000-000055380000}"/>
    <cellStyle name="Currency 5 3 4 2 2" xfId="9345" xr:uid="{00000000-0005-0000-0000-000056380000}"/>
    <cellStyle name="Currency 5 3 4 2 2 2" xfId="15538" xr:uid="{00000000-0005-0000-0000-000057380000}"/>
    <cellStyle name="Currency 5 3 4 2 2 2 2" xfId="35458" xr:uid="{00000000-0005-0000-0000-000058380000}"/>
    <cellStyle name="Currency 5 3 4 2 2 3" xfId="21690" xr:uid="{00000000-0005-0000-0000-000059380000}"/>
    <cellStyle name="Currency 5 3 4 2 2 3 2" xfId="41610" xr:uid="{00000000-0005-0000-0000-00005A380000}"/>
    <cellStyle name="Currency 5 3 4 2 2 4" xfId="29305" xr:uid="{00000000-0005-0000-0000-00005B380000}"/>
    <cellStyle name="Currency 5 3 4 2 3" xfId="12472" xr:uid="{00000000-0005-0000-0000-00005C380000}"/>
    <cellStyle name="Currency 5 3 4 2 3 2" xfId="32392" xr:uid="{00000000-0005-0000-0000-00005D380000}"/>
    <cellStyle name="Currency 5 3 4 2 4" xfId="18624" xr:uid="{00000000-0005-0000-0000-00005E380000}"/>
    <cellStyle name="Currency 5 3 4 2 4 2" xfId="38544" xr:uid="{00000000-0005-0000-0000-00005F380000}"/>
    <cellStyle name="Currency 5 3 4 2 5" xfId="26239" xr:uid="{00000000-0005-0000-0000-000060380000}"/>
    <cellStyle name="Currency 5 3 4 3" xfId="7810" xr:uid="{00000000-0005-0000-0000-000061380000}"/>
    <cellStyle name="Currency 5 3 4 3 2" xfId="14004" xr:uid="{00000000-0005-0000-0000-000062380000}"/>
    <cellStyle name="Currency 5 3 4 3 2 2" xfId="33924" xr:uid="{00000000-0005-0000-0000-000063380000}"/>
    <cellStyle name="Currency 5 3 4 3 3" xfId="20156" xr:uid="{00000000-0005-0000-0000-000064380000}"/>
    <cellStyle name="Currency 5 3 4 3 3 2" xfId="40076" xr:uid="{00000000-0005-0000-0000-000065380000}"/>
    <cellStyle name="Currency 5 3 4 3 4" xfId="27771" xr:uid="{00000000-0005-0000-0000-000066380000}"/>
    <cellStyle name="Currency 5 3 4 4" xfId="10938" xr:uid="{00000000-0005-0000-0000-000067380000}"/>
    <cellStyle name="Currency 5 3 4 4 2" xfId="30858" xr:uid="{00000000-0005-0000-0000-000068380000}"/>
    <cellStyle name="Currency 5 3 4 5" xfId="17090" xr:uid="{00000000-0005-0000-0000-000069380000}"/>
    <cellStyle name="Currency 5 3 4 5 2" xfId="37010" xr:uid="{00000000-0005-0000-0000-00006A380000}"/>
    <cellStyle name="Currency 5 3 4 6" xfId="24705" xr:uid="{00000000-0005-0000-0000-00006B380000}"/>
    <cellStyle name="Currency 5 3 5" xfId="5473" xr:uid="{00000000-0005-0000-0000-00006C380000}"/>
    <cellStyle name="Currency 5 3 5 2" xfId="8576" xr:uid="{00000000-0005-0000-0000-00006D380000}"/>
    <cellStyle name="Currency 5 3 5 2 2" xfId="14769" xr:uid="{00000000-0005-0000-0000-00006E380000}"/>
    <cellStyle name="Currency 5 3 5 2 2 2" xfId="34689" xr:uid="{00000000-0005-0000-0000-00006F380000}"/>
    <cellStyle name="Currency 5 3 5 2 3" xfId="20921" xr:uid="{00000000-0005-0000-0000-000070380000}"/>
    <cellStyle name="Currency 5 3 5 2 3 2" xfId="40841" xr:uid="{00000000-0005-0000-0000-000071380000}"/>
    <cellStyle name="Currency 5 3 5 2 4" xfId="28536" xr:uid="{00000000-0005-0000-0000-000072380000}"/>
    <cellStyle name="Currency 5 3 5 3" xfId="11703" xr:uid="{00000000-0005-0000-0000-000073380000}"/>
    <cellStyle name="Currency 5 3 5 3 2" xfId="31623" xr:uid="{00000000-0005-0000-0000-000074380000}"/>
    <cellStyle name="Currency 5 3 5 4" xfId="17855" xr:uid="{00000000-0005-0000-0000-000075380000}"/>
    <cellStyle name="Currency 5 3 5 4 2" xfId="37775" xr:uid="{00000000-0005-0000-0000-000076380000}"/>
    <cellStyle name="Currency 5 3 5 5" xfId="25470" xr:uid="{00000000-0005-0000-0000-000077380000}"/>
    <cellStyle name="Currency 5 3 6" xfId="7041" xr:uid="{00000000-0005-0000-0000-000078380000}"/>
    <cellStyle name="Currency 5 3 6 2" xfId="13235" xr:uid="{00000000-0005-0000-0000-000079380000}"/>
    <cellStyle name="Currency 5 3 6 2 2" xfId="33155" xr:uid="{00000000-0005-0000-0000-00007A380000}"/>
    <cellStyle name="Currency 5 3 6 3" xfId="19387" xr:uid="{00000000-0005-0000-0000-00007B380000}"/>
    <cellStyle name="Currency 5 3 6 3 2" xfId="39307" xr:uid="{00000000-0005-0000-0000-00007C380000}"/>
    <cellStyle name="Currency 5 3 6 4" xfId="27002" xr:uid="{00000000-0005-0000-0000-00007D380000}"/>
    <cellStyle name="Currency 5 3 7" xfId="10169" xr:uid="{00000000-0005-0000-0000-00007E380000}"/>
    <cellStyle name="Currency 5 3 7 2" xfId="30089" xr:uid="{00000000-0005-0000-0000-00007F380000}"/>
    <cellStyle name="Currency 5 3 8" xfId="16321" xr:uid="{00000000-0005-0000-0000-000080380000}"/>
    <cellStyle name="Currency 5 3 8 2" xfId="36241" xr:uid="{00000000-0005-0000-0000-000081380000}"/>
    <cellStyle name="Currency 5 3 9" xfId="23936" xr:uid="{00000000-0005-0000-0000-000082380000}"/>
    <cellStyle name="Currency 5 4" xfId="4544" xr:uid="{00000000-0005-0000-0000-000083380000}"/>
    <cellStyle name="Currency 5 4 2" xfId="5368" xr:uid="{00000000-0005-0000-0000-000084380000}"/>
    <cellStyle name="Currency 5 4 2 2" xfId="6993" xr:uid="{00000000-0005-0000-0000-000085380000}"/>
    <cellStyle name="Currency 5 4 2 2 2" xfId="10079" xr:uid="{00000000-0005-0000-0000-000086380000}"/>
    <cellStyle name="Currency 5 4 2 2 2 2" xfId="16272" xr:uid="{00000000-0005-0000-0000-000087380000}"/>
    <cellStyle name="Currency 5 4 2 2 2 2 2" xfId="36192" xr:uid="{00000000-0005-0000-0000-000088380000}"/>
    <cellStyle name="Currency 5 4 2 2 2 3" xfId="22424" xr:uid="{00000000-0005-0000-0000-000089380000}"/>
    <cellStyle name="Currency 5 4 2 2 2 3 2" xfId="42344" xr:uid="{00000000-0005-0000-0000-00008A380000}"/>
    <cellStyle name="Currency 5 4 2 2 2 4" xfId="30039" xr:uid="{00000000-0005-0000-0000-00008B380000}"/>
    <cellStyle name="Currency 5 4 2 2 3" xfId="13206" xr:uid="{00000000-0005-0000-0000-00008C380000}"/>
    <cellStyle name="Currency 5 4 2 2 3 2" xfId="33126" xr:uid="{00000000-0005-0000-0000-00008D380000}"/>
    <cellStyle name="Currency 5 4 2 2 4" xfId="19358" xr:uid="{00000000-0005-0000-0000-00008E380000}"/>
    <cellStyle name="Currency 5 4 2 2 4 2" xfId="39278" xr:uid="{00000000-0005-0000-0000-00008F380000}"/>
    <cellStyle name="Currency 5 4 2 2 5" xfId="26973" xr:uid="{00000000-0005-0000-0000-000090380000}"/>
    <cellStyle name="Currency 5 4 2 3" xfId="8544" xr:uid="{00000000-0005-0000-0000-000091380000}"/>
    <cellStyle name="Currency 5 4 2 3 2" xfId="14738" xr:uid="{00000000-0005-0000-0000-000092380000}"/>
    <cellStyle name="Currency 5 4 2 3 2 2" xfId="34658" xr:uid="{00000000-0005-0000-0000-000093380000}"/>
    <cellStyle name="Currency 5 4 2 3 3" xfId="20890" xr:uid="{00000000-0005-0000-0000-000094380000}"/>
    <cellStyle name="Currency 5 4 2 3 3 2" xfId="40810" xr:uid="{00000000-0005-0000-0000-000095380000}"/>
    <cellStyle name="Currency 5 4 2 3 4" xfId="28505" xr:uid="{00000000-0005-0000-0000-000096380000}"/>
    <cellStyle name="Currency 5 4 2 4" xfId="11672" xr:uid="{00000000-0005-0000-0000-000097380000}"/>
    <cellStyle name="Currency 5 4 2 4 2" xfId="31592" xr:uid="{00000000-0005-0000-0000-000098380000}"/>
    <cellStyle name="Currency 5 4 2 5" xfId="17824" xr:uid="{00000000-0005-0000-0000-000099380000}"/>
    <cellStyle name="Currency 5 4 2 5 2" xfId="37744" xr:uid="{00000000-0005-0000-0000-00009A380000}"/>
    <cellStyle name="Currency 5 4 2 6" xfId="25439" xr:uid="{00000000-0005-0000-0000-00009B380000}"/>
    <cellStyle name="Currency 5 4 3" xfId="6223" xr:uid="{00000000-0005-0000-0000-00009C380000}"/>
    <cellStyle name="Currency 5 4 3 2" xfId="9310" xr:uid="{00000000-0005-0000-0000-00009D380000}"/>
    <cellStyle name="Currency 5 4 3 2 2" xfId="15503" xr:uid="{00000000-0005-0000-0000-00009E380000}"/>
    <cellStyle name="Currency 5 4 3 2 2 2" xfId="35423" xr:uid="{00000000-0005-0000-0000-00009F380000}"/>
    <cellStyle name="Currency 5 4 3 2 3" xfId="21655" xr:uid="{00000000-0005-0000-0000-0000A0380000}"/>
    <cellStyle name="Currency 5 4 3 2 3 2" xfId="41575" xr:uid="{00000000-0005-0000-0000-0000A1380000}"/>
    <cellStyle name="Currency 5 4 3 2 4" xfId="29270" xr:uid="{00000000-0005-0000-0000-0000A2380000}"/>
    <cellStyle name="Currency 5 4 3 3" xfId="12437" xr:uid="{00000000-0005-0000-0000-0000A3380000}"/>
    <cellStyle name="Currency 5 4 3 3 2" xfId="32357" xr:uid="{00000000-0005-0000-0000-0000A4380000}"/>
    <cellStyle name="Currency 5 4 3 4" xfId="18589" xr:uid="{00000000-0005-0000-0000-0000A5380000}"/>
    <cellStyle name="Currency 5 4 3 4 2" xfId="38509" xr:uid="{00000000-0005-0000-0000-0000A6380000}"/>
    <cellStyle name="Currency 5 4 3 5" xfId="26204" xr:uid="{00000000-0005-0000-0000-0000A7380000}"/>
    <cellStyle name="Currency 5 4 4" xfId="7775" xr:uid="{00000000-0005-0000-0000-0000A8380000}"/>
    <cellStyle name="Currency 5 4 4 2" xfId="13969" xr:uid="{00000000-0005-0000-0000-0000A9380000}"/>
    <cellStyle name="Currency 5 4 4 2 2" xfId="33889" xr:uid="{00000000-0005-0000-0000-0000AA380000}"/>
    <cellStyle name="Currency 5 4 4 3" xfId="20121" xr:uid="{00000000-0005-0000-0000-0000AB380000}"/>
    <cellStyle name="Currency 5 4 4 3 2" xfId="40041" xr:uid="{00000000-0005-0000-0000-0000AC380000}"/>
    <cellStyle name="Currency 5 4 4 4" xfId="27736" xr:uid="{00000000-0005-0000-0000-0000AD380000}"/>
    <cellStyle name="Currency 5 4 5" xfId="10903" xr:uid="{00000000-0005-0000-0000-0000AE380000}"/>
    <cellStyle name="Currency 5 4 5 2" xfId="30823" xr:uid="{00000000-0005-0000-0000-0000AF380000}"/>
    <cellStyle name="Currency 5 4 6" xfId="17055" xr:uid="{00000000-0005-0000-0000-0000B0380000}"/>
    <cellStyle name="Currency 5 4 6 2" xfId="36975" xr:uid="{00000000-0005-0000-0000-0000B1380000}"/>
    <cellStyle name="Currency 5 4 7" xfId="24670" xr:uid="{00000000-0005-0000-0000-0000B2380000}"/>
    <cellStyle name="Currency 5 5" xfId="3159" xr:uid="{00000000-0005-0000-0000-0000B3380000}"/>
    <cellStyle name="Currency 5 6" xfId="4613" xr:uid="{00000000-0005-0000-0000-0000B4380000}"/>
    <cellStyle name="Currency 5 6 2" xfId="6245" xr:uid="{00000000-0005-0000-0000-0000B5380000}"/>
    <cellStyle name="Currency 5 6 2 2" xfId="9331" xr:uid="{00000000-0005-0000-0000-0000B6380000}"/>
    <cellStyle name="Currency 5 6 2 2 2" xfId="15524" xr:uid="{00000000-0005-0000-0000-0000B7380000}"/>
    <cellStyle name="Currency 5 6 2 2 2 2" xfId="35444" xr:uid="{00000000-0005-0000-0000-0000B8380000}"/>
    <cellStyle name="Currency 5 6 2 2 3" xfId="21676" xr:uid="{00000000-0005-0000-0000-0000B9380000}"/>
    <cellStyle name="Currency 5 6 2 2 3 2" xfId="41596" xr:uid="{00000000-0005-0000-0000-0000BA380000}"/>
    <cellStyle name="Currency 5 6 2 2 4" xfId="29291" xr:uid="{00000000-0005-0000-0000-0000BB380000}"/>
    <cellStyle name="Currency 5 6 2 3" xfId="12458" xr:uid="{00000000-0005-0000-0000-0000BC380000}"/>
    <cellStyle name="Currency 5 6 2 3 2" xfId="32378" xr:uid="{00000000-0005-0000-0000-0000BD380000}"/>
    <cellStyle name="Currency 5 6 2 4" xfId="18610" xr:uid="{00000000-0005-0000-0000-0000BE380000}"/>
    <cellStyle name="Currency 5 6 2 4 2" xfId="38530" xr:uid="{00000000-0005-0000-0000-0000BF380000}"/>
    <cellStyle name="Currency 5 6 2 5" xfId="26225" xr:uid="{00000000-0005-0000-0000-0000C0380000}"/>
    <cellStyle name="Currency 5 6 3" xfId="7796" xr:uid="{00000000-0005-0000-0000-0000C1380000}"/>
    <cellStyle name="Currency 5 6 3 2" xfId="13990" xr:uid="{00000000-0005-0000-0000-0000C2380000}"/>
    <cellStyle name="Currency 5 6 3 2 2" xfId="33910" xr:uid="{00000000-0005-0000-0000-0000C3380000}"/>
    <cellStyle name="Currency 5 6 3 3" xfId="20142" xr:uid="{00000000-0005-0000-0000-0000C4380000}"/>
    <cellStyle name="Currency 5 6 3 3 2" xfId="40062" xr:uid="{00000000-0005-0000-0000-0000C5380000}"/>
    <cellStyle name="Currency 5 6 3 4" xfId="27757" xr:uid="{00000000-0005-0000-0000-0000C6380000}"/>
    <cellStyle name="Currency 5 6 4" xfId="10924" xr:uid="{00000000-0005-0000-0000-0000C7380000}"/>
    <cellStyle name="Currency 5 6 4 2" xfId="30844" xr:uid="{00000000-0005-0000-0000-0000C8380000}"/>
    <cellStyle name="Currency 5 6 5" xfId="17076" xr:uid="{00000000-0005-0000-0000-0000C9380000}"/>
    <cellStyle name="Currency 5 6 5 2" xfId="36996" xr:uid="{00000000-0005-0000-0000-0000CA380000}"/>
    <cellStyle name="Currency 5 6 6" xfId="24691" xr:uid="{00000000-0005-0000-0000-0000CB380000}"/>
    <cellStyle name="Currency 5 7" xfId="5461" xr:uid="{00000000-0005-0000-0000-0000CC380000}"/>
    <cellStyle name="Currency 5 7 2" xfId="8565" xr:uid="{00000000-0005-0000-0000-0000CD380000}"/>
    <cellStyle name="Currency 5 7 2 2" xfId="14758" xr:uid="{00000000-0005-0000-0000-0000CE380000}"/>
    <cellStyle name="Currency 5 7 2 2 2" xfId="34678" xr:uid="{00000000-0005-0000-0000-0000CF380000}"/>
    <cellStyle name="Currency 5 7 2 3" xfId="20910" xr:uid="{00000000-0005-0000-0000-0000D0380000}"/>
    <cellStyle name="Currency 5 7 2 3 2" xfId="40830" xr:uid="{00000000-0005-0000-0000-0000D1380000}"/>
    <cellStyle name="Currency 5 7 2 4" xfId="28525" xr:uid="{00000000-0005-0000-0000-0000D2380000}"/>
    <cellStyle name="Currency 5 7 3" xfId="11692" xr:uid="{00000000-0005-0000-0000-0000D3380000}"/>
    <cellStyle name="Currency 5 7 3 2" xfId="31612" xr:uid="{00000000-0005-0000-0000-0000D4380000}"/>
    <cellStyle name="Currency 5 7 4" xfId="17844" xr:uid="{00000000-0005-0000-0000-0000D5380000}"/>
    <cellStyle name="Currency 5 7 4 2" xfId="37764" xr:uid="{00000000-0005-0000-0000-0000D6380000}"/>
    <cellStyle name="Currency 5 7 5" xfId="25459" xr:uid="{00000000-0005-0000-0000-0000D7380000}"/>
    <cellStyle name="Currency 5 8" xfId="7030" xr:uid="{00000000-0005-0000-0000-0000D8380000}"/>
    <cellStyle name="Currency 5 8 2" xfId="13224" xr:uid="{00000000-0005-0000-0000-0000D9380000}"/>
    <cellStyle name="Currency 5 8 2 2" xfId="33144" xr:uid="{00000000-0005-0000-0000-0000DA380000}"/>
    <cellStyle name="Currency 5 8 3" xfId="19376" xr:uid="{00000000-0005-0000-0000-0000DB380000}"/>
    <cellStyle name="Currency 5 8 3 2" xfId="39296" xr:uid="{00000000-0005-0000-0000-0000DC380000}"/>
    <cellStyle name="Currency 5 8 4" xfId="26991" xr:uid="{00000000-0005-0000-0000-0000DD380000}"/>
    <cellStyle name="Currency 5 9" xfId="10158" xr:uid="{00000000-0005-0000-0000-0000DE380000}"/>
    <cellStyle name="Currency 5 9 2" xfId="30078" xr:uid="{00000000-0005-0000-0000-0000DF380000}"/>
    <cellStyle name="Currency 50" xfId="3164" xr:uid="{00000000-0005-0000-0000-0000E0380000}"/>
    <cellStyle name="Currency 51" xfId="3165" xr:uid="{00000000-0005-0000-0000-0000E1380000}"/>
    <cellStyle name="Currency 52" xfId="3166" xr:uid="{00000000-0005-0000-0000-0000E2380000}"/>
    <cellStyle name="Currency 53" xfId="3167" xr:uid="{00000000-0005-0000-0000-0000E3380000}"/>
    <cellStyle name="Currency 54" xfId="3168" xr:uid="{00000000-0005-0000-0000-0000E4380000}"/>
    <cellStyle name="Currency 55" xfId="3169" xr:uid="{00000000-0005-0000-0000-0000E5380000}"/>
    <cellStyle name="Currency 56" xfId="3170" xr:uid="{00000000-0005-0000-0000-0000E6380000}"/>
    <cellStyle name="Currency 57" xfId="3171" xr:uid="{00000000-0005-0000-0000-0000E7380000}"/>
    <cellStyle name="Currency 58" xfId="3172" xr:uid="{00000000-0005-0000-0000-0000E8380000}"/>
    <cellStyle name="Currency 59" xfId="3173" xr:uid="{00000000-0005-0000-0000-0000E9380000}"/>
    <cellStyle name="Currency 6" xfId="1035" xr:uid="{00000000-0005-0000-0000-0000EA380000}"/>
    <cellStyle name="Currency 6 2" xfId="3175" xr:uid="{00000000-0005-0000-0000-0000EB380000}"/>
    <cellStyle name="Currency 6 2 2" xfId="3176" xr:uid="{00000000-0005-0000-0000-0000EC380000}"/>
    <cellStyle name="Currency 6 2 3" xfId="3177" xr:uid="{00000000-0005-0000-0000-0000ED380000}"/>
    <cellStyle name="Currency 6 3" xfId="3178" xr:uid="{00000000-0005-0000-0000-0000EE380000}"/>
    <cellStyle name="Currency 6 4" xfId="4586" xr:uid="{00000000-0005-0000-0000-0000EF380000}"/>
    <cellStyle name="Currency 6 5" xfId="3174" xr:uid="{00000000-0005-0000-0000-0000F0380000}"/>
    <cellStyle name="Currency 6 6" xfId="1169" xr:uid="{00000000-0005-0000-0000-0000F1380000}"/>
    <cellStyle name="Currency 60" xfId="3179" xr:uid="{00000000-0005-0000-0000-0000F2380000}"/>
    <cellStyle name="Currency 61" xfId="3180" xr:uid="{00000000-0005-0000-0000-0000F3380000}"/>
    <cellStyle name="Currency 62" xfId="3181" xr:uid="{00000000-0005-0000-0000-0000F4380000}"/>
    <cellStyle name="Currency 63" xfId="3182" xr:uid="{00000000-0005-0000-0000-0000F5380000}"/>
    <cellStyle name="Currency 64" xfId="3183" xr:uid="{00000000-0005-0000-0000-0000F6380000}"/>
    <cellStyle name="Currency 65" xfId="3184" xr:uid="{00000000-0005-0000-0000-0000F7380000}"/>
    <cellStyle name="Currency 66" xfId="3185" xr:uid="{00000000-0005-0000-0000-0000F8380000}"/>
    <cellStyle name="Currency 67" xfId="3186" xr:uid="{00000000-0005-0000-0000-0000F9380000}"/>
    <cellStyle name="Currency 68" xfId="3187" xr:uid="{00000000-0005-0000-0000-0000FA380000}"/>
    <cellStyle name="Currency 69" xfId="3188" xr:uid="{00000000-0005-0000-0000-0000FB380000}"/>
    <cellStyle name="Currency 7" xfId="1179" xr:uid="{00000000-0005-0000-0000-0000FC380000}"/>
    <cellStyle name="Currency 7 2" xfId="3190" xr:uid="{00000000-0005-0000-0000-0000FD380000}"/>
    <cellStyle name="Currency 7 2 2" xfId="3191" xr:uid="{00000000-0005-0000-0000-0000FE380000}"/>
    <cellStyle name="Currency 7 2 3" xfId="3192" xr:uid="{00000000-0005-0000-0000-0000FF380000}"/>
    <cellStyle name="Currency 7 2 4" xfId="10129" xr:uid="{00000000-0005-0000-0000-000000390000}"/>
    <cellStyle name="Currency 7 2 4 2" xfId="16301" xr:uid="{00000000-0005-0000-0000-000001390000}"/>
    <cellStyle name="Currency 7 2 4 2 2" xfId="36221" xr:uid="{00000000-0005-0000-0000-000002390000}"/>
    <cellStyle name="Currency 7 2 4 3" xfId="22453" xr:uid="{00000000-0005-0000-0000-000003390000}"/>
    <cellStyle name="Currency 7 2 4 3 2" xfId="42373" xr:uid="{00000000-0005-0000-0000-000004390000}"/>
    <cellStyle name="Currency 7 2 4 4" xfId="30068" xr:uid="{00000000-0005-0000-0000-000005390000}"/>
    <cellStyle name="Currency 7 3" xfId="3193" xr:uid="{00000000-0005-0000-0000-000006390000}"/>
    <cellStyle name="Currency 7 4" xfId="4593" xr:uid="{00000000-0005-0000-0000-000007390000}"/>
    <cellStyle name="Currency 7 5" xfId="3189" xr:uid="{00000000-0005-0000-0000-000008390000}"/>
    <cellStyle name="Currency 7 6" xfId="10111" xr:uid="{00000000-0005-0000-0000-000009390000}"/>
    <cellStyle name="Currency 7 6 2" xfId="16292" xr:uid="{00000000-0005-0000-0000-00000A390000}"/>
    <cellStyle name="Currency 7 6 2 2" xfId="36212" xr:uid="{00000000-0005-0000-0000-00000B390000}"/>
    <cellStyle name="Currency 7 6 3" xfId="22444" xr:uid="{00000000-0005-0000-0000-00000C390000}"/>
    <cellStyle name="Currency 7 6 3 2" xfId="42364" xr:uid="{00000000-0005-0000-0000-00000D390000}"/>
    <cellStyle name="Currency 7 6 4" xfId="30059" xr:uid="{00000000-0005-0000-0000-00000E390000}"/>
    <cellStyle name="Currency 70" xfId="3194" xr:uid="{00000000-0005-0000-0000-00000F390000}"/>
    <cellStyle name="Currency 71" xfId="3195" xr:uid="{00000000-0005-0000-0000-000010390000}"/>
    <cellStyle name="Currency 72" xfId="3196" xr:uid="{00000000-0005-0000-0000-000011390000}"/>
    <cellStyle name="Currency 73" xfId="3197" xr:uid="{00000000-0005-0000-0000-000012390000}"/>
    <cellStyle name="Currency 74" xfId="3198" xr:uid="{00000000-0005-0000-0000-000013390000}"/>
    <cellStyle name="Currency 75" xfId="3199" xr:uid="{00000000-0005-0000-0000-000014390000}"/>
    <cellStyle name="Currency 76" xfId="3200" xr:uid="{00000000-0005-0000-0000-000015390000}"/>
    <cellStyle name="Currency 77" xfId="3201" xr:uid="{00000000-0005-0000-0000-000016390000}"/>
    <cellStyle name="Currency 78" xfId="3202" xr:uid="{00000000-0005-0000-0000-000017390000}"/>
    <cellStyle name="Currency 79" xfId="3203" xr:uid="{00000000-0005-0000-0000-000018390000}"/>
    <cellStyle name="Currency 8" xfId="1185" xr:uid="{00000000-0005-0000-0000-000019390000}"/>
    <cellStyle name="Currency 8 2" xfId="3205" xr:uid="{00000000-0005-0000-0000-00001A390000}"/>
    <cellStyle name="Currency 8 2 2" xfId="3206" xr:uid="{00000000-0005-0000-0000-00001B390000}"/>
    <cellStyle name="Currency 8 2 3" xfId="3207" xr:uid="{00000000-0005-0000-0000-00001C390000}"/>
    <cellStyle name="Currency 8 3" xfId="3208" xr:uid="{00000000-0005-0000-0000-00001D390000}"/>
    <cellStyle name="Currency 8 4" xfId="4599" xr:uid="{00000000-0005-0000-0000-00001E390000}"/>
    <cellStyle name="Currency 8 5" xfId="3204" xr:uid="{00000000-0005-0000-0000-00001F390000}"/>
    <cellStyle name="Currency 8 6" xfId="10147" xr:uid="{00000000-0005-0000-0000-000020390000}"/>
    <cellStyle name="Currency 80" xfId="3209" xr:uid="{00000000-0005-0000-0000-000021390000}"/>
    <cellStyle name="Currency 81" xfId="3210" xr:uid="{00000000-0005-0000-0000-000022390000}"/>
    <cellStyle name="Currency 82" xfId="3211" xr:uid="{00000000-0005-0000-0000-000023390000}"/>
    <cellStyle name="Currency 83" xfId="3212" xr:uid="{00000000-0005-0000-0000-000024390000}"/>
    <cellStyle name="Currency 84" xfId="3213" xr:uid="{00000000-0005-0000-0000-000025390000}"/>
    <cellStyle name="Currency 85" xfId="3214" xr:uid="{00000000-0005-0000-0000-000026390000}"/>
    <cellStyle name="Currency 86" xfId="3215" xr:uid="{00000000-0005-0000-0000-000027390000}"/>
    <cellStyle name="Currency 87" xfId="3216" xr:uid="{00000000-0005-0000-0000-000028390000}"/>
    <cellStyle name="Currency 88" xfId="3217" xr:uid="{00000000-0005-0000-0000-000029390000}"/>
    <cellStyle name="Currency 89" xfId="3218" xr:uid="{00000000-0005-0000-0000-00002A390000}"/>
    <cellStyle name="Currency 9" xfId="1181" xr:uid="{00000000-0005-0000-0000-00002B390000}"/>
    <cellStyle name="Currency 9 2" xfId="3220" xr:uid="{00000000-0005-0000-0000-00002C390000}"/>
    <cellStyle name="Currency 9 2 2" xfId="3221" xr:uid="{00000000-0005-0000-0000-00002D390000}"/>
    <cellStyle name="Currency 9 2 3" xfId="3222" xr:uid="{00000000-0005-0000-0000-00002E390000}"/>
    <cellStyle name="Currency 9 3" xfId="3223" xr:uid="{00000000-0005-0000-0000-00002F390000}"/>
    <cellStyle name="Currency 9 4" xfId="4595" xr:uid="{00000000-0005-0000-0000-000030390000}"/>
    <cellStyle name="Currency 9 5" xfId="3219" xr:uid="{00000000-0005-0000-0000-000031390000}"/>
    <cellStyle name="Currency 90" xfId="3224" xr:uid="{00000000-0005-0000-0000-000032390000}"/>
    <cellStyle name="Currency 91" xfId="3225" xr:uid="{00000000-0005-0000-0000-000033390000}"/>
    <cellStyle name="Currency 92" xfId="3226" xr:uid="{00000000-0005-0000-0000-000034390000}"/>
    <cellStyle name="Currency 93" xfId="3227" xr:uid="{00000000-0005-0000-0000-000035390000}"/>
    <cellStyle name="Currency 94" xfId="3228" xr:uid="{00000000-0005-0000-0000-000036390000}"/>
    <cellStyle name="Currency 95" xfId="3229" xr:uid="{00000000-0005-0000-0000-000037390000}"/>
    <cellStyle name="Currency 96" xfId="3230" xr:uid="{00000000-0005-0000-0000-000038390000}"/>
    <cellStyle name="Currency 97" xfId="3231" xr:uid="{00000000-0005-0000-0000-000039390000}"/>
    <cellStyle name="Currency 98" xfId="3232" xr:uid="{00000000-0005-0000-0000-00003A390000}"/>
    <cellStyle name="Currency 99" xfId="3233" xr:uid="{00000000-0005-0000-0000-00003B390000}"/>
    <cellStyle name="Currency(+Credit)" xfId="3234" xr:uid="{00000000-0005-0000-0000-00003C390000}"/>
    <cellStyle name="Currency0" xfId="135" xr:uid="{00000000-0005-0000-0000-00003D390000}"/>
    <cellStyle name="Currency0 2" xfId="10112" xr:uid="{00000000-0005-0000-0000-00003E390000}"/>
    <cellStyle name="Date" xfId="136" xr:uid="{00000000-0005-0000-0000-00003F390000}"/>
    <cellStyle name="Date 2" xfId="10113" xr:uid="{00000000-0005-0000-0000-000040390000}"/>
    <cellStyle name="Date 3" xfId="3235" xr:uid="{00000000-0005-0000-0000-000041390000}"/>
    <cellStyle name="exceptions" xfId="3236" xr:uid="{00000000-0005-0000-0000-000042390000}"/>
    <cellStyle name="Explanatory Text" xfId="59" builtinId="53" customBuiltin="1"/>
    <cellStyle name="Explanatory Text 2" xfId="3237" xr:uid="{00000000-0005-0000-0000-000044390000}"/>
    <cellStyle name="Explanatory Text 3" xfId="3238" xr:uid="{00000000-0005-0000-0000-000045390000}"/>
    <cellStyle name="Explanatory Text 4" xfId="3239" xr:uid="{00000000-0005-0000-0000-000046390000}"/>
    <cellStyle name="Explanatory Text 5" xfId="3240" xr:uid="{00000000-0005-0000-0000-000047390000}"/>
    <cellStyle name="Fixed" xfId="137" xr:uid="{00000000-0005-0000-0000-000048390000}"/>
    <cellStyle name="Fixed 2" xfId="10114" xr:uid="{00000000-0005-0000-0000-000049390000}"/>
    <cellStyle name="FRxAmtStyle" xfId="3241" xr:uid="{00000000-0005-0000-0000-00004A390000}"/>
    <cellStyle name="FRxAmtStyle 2" xfId="3242" xr:uid="{00000000-0005-0000-0000-00004B390000}"/>
    <cellStyle name="FRxAmtStyle 2 10" xfId="3243" xr:uid="{00000000-0005-0000-0000-00004C390000}"/>
    <cellStyle name="FRxAmtStyle 2 2" xfId="3244" xr:uid="{00000000-0005-0000-0000-00004D390000}"/>
    <cellStyle name="FRxAmtStyle 2 3" xfId="3245" xr:uid="{00000000-0005-0000-0000-00004E390000}"/>
    <cellStyle name="FRxAmtStyle 3" xfId="3246" xr:uid="{00000000-0005-0000-0000-00004F390000}"/>
    <cellStyle name="FRxAmtStyle 4" xfId="3247" xr:uid="{00000000-0005-0000-0000-000050390000}"/>
    <cellStyle name="FRxAmtStyle 5" xfId="3248" xr:uid="{00000000-0005-0000-0000-000051390000}"/>
    <cellStyle name="FRxCurrStyle" xfId="3249" xr:uid="{00000000-0005-0000-0000-000052390000}"/>
    <cellStyle name="FRxCurrStyle 2" xfId="3250" xr:uid="{00000000-0005-0000-0000-000053390000}"/>
    <cellStyle name="FRxPcntStyle" xfId="3251" xr:uid="{00000000-0005-0000-0000-000054390000}"/>
    <cellStyle name="Good" xfId="50" builtinId="26" customBuiltin="1"/>
    <cellStyle name="Good 2" xfId="3252" xr:uid="{00000000-0005-0000-0000-000056390000}"/>
    <cellStyle name="Good 3" xfId="3253" xr:uid="{00000000-0005-0000-0000-000057390000}"/>
    <cellStyle name="Good 4" xfId="3254" xr:uid="{00000000-0005-0000-0000-000058390000}"/>
    <cellStyle name="Good 5" xfId="3255" xr:uid="{00000000-0005-0000-0000-000059390000}"/>
    <cellStyle name="Heading 1" xfId="46" builtinId="16" customBuiltin="1"/>
    <cellStyle name="Heading 1 2" xfId="3256" xr:uid="{00000000-0005-0000-0000-00005B390000}"/>
    <cellStyle name="Heading 1 3" xfId="3257" xr:uid="{00000000-0005-0000-0000-00005C390000}"/>
    <cellStyle name="Heading 1 4" xfId="3258" xr:uid="{00000000-0005-0000-0000-00005D390000}"/>
    <cellStyle name="Heading 1 5" xfId="3259" xr:uid="{00000000-0005-0000-0000-00005E390000}"/>
    <cellStyle name="Heading 1 6" xfId="3260" xr:uid="{00000000-0005-0000-0000-00005F390000}"/>
    <cellStyle name="Heading 2" xfId="47" builtinId="17" customBuiltin="1"/>
    <cellStyle name="Heading 2 2" xfId="3261" xr:uid="{00000000-0005-0000-0000-000061390000}"/>
    <cellStyle name="Heading 2 3" xfId="3262" xr:uid="{00000000-0005-0000-0000-000062390000}"/>
    <cellStyle name="Heading 2 4" xfId="3263" xr:uid="{00000000-0005-0000-0000-000063390000}"/>
    <cellStyle name="Heading 2 5" xfId="3264" xr:uid="{00000000-0005-0000-0000-000064390000}"/>
    <cellStyle name="Heading 2 6" xfId="3265" xr:uid="{00000000-0005-0000-0000-000065390000}"/>
    <cellStyle name="Heading 3" xfId="48" builtinId="18" customBuiltin="1"/>
    <cellStyle name="Heading 3 10" xfId="10152" xr:uid="{00000000-0005-0000-0000-000067390000}"/>
    <cellStyle name="Heading 3 11" xfId="1057" xr:uid="{00000000-0005-0000-0000-000068390000}"/>
    <cellStyle name="Heading 3 2" xfId="1162" xr:uid="{00000000-0005-0000-0000-000069390000}"/>
    <cellStyle name="Heading 3 3" xfId="1167" xr:uid="{00000000-0005-0000-0000-00006A390000}"/>
    <cellStyle name="Heading 3 3 2" xfId="4584" xr:uid="{00000000-0005-0000-0000-00006B390000}"/>
    <cellStyle name="Heading 3 3 3" xfId="3266" xr:uid="{00000000-0005-0000-0000-00006C390000}"/>
    <cellStyle name="Heading 3 4" xfId="3267" xr:uid="{00000000-0005-0000-0000-00006D390000}"/>
    <cellStyle name="Heading 3 5" xfId="3268" xr:uid="{00000000-0005-0000-0000-00006E390000}"/>
    <cellStyle name="Heading 3 6" xfId="3269" xr:uid="{00000000-0005-0000-0000-00006F390000}"/>
    <cellStyle name="Heading 3 7" xfId="4498" xr:uid="{00000000-0005-0000-0000-000070390000}"/>
    <cellStyle name="Heading 3 8" xfId="4619" xr:uid="{00000000-0005-0000-0000-000071390000}"/>
    <cellStyle name="Heading 3 9" xfId="7024" xr:uid="{00000000-0005-0000-0000-000072390000}"/>
    <cellStyle name="Heading 4" xfId="49" builtinId="19" customBuiltin="1"/>
    <cellStyle name="Heading 4 2" xfId="3270" xr:uid="{00000000-0005-0000-0000-000074390000}"/>
    <cellStyle name="Heading 4 3" xfId="3271" xr:uid="{00000000-0005-0000-0000-000075390000}"/>
    <cellStyle name="Heading 4 4" xfId="3272" xr:uid="{00000000-0005-0000-0000-000076390000}"/>
    <cellStyle name="Heading 4 5" xfId="3273" xr:uid="{00000000-0005-0000-0000-000077390000}"/>
    <cellStyle name="Heading 4 6" xfId="3274" xr:uid="{00000000-0005-0000-0000-000078390000}"/>
    <cellStyle name="Heading No Underline" xfId="3275" xr:uid="{00000000-0005-0000-0000-000079390000}"/>
    <cellStyle name="Heading No Underline 2" xfId="3276" xr:uid="{00000000-0005-0000-0000-00007A390000}"/>
    <cellStyle name="Heading No Underline 3" xfId="3277" xr:uid="{00000000-0005-0000-0000-00007B390000}"/>
    <cellStyle name="Heading With Underline" xfId="3278" xr:uid="{00000000-0005-0000-0000-00007C390000}"/>
    <cellStyle name="Heading With Underline 2" xfId="3279" xr:uid="{00000000-0005-0000-0000-00007D390000}"/>
    <cellStyle name="Heading With Underline 3" xfId="3280" xr:uid="{00000000-0005-0000-0000-00007E390000}"/>
    <cellStyle name="HNU" xfId="3281" xr:uid="{00000000-0005-0000-0000-00007F390000}"/>
    <cellStyle name="Hyperlink 2" xfId="1102" xr:uid="{00000000-0005-0000-0000-000080390000}"/>
    <cellStyle name="Hyperlink 2 2" xfId="1103" xr:uid="{00000000-0005-0000-0000-000081390000}"/>
    <cellStyle name="Hyperlink 2 3" xfId="4545" xr:uid="{00000000-0005-0000-0000-000082390000}"/>
    <cellStyle name="Hyperlink 2 4" xfId="3282" xr:uid="{00000000-0005-0000-0000-000083390000}"/>
    <cellStyle name="Hyperlink 3" xfId="1104" xr:uid="{00000000-0005-0000-0000-000084390000}"/>
    <cellStyle name="Input" xfId="53" builtinId="20" customBuiltin="1"/>
    <cellStyle name="Input 2" xfId="3283" xr:uid="{00000000-0005-0000-0000-000086390000}"/>
    <cellStyle name="Input 3" xfId="3284" xr:uid="{00000000-0005-0000-0000-000087390000}"/>
    <cellStyle name="Input 4" xfId="3285" xr:uid="{00000000-0005-0000-0000-000088390000}"/>
    <cellStyle name="Input 5" xfId="3286" xr:uid="{00000000-0005-0000-0000-000089390000}"/>
    <cellStyle name="Input 5 2" xfId="5419" xr:uid="{00000000-0005-0000-0000-00008A390000}"/>
    <cellStyle name="Input 5 2 2" xfId="7016" xr:uid="{00000000-0005-0000-0000-00008B390000}"/>
    <cellStyle name="Input 5 3" xfId="5418" xr:uid="{00000000-0005-0000-0000-00008C390000}"/>
    <cellStyle name="Input 5 3 2" xfId="6100" xr:uid="{00000000-0005-0000-0000-00008D390000}"/>
    <cellStyle name="Input 5 4" xfId="5456" xr:uid="{00000000-0005-0000-0000-00008E390000}"/>
    <cellStyle name="Input 5 4 2" xfId="6210" xr:uid="{00000000-0005-0000-0000-00008F390000}"/>
    <cellStyle name="Input 5 5" xfId="5417" xr:uid="{00000000-0005-0000-0000-000090390000}"/>
    <cellStyle name="Input 5 5 2" xfId="7017" xr:uid="{00000000-0005-0000-0000-000091390000}"/>
    <cellStyle name="Input 5 6" xfId="7020" xr:uid="{00000000-0005-0000-0000-000092390000}"/>
    <cellStyle name="Input Cells_EXTERNAL" xfId="138" xr:uid="{00000000-0005-0000-0000-000093390000}"/>
    <cellStyle name="input highlight" xfId="3287" xr:uid="{00000000-0005-0000-0000-000094390000}"/>
    <cellStyle name="input highlight 2" xfId="3288" xr:uid="{00000000-0005-0000-0000-000095390000}"/>
    <cellStyle name="LineItemPrompt" xfId="1105" xr:uid="{00000000-0005-0000-0000-000096390000}"/>
    <cellStyle name="LineItemValue" xfId="1106" xr:uid="{00000000-0005-0000-0000-000097390000}"/>
    <cellStyle name="Linked Cell" xfId="56" builtinId="24" customBuiltin="1"/>
    <cellStyle name="Linked Cell 2" xfId="3289" xr:uid="{00000000-0005-0000-0000-000099390000}"/>
    <cellStyle name="Linked Cell 3" xfId="3290" xr:uid="{00000000-0005-0000-0000-00009A390000}"/>
    <cellStyle name="Linked Cell 4" xfId="3291" xr:uid="{00000000-0005-0000-0000-00009B390000}"/>
    <cellStyle name="Linked Cell 5" xfId="3292" xr:uid="{00000000-0005-0000-0000-00009C390000}"/>
    <cellStyle name="Manual-Input" xfId="101" xr:uid="{00000000-0005-0000-0000-00009D390000}"/>
    <cellStyle name="MonthHeader" xfId="1164" xr:uid="{00000000-0005-0000-0000-00009E390000}"/>
    <cellStyle name="Neutral" xfId="52" builtinId="28" customBuiltin="1"/>
    <cellStyle name="Neutral 2" xfId="3293" xr:uid="{00000000-0005-0000-0000-0000A0390000}"/>
    <cellStyle name="Neutral 3" xfId="3294" xr:uid="{00000000-0005-0000-0000-0000A1390000}"/>
    <cellStyle name="Neutral 4" xfId="3295" xr:uid="{00000000-0005-0000-0000-0000A2390000}"/>
    <cellStyle name="Neutral 5" xfId="3296" xr:uid="{00000000-0005-0000-0000-0000A3390000}"/>
    <cellStyle name="Normal" xfId="0" builtinId="0"/>
    <cellStyle name="Normal 10" xfId="85" xr:uid="{00000000-0005-0000-0000-0000A5390000}"/>
    <cellStyle name="Normal 10 10" xfId="10125" xr:uid="{00000000-0005-0000-0000-0000A6390000}"/>
    <cellStyle name="Normal 10 11" xfId="1107" xr:uid="{00000000-0005-0000-0000-0000A7390000}"/>
    <cellStyle name="Normal 10 12" xfId="1045" xr:uid="{00000000-0005-0000-0000-0000A8390000}"/>
    <cellStyle name="Normal 10 2" xfId="93" xr:uid="{00000000-0005-0000-0000-0000A9390000}"/>
    <cellStyle name="Normal 10 2 2" xfId="750" xr:uid="{00000000-0005-0000-0000-0000AA390000}"/>
    <cellStyle name="Normal 10 2 2 2" xfId="3299" xr:uid="{00000000-0005-0000-0000-0000AB390000}"/>
    <cellStyle name="Normal 10 2 2 3" xfId="3298" xr:uid="{00000000-0005-0000-0000-0000AC390000}"/>
    <cellStyle name="Normal 10 2 2 4" xfId="23632" xr:uid="{00000000-0005-0000-0000-0000AD390000}"/>
    <cellStyle name="Normal 10 2 3" xfId="3300" xr:uid="{00000000-0005-0000-0000-0000AE390000}"/>
    <cellStyle name="Normal 10 2 4" xfId="3297" xr:uid="{00000000-0005-0000-0000-0000AF390000}"/>
    <cellStyle name="Normal 10 2 5" xfId="22688" xr:uid="{00000000-0005-0000-0000-0000B0390000}"/>
    <cellStyle name="Normal 10 2 5 2" xfId="42599" xr:uid="{00000000-0005-0000-0000-0000B1390000}"/>
    <cellStyle name="Normal 10 2 6" xfId="22715" xr:uid="{00000000-0005-0000-0000-0000B2390000}"/>
    <cellStyle name="Normal 10 2 6 2" xfId="42626" xr:uid="{00000000-0005-0000-0000-0000B3390000}"/>
    <cellStyle name="Normal 10 2 7" xfId="23018" xr:uid="{00000000-0005-0000-0000-0000B4390000}"/>
    <cellStyle name="Normal 10 2 7 2" xfId="42929" xr:uid="{00000000-0005-0000-0000-0000B5390000}"/>
    <cellStyle name="Normal 10 2 8" xfId="23329" xr:uid="{00000000-0005-0000-0000-0000B6390000}"/>
    <cellStyle name="Normal 10 3" xfId="3301" xr:uid="{00000000-0005-0000-0000-0000B7390000}"/>
    <cellStyle name="Normal 10 3 10" xfId="16521" xr:uid="{00000000-0005-0000-0000-0000B8390000}"/>
    <cellStyle name="Normal 10 3 10 2" xfId="36441" xr:uid="{00000000-0005-0000-0000-0000B9390000}"/>
    <cellStyle name="Normal 10 3 11" xfId="24136" xr:uid="{00000000-0005-0000-0000-0000BA390000}"/>
    <cellStyle name="Normal 10 3 2" xfId="3302" xr:uid="{00000000-0005-0000-0000-0000BB390000}"/>
    <cellStyle name="Normal 10 3 2 10" xfId="24137" xr:uid="{00000000-0005-0000-0000-0000BC390000}"/>
    <cellStyle name="Normal 10 3 2 2" xfId="3303" xr:uid="{00000000-0005-0000-0000-0000BD390000}"/>
    <cellStyle name="Normal 10 3 2 2 2" xfId="3304" xr:uid="{00000000-0005-0000-0000-0000BE390000}"/>
    <cellStyle name="Normal 10 3 2 2 2 2" xfId="4837" xr:uid="{00000000-0005-0000-0000-0000BF390000}"/>
    <cellStyle name="Normal 10 3 2 2 2 2 2" xfId="6462" xr:uid="{00000000-0005-0000-0000-0000C0390000}"/>
    <cellStyle name="Normal 10 3 2 2 2 2 2 2" xfId="9548" xr:uid="{00000000-0005-0000-0000-0000C1390000}"/>
    <cellStyle name="Normal 10 3 2 2 2 2 2 2 2" xfId="15741" xr:uid="{00000000-0005-0000-0000-0000C2390000}"/>
    <cellStyle name="Normal 10 3 2 2 2 2 2 2 2 2" xfId="35661" xr:uid="{00000000-0005-0000-0000-0000C3390000}"/>
    <cellStyle name="Normal 10 3 2 2 2 2 2 2 3" xfId="21893" xr:uid="{00000000-0005-0000-0000-0000C4390000}"/>
    <cellStyle name="Normal 10 3 2 2 2 2 2 2 3 2" xfId="41813" xr:uid="{00000000-0005-0000-0000-0000C5390000}"/>
    <cellStyle name="Normal 10 3 2 2 2 2 2 2 4" xfId="29508" xr:uid="{00000000-0005-0000-0000-0000C6390000}"/>
    <cellStyle name="Normal 10 3 2 2 2 2 2 3" xfId="12675" xr:uid="{00000000-0005-0000-0000-0000C7390000}"/>
    <cellStyle name="Normal 10 3 2 2 2 2 2 3 2" xfId="32595" xr:uid="{00000000-0005-0000-0000-0000C8390000}"/>
    <cellStyle name="Normal 10 3 2 2 2 2 2 4" xfId="18827" xr:uid="{00000000-0005-0000-0000-0000C9390000}"/>
    <cellStyle name="Normal 10 3 2 2 2 2 2 4 2" xfId="38747" xr:uid="{00000000-0005-0000-0000-0000CA390000}"/>
    <cellStyle name="Normal 10 3 2 2 2 2 2 5" xfId="26442" xr:uid="{00000000-0005-0000-0000-0000CB390000}"/>
    <cellStyle name="Normal 10 3 2 2 2 2 3" xfId="8013" xr:uid="{00000000-0005-0000-0000-0000CC390000}"/>
    <cellStyle name="Normal 10 3 2 2 2 2 3 2" xfId="14207" xr:uid="{00000000-0005-0000-0000-0000CD390000}"/>
    <cellStyle name="Normal 10 3 2 2 2 2 3 2 2" xfId="34127" xr:uid="{00000000-0005-0000-0000-0000CE390000}"/>
    <cellStyle name="Normal 10 3 2 2 2 2 3 3" xfId="20359" xr:uid="{00000000-0005-0000-0000-0000CF390000}"/>
    <cellStyle name="Normal 10 3 2 2 2 2 3 3 2" xfId="40279" xr:uid="{00000000-0005-0000-0000-0000D0390000}"/>
    <cellStyle name="Normal 10 3 2 2 2 2 3 4" xfId="27974" xr:uid="{00000000-0005-0000-0000-0000D1390000}"/>
    <cellStyle name="Normal 10 3 2 2 2 2 4" xfId="11141" xr:uid="{00000000-0005-0000-0000-0000D2390000}"/>
    <cellStyle name="Normal 10 3 2 2 2 2 4 2" xfId="31061" xr:uid="{00000000-0005-0000-0000-0000D3390000}"/>
    <cellStyle name="Normal 10 3 2 2 2 2 5" xfId="17293" xr:uid="{00000000-0005-0000-0000-0000D4390000}"/>
    <cellStyle name="Normal 10 3 2 2 2 2 5 2" xfId="37213" xr:uid="{00000000-0005-0000-0000-0000D5390000}"/>
    <cellStyle name="Normal 10 3 2 2 2 2 6" xfId="24908" xr:uid="{00000000-0005-0000-0000-0000D6390000}"/>
    <cellStyle name="Normal 10 3 2 2 2 3" xfId="5679" xr:uid="{00000000-0005-0000-0000-0000D7390000}"/>
    <cellStyle name="Normal 10 3 2 2 2 3 2" xfId="8779" xr:uid="{00000000-0005-0000-0000-0000D8390000}"/>
    <cellStyle name="Normal 10 3 2 2 2 3 2 2" xfId="14972" xr:uid="{00000000-0005-0000-0000-0000D9390000}"/>
    <cellStyle name="Normal 10 3 2 2 2 3 2 2 2" xfId="34892" xr:uid="{00000000-0005-0000-0000-0000DA390000}"/>
    <cellStyle name="Normal 10 3 2 2 2 3 2 3" xfId="21124" xr:uid="{00000000-0005-0000-0000-0000DB390000}"/>
    <cellStyle name="Normal 10 3 2 2 2 3 2 3 2" xfId="41044" xr:uid="{00000000-0005-0000-0000-0000DC390000}"/>
    <cellStyle name="Normal 10 3 2 2 2 3 2 4" xfId="28739" xr:uid="{00000000-0005-0000-0000-0000DD390000}"/>
    <cellStyle name="Normal 10 3 2 2 2 3 3" xfId="11906" xr:uid="{00000000-0005-0000-0000-0000DE390000}"/>
    <cellStyle name="Normal 10 3 2 2 2 3 3 2" xfId="31826" xr:uid="{00000000-0005-0000-0000-0000DF390000}"/>
    <cellStyle name="Normal 10 3 2 2 2 3 4" xfId="18058" xr:uid="{00000000-0005-0000-0000-0000E0390000}"/>
    <cellStyle name="Normal 10 3 2 2 2 3 4 2" xfId="37978" xr:uid="{00000000-0005-0000-0000-0000E1390000}"/>
    <cellStyle name="Normal 10 3 2 2 2 3 5" xfId="25673" xr:uid="{00000000-0005-0000-0000-0000E2390000}"/>
    <cellStyle name="Normal 10 3 2 2 2 4" xfId="7244" xr:uid="{00000000-0005-0000-0000-0000E3390000}"/>
    <cellStyle name="Normal 10 3 2 2 2 4 2" xfId="13438" xr:uid="{00000000-0005-0000-0000-0000E4390000}"/>
    <cellStyle name="Normal 10 3 2 2 2 4 2 2" xfId="33358" xr:uid="{00000000-0005-0000-0000-0000E5390000}"/>
    <cellStyle name="Normal 10 3 2 2 2 4 3" xfId="19590" xr:uid="{00000000-0005-0000-0000-0000E6390000}"/>
    <cellStyle name="Normal 10 3 2 2 2 4 3 2" xfId="39510" xr:uid="{00000000-0005-0000-0000-0000E7390000}"/>
    <cellStyle name="Normal 10 3 2 2 2 4 4" xfId="27205" xr:uid="{00000000-0005-0000-0000-0000E8390000}"/>
    <cellStyle name="Normal 10 3 2 2 2 5" xfId="10372" xr:uid="{00000000-0005-0000-0000-0000E9390000}"/>
    <cellStyle name="Normal 10 3 2 2 2 5 2" xfId="30292" xr:uid="{00000000-0005-0000-0000-0000EA390000}"/>
    <cellStyle name="Normal 10 3 2 2 2 6" xfId="16524" xr:uid="{00000000-0005-0000-0000-0000EB390000}"/>
    <cellStyle name="Normal 10 3 2 2 2 6 2" xfId="36444" xr:uid="{00000000-0005-0000-0000-0000EC390000}"/>
    <cellStyle name="Normal 10 3 2 2 2 7" xfId="24139" xr:uid="{00000000-0005-0000-0000-0000ED390000}"/>
    <cellStyle name="Normal 10 3 2 2 3" xfId="4836" xr:uid="{00000000-0005-0000-0000-0000EE390000}"/>
    <cellStyle name="Normal 10 3 2 2 3 2" xfId="6461" xr:uid="{00000000-0005-0000-0000-0000EF390000}"/>
    <cellStyle name="Normal 10 3 2 2 3 2 2" xfId="9547" xr:uid="{00000000-0005-0000-0000-0000F0390000}"/>
    <cellStyle name="Normal 10 3 2 2 3 2 2 2" xfId="15740" xr:uid="{00000000-0005-0000-0000-0000F1390000}"/>
    <cellStyle name="Normal 10 3 2 2 3 2 2 2 2" xfId="35660" xr:uid="{00000000-0005-0000-0000-0000F2390000}"/>
    <cellStyle name="Normal 10 3 2 2 3 2 2 3" xfId="21892" xr:uid="{00000000-0005-0000-0000-0000F3390000}"/>
    <cellStyle name="Normal 10 3 2 2 3 2 2 3 2" xfId="41812" xr:uid="{00000000-0005-0000-0000-0000F4390000}"/>
    <cellStyle name="Normal 10 3 2 2 3 2 2 4" xfId="29507" xr:uid="{00000000-0005-0000-0000-0000F5390000}"/>
    <cellStyle name="Normal 10 3 2 2 3 2 3" xfId="12674" xr:uid="{00000000-0005-0000-0000-0000F6390000}"/>
    <cellStyle name="Normal 10 3 2 2 3 2 3 2" xfId="32594" xr:uid="{00000000-0005-0000-0000-0000F7390000}"/>
    <cellStyle name="Normal 10 3 2 2 3 2 4" xfId="18826" xr:uid="{00000000-0005-0000-0000-0000F8390000}"/>
    <cellStyle name="Normal 10 3 2 2 3 2 4 2" xfId="38746" xr:uid="{00000000-0005-0000-0000-0000F9390000}"/>
    <cellStyle name="Normal 10 3 2 2 3 2 5" xfId="26441" xr:uid="{00000000-0005-0000-0000-0000FA390000}"/>
    <cellStyle name="Normal 10 3 2 2 3 3" xfId="8012" xr:uid="{00000000-0005-0000-0000-0000FB390000}"/>
    <cellStyle name="Normal 10 3 2 2 3 3 2" xfId="14206" xr:uid="{00000000-0005-0000-0000-0000FC390000}"/>
    <cellStyle name="Normal 10 3 2 2 3 3 2 2" xfId="34126" xr:uid="{00000000-0005-0000-0000-0000FD390000}"/>
    <cellStyle name="Normal 10 3 2 2 3 3 3" xfId="20358" xr:uid="{00000000-0005-0000-0000-0000FE390000}"/>
    <cellStyle name="Normal 10 3 2 2 3 3 3 2" xfId="40278" xr:uid="{00000000-0005-0000-0000-0000FF390000}"/>
    <cellStyle name="Normal 10 3 2 2 3 3 4" xfId="27973" xr:uid="{00000000-0005-0000-0000-0000003A0000}"/>
    <cellStyle name="Normal 10 3 2 2 3 4" xfId="11140" xr:uid="{00000000-0005-0000-0000-0000013A0000}"/>
    <cellStyle name="Normal 10 3 2 2 3 4 2" xfId="31060" xr:uid="{00000000-0005-0000-0000-0000023A0000}"/>
    <cellStyle name="Normal 10 3 2 2 3 5" xfId="17292" xr:uid="{00000000-0005-0000-0000-0000033A0000}"/>
    <cellStyle name="Normal 10 3 2 2 3 5 2" xfId="37212" xr:uid="{00000000-0005-0000-0000-0000043A0000}"/>
    <cellStyle name="Normal 10 3 2 2 3 6" xfId="24907" xr:uid="{00000000-0005-0000-0000-0000053A0000}"/>
    <cellStyle name="Normal 10 3 2 2 4" xfId="5678" xr:uid="{00000000-0005-0000-0000-0000063A0000}"/>
    <cellStyle name="Normal 10 3 2 2 4 2" xfId="8778" xr:uid="{00000000-0005-0000-0000-0000073A0000}"/>
    <cellStyle name="Normal 10 3 2 2 4 2 2" xfId="14971" xr:uid="{00000000-0005-0000-0000-0000083A0000}"/>
    <cellStyle name="Normal 10 3 2 2 4 2 2 2" xfId="34891" xr:uid="{00000000-0005-0000-0000-0000093A0000}"/>
    <cellStyle name="Normal 10 3 2 2 4 2 3" xfId="21123" xr:uid="{00000000-0005-0000-0000-00000A3A0000}"/>
    <cellStyle name="Normal 10 3 2 2 4 2 3 2" xfId="41043" xr:uid="{00000000-0005-0000-0000-00000B3A0000}"/>
    <cellStyle name="Normal 10 3 2 2 4 2 4" xfId="28738" xr:uid="{00000000-0005-0000-0000-00000C3A0000}"/>
    <cellStyle name="Normal 10 3 2 2 4 3" xfId="11905" xr:uid="{00000000-0005-0000-0000-00000D3A0000}"/>
    <cellStyle name="Normal 10 3 2 2 4 3 2" xfId="31825" xr:uid="{00000000-0005-0000-0000-00000E3A0000}"/>
    <cellStyle name="Normal 10 3 2 2 4 4" xfId="18057" xr:uid="{00000000-0005-0000-0000-00000F3A0000}"/>
    <cellStyle name="Normal 10 3 2 2 4 4 2" xfId="37977" xr:uid="{00000000-0005-0000-0000-0000103A0000}"/>
    <cellStyle name="Normal 10 3 2 2 4 5" xfId="25672" xr:uid="{00000000-0005-0000-0000-0000113A0000}"/>
    <cellStyle name="Normal 10 3 2 2 5" xfId="7243" xr:uid="{00000000-0005-0000-0000-0000123A0000}"/>
    <cellStyle name="Normal 10 3 2 2 5 2" xfId="13437" xr:uid="{00000000-0005-0000-0000-0000133A0000}"/>
    <cellStyle name="Normal 10 3 2 2 5 2 2" xfId="33357" xr:uid="{00000000-0005-0000-0000-0000143A0000}"/>
    <cellStyle name="Normal 10 3 2 2 5 3" xfId="19589" xr:uid="{00000000-0005-0000-0000-0000153A0000}"/>
    <cellStyle name="Normal 10 3 2 2 5 3 2" xfId="39509" xr:uid="{00000000-0005-0000-0000-0000163A0000}"/>
    <cellStyle name="Normal 10 3 2 2 5 4" xfId="27204" xr:uid="{00000000-0005-0000-0000-0000173A0000}"/>
    <cellStyle name="Normal 10 3 2 2 6" xfId="10371" xr:uid="{00000000-0005-0000-0000-0000183A0000}"/>
    <cellStyle name="Normal 10 3 2 2 6 2" xfId="30291" xr:uid="{00000000-0005-0000-0000-0000193A0000}"/>
    <cellStyle name="Normal 10 3 2 2 7" xfId="16523" xr:uid="{00000000-0005-0000-0000-00001A3A0000}"/>
    <cellStyle name="Normal 10 3 2 2 7 2" xfId="36443" xr:uid="{00000000-0005-0000-0000-00001B3A0000}"/>
    <cellStyle name="Normal 10 3 2 2 8" xfId="24138" xr:uid="{00000000-0005-0000-0000-00001C3A0000}"/>
    <cellStyle name="Normal 10 3 2 3" xfId="3305" xr:uid="{00000000-0005-0000-0000-00001D3A0000}"/>
    <cellStyle name="Normal 10 3 2 3 2" xfId="3306" xr:uid="{00000000-0005-0000-0000-00001E3A0000}"/>
    <cellStyle name="Normal 10 3 2 3 2 2" xfId="4839" xr:uid="{00000000-0005-0000-0000-00001F3A0000}"/>
    <cellStyle name="Normal 10 3 2 3 2 2 2" xfId="6464" xr:uid="{00000000-0005-0000-0000-0000203A0000}"/>
    <cellStyle name="Normal 10 3 2 3 2 2 2 2" xfId="9550" xr:uid="{00000000-0005-0000-0000-0000213A0000}"/>
    <cellStyle name="Normal 10 3 2 3 2 2 2 2 2" xfId="15743" xr:uid="{00000000-0005-0000-0000-0000223A0000}"/>
    <cellStyle name="Normal 10 3 2 3 2 2 2 2 2 2" xfId="35663" xr:uid="{00000000-0005-0000-0000-0000233A0000}"/>
    <cellStyle name="Normal 10 3 2 3 2 2 2 2 3" xfId="21895" xr:uid="{00000000-0005-0000-0000-0000243A0000}"/>
    <cellStyle name="Normal 10 3 2 3 2 2 2 2 3 2" xfId="41815" xr:uid="{00000000-0005-0000-0000-0000253A0000}"/>
    <cellStyle name="Normal 10 3 2 3 2 2 2 2 4" xfId="29510" xr:uid="{00000000-0005-0000-0000-0000263A0000}"/>
    <cellStyle name="Normal 10 3 2 3 2 2 2 3" xfId="12677" xr:uid="{00000000-0005-0000-0000-0000273A0000}"/>
    <cellStyle name="Normal 10 3 2 3 2 2 2 3 2" xfId="32597" xr:uid="{00000000-0005-0000-0000-0000283A0000}"/>
    <cellStyle name="Normal 10 3 2 3 2 2 2 4" xfId="18829" xr:uid="{00000000-0005-0000-0000-0000293A0000}"/>
    <cellStyle name="Normal 10 3 2 3 2 2 2 4 2" xfId="38749" xr:uid="{00000000-0005-0000-0000-00002A3A0000}"/>
    <cellStyle name="Normal 10 3 2 3 2 2 2 5" xfId="26444" xr:uid="{00000000-0005-0000-0000-00002B3A0000}"/>
    <cellStyle name="Normal 10 3 2 3 2 2 3" xfId="8015" xr:uid="{00000000-0005-0000-0000-00002C3A0000}"/>
    <cellStyle name="Normal 10 3 2 3 2 2 3 2" xfId="14209" xr:uid="{00000000-0005-0000-0000-00002D3A0000}"/>
    <cellStyle name="Normal 10 3 2 3 2 2 3 2 2" xfId="34129" xr:uid="{00000000-0005-0000-0000-00002E3A0000}"/>
    <cellStyle name="Normal 10 3 2 3 2 2 3 3" xfId="20361" xr:uid="{00000000-0005-0000-0000-00002F3A0000}"/>
    <cellStyle name="Normal 10 3 2 3 2 2 3 3 2" xfId="40281" xr:uid="{00000000-0005-0000-0000-0000303A0000}"/>
    <cellStyle name="Normal 10 3 2 3 2 2 3 4" xfId="27976" xr:uid="{00000000-0005-0000-0000-0000313A0000}"/>
    <cellStyle name="Normal 10 3 2 3 2 2 4" xfId="11143" xr:uid="{00000000-0005-0000-0000-0000323A0000}"/>
    <cellStyle name="Normal 10 3 2 3 2 2 4 2" xfId="31063" xr:uid="{00000000-0005-0000-0000-0000333A0000}"/>
    <cellStyle name="Normal 10 3 2 3 2 2 5" xfId="17295" xr:uid="{00000000-0005-0000-0000-0000343A0000}"/>
    <cellStyle name="Normal 10 3 2 3 2 2 5 2" xfId="37215" xr:uid="{00000000-0005-0000-0000-0000353A0000}"/>
    <cellStyle name="Normal 10 3 2 3 2 2 6" xfId="24910" xr:uid="{00000000-0005-0000-0000-0000363A0000}"/>
    <cellStyle name="Normal 10 3 2 3 2 3" xfId="5681" xr:uid="{00000000-0005-0000-0000-0000373A0000}"/>
    <cellStyle name="Normal 10 3 2 3 2 3 2" xfId="8781" xr:uid="{00000000-0005-0000-0000-0000383A0000}"/>
    <cellStyle name="Normal 10 3 2 3 2 3 2 2" xfId="14974" xr:uid="{00000000-0005-0000-0000-0000393A0000}"/>
    <cellStyle name="Normal 10 3 2 3 2 3 2 2 2" xfId="34894" xr:uid="{00000000-0005-0000-0000-00003A3A0000}"/>
    <cellStyle name="Normal 10 3 2 3 2 3 2 3" xfId="21126" xr:uid="{00000000-0005-0000-0000-00003B3A0000}"/>
    <cellStyle name="Normal 10 3 2 3 2 3 2 3 2" xfId="41046" xr:uid="{00000000-0005-0000-0000-00003C3A0000}"/>
    <cellStyle name="Normal 10 3 2 3 2 3 2 4" xfId="28741" xr:uid="{00000000-0005-0000-0000-00003D3A0000}"/>
    <cellStyle name="Normal 10 3 2 3 2 3 3" xfId="11908" xr:uid="{00000000-0005-0000-0000-00003E3A0000}"/>
    <cellStyle name="Normal 10 3 2 3 2 3 3 2" xfId="31828" xr:uid="{00000000-0005-0000-0000-00003F3A0000}"/>
    <cellStyle name="Normal 10 3 2 3 2 3 4" xfId="18060" xr:uid="{00000000-0005-0000-0000-0000403A0000}"/>
    <cellStyle name="Normal 10 3 2 3 2 3 4 2" xfId="37980" xr:uid="{00000000-0005-0000-0000-0000413A0000}"/>
    <cellStyle name="Normal 10 3 2 3 2 3 5" xfId="25675" xr:uid="{00000000-0005-0000-0000-0000423A0000}"/>
    <cellStyle name="Normal 10 3 2 3 2 4" xfId="7246" xr:uid="{00000000-0005-0000-0000-0000433A0000}"/>
    <cellStyle name="Normal 10 3 2 3 2 4 2" xfId="13440" xr:uid="{00000000-0005-0000-0000-0000443A0000}"/>
    <cellStyle name="Normal 10 3 2 3 2 4 2 2" xfId="33360" xr:uid="{00000000-0005-0000-0000-0000453A0000}"/>
    <cellStyle name="Normal 10 3 2 3 2 4 3" xfId="19592" xr:uid="{00000000-0005-0000-0000-0000463A0000}"/>
    <cellStyle name="Normal 10 3 2 3 2 4 3 2" xfId="39512" xr:uid="{00000000-0005-0000-0000-0000473A0000}"/>
    <cellStyle name="Normal 10 3 2 3 2 4 4" xfId="27207" xr:uid="{00000000-0005-0000-0000-0000483A0000}"/>
    <cellStyle name="Normal 10 3 2 3 2 5" xfId="10374" xr:uid="{00000000-0005-0000-0000-0000493A0000}"/>
    <cellStyle name="Normal 10 3 2 3 2 5 2" xfId="30294" xr:uid="{00000000-0005-0000-0000-00004A3A0000}"/>
    <cellStyle name="Normal 10 3 2 3 2 6" xfId="16526" xr:uid="{00000000-0005-0000-0000-00004B3A0000}"/>
    <cellStyle name="Normal 10 3 2 3 2 6 2" xfId="36446" xr:uid="{00000000-0005-0000-0000-00004C3A0000}"/>
    <cellStyle name="Normal 10 3 2 3 2 7" xfId="24141" xr:uid="{00000000-0005-0000-0000-00004D3A0000}"/>
    <cellStyle name="Normal 10 3 2 3 3" xfId="4838" xr:uid="{00000000-0005-0000-0000-00004E3A0000}"/>
    <cellStyle name="Normal 10 3 2 3 3 2" xfId="6463" xr:uid="{00000000-0005-0000-0000-00004F3A0000}"/>
    <cellStyle name="Normal 10 3 2 3 3 2 2" xfId="9549" xr:uid="{00000000-0005-0000-0000-0000503A0000}"/>
    <cellStyle name="Normal 10 3 2 3 3 2 2 2" xfId="15742" xr:uid="{00000000-0005-0000-0000-0000513A0000}"/>
    <cellStyle name="Normal 10 3 2 3 3 2 2 2 2" xfId="35662" xr:uid="{00000000-0005-0000-0000-0000523A0000}"/>
    <cellStyle name="Normal 10 3 2 3 3 2 2 3" xfId="21894" xr:uid="{00000000-0005-0000-0000-0000533A0000}"/>
    <cellStyle name="Normal 10 3 2 3 3 2 2 3 2" xfId="41814" xr:uid="{00000000-0005-0000-0000-0000543A0000}"/>
    <cellStyle name="Normal 10 3 2 3 3 2 2 4" xfId="29509" xr:uid="{00000000-0005-0000-0000-0000553A0000}"/>
    <cellStyle name="Normal 10 3 2 3 3 2 3" xfId="12676" xr:uid="{00000000-0005-0000-0000-0000563A0000}"/>
    <cellStyle name="Normal 10 3 2 3 3 2 3 2" xfId="32596" xr:uid="{00000000-0005-0000-0000-0000573A0000}"/>
    <cellStyle name="Normal 10 3 2 3 3 2 4" xfId="18828" xr:uid="{00000000-0005-0000-0000-0000583A0000}"/>
    <cellStyle name="Normal 10 3 2 3 3 2 4 2" xfId="38748" xr:uid="{00000000-0005-0000-0000-0000593A0000}"/>
    <cellStyle name="Normal 10 3 2 3 3 2 5" xfId="26443" xr:uid="{00000000-0005-0000-0000-00005A3A0000}"/>
    <cellStyle name="Normal 10 3 2 3 3 3" xfId="8014" xr:uid="{00000000-0005-0000-0000-00005B3A0000}"/>
    <cellStyle name="Normal 10 3 2 3 3 3 2" xfId="14208" xr:uid="{00000000-0005-0000-0000-00005C3A0000}"/>
    <cellStyle name="Normal 10 3 2 3 3 3 2 2" xfId="34128" xr:uid="{00000000-0005-0000-0000-00005D3A0000}"/>
    <cellStyle name="Normal 10 3 2 3 3 3 3" xfId="20360" xr:uid="{00000000-0005-0000-0000-00005E3A0000}"/>
    <cellStyle name="Normal 10 3 2 3 3 3 3 2" xfId="40280" xr:uid="{00000000-0005-0000-0000-00005F3A0000}"/>
    <cellStyle name="Normal 10 3 2 3 3 3 4" xfId="27975" xr:uid="{00000000-0005-0000-0000-0000603A0000}"/>
    <cellStyle name="Normal 10 3 2 3 3 4" xfId="11142" xr:uid="{00000000-0005-0000-0000-0000613A0000}"/>
    <cellStyle name="Normal 10 3 2 3 3 4 2" xfId="31062" xr:uid="{00000000-0005-0000-0000-0000623A0000}"/>
    <cellStyle name="Normal 10 3 2 3 3 5" xfId="17294" xr:uid="{00000000-0005-0000-0000-0000633A0000}"/>
    <cellStyle name="Normal 10 3 2 3 3 5 2" xfId="37214" xr:uid="{00000000-0005-0000-0000-0000643A0000}"/>
    <cellStyle name="Normal 10 3 2 3 3 6" xfId="24909" xr:uid="{00000000-0005-0000-0000-0000653A0000}"/>
    <cellStyle name="Normal 10 3 2 3 4" xfId="5680" xr:uid="{00000000-0005-0000-0000-0000663A0000}"/>
    <cellStyle name="Normal 10 3 2 3 4 2" xfId="8780" xr:uid="{00000000-0005-0000-0000-0000673A0000}"/>
    <cellStyle name="Normal 10 3 2 3 4 2 2" xfId="14973" xr:uid="{00000000-0005-0000-0000-0000683A0000}"/>
    <cellStyle name="Normal 10 3 2 3 4 2 2 2" xfId="34893" xr:uid="{00000000-0005-0000-0000-0000693A0000}"/>
    <cellStyle name="Normal 10 3 2 3 4 2 3" xfId="21125" xr:uid="{00000000-0005-0000-0000-00006A3A0000}"/>
    <cellStyle name="Normal 10 3 2 3 4 2 3 2" xfId="41045" xr:uid="{00000000-0005-0000-0000-00006B3A0000}"/>
    <cellStyle name="Normal 10 3 2 3 4 2 4" xfId="28740" xr:uid="{00000000-0005-0000-0000-00006C3A0000}"/>
    <cellStyle name="Normal 10 3 2 3 4 3" xfId="11907" xr:uid="{00000000-0005-0000-0000-00006D3A0000}"/>
    <cellStyle name="Normal 10 3 2 3 4 3 2" xfId="31827" xr:uid="{00000000-0005-0000-0000-00006E3A0000}"/>
    <cellStyle name="Normal 10 3 2 3 4 4" xfId="18059" xr:uid="{00000000-0005-0000-0000-00006F3A0000}"/>
    <cellStyle name="Normal 10 3 2 3 4 4 2" xfId="37979" xr:uid="{00000000-0005-0000-0000-0000703A0000}"/>
    <cellStyle name="Normal 10 3 2 3 4 5" xfId="25674" xr:uid="{00000000-0005-0000-0000-0000713A0000}"/>
    <cellStyle name="Normal 10 3 2 3 5" xfId="7245" xr:uid="{00000000-0005-0000-0000-0000723A0000}"/>
    <cellStyle name="Normal 10 3 2 3 5 2" xfId="13439" xr:uid="{00000000-0005-0000-0000-0000733A0000}"/>
    <cellStyle name="Normal 10 3 2 3 5 2 2" xfId="33359" xr:uid="{00000000-0005-0000-0000-0000743A0000}"/>
    <cellStyle name="Normal 10 3 2 3 5 3" xfId="19591" xr:uid="{00000000-0005-0000-0000-0000753A0000}"/>
    <cellStyle name="Normal 10 3 2 3 5 3 2" xfId="39511" xr:uid="{00000000-0005-0000-0000-0000763A0000}"/>
    <cellStyle name="Normal 10 3 2 3 5 4" xfId="27206" xr:uid="{00000000-0005-0000-0000-0000773A0000}"/>
    <cellStyle name="Normal 10 3 2 3 6" xfId="10373" xr:uid="{00000000-0005-0000-0000-0000783A0000}"/>
    <cellStyle name="Normal 10 3 2 3 6 2" xfId="30293" xr:uid="{00000000-0005-0000-0000-0000793A0000}"/>
    <cellStyle name="Normal 10 3 2 3 7" xfId="16525" xr:uid="{00000000-0005-0000-0000-00007A3A0000}"/>
    <cellStyle name="Normal 10 3 2 3 7 2" xfId="36445" xr:uid="{00000000-0005-0000-0000-00007B3A0000}"/>
    <cellStyle name="Normal 10 3 2 3 8" xfId="24140" xr:uid="{00000000-0005-0000-0000-00007C3A0000}"/>
    <cellStyle name="Normal 10 3 2 4" xfId="3307" xr:uid="{00000000-0005-0000-0000-00007D3A0000}"/>
    <cellStyle name="Normal 10 3 2 4 2" xfId="4840" xr:uid="{00000000-0005-0000-0000-00007E3A0000}"/>
    <cellStyle name="Normal 10 3 2 4 2 2" xfId="6465" xr:uid="{00000000-0005-0000-0000-00007F3A0000}"/>
    <cellStyle name="Normal 10 3 2 4 2 2 2" xfId="9551" xr:uid="{00000000-0005-0000-0000-0000803A0000}"/>
    <cellStyle name="Normal 10 3 2 4 2 2 2 2" xfId="15744" xr:uid="{00000000-0005-0000-0000-0000813A0000}"/>
    <cellStyle name="Normal 10 3 2 4 2 2 2 2 2" xfId="35664" xr:uid="{00000000-0005-0000-0000-0000823A0000}"/>
    <cellStyle name="Normal 10 3 2 4 2 2 2 3" xfId="21896" xr:uid="{00000000-0005-0000-0000-0000833A0000}"/>
    <cellStyle name="Normal 10 3 2 4 2 2 2 3 2" xfId="41816" xr:uid="{00000000-0005-0000-0000-0000843A0000}"/>
    <cellStyle name="Normal 10 3 2 4 2 2 2 4" xfId="29511" xr:uid="{00000000-0005-0000-0000-0000853A0000}"/>
    <cellStyle name="Normal 10 3 2 4 2 2 3" xfId="12678" xr:uid="{00000000-0005-0000-0000-0000863A0000}"/>
    <cellStyle name="Normal 10 3 2 4 2 2 3 2" xfId="32598" xr:uid="{00000000-0005-0000-0000-0000873A0000}"/>
    <cellStyle name="Normal 10 3 2 4 2 2 4" xfId="18830" xr:uid="{00000000-0005-0000-0000-0000883A0000}"/>
    <cellStyle name="Normal 10 3 2 4 2 2 4 2" xfId="38750" xr:uid="{00000000-0005-0000-0000-0000893A0000}"/>
    <cellStyle name="Normal 10 3 2 4 2 2 5" xfId="26445" xr:uid="{00000000-0005-0000-0000-00008A3A0000}"/>
    <cellStyle name="Normal 10 3 2 4 2 3" xfId="8016" xr:uid="{00000000-0005-0000-0000-00008B3A0000}"/>
    <cellStyle name="Normal 10 3 2 4 2 3 2" xfId="14210" xr:uid="{00000000-0005-0000-0000-00008C3A0000}"/>
    <cellStyle name="Normal 10 3 2 4 2 3 2 2" xfId="34130" xr:uid="{00000000-0005-0000-0000-00008D3A0000}"/>
    <cellStyle name="Normal 10 3 2 4 2 3 3" xfId="20362" xr:uid="{00000000-0005-0000-0000-00008E3A0000}"/>
    <cellStyle name="Normal 10 3 2 4 2 3 3 2" xfId="40282" xr:uid="{00000000-0005-0000-0000-00008F3A0000}"/>
    <cellStyle name="Normal 10 3 2 4 2 3 4" xfId="27977" xr:uid="{00000000-0005-0000-0000-0000903A0000}"/>
    <cellStyle name="Normal 10 3 2 4 2 4" xfId="11144" xr:uid="{00000000-0005-0000-0000-0000913A0000}"/>
    <cellStyle name="Normal 10 3 2 4 2 4 2" xfId="31064" xr:uid="{00000000-0005-0000-0000-0000923A0000}"/>
    <cellStyle name="Normal 10 3 2 4 2 5" xfId="17296" xr:uid="{00000000-0005-0000-0000-0000933A0000}"/>
    <cellStyle name="Normal 10 3 2 4 2 5 2" xfId="37216" xr:uid="{00000000-0005-0000-0000-0000943A0000}"/>
    <cellStyle name="Normal 10 3 2 4 2 6" xfId="24911" xr:uid="{00000000-0005-0000-0000-0000953A0000}"/>
    <cellStyle name="Normal 10 3 2 4 3" xfId="5682" xr:uid="{00000000-0005-0000-0000-0000963A0000}"/>
    <cellStyle name="Normal 10 3 2 4 3 2" xfId="8782" xr:uid="{00000000-0005-0000-0000-0000973A0000}"/>
    <cellStyle name="Normal 10 3 2 4 3 2 2" xfId="14975" xr:uid="{00000000-0005-0000-0000-0000983A0000}"/>
    <cellStyle name="Normal 10 3 2 4 3 2 2 2" xfId="34895" xr:uid="{00000000-0005-0000-0000-0000993A0000}"/>
    <cellStyle name="Normal 10 3 2 4 3 2 3" xfId="21127" xr:uid="{00000000-0005-0000-0000-00009A3A0000}"/>
    <cellStyle name="Normal 10 3 2 4 3 2 3 2" xfId="41047" xr:uid="{00000000-0005-0000-0000-00009B3A0000}"/>
    <cellStyle name="Normal 10 3 2 4 3 2 4" xfId="28742" xr:uid="{00000000-0005-0000-0000-00009C3A0000}"/>
    <cellStyle name="Normal 10 3 2 4 3 3" xfId="11909" xr:uid="{00000000-0005-0000-0000-00009D3A0000}"/>
    <cellStyle name="Normal 10 3 2 4 3 3 2" xfId="31829" xr:uid="{00000000-0005-0000-0000-00009E3A0000}"/>
    <cellStyle name="Normal 10 3 2 4 3 4" xfId="18061" xr:uid="{00000000-0005-0000-0000-00009F3A0000}"/>
    <cellStyle name="Normal 10 3 2 4 3 4 2" xfId="37981" xr:uid="{00000000-0005-0000-0000-0000A03A0000}"/>
    <cellStyle name="Normal 10 3 2 4 3 5" xfId="25676" xr:uid="{00000000-0005-0000-0000-0000A13A0000}"/>
    <cellStyle name="Normal 10 3 2 4 4" xfId="7247" xr:uid="{00000000-0005-0000-0000-0000A23A0000}"/>
    <cellStyle name="Normal 10 3 2 4 4 2" xfId="13441" xr:uid="{00000000-0005-0000-0000-0000A33A0000}"/>
    <cellStyle name="Normal 10 3 2 4 4 2 2" xfId="33361" xr:uid="{00000000-0005-0000-0000-0000A43A0000}"/>
    <cellStyle name="Normal 10 3 2 4 4 3" xfId="19593" xr:uid="{00000000-0005-0000-0000-0000A53A0000}"/>
    <cellStyle name="Normal 10 3 2 4 4 3 2" xfId="39513" xr:uid="{00000000-0005-0000-0000-0000A63A0000}"/>
    <cellStyle name="Normal 10 3 2 4 4 4" xfId="27208" xr:uid="{00000000-0005-0000-0000-0000A73A0000}"/>
    <cellStyle name="Normal 10 3 2 4 5" xfId="10375" xr:uid="{00000000-0005-0000-0000-0000A83A0000}"/>
    <cellStyle name="Normal 10 3 2 4 5 2" xfId="30295" xr:uid="{00000000-0005-0000-0000-0000A93A0000}"/>
    <cellStyle name="Normal 10 3 2 4 6" xfId="16527" xr:uid="{00000000-0005-0000-0000-0000AA3A0000}"/>
    <cellStyle name="Normal 10 3 2 4 6 2" xfId="36447" xr:uid="{00000000-0005-0000-0000-0000AB3A0000}"/>
    <cellStyle name="Normal 10 3 2 4 7" xfId="24142" xr:uid="{00000000-0005-0000-0000-0000AC3A0000}"/>
    <cellStyle name="Normal 10 3 2 5" xfId="4835" xr:uid="{00000000-0005-0000-0000-0000AD3A0000}"/>
    <cellStyle name="Normal 10 3 2 5 2" xfId="6460" xr:uid="{00000000-0005-0000-0000-0000AE3A0000}"/>
    <cellStyle name="Normal 10 3 2 5 2 2" xfId="9546" xr:uid="{00000000-0005-0000-0000-0000AF3A0000}"/>
    <cellStyle name="Normal 10 3 2 5 2 2 2" xfId="15739" xr:uid="{00000000-0005-0000-0000-0000B03A0000}"/>
    <cellStyle name="Normal 10 3 2 5 2 2 2 2" xfId="35659" xr:uid="{00000000-0005-0000-0000-0000B13A0000}"/>
    <cellStyle name="Normal 10 3 2 5 2 2 3" xfId="21891" xr:uid="{00000000-0005-0000-0000-0000B23A0000}"/>
    <cellStyle name="Normal 10 3 2 5 2 2 3 2" xfId="41811" xr:uid="{00000000-0005-0000-0000-0000B33A0000}"/>
    <cellStyle name="Normal 10 3 2 5 2 2 4" xfId="29506" xr:uid="{00000000-0005-0000-0000-0000B43A0000}"/>
    <cellStyle name="Normal 10 3 2 5 2 3" xfId="12673" xr:uid="{00000000-0005-0000-0000-0000B53A0000}"/>
    <cellStyle name="Normal 10 3 2 5 2 3 2" xfId="32593" xr:uid="{00000000-0005-0000-0000-0000B63A0000}"/>
    <cellStyle name="Normal 10 3 2 5 2 4" xfId="18825" xr:uid="{00000000-0005-0000-0000-0000B73A0000}"/>
    <cellStyle name="Normal 10 3 2 5 2 4 2" xfId="38745" xr:uid="{00000000-0005-0000-0000-0000B83A0000}"/>
    <cellStyle name="Normal 10 3 2 5 2 5" xfId="26440" xr:uid="{00000000-0005-0000-0000-0000B93A0000}"/>
    <cellStyle name="Normal 10 3 2 5 3" xfId="8011" xr:uid="{00000000-0005-0000-0000-0000BA3A0000}"/>
    <cellStyle name="Normal 10 3 2 5 3 2" xfId="14205" xr:uid="{00000000-0005-0000-0000-0000BB3A0000}"/>
    <cellStyle name="Normal 10 3 2 5 3 2 2" xfId="34125" xr:uid="{00000000-0005-0000-0000-0000BC3A0000}"/>
    <cellStyle name="Normal 10 3 2 5 3 3" xfId="20357" xr:uid="{00000000-0005-0000-0000-0000BD3A0000}"/>
    <cellStyle name="Normal 10 3 2 5 3 3 2" xfId="40277" xr:uid="{00000000-0005-0000-0000-0000BE3A0000}"/>
    <cellStyle name="Normal 10 3 2 5 3 4" xfId="27972" xr:uid="{00000000-0005-0000-0000-0000BF3A0000}"/>
    <cellStyle name="Normal 10 3 2 5 4" xfId="11139" xr:uid="{00000000-0005-0000-0000-0000C03A0000}"/>
    <cellStyle name="Normal 10 3 2 5 4 2" xfId="31059" xr:uid="{00000000-0005-0000-0000-0000C13A0000}"/>
    <cellStyle name="Normal 10 3 2 5 5" xfId="17291" xr:uid="{00000000-0005-0000-0000-0000C23A0000}"/>
    <cellStyle name="Normal 10 3 2 5 5 2" xfId="37211" xr:uid="{00000000-0005-0000-0000-0000C33A0000}"/>
    <cellStyle name="Normal 10 3 2 5 6" xfId="24906" xr:uid="{00000000-0005-0000-0000-0000C43A0000}"/>
    <cellStyle name="Normal 10 3 2 6" xfId="5677" xr:uid="{00000000-0005-0000-0000-0000C53A0000}"/>
    <cellStyle name="Normal 10 3 2 6 2" xfId="8777" xr:uid="{00000000-0005-0000-0000-0000C63A0000}"/>
    <cellStyle name="Normal 10 3 2 6 2 2" xfId="14970" xr:uid="{00000000-0005-0000-0000-0000C73A0000}"/>
    <cellStyle name="Normal 10 3 2 6 2 2 2" xfId="34890" xr:uid="{00000000-0005-0000-0000-0000C83A0000}"/>
    <cellStyle name="Normal 10 3 2 6 2 3" xfId="21122" xr:uid="{00000000-0005-0000-0000-0000C93A0000}"/>
    <cellStyle name="Normal 10 3 2 6 2 3 2" xfId="41042" xr:uid="{00000000-0005-0000-0000-0000CA3A0000}"/>
    <cellStyle name="Normal 10 3 2 6 2 4" xfId="28737" xr:uid="{00000000-0005-0000-0000-0000CB3A0000}"/>
    <cellStyle name="Normal 10 3 2 6 3" xfId="11904" xr:uid="{00000000-0005-0000-0000-0000CC3A0000}"/>
    <cellStyle name="Normal 10 3 2 6 3 2" xfId="31824" xr:uid="{00000000-0005-0000-0000-0000CD3A0000}"/>
    <cellStyle name="Normal 10 3 2 6 4" xfId="18056" xr:uid="{00000000-0005-0000-0000-0000CE3A0000}"/>
    <cellStyle name="Normal 10 3 2 6 4 2" xfId="37976" xr:uid="{00000000-0005-0000-0000-0000CF3A0000}"/>
    <cellStyle name="Normal 10 3 2 6 5" xfId="25671" xr:uid="{00000000-0005-0000-0000-0000D03A0000}"/>
    <cellStyle name="Normal 10 3 2 7" xfId="7242" xr:uid="{00000000-0005-0000-0000-0000D13A0000}"/>
    <cellStyle name="Normal 10 3 2 7 2" xfId="13436" xr:uid="{00000000-0005-0000-0000-0000D23A0000}"/>
    <cellStyle name="Normal 10 3 2 7 2 2" xfId="33356" xr:uid="{00000000-0005-0000-0000-0000D33A0000}"/>
    <cellStyle name="Normal 10 3 2 7 3" xfId="19588" xr:uid="{00000000-0005-0000-0000-0000D43A0000}"/>
    <cellStyle name="Normal 10 3 2 7 3 2" xfId="39508" xr:uid="{00000000-0005-0000-0000-0000D53A0000}"/>
    <cellStyle name="Normal 10 3 2 7 4" xfId="27203" xr:uid="{00000000-0005-0000-0000-0000D63A0000}"/>
    <cellStyle name="Normal 10 3 2 8" xfId="10370" xr:uid="{00000000-0005-0000-0000-0000D73A0000}"/>
    <cellStyle name="Normal 10 3 2 8 2" xfId="30290" xr:uid="{00000000-0005-0000-0000-0000D83A0000}"/>
    <cellStyle name="Normal 10 3 2 9" xfId="16522" xr:uid="{00000000-0005-0000-0000-0000D93A0000}"/>
    <cellStyle name="Normal 10 3 2 9 2" xfId="36442" xr:uid="{00000000-0005-0000-0000-0000DA3A0000}"/>
    <cellStyle name="Normal 10 3 3" xfId="3308" xr:uid="{00000000-0005-0000-0000-0000DB3A0000}"/>
    <cellStyle name="Normal 10 3 3 2" xfId="3309" xr:uid="{00000000-0005-0000-0000-0000DC3A0000}"/>
    <cellStyle name="Normal 10 3 3 2 2" xfId="4842" xr:uid="{00000000-0005-0000-0000-0000DD3A0000}"/>
    <cellStyle name="Normal 10 3 3 2 2 2" xfId="6467" xr:uid="{00000000-0005-0000-0000-0000DE3A0000}"/>
    <cellStyle name="Normal 10 3 3 2 2 2 2" xfId="9553" xr:uid="{00000000-0005-0000-0000-0000DF3A0000}"/>
    <cellStyle name="Normal 10 3 3 2 2 2 2 2" xfId="15746" xr:uid="{00000000-0005-0000-0000-0000E03A0000}"/>
    <cellStyle name="Normal 10 3 3 2 2 2 2 2 2" xfId="35666" xr:uid="{00000000-0005-0000-0000-0000E13A0000}"/>
    <cellStyle name="Normal 10 3 3 2 2 2 2 3" xfId="21898" xr:uid="{00000000-0005-0000-0000-0000E23A0000}"/>
    <cellStyle name="Normal 10 3 3 2 2 2 2 3 2" xfId="41818" xr:uid="{00000000-0005-0000-0000-0000E33A0000}"/>
    <cellStyle name="Normal 10 3 3 2 2 2 2 4" xfId="29513" xr:uid="{00000000-0005-0000-0000-0000E43A0000}"/>
    <cellStyle name="Normal 10 3 3 2 2 2 3" xfId="12680" xr:uid="{00000000-0005-0000-0000-0000E53A0000}"/>
    <cellStyle name="Normal 10 3 3 2 2 2 3 2" xfId="32600" xr:uid="{00000000-0005-0000-0000-0000E63A0000}"/>
    <cellStyle name="Normal 10 3 3 2 2 2 4" xfId="18832" xr:uid="{00000000-0005-0000-0000-0000E73A0000}"/>
    <cellStyle name="Normal 10 3 3 2 2 2 4 2" xfId="38752" xr:uid="{00000000-0005-0000-0000-0000E83A0000}"/>
    <cellStyle name="Normal 10 3 3 2 2 2 5" xfId="26447" xr:uid="{00000000-0005-0000-0000-0000E93A0000}"/>
    <cellStyle name="Normal 10 3 3 2 2 3" xfId="8018" xr:uid="{00000000-0005-0000-0000-0000EA3A0000}"/>
    <cellStyle name="Normal 10 3 3 2 2 3 2" xfId="14212" xr:uid="{00000000-0005-0000-0000-0000EB3A0000}"/>
    <cellStyle name="Normal 10 3 3 2 2 3 2 2" xfId="34132" xr:uid="{00000000-0005-0000-0000-0000EC3A0000}"/>
    <cellStyle name="Normal 10 3 3 2 2 3 3" xfId="20364" xr:uid="{00000000-0005-0000-0000-0000ED3A0000}"/>
    <cellStyle name="Normal 10 3 3 2 2 3 3 2" xfId="40284" xr:uid="{00000000-0005-0000-0000-0000EE3A0000}"/>
    <cellStyle name="Normal 10 3 3 2 2 3 4" xfId="27979" xr:uid="{00000000-0005-0000-0000-0000EF3A0000}"/>
    <cellStyle name="Normal 10 3 3 2 2 4" xfId="11146" xr:uid="{00000000-0005-0000-0000-0000F03A0000}"/>
    <cellStyle name="Normal 10 3 3 2 2 4 2" xfId="31066" xr:uid="{00000000-0005-0000-0000-0000F13A0000}"/>
    <cellStyle name="Normal 10 3 3 2 2 5" xfId="17298" xr:uid="{00000000-0005-0000-0000-0000F23A0000}"/>
    <cellStyle name="Normal 10 3 3 2 2 5 2" xfId="37218" xr:uid="{00000000-0005-0000-0000-0000F33A0000}"/>
    <cellStyle name="Normal 10 3 3 2 2 6" xfId="24913" xr:uid="{00000000-0005-0000-0000-0000F43A0000}"/>
    <cellStyle name="Normal 10 3 3 2 3" xfId="5684" xr:uid="{00000000-0005-0000-0000-0000F53A0000}"/>
    <cellStyle name="Normal 10 3 3 2 3 2" xfId="8784" xr:uid="{00000000-0005-0000-0000-0000F63A0000}"/>
    <cellStyle name="Normal 10 3 3 2 3 2 2" xfId="14977" xr:uid="{00000000-0005-0000-0000-0000F73A0000}"/>
    <cellStyle name="Normal 10 3 3 2 3 2 2 2" xfId="34897" xr:uid="{00000000-0005-0000-0000-0000F83A0000}"/>
    <cellStyle name="Normal 10 3 3 2 3 2 3" xfId="21129" xr:uid="{00000000-0005-0000-0000-0000F93A0000}"/>
    <cellStyle name="Normal 10 3 3 2 3 2 3 2" xfId="41049" xr:uid="{00000000-0005-0000-0000-0000FA3A0000}"/>
    <cellStyle name="Normal 10 3 3 2 3 2 4" xfId="28744" xr:uid="{00000000-0005-0000-0000-0000FB3A0000}"/>
    <cellStyle name="Normal 10 3 3 2 3 3" xfId="11911" xr:uid="{00000000-0005-0000-0000-0000FC3A0000}"/>
    <cellStyle name="Normal 10 3 3 2 3 3 2" xfId="31831" xr:uid="{00000000-0005-0000-0000-0000FD3A0000}"/>
    <cellStyle name="Normal 10 3 3 2 3 4" xfId="18063" xr:uid="{00000000-0005-0000-0000-0000FE3A0000}"/>
    <cellStyle name="Normal 10 3 3 2 3 4 2" xfId="37983" xr:uid="{00000000-0005-0000-0000-0000FF3A0000}"/>
    <cellStyle name="Normal 10 3 3 2 3 5" xfId="25678" xr:uid="{00000000-0005-0000-0000-0000003B0000}"/>
    <cellStyle name="Normal 10 3 3 2 4" xfId="7249" xr:uid="{00000000-0005-0000-0000-0000013B0000}"/>
    <cellStyle name="Normal 10 3 3 2 4 2" xfId="13443" xr:uid="{00000000-0005-0000-0000-0000023B0000}"/>
    <cellStyle name="Normal 10 3 3 2 4 2 2" xfId="33363" xr:uid="{00000000-0005-0000-0000-0000033B0000}"/>
    <cellStyle name="Normal 10 3 3 2 4 3" xfId="19595" xr:uid="{00000000-0005-0000-0000-0000043B0000}"/>
    <cellStyle name="Normal 10 3 3 2 4 3 2" xfId="39515" xr:uid="{00000000-0005-0000-0000-0000053B0000}"/>
    <cellStyle name="Normal 10 3 3 2 4 4" xfId="27210" xr:uid="{00000000-0005-0000-0000-0000063B0000}"/>
    <cellStyle name="Normal 10 3 3 2 5" xfId="10377" xr:uid="{00000000-0005-0000-0000-0000073B0000}"/>
    <cellStyle name="Normal 10 3 3 2 5 2" xfId="30297" xr:uid="{00000000-0005-0000-0000-0000083B0000}"/>
    <cellStyle name="Normal 10 3 3 2 6" xfId="16529" xr:uid="{00000000-0005-0000-0000-0000093B0000}"/>
    <cellStyle name="Normal 10 3 3 2 6 2" xfId="36449" xr:uid="{00000000-0005-0000-0000-00000A3B0000}"/>
    <cellStyle name="Normal 10 3 3 2 7" xfId="24144" xr:uid="{00000000-0005-0000-0000-00000B3B0000}"/>
    <cellStyle name="Normal 10 3 3 3" xfId="4841" xr:uid="{00000000-0005-0000-0000-00000C3B0000}"/>
    <cellStyle name="Normal 10 3 3 3 2" xfId="6466" xr:uid="{00000000-0005-0000-0000-00000D3B0000}"/>
    <cellStyle name="Normal 10 3 3 3 2 2" xfId="9552" xr:uid="{00000000-0005-0000-0000-00000E3B0000}"/>
    <cellStyle name="Normal 10 3 3 3 2 2 2" xfId="15745" xr:uid="{00000000-0005-0000-0000-00000F3B0000}"/>
    <cellStyle name="Normal 10 3 3 3 2 2 2 2" xfId="35665" xr:uid="{00000000-0005-0000-0000-0000103B0000}"/>
    <cellStyle name="Normal 10 3 3 3 2 2 3" xfId="21897" xr:uid="{00000000-0005-0000-0000-0000113B0000}"/>
    <cellStyle name="Normal 10 3 3 3 2 2 3 2" xfId="41817" xr:uid="{00000000-0005-0000-0000-0000123B0000}"/>
    <cellStyle name="Normal 10 3 3 3 2 2 4" xfId="29512" xr:uid="{00000000-0005-0000-0000-0000133B0000}"/>
    <cellStyle name="Normal 10 3 3 3 2 3" xfId="12679" xr:uid="{00000000-0005-0000-0000-0000143B0000}"/>
    <cellStyle name="Normal 10 3 3 3 2 3 2" xfId="32599" xr:uid="{00000000-0005-0000-0000-0000153B0000}"/>
    <cellStyle name="Normal 10 3 3 3 2 4" xfId="18831" xr:uid="{00000000-0005-0000-0000-0000163B0000}"/>
    <cellStyle name="Normal 10 3 3 3 2 4 2" xfId="38751" xr:uid="{00000000-0005-0000-0000-0000173B0000}"/>
    <cellStyle name="Normal 10 3 3 3 2 5" xfId="26446" xr:uid="{00000000-0005-0000-0000-0000183B0000}"/>
    <cellStyle name="Normal 10 3 3 3 3" xfId="8017" xr:uid="{00000000-0005-0000-0000-0000193B0000}"/>
    <cellStyle name="Normal 10 3 3 3 3 2" xfId="14211" xr:uid="{00000000-0005-0000-0000-00001A3B0000}"/>
    <cellStyle name="Normal 10 3 3 3 3 2 2" xfId="34131" xr:uid="{00000000-0005-0000-0000-00001B3B0000}"/>
    <cellStyle name="Normal 10 3 3 3 3 3" xfId="20363" xr:uid="{00000000-0005-0000-0000-00001C3B0000}"/>
    <cellStyle name="Normal 10 3 3 3 3 3 2" xfId="40283" xr:uid="{00000000-0005-0000-0000-00001D3B0000}"/>
    <cellStyle name="Normal 10 3 3 3 3 4" xfId="27978" xr:uid="{00000000-0005-0000-0000-00001E3B0000}"/>
    <cellStyle name="Normal 10 3 3 3 4" xfId="11145" xr:uid="{00000000-0005-0000-0000-00001F3B0000}"/>
    <cellStyle name="Normal 10 3 3 3 4 2" xfId="31065" xr:uid="{00000000-0005-0000-0000-0000203B0000}"/>
    <cellStyle name="Normal 10 3 3 3 5" xfId="17297" xr:uid="{00000000-0005-0000-0000-0000213B0000}"/>
    <cellStyle name="Normal 10 3 3 3 5 2" xfId="37217" xr:uid="{00000000-0005-0000-0000-0000223B0000}"/>
    <cellStyle name="Normal 10 3 3 3 6" xfId="24912" xr:uid="{00000000-0005-0000-0000-0000233B0000}"/>
    <cellStyle name="Normal 10 3 3 4" xfId="5683" xr:uid="{00000000-0005-0000-0000-0000243B0000}"/>
    <cellStyle name="Normal 10 3 3 4 2" xfId="8783" xr:uid="{00000000-0005-0000-0000-0000253B0000}"/>
    <cellStyle name="Normal 10 3 3 4 2 2" xfId="14976" xr:uid="{00000000-0005-0000-0000-0000263B0000}"/>
    <cellStyle name="Normal 10 3 3 4 2 2 2" xfId="34896" xr:uid="{00000000-0005-0000-0000-0000273B0000}"/>
    <cellStyle name="Normal 10 3 3 4 2 3" xfId="21128" xr:uid="{00000000-0005-0000-0000-0000283B0000}"/>
    <cellStyle name="Normal 10 3 3 4 2 3 2" xfId="41048" xr:uid="{00000000-0005-0000-0000-0000293B0000}"/>
    <cellStyle name="Normal 10 3 3 4 2 4" xfId="28743" xr:uid="{00000000-0005-0000-0000-00002A3B0000}"/>
    <cellStyle name="Normal 10 3 3 4 3" xfId="11910" xr:uid="{00000000-0005-0000-0000-00002B3B0000}"/>
    <cellStyle name="Normal 10 3 3 4 3 2" xfId="31830" xr:uid="{00000000-0005-0000-0000-00002C3B0000}"/>
    <cellStyle name="Normal 10 3 3 4 4" xfId="18062" xr:uid="{00000000-0005-0000-0000-00002D3B0000}"/>
    <cellStyle name="Normal 10 3 3 4 4 2" xfId="37982" xr:uid="{00000000-0005-0000-0000-00002E3B0000}"/>
    <cellStyle name="Normal 10 3 3 4 5" xfId="25677" xr:uid="{00000000-0005-0000-0000-00002F3B0000}"/>
    <cellStyle name="Normal 10 3 3 5" xfId="7248" xr:uid="{00000000-0005-0000-0000-0000303B0000}"/>
    <cellStyle name="Normal 10 3 3 5 2" xfId="13442" xr:uid="{00000000-0005-0000-0000-0000313B0000}"/>
    <cellStyle name="Normal 10 3 3 5 2 2" xfId="33362" xr:uid="{00000000-0005-0000-0000-0000323B0000}"/>
    <cellStyle name="Normal 10 3 3 5 3" xfId="19594" xr:uid="{00000000-0005-0000-0000-0000333B0000}"/>
    <cellStyle name="Normal 10 3 3 5 3 2" xfId="39514" xr:uid="{00000000-0005-0000-0000-0000343B0000}"/>
    <cellStyle name="Normal 10 3 3 5 4" xfId="27209" xr:uid="{00000000-0005-0000-0000-0000353B0000}"/>
    <cellStyle name="Normal 10 3 3 6" xfId="10376" xr:uid="{00000000-0005-0000-0000-0000363B0000}"/>
    <cellStyle name="Normal 10 3 3 6 2" xfId="30296" xr:uid="{00000000-0005-0000-0000-0000373B0000}"/>
    <cellStyle name="Normal 10 3 3 7" xfId="16528" xr:uid="{00000000-0005-0000-0000-0000383B0000}"/>
    <cellStyle name="Normal 10 3 3 7 2" xfId="36448" xr:uid="{00000000-0005-0000-0000-0000393B0000}"/>
    <cellStyle name="Normal 10 3 3 8" xfId="24143" xr:uid="{00000000-0005-0000-0000-00003A3B0000}"/>
    <cellStyle name="Normal 10 3 4" xfId="3310" xr:uid="{00000000-0005-0000-0000-00003B3B0000}"/>
    <cellStyle name="Normal 10 3 4 2" xfId="3311" xr:uid="{00000000-0005-0000-0000-00003C3B0000}"/>
    <cellStyle name="Normal 10 3 4 2 2" xfId="4844" xr:uid="{00000000-0005-0000-0000-00003D3B0000}"/>
    <cellStyle name="Normal 10 3 4 2 2 2" xfId="6469" xr:uid="{00000000-0005-0000-0000-00003E3B0000}"/>
    <cellStyle name="Normal 10 3 4 2 2 2 2" xfId="9555" xr:uid="{00000000-0005-0000-0000-00003F3B0000}"/>
    <cellStyle name="Normal 10 3 4 2 2 2 2 2" xfId="15748" xr:uid="{00000000-0005-0000-0000-0000403B0000}"/>
    <cellStyle name="Normal 10 3 4 2 2 2 2 2 2" xfId="35668" xr:uid="{00000000-0005-0000-0000-0000413B0000}"/>
    <cellStyle name="Normal 10 3 4 2 2 2 2 3" xfId="21900" xr:uid="{00000000-0005-0000-0000-0000423B0000}"/>
    <cellStyle name="Normal 10 3 4 2 2 2 2 3 2" xfId="41820" xr:uid="{00000000-0005-0000-0000-0000433B0000}"/>
    <cellStyle name="Normal 10 3 4 2 2 2 2 4" xfId="29515" xr:uid="{00000000-0005-0000-0000-0000443B0000}"/>
    <cellStyle name="Normal 10 3 4 2 2 2 3" xfId="12682" xr:uid="{00000000-0005-0000-0000-0000453B0000}"/>
    <cellStyle name="Normal 10 3 4 2 2 2 3 2" xfId="32602" xr:uid="{00000000-0005-0000-0000-0000463B0000}"/>
    <cellStyle name="Normal 10 3 4 2 2 2 4" xfId="18834" xr:uid="{00000000-0005-0000-0000-0000473B0000}"/>
    <cellStyle name="Normal 10 3 4 2 2 2 4 2" xfId="38754" xr:uid="{00000000-0005-0000-0000-0000483B0000}"/>
    <cellStyle name="Normal 10 3 4 2 2 2 5" xfId="26449" xr:uid="{00000000-0005-0000-0000-0000493B0000}"/>
    <cellStyle name="Normal 10 3 4 2 2 3" xfId="8020" xr:uid="{00000000-0005-0000-0000-00004A3B0000}"/>
    <cellStyle name="Normal 10 3 4 2 2 3 2" xfId="14214" xr:uid="{00000000-0005-0000-0000-00004B3B0000}"/>
    <cellStyle name="Normal 10 3 4 2 2 3 2 2" xfId="34134" xr:uid="{00000000-0005-0000-0000-00004C3B0000}"/>
    <cellStyle name="Normal 10 3 4 2 2 3 3" xfId="20366" xr:uid="{00000000-0005-0000-0000-00004D3B0000}"/>
    <cellStyle name="Normal 10 3 4 2 2 3 3 2" xfId="40286" xr:uid="{00000000-0005-0000-0000-00004E3B0000}"/>
    <cellStyle name="Normal 10 3 4 2 2 3 4" xfId="27981" xr:uid="{00000000-0005-0000-0000-00004F3B0000}"/>
    <cellStyle name="Normal 10 3 4 2 2 4" xfId="11148" xr:uid="{00000000-0005-0000-0000-0000503B0000}"/>
    <cellStyle name="Normal 10 3 4 2 2 4 2" xfId="31068" xr:uid="{00000000-0005-0000-0000-0000513B0000}"/>
    <cellStyle name="Normal 10 3 4 2 2 5" xfId="17300" xr:uid="{00000000-0005-0000-0000-0000523B0000}"/>
    <cellStyle name="Normal 10 3 4 2 2 5 2" xfId="37220" xr:uid="{00000000-0005-0000-0000-0000533B0000}"/>
    <cellStyle name="Normal 10 3 4 2 2 6" xfId="24915" xr:uid="{00000000-0005-0000-0000-0000543B0000}"/>
    <cellStyle name="Normal 10 3 4 2 3" xfId="5686" xr:uid="{00000000-0005-0000-0000-0000553B0000}"/>
    <cellStyle name="Normal 10 3 4 2 3 2" xfId="8786" xr:uid="{00000000-0005-0000-0000-0000563B0000}"/>
    <cellStyle name="Normal 10 3 4 2 3 2 2" xfId="14979" xr:uid="{00000000-0005-0000-0000-0000573B0000}"/>
    <cellStyle name="Normal 10 3 4 2 3 2 2 2" xfId="34899" xr:uid="{00000000-0005-0000-0000-0000583B0000}"/>
    <cellStyle name="Normal 10 3 4 2 3 2 3" xfId="21131" xr:uid="{00000000-0005-0000-0000-0000593B0000}"/>
    <cellStyle name="Normal 10 3 4 2 3 2 3 2" xfId="41051" xr:uid="{00000000-0005-0000-0000-00005A3B0000}"/>
    <cellStyle name="Normal 10 3 4 2 3 2 4" xfId="28746" xr:uid="{00000000-0005-0000-0000-00005B3B0000}"/>
    <cellStyle name="Normal 10 3 4 2 3 3" xfId="11913" xr:uid="{00000000-0005-0000-0000-00005C3B0000}"/>
    <cellStyle name="Normal 10 3 4 2 3 3 2" xfId="31833" xr:uid="{00000000-0005-0000-0000-00005D3B0000}"/>
    <cellStyle name="Normal 10 3 4 2 3 4" xfId="18065" xr:uid="{00000000-0005-0000-0000-00005E3B0000}"/>
    <cellStyle name="Normal 10 3 4 2 3 4 2" xfId="37985" xr:uid="{00000000-0005-0000-0000-00005F3B0000}"/>
    <cellStyle name="Normal 10 3 4 2 3 5" xfId="25680" xr:uid="{00000000-0005-0000-0000-0000603B0000}"/>
    <cellStyle name="Normal 10 3 4 2 4" xfId="7251" xr:uid="{00000000-0005-0000-0000-0000613B0000}"/>
    <cellStyle name="Normal 10 3 4 2 4 2" xfId="13445" xr:uid="{00000000-0005-0000-0000-0000623B0000}"/>
    <cellStyle name="Normal 10 3 4 2 4 2 2" xfId="33365" xr:uid="{00000000-0005-0000-0000-0000633B0000}"/>
    <cellStyle name="Normal 10 3 4 2 4 3" xfId="19597" xr:uid="{00000000-0005-0000-0000-0000643B0000}"/>
    <cellStyle name="Normal 10 3 4 2 4 3 2" xfId="39517" xr:uid="{00000000-0005-0000-0000-0000653B0000}"/>
    <cellStyle name="Normal 10 3 4 2 4 4" xfId="27212" xr:uid="{00000000-0005-0000-0000-0000663B0000}"/>
    <cellStyle name="Normal 10 3 4 2 5" xfId="10379" xr:uid="{00000000-0005-0000-0000-0000673B0000}"/>
    <cellStyle name="Normal 10 3 4 2 5 2" xfId="30299" xr:uid="{00000000-0005-0000-0000-0000683B0000}"/>
    <cellStyle name="Normal 10 3 4 2 6" xfId="16531" xr:uid="{00000000-0005-0000-0000-0000693B0000}"/>
    <cellStyle name="Normal 10 3 4 2 6 2" xfId="36451" xr:uid="{00000000-0005-0000-0000-00006A3B0000}"/>
    <cellStyle name="Normal 10 3 4 2 7" xfId="24146" xr:uid="{00000000-0005-0000-0000-00006B3B0000}"/>
    <cellStyle name="Normal 10 3 4 3" xfId="4843" xr:uid="{00000000-0005-0000-0000-00006C3B0000}"/>
    <cellStyle name="Normal 10 3 4 3 2" xfId="6468" xr:uid="{00000000-0005-0000-0000-00006D3B0000}"/>
    <cellStyle name="Normal 10 3 4 3 2 2" xfId="9554" xr:uid="{00000000-0005-0000-0000-00006E3B0000}"/>
    <cellStyle name="Normal 10 3 4 3 2 2 2" xfId="15747" xr:uid="{00000000-0005-0000-0000-00006F3B0000}"/>
    <cellStyle name="Normal 10 3 4 3 2 2 2 2" xfId="35667" xr:uid="{00000000-0005-0000-0000-0000703B0000}"/>
    <cellStyle name="Normal 10 3 4 3 2 2 3" xfId="21899" xr:uid="{00000000-0005-0000-0000-0000713B0000}"/>
    <cellStyle name="Normal 10 3 4 3 2 2 3 2" xfId="41819" xr:uid="{00000000-0005-0000-0000-0000723B0000}"/>
    <cellStyle name="Normal 10 3 4 3 2 2 4" xfId="29514" xr:uid="{00000000-0005-0000-0000-0000733B0000}"/>
    <cellStyle name="Normal 10 3 4 3 2 3" xfId="12681" xr:uid="{00000000-0005-0000-0000-0000743B0000}"/>
    <cellStyle name="Normal 10 3 4 3 2 3 2" xfId="32601" xr:uid="{00000000-0005-0000-0000-0000753B0000}"/>
    <cellStyle name="Normal 10 3 4 3 2 4" xfId="18833" xr:uid="{00000000-0005-0000-0000-0000763B0000}"/>
    <cellStyle name="Normal 10 3 4 3 2 4 2" xfId="38753" xr:uid="{00000000-0005-0000-0000-0000773B0000}"/>
    <cellStyle name="Normal 10 3 4 3 2 5" xfId="26448" xr:uid="{00000000-0005-0000-0000-0000783B0000}"/>
    <cellStyle name="Normal 10 3 4 3 3" xfId="8019" xr:uid="{00000000-0005-0000-0000-0000793B0000}"/>
    <cellStyle name="Normal 10 3 4 3 3 2" xfId="14213" xr:uid="{00000000-0005-0000-0000-00007A3B0000}"/>
    <cellStyle name="Normal 10 3 4 3 3 2 2" xfId="34133" xr:uid="{00000000-0005-0000-0000-00007B3B0000}"/>
    <cellStyle name="Normal 10 3 4 3 3 3" xfId="20365" xr:uid="{00000000-0005-0000-0000-00007C3B0000}"/>
    <cellStyle name="Normal 10 3 4 3 3 3 2" xfId="40285" xr:uid="{00000000-0005-0000-0000-00007D3B0000}"/>
    <cellStyle name="Normal 10 3 4 3 3 4" xfId="27980" xr:uid="{00000000-0005-0000-0000-00007E3B0000}"/>
    <cellStyle name="Normal 10 3 4 3 4" xfId="11147" xr:uid="{00000000-0005-0000-0000-00007F3B0000}"/>
    <cellStyle name="Normal 10 3 4 3 4 2" xfId="31067" xr:uid="{00000000-0005-0000-0000-0000803B0000}"/>
    <cellStyle name="Normal 10 3 4 3 5" xfId="17299" xr:uid="{00000000-0005-0000-0000-0000813B0000}"/>
    <cellStyle name="Normal 10 3 4 3 5 2" xfId="37219" xr:uid="{00000000-0005-0000-0000-0000823B0000}"/>
    <cellStyle name="Normal 10 3 4 3 6" xfId="24914" xr:uid="{00000000-0005-0000-0000-0000833B0000}"/>
    <cellStyle name="Normal 10 3 4 4" xfId="5685" xr:uid="{00000000-0005-0000-0000-0000843B0000}"/>
    <cellStyle name="Normal 10 3 4 4 2" xfId="8785" xr:uid="{00000000-0005-0000-0000-0000853B0000}"/>
    <cellStyle name="Normal 10 3 4 4 2 2" xfId="14978" xr:uid="{00000000-0005-0000-0000-0000863B0000}"/>
    <cellStyle name="Normal 10 3 4 4 2 2 2" xfId="34898" xr:uid="{00000000-0005-0000-0000-0000873B0000}"/>
    <cellStyle name="Normal 10 3 4 4 2 3" xfId="21130" xr:uid="{00000000-0005-0000-0000-0000883B0000}"/>
    <cellStyle name="Normal 10 3 4 4 2 3 2" xfId="41050" xr:uid="{00000000-0005-0000-0000-0000893B0000}"/>
    <cellStyle name="Normal 10 3 4 4 2 4" xfId="28745" xr:uid="{00000000-0005-0000-0000-00008A3B0000}"/>
    <cellStyle name="Normal 10 3 4 4 3" xfId="11912" xr:uid="{00000000-0005-0000-0000-00008B3B0000}"/>
    <cellStyle name="Normal 10 3 4 4 3 2" xfId="31832" xr:uid="{00000000-0005-0000-0000-00008C3B0000}"/>
    <cellStyle name="Normal 10 3 4 4 4" xfId="18064" xr:uid="{00000000-0005-0000-0000-00008D3B0000}"/>
    <cellStyle name="Normal 10 3 4 4 4 2" xfId="37984" xr:uid="{00000000-0005-0000-0000-00008E3B0000}"/>
    <cellStyle name="Normal 10 3 4 4 5" xfId="25679" xr:uid="{00000000-0005-0000-0000-00008F3B0000}"/>
    <cellStyle name="Normal 10 3 4 5" xfId="7250" xr:uid="{00000000-0005-0000-0000-0000903B0000}"/>
    <cellStyle name="Normal 10 3 4 5 2" xfId="13444" xr:uid="{00000000-0005-0000-0000-0000913B0000}"/>
    <cellStyle name="Normal 10 3 4 5 2 2" xfId="33364" xr:uid="{00000000-0005-0000-0000-0000923B0000}"/>
    <cellStyle name="Normal 10 3 4 5 3" xfId="19596" xr:uid="{00000000-0005-0000-0000-0000933B0000}"/>
    <cellStyle name="Normal 10 3 4 5 3 2" xfId="39516" xr:uid="{00000000-0005-0000-0000-0000943B0000}"/>
    <cellStyle name="Normal 10 3 4 5 4" xfId="27211" xr:uid="{00000000-0005-0000-0000-0000953B0000}"/>
    <cellStyle name="Normal 10 3 4 6" xfId="10378" xr:uid="{00000000-0005-0000-0000-0000963B0000}"/>
    <cellStyle name="Normal 10 3 4 6 2" xfId="30298" xr:uid="{00000000-0005-0000-0000-0000973B0000}"/>
    <cellStyle name="Normal 10 3 4 7" xfId="16530" xr:uid="{00000000-0005-0000-0000-0000983B0000}"/>
    <cellStyle name="Normal 10 3 4 7 2" xfId="36450" xr:uid="{00000000-0005-0000-0000-0000993B0000}"/>
    <cellStyle name="Normal 10 3 4 8" xfId="24145" xr:uid="{00000000-0005-0000-0000-00009A3B0000}"/>
    <cellStyle name="Normal 10 3 5" xfId="3312" xr:uid="{00000000-0005-0000-0000-00009B3B0000}"/>
    <cellStyle name="Normal 10 3 5 2" xfId="4845" xr:uid="{00000000-0005-0000-0000-00009C3B0000}"/>
    <cellStyle name="Normal 10 3 5 2 2" xfId="6470" xr:uid="{00000000-0005-0000-0000-00009D3B0000}"/>
    <cellStyle name="Normal 10 3 5 2 2 2" xfId="9556" xr:uid="{00000000-0005-0000-0000-00009E3B0000}"/>
    <cellStyle name="Normal 10 3 5 2 2 2 2" xfId="15749" xr:uid="{00000000-0005-0000-0000-00009F3B0000}"/>
    <cellStyle name="Normal 10 3 5 2 2 2 2 2" xfId="35669" xr:uid="{00000000-0005-0000-0000-0000A03B0000}"/>
    <cellStyle name="Normal 10 3 5 2 2 2 3" xfId="21901" xr:uid="{00000000-0005-0000-0000-0000A13B0000}"/>
    <cellStyle name="Normal 10 3 5 2 2 2 3 2" xfId="41821" xr:uid="{00000000-0005-0000-0000-0000A23B0000}"/>
    <cellStyle name="Normal 10 3 5 2 2 2 4" xfId="29516" xr:uid="{00000000-0005-0000-0000-0000A33B0000}"/>
    <cellStyle name="Normal 10 3 5 2 2 3" xfId="12683" xr:uid="{00000000-0005-0000-0000-0000A43B0000}"/>
    <cellStyle name="Normal 10 3 5 2 2 3 2" xfId="32603" xr:uid="{00000000-0005-0000-0000-0000A53B0000}"/>
    <cellStyle name="Normal 10 3 5 2 2 4" xfId="18835" xr:uid="{00000000-0005-0000-0000-0000A63B0000}"/>
    <cellStyle name="Normal 10 3 5 2 2 4 2" xfId="38755" xr:uid="{00000000-0005-0000-0000-0000A73B0000}"/>
    <cellStyle name="Normal 10 3 5 2 2 5" xfId="26450" xr:uid="{00000000-0005-0000-0000-0000A83B0000}"/>
    <cellStyle name="Normal 10 3 5 2 3" xfId="8021" xr:uid="{00000000-0005-0000-0000-0000A93B0000}"/>
    <cellStyle name="Normal 10 3 5 2 3 2" xfId="14215" xr:uid="{00000000-0005-0000-0000-0000AA3B0000}"/>
    <cellStyle name="Normal 10 3 5 2 3 2 2" xfId="34135" xr:uid="{00000000-0005-0000-0000-0000AB3B0000}"/>
    <cellStyle name="Normal 10 3 5 2 3 3" xfId="20367" xr:uid="{00000000-0005-0000-0000-0000AC3B0000}"/>
    <cellStyle name="Normal 10 3 5 2 3 3 2" xfId="40287" xr:uid="{00000000-0005-0000-0000-0000AD3B0000}"/>
    <cellStyle name="Normal 10 3 5 2 3 4" xfId="27982" xr:uid="{00000000-0005-0000-0000-0000AE3B0000}"/>
    <cellStyle name="Normal 10 3 5 2 4" xfId="11149" xr:uid="{00000000-0005-0000-0000-0000AF3B0000}"/>
    <cellStyle name="Normal 10 3 5 2 4 2" xfId="31069" xr:uid="{00000000-0005-0000-0000-0000B03B0000}"/>
    <cellStyle name="Normal 10 3 5 2 5" xfId="17301" xr:uid="{00000000-0005-0000-0000-0000B13B0000}"/>
    <cellStyle name="Normal 10 3 5 2 5 2" xfId="37221" xr:uid="{00000000-0005-0000-0000-0000B23B0000}"/>
    <cellStyle name="Normal 10 3 5 2 6" xfId="24916" xr:uid="{00000000-0005-0000-0000-0000B33B0000}"/>
    <cellStyle name="Normal 10 3 5 3" xfId="5687" xr:uid="{00000000-0005-0000-0000-0000B43B0000}"/>
    <cellStyle name="Normal 10 3 5 3 2" xfId="8787" xr:uid="{00000000-0005-0000-0000-0000B53B0000}"/>
    <cellStyle name="Normal 10 3 5 3 2 2" xfId="14980" xr:uid="{00000000-0005-0000-0000-0000B63B0000}"/>
    <cellStyle name="Normal 10 3 5 3 2 2 2" xfId="34900" xr:uid="{00000000-0005-0000-0000-0000B73B0000}"/>
    <cellStyle name="Normal 10 3 5 3 2 3" xfId="21132" xr:uid="{00000000-0005-0000-0000-0000B83B0000}"/>
    <cellStyle name="Normal 10 3 5 3 2 3 2" xfId="41052" xr:uid="{00000000-0005-0000-0000-0000B93B0000}"/>
    <cellStyle name="Normal 10 3 5 3 2 4" xfId="28747" xr:uid="{00000000-0005-0000-0000-0000BA3B0000}"/>
    <cellStyle name="Normal 10 3 5 3 3" xfId="11914" xr:uid="{00000000-0005-0000-0000-0000BB3B0000}"/>
    <cellStyle name="Normal 10 3 5 3 3 2" xfId="31834" xr:uid="{00000000-0005-0000-0000-0000BC3B0000}"/>
    <cellStyle name="Normal 10 3 5 3 4" xfId="18066" xr:uid="{00000000-0005-0000-0000-0000BD3B0000}"/>
    <cellStyle name="Normal 10 3 5 3 4 2" xfId="37986" xr:uid="{00000000-0005-0000-0000-0000BE3B0000}"/>
    <cellStyle name="Normal 10 3 5 3 5" xfId="25681" xr:uid="{00000000-0005-0000-0000-0000BF3B0000}"/>
    <cellStyle name="Normal 10 3 5 4" xfId="7252" xr:uid="{00000000-0005-0000-0000-0000C03B0000}"/>
    <cellStyle name="Normal 10 3 5 4 2" xfId="13446" xr:uid="{00000000-0005-0000-0000-0000C13B0000}"/>
    <cellStyle name="Normal 10 3 5 4 2 2" xfId="33366" xr:uid="{00000000-0005-0000-0000-0000C23B0000}"/>
    <cellStyle name="Normal 10 3 5 4 3" xfId="19598" xr:uid="{00000000-0005-0000-0000-0000C33B0000}"/>
    <cellStyle name="Normal 10 3 5 4 3 2" xfId="39518" xr:uid="{00000000-0005-0000-0000-0000C43B0000}"/>
    <cellStyle name="Normal 10 3 5 4 4" xfId="27213" xr:uid="{00000000-0005-0000-0000-0000C53B0000}"/>
    <cellStyle name="Normal 10 3 5 5" xfId="10380" xr:uid="{00000000-0005-0000-0000-0000C63B0000}"/>
    <cellStyle name="Normal 10 3 5 5 2" xfId="30300" xr:uid="{00000000-0005-0000-0000-0000C73B0000}"/>
    <cellStyle name="Normal 10 3 5 6" xfId="16532" xr:uid="{00000000-0005-0000-0000-0000C83B0000}"/>
    <cellStyle name="Normal 10 3 5 6 2" xfId="36452" xr:uid="{00000000-0005-0000-0000-0000C93B0000}"/>
    <cellStyle name="Normal 10 3 5 7" xfId="24147" xr:uid="{00000000-0005-0000-0000-0000CA3B0000}"/>
    <cellStyle name="Normal 10 3 6" xfId="4834" xr:uid="{00000000-0005-0000-0000-0000CB3B0000}"/>
    <cellStyle name="Normal 10 3 6 2" xfId="6459" xr:uid="{00000000-0005-0000-0000-0000CC3B0000}"/>
    <cellStyle name="Normal 10 3 6 2 2" xfId="9545" xr:uid="{00000000-0005-0000-0000-0000CD3B0000}"/>
    <cellStyle name="Normal 10 3 6 2 2 2" xfId="15738" xr:uid="{00000000-0005-0000-0000-0000CE3B0000}"/>
    <cellStyle name="Normal 10 3 6 2 2 2 2" xfId="35658" xr:uid="{00000000-0005-0000-0000-0000CF3B0000}"/>
    <cellStyle name="Normal 10 3 6 2 2 3" xfId="21890" xr:uid="{00000000-0005-0000-0000-0000D03B0000}"/>
    <cellStyle name="Normal 10 3 6 2 2 3 2" xfId="41810" xr:uid="{00000000-0005-0000-0000-0000D13B0000}"/>
    <cellStyle name="Normal 10 3 6 2 2 4" xfId="29505" xr:uid="{00000000-0005-0000-0000-0000D23B0000}"/>
    <cellStyle name="Normal 10 3 6 2 3" xfId="12672" xr:uid="{00000000-0005-0000-0000-0000D33B0000}"/>
    <cellStyle name="Normal 10 3 6 2 3 2" xfId="32592" xr:uid="{00000000-0005-0000-0000-0000D43B0000}"/>
    <cellStyle name="Normal 10 3 6 2 4" xfId="18824" xr:uid="{00000000-0005-0000-0000-0000D53B0000}"/>
    <cellStyle name="Normal 10 3 6 2 4 2" xfId="38744" xr:uid="{00000000-0005-0000-0000-0000D63B0000}"/>
    <cellStyle name="Normal 10 3 6 2 5" xfId="26439" xr:uid="{00000000-0005-0000-0000-0000D73B0000}"/>
    <cellStyle name="Normal 10 3 6 3" xfId="8010" xr:uid="{00000000-0005-0000-0000-0000D83B0000}"/>
    <cellStyle name="Normal 10 3 6 3 2" xfId="14204" xr:uid="{00000000-0005-0000-0000-0000D93B0000}"/>
    <cellStyle name="Normal 10 3 6 3 2 2" xfId="34124" xr:uid="{00000000-0005-0000-0000-0000DA3B0000}"/>
    <cellStyle name="Normal 10 3 6 3 3" xfId="20356" xr:uid="{00000000-0005-0000-0000-0000DB3B0000}"/>
    <cellStyle name="Normal 10 3 6 3 3 2" xfId="40276" xr:uid="{00000000-0005-0000-0000-0000DC3B0000}"/>
    <cellStyle name="Normal 10 3 6 3 4" xfId="27971" xr:uid="{00000000-0005-0000-0000-0000DD3B0000}"/>
    <cellStyle name="Normal 10 3 6 4" xfId="11138" xr:uid="{00000000-0005-0000-0000-0000DE3B0000}"/>
    <cellStyle name="Normal 10 3 6 4 2" xfId="31058" xr:uid="{00000000-0005-0000-0000-0000DF3B0000}"/>
    <cellStyle name="Normal 10 3 6 5" xfId="17290" xr:uid="{00000000-0005-0000-0000-0000E03B0000}"/>
    <cellStyle name="Normal 10 3 6 5 2" xfId="37210" xr:uid="{00000000-0005-0000-0000-0000E13B0000}"/>
    <cellStyle name="Normal 10 3 6 6" xfId="24905" xr:uid="{00000000-0005-0000-0000-0000E23B0000}"/>
    <cellStyle name="Normal 10 3 7" xfId="5676" xr:uid="{00000000-0005-0000-0000-0000E33B0000}"/>
    <cellStyle name="Normal 10 3 7 2" xfId="8776" xr:uid="{00000000-0005-0000-0000-0000E43B0000}"/>
    <cellStyle name="Normal 10 3 7 2 2" xfId="14969" xr:uid="{00000000-0005-0000-0000-0000E53B0000}"/>
    <cellStyle name="Normal 10 3 7 2 2 2" xfId="34889" xr:uid="{00000000-0005-0000-0000-0000E63B0000}"/>
    <cellStyle name="Normal 10 3 7 2 3" xfId="21121" xr:uid="{00000000-0005-0000-0000-0000E73B0000}"/>
    <cellStyle name="Normal 10 3 7 2 3 2" xfId="41041" xr:uid="{00000000-0005-0000-0000-0000E83B0000}"/>
    <cellStyle name="Normal 10 3 7 2 4" xfId="28736" xr:uid="{00000000-0005-0000-0000-0000E93B0000}"/>
    <cellStyle name="Normal 10 3 7 3" xfId="11903" xr:uid="{00000000-0005-0000-0000-0000EA3B0000}"/>
    <cellStyle name="Normal 10 3 7 3 2" xfId="31823" xr:uid="{00000000-0005-0000-0000-0000EB3B0000}"/>
    <cellStyle name="Normal 10 3 7 4" xfId="18055" xr:uid="{00000000-0005-0000-0000-0000EC3B0000}"/>
    <cellStyle name="Normal 10 3 7 4 2" xfId="37975" xr:uid="{00000000-0005-0000-0000-0000ED3B0000}"/>
    <cellStyle name="Normal 10 3 7 5" xfId="25670" xr:uid="{00000000-0005-0000-0000-0000EE3B0000}"/>
    <cellStyle name="Normal 10 3 8" xfId="7241" xr:uid="{00000000-0005-0000-0000-0000EF3B0000}"/>
    <cellStyle name="Normal 10 3 8 2" xfId="13435" xr:uid="{00000000-0005-0000-0000-0000F03B0000}"/>
    <cellStyle name="Normal 10 3 8 2 2" xfId="33355" xr:uid="{00000000-0005-0000-0000-0000F13B0000}"/>
    <cellStyle name="Normal 10 3 8 3" xfId="19587" xr:uid="{00000000-0005-0000-0000-0000F23B0000}"/>
    <cellStyle name="Normal 10 3 8 3 2" xfId="39507" xr:uid="{00000000-0005-0000-0000-0000F33B0000}"/>
    <cellStyle name="Normal 10 3 8 4" xfId="27202" xr:uid="{00000000-0005-0000-0000-0000F43B0000}"/>
    <cellStyle name="Normal 10 3 9" xfId="10369" xr:uid="{00000000-0005-0000-0000-0000F53B0000}"/>
    <cellStyle name="Normal 10 3 9 2" xfId="30289" xr:uid="{00000000-0005-0000-0000-0000F63B0000}"/>
    <cellStyle name="Normal 10 4" xfId="3313" xr:uid="{00000000-0005-0000-0000-0000F73B0000}"/>
    <cellStyle name="Normal 10 4 10" xfId="24148" xr:uid="{00000000-0005-0000-0000-0000F83B0000}"/>
    <cellStyle name="Normal 10 4 2" xfId="3314" xr:uid="{00000000-0005-0000-0000-0000F93B0000}"/>
    <cellStyle name="Normal 10 4 2 2" xfId="3315" xr:uid="{00000000-0005-0000-0000-0000FA3B0000}"/>
    <cellStyle name="Normal 10 4 2 2 2" xfId="4848" xr:uid="{00000000-0005-0000-0000-0000FB3B0000}"/>
    <cellStyle name="Normal 10 4 2 2 2 2" xfId="6473" xr:uid="{00000000-0005-0000-0000-0000FC3B0000}"/>
    <cellStyle name="Normal 10 4 2 2 2 2 2" xfId="9559" xr:uid="{00000000-0005-0000-0000-0000FD3B0000}"/>
    <cellStyle name="Normal 10 4 2 2 2 2 2 2" xfId="15752" xr:uid="{00000000-0005-0000-0000-0000FE3B0000}"/>
    <cellStyle name="Normal 10 4 2 2 2 2 2 2 2" xfId="35672" xr:uid="{00000000-0005-0000-0000-0000FF3B0000}"/>
    <cellStyle name="Normal 10 4 2 2 2 2 2 3" xfId="21904" xr:uid="{00000000-0005-0000-0000-0000003C0000}"/>
    <cellStyle name="Normal 10 4 2 2 2 2 2 3 2" xfId="41824" xr:uid="{00000000-0005-0000-0000-0000013C0000}"/>
    <cellStyle name="Normal 10 4 2 2 2 2 2 4" xfId="29519" xr:uid="{00000000-0005-0000-0000-0000023C0000}"/>
    <cellStyle name="Normal 10 4 2 2 2 2 3" xfId="12686" xr:uid="{00000000-0005-0000-0000-0000033C0000}"/>
    <cellStyle name="Normal 10 4 2 2 2 2 3 2" xfId="32606" xr:uid="{00000000-0005-0000-0000-0000043C0000}"/>
    <cellStyle name="Normal 10 4 2 2 2 2 4" xfId="18838" xr:uid="{00000000-0005-0000-0000-0000053C0000}"/>
    <cellStyle name="Normal 10 4 2 2 2 2 4 2" xfId="38758" xr:uid="{00000000-0005-0000-0000-0000063C0000}"/>
    <cellStyle name="Normal 10 4 2 2 2 2 5" xfId="26453" xr:uid="{00000000-0005-0000-0000-0000073C0000}"/>
    <cellStyle name="Normal 10 4 2 2 2 3" xfId="8024" xr:uid="{00000000-0005-0000-0000-0000083C0000}"/>
    <cellStyle name="Normal 10 4 2 2 2 3 2" xfId="14218" xr:uid="{00000000-0005-0000-0000-0000093C0000}"/>
    <cellStyle name="Normal 10 4 2 2 2 3 2 2" xfId="34138" xr:uid="{00000000-0005-0000-0000-00000A3C0000}"/>
    <cellStyle name="Normal 10 4 2 2 2 3 3" xfId="20370" xr:uid="{00000000-0005-0000-0000-00000B3C0000}"/>
    <cellStyle name="Normal 10 4 2 2 2 3 3 2" xfId="40290" xr:uid="{00000000-0005-0000-0000-00000C3C0000}"/>
    <cellStyle name="Normal 10 4 2 2 2 3 4" xfId="27985" xr:uid="{00000000-0005-0000-0000-00000D3C0000}"/>
    <cellStyle name="Normal 10 4 2 2 2 4" xfId="11152" xr:uid="{00000000-0005-0000-0000-00000E3C0000}"/>
    <cellStyle name="Normal 10 4 2 2 2 4 2" xfId="31072" xr:uid="{00000000-0005-0000-0000-00000F3C0000}"/>
    <cellStyle name="Normal 10 4 2 2 2 5" xfId="17304" xr:uid="{00000000-0005-0000-0000-0000103C0000}"/>
    <cellStyle name="Normal 10 4 2 2 2 5 2" xfId="37224" xr:uid="{00000000-0005-0000-0000-0000113C0000}"/>
    <cellStyle name="Normal 10 4 2 2 2 6" xfId="24919" xr:uid="{00000000-0005-0000-0000-0000123C0000}"/>
    <cellStyle name="Normal 10 4 2 2 3" xfId="5690" xr:uid="{00000000-0005-0000-0000-0000133C0000}"/>
    <cellStyle name="Normal 10 4 2 2 3 2" xfId="8790" xr:uid="{00000000-0005-0000-0000-0000143C0000}"/>
    <cellStyle name="Normal 10 4 2 2 3 2 2" xfId="14983" xr:uid="{00000000-0005-0000-0000-0000153C0000}"/>
    <cellStyle name="Normal 10 4 2 2 3 2 2 2" xfId="34903" xr:uid="{00000000-0005-0000-0000-0000163C0000}"/>
    <cellStyle name="Normal 10 4 2 2 3 2 3" xfId="21135" xr:uid="{00000000-0005-0000-0000-0000173C0000}"/>
    <cellStyle name="Normal 10 4 2 2 3 2 3 2" xfId="41055" xr:uid="{00000000-0005-0000-0000-0000183C0000}"/>
    <cellStyle name="Normal 10 4 2 2 3 2 4" xfId="28750" xr:uid="{00000000-0005-0000-0000-0000193C0000}"/>
    <cellStyle name="Normal 10 4 2 2 3 3" xfId="11917" xr:uid="{00000000-0005-0000-0000-00001A3C0000}"/>
    <cellStyle name="Normal 10 4 2 2 3 3 2" xfId="31837" xr:uid="{00000000-0005-0000-0000-00001B3C0000}"/>
    <cellStyle name="Normal 10 4 2 2 3 4" xfId="18069" xr:uid="{00000000-0005-0000-0000-00001C3C0000}"/>
    <cellStyle name="Normal 10 4 2 2 3 4 2" xfId="37989" xr:uid="{00000000-0005-0000-0000-00001D3C0000}"/>
    <cellStyle name="Normal 10 4 2 2 3 5" xfId="25684" xr:uid="{00000000-0005-0000-0000-00001E3C0000}"/>
    <cellStyle name="Normal 10 4 2 2 4" xfId="7255" xr:uid="{00000000-0005-0000-0000-00001F3C0000}"/>
    <cellStyle name="Normal 10 4 2 2 4 2" xfId="13449" xr:uid="{00000000-0005-0000-0000-0000203C0000}"/>
    <cellStyle name="Normal 10 4 2 2 4 2 2" xfId="33369" xr:uid="{00000000-0005-0000-0000-0000213C0000}"/>
    <cellStyle name="Normal 10 4 2 2 4 3" xfId="19601" xr:uid="{00000000-0005-0000-0000-0000223C0000}"/>
    <cellStyle name="Normal 10 4 2 2 4 3 2" xfId="39521" xr:uid="{00000000-0005-0000-0000-0000233C0000}"/>
    <cellStyle name="Normal 10 4 2 2 4 4" xfId="27216" xr:uid="{00000000-0005-0000-0000-0000243C0000}"/>
    <cellStyle name="Normal 10 4 2 2 5" xfId="10383" xr:uid="{00000000-0005-0000-0000-0000253C0000}"/>
    <cellStyle name="Normal 10 4 2 2 5 2" xfId="30303" xr:uid="{00000000-0005-0000-0000-0000263C0000}"/>
    <cellStyle name="Normal 10 4 2 2 6" xfId="16535" xr:uid="{00000000-0005-0000-0000-0000273C0000}"/>
    <cellStyle name="Normal 10 4 2 2 6 2" xfId="36455" xr:uid="{00000000-0005-0000-0000-0000283C0000}"/>
    <cellStyle name="Normal 10 4 2 2 7" xfId="24150" xr:uid="{00000000-0005-0000-0000-0000293C0000}"/>
    <cellStyle name="Normal 10 4 2 3" xfId="4847" xr:uid="{00000000-0005-0000-0000-00002A3C0000}"/>
    <cellStyle name="Normal 10 4 2 3 2" xfId="6472" xr:uid="{00000000-0005-0000-0000-00002B3C0000}"/>
    <cellStyle name="Normal 10 4 2 3 2 2" xfId="9558" xr:uid="{00000000-0005-0000-0000-00002C3C0000}"/>
    <cellStyle name="Normal 10 4 2 3 2 2 2" xfId="15751" xr:uid="{00000000-0005-0000-0000-00002D3C0000}"/>
    <cellStyle name="Normal 10 4 2 3 2 2 2 2" xfId="35671" xr:uid="{00000000-0005-0000-0000-00002E3C0000}"/>
    <cellStyle name="Normal 10 4 2 3 2 2 3" xfId="21903" xr:uid="{00000000-0005-0000-0000-00002F3C0000}"/>
    <cellStyle name="Normal 10 4 2 3 2 2 3 2" xfId="41823" xr:uid="{00000000-0005-0000-0000-0000303C0000}"/>
    <cellStyle name="Normal 10 4 2 3 2 2 4" xfId="29518" xr:uid="{00000000-0005-0000-0000-0000313C0000}"/>
    <cellStyle name="Normal 10 4 2 3 2 3" xfId="12685" xr:uid="{00000000-0005-0000-0000-0000323C0000}"/>
    <cellStyle name="Normal 10 4 2 3 2 3 2" xfId="32605" xr:uid="{00000000-0005-0000-0000-0000333C0000}"/>
    <cellStyle name="Normal 10 4 2 3 2 4" xfId="18837" xr:uid="{00000000-0005-0000-0000-0000343C0000}"/>
    <cellStyle name="Normal 10 4 2 3 2 4 2" xfId="38757" xr:uid="{00000000-0005-0000-0000-0000353C0000}"/>
    <cellStyle name="Normal 10 4 2 3 2 5" xfId="26452" xr:uid="{00000000-0005-0000-0000-0000363C0000}"/>
    <cellStyle name="Normal 10 4 2 3 3" xfId="8023" xr:uid="{00000000-0005-0000-0000-0000373C0000}"/>
    <cellStyle name="Normal 10 4 2 3 3 2" xfId="14217" xr:uid="{00000000-0005-0000-0000-0000383C0000}"/>
    <cellStyle name="Normal 10 4 2 3 3 2 2" xfId="34137" xr:uid="{00000000-0005-0000-0000-0000393C0000}"/>
    <cellStyle name="Normal 10 4 2 3 3 3" xfId="20369" xr:uid="{00000000-0005-0000-0000-00003A3C0000}"/>
    <cellStyle name="Normal 10 4 2 3 3 3 2" xfId="40289" xr:uid="{00000000-0005-0000-0000-00003B3C0000}"/>
    <cellStyle name="Normal 10 4 2 3 3 4" xfId="27984" xr:uid="{00000000-0005-0000-0000-00003C3C0000}"/>
    <cellStyle name="Normal 10 4 2 3 4" xfId="11151" xr:uid="{00000000-0005-0000-0000-00003D3C0000}"/>
    <cellStyle name="Normal 10 4 2 3 4 2" xfId="31071" xr:uid="{00000000-0005-0000-0000-00003E3C0000}"/>
    <cellStyle name="Normal 10 4 2 3 5" xfId="17303" xr:uid="{00000000-0005-0000-0000-00003F3C0000}"/>
    <cellStyle name="Normal 10 4 2 3 5 2" xfId="37223" xr:uid="{00000000-0005-0000-0000-0000403C0000}"/>
    <cellStyle name="Normal 10 4 2 3 6" xfId="24918" xr:uid="{00000000-0005-0000-0000-0000413C0000}"/>
    <cellStyle name="Normal 10 4 2 4" xfId="5689" xr:uid="{00000000-0005-0000-0000-0000423C0000}"/>
    <cellStyle name="Normal 10 4 2 4 2" xfId="8789" xr:uid="{00000000-0005-0000-0000-0000433C0000}"/>
    <cellStyle name="Normal 10 4 2 4 2 2" xfId="14982" xr:uid="{00000000-0005-0000-0000-0000443C0000}"/>
    <cellStyle name="Normal 10 4 2 4 2 2 2" xfId="34902" xr:uid="{00000000-0005-0000-0000-0000453C0000}"/>
    <cellStyle name="Normal 10 4 2 4 2 3" xfId="21134" xr:uid="{00000000-0005-0000-0000-0000463C0000}"/>
    <cellStyle name="Normal 10 4 2 4 2 3 2" xfId="41054" xr:uid="{00000000-0005-0000-0000-0000473C0000}"/>
    <cellStyle name="Normal 10 4 2 4 2 4" xfId="28749" xr:uid="{00000000-0005-0000-0000-0000483C0000}"/>
    <cellStyle name="Normal 10 4 2 4 3" xfId="11916" xr:uid="{00000000-0005-0000-0000-0000493C0000}"/>
    <cellStyle name="Normal 10 4 2 4 3 2" xfId="31836" xr:uid="{00000000-0005-0000-0000-00004A3C0000}"/>
    <cellStyle name="Normal 10 4 2 4 4" xfId="18068" xr:uid="{00000000-0005-0000-0000-00004B3C0000}"/>
    <cellStyle name="Normal 10 4 2 4 4 2" xfId="37988" xr:uid="{00000000-0005-0000-0000-00004C3C0000}"/>
    <cellStyle name="Normal 10 4 2 4 5" xfId="25683" xr:uid="{00000000-0005-0000-0000-00004D3C0000}"/>
    <cellStyle name="Normal 10 4 2 5" xfId="7254" xr:uid="{00000000-0005-0000-0000-00004E3C0000}"/>
    <cellStyle name="Normal 10 4 2 5 2" xfId="13448" xr:uid="{00000000-0005-0000-0000-00004F3C0000}"/>
    <cellStyle name="Normal 10 4 2 5 2 2" xfId="33368" xr:uid="{00000000-0005-0000-0000-0000503C0000}"/>
    <cellStyle name="Normal 10 4 2 5 3" xfId="19600" xr:uid="{00000000-0005-0000-0000-0000513C0000}"/>
    <cellStyle name="Normal 10 4 2 5 3 2" xfId="39520" xr:uid="{00000000-0005-0000-0000-0000523C0000}"/>
    <cellStyle name="Normal 10 4 2 5 4" xfId="27215" xr:uid="{00000000-0005-0000-0000-0000533C0000}"/>
    <cellStyle name="Normal 10 4 2 6" xfId="10382" xr:uid="{00000000-0005-0000-0000-0000543C0000}"/>
    <cellStyle name="Normal 10 4 2 6 2" xfId="30302" xr:uid="{00000000-0005-0000-0000-0000553C0000}"/>
    <cellStyle name="Normal 10 4 2 7" xfId="16534" xr:uid="{00000000-0005-0000-0000-0000563C0000}"/>
    <cellStyle name="Normal 10 4 2 7 2" xfId="36454" xr:uid="{00000000-0005-0000-0000-0000573C0000}"/>
    <cellStyle name="Normal 10 4 2 8" xfId="24149" xr:uid="{00000000-0005-0000-0000-0000583C0000}"/>
    <cellStyle name="Normal 10 4 3" xfId="3316" xr:uid="{00000000-0005-0000-0000-0000593C0000}"/>
    <cellStyle name="Normal 10 4 3 2" xfId="3317" xr:uid="{00000000-0005-0000-0000-00005A3C0000}"/>
    <cellStyle name="Normal 10 4 3 2 2" xfId="4850" xr:uid="{00000000-0005-0000-0000-00005B3C0000}"/>
    <cellStyle name="Normal 10 4 3 2 2 2" xfId="6475" xr:uid="{00000000-0005-0000-0000-00005C3C0000}"/>
    <cellStyle name="Normal 10 4 3 2 2 2 2" xfId="9561" xr:uid="{00000000-0005-0000-0000-00005D3C0000}"/>
    <cellStyle name="Normal 10 4 3 2 2 2 2 2" xfId="15754" xr:uid="{00000000-0005-0000-0000-00005E3C0000}"/>
    <cellStyle name="Normal 10 4 3 2 2 2 2 2 2" xfId="35674" xr:uid="{00000000-0005-0000-0000-00005F3C0000}"/>
    <cellStyle name="Normal 10 4 3 2 2 2 2 3" xfId="21906" xr:uid="{00000000-0005-0000-0000-0000603C0000}"/>
    <cellStyle name="Normal 10 4 3 2 2 2 2 3 2" xfId="41826" xr:uid="{00000000-0005-0000-0000-0000613C0000}"/>
    <cellStyle name="Normal 10 4 3 2 2 2 2 4" xfId="29521" xr:uid="{00000000-0005-0000-0000-0000623C0000}"/>
    <cellStyle name="Normal 10 4 3 2 2 2 3" xfId="12688" xr:uid="{00000000-0005-0000-0000-0000633C0000}"/>
    <cellStyle name="Normal 10 4 3 2 2 2 3 2" xfId="32608" xr:uid="{00000000-0005-0000-0000-0000643C0000}"/>
    <cellStyle name="Normal 10 4 3 2 2 2 4" xfId="18840" xr:uid="{00000000-0005-0000-0000-0000653C0000}"/>
    <cellStyle name="Normal 10 4 3 2 2 2 4 2" xfId="38760" xr:uid="{00000000-0005-0000-0000-0000663C0000}"/>
    <cellStyle name="Normal 10 4 3 2 2 2 5" xfId="26455" xr:uid="{00000000-0005-0000-0000-0000673C0000}"/>
    <cellStyle name="Normal 10 4 3 2 2 3" xfId="8026" xr:uid="{00000000-0005-0000-0000-0000683C0000}"/>
    <cellStyle name="Normal 10 4 3 2 2 3 2" xfId="14220" xr:uid="{00000000-0005-0000-0000-0000693C0000}"/>
    <cellStyle name="Normal 10 4 3 2 2 3 2 2" xfId="34140" xr:uid="{00000000-0005-0000-0000-00006A3C0000}"/>
    <cellStyle name="Normal 10 4 3 2 2 3 3" xfId="20372" xr:uid="{00000000-0005-0000-0000-00006B3C0000}"/>
    <cellStyle name="Normal 10 4 3 2 2 3 3 2" xfId="40292" xr:uid="{00000000-0005-0000-0000-00006C3C0000}"/>
    <cellStyle name="Normal 10 4 3 2 2 3 4" xfId="27987" xr:uid="{00000000-0005-0000-0000-00006D3C0000}"/>
    <cellStyle name="Normal 10 4 3 2 2 4" xfId="11154" xr:uid="{00000000-0005-0000-0000-00006E3C0000}"/>
    <cellStyle name="Normal 10 4 3 2 2 4 2" xfId="31074" xr:uid="{00000000-0005-0000-0000-00006F3C0000}"/>
    <cellStyle name="Normal 10 4 3 2 2 5" xfId="17306" xr:uid="{00000000-0005-0000-0000-0000703C0000}"/>
    <cellStyle name="Normal 10 4 3 2 2 5 2" xfId="37226" xr:uid="{00000000-0005-0000-0000-0000713C0000}"/>
    <cellStyle name="Normal 10 4 3 2 2 6" xfId="24921" xr:uid="{00000000-0005-0000-0000-0000723C0000}"/>
    <cellStyle name="Normal 10 4 3 2 3" xfId="5692" xr:uid="{00000000-0005-0000-0000-0000733C0000}"/>
    <cellStyle name="Normal 10 4 3 2 3 2" xfId="8792" xr:uid="{00000000-0005-0000-0000-0000743C0000}"/>
    <cellStyle name="Normal 10 4 3 2 3 2 2" xfId="14985" xr:uid="{00000000-0005-0000-0000-0000753C0000}"/>
    <cellStyle name="Normal 10 4 3 2 3 2 2 2" xfId="34905" xr:uid="{00000000-0005-0000-0000-0000763C0000}"/>
    <cellStyle name="Normal 10 4 3 2 3 2 3" xfId="21137" xr:uid="{00000000-0005-0000-0000-0000773C0000}"/>
    <cellStyle name="Normal 10 4 3 2 3 2 3 2" xfId="41057" xr:uid="{00000000-0005-0000-0000-0000783C0000}"/>
    <cellStyle name="Normal 10 4 3 2 3 2 4" xfId="28752" xr:uid="{00000000-0005-0000-0000-0000793C0000}"/>
    <cellStyle name="Normal 10 4 3 2 3 3" xfId="11919" xr:uid="{00000000-0005-0000-0000-00007A3C0000}"/>
    <cellStyle name="Normal 10 4 3 2 3 3 2" xfId="31839" xr:uid="{00000000-0005-0000-0000-00007B3C0000}"/>
    <cellStyle name="Normal 10 4 3 2 3 4" xfId="18071" xr:uid="{00000000-0005-0000-0000-00007C3C0000}"/>
    <cellStyle name="Normal 10 4 3 2 3 4 2" xfId="37991" xr:uid="{00000000-0005-0000-0000-00007D3C0000}"/>
    <cellStyle name="Normal 10 4 3 2 3 5" xfId="25686" xr:uid="{00000000-0005-0000-0000-00007E3C0000}"/>
    <cellStyle name="Normal 10 4 3 2 4" xfId="7257" xr:uid="{00000000-0005-0000-0000-00007F3C0000}"/>
    <cellStyle name="Normal 10 4 3 2 4 2" xfId="13451" xr:uid="{00000000-0005-0000-0000-0000803C0000}"/>
    <cellStyle name="Normal 10 4 3 2 4 2 2" xfId="33371" xr:uid="{00000000-0005-0000-0000-0000813C0000}"/>
    <cellStyle name="Normal 10 4 3 2 4 3" xfId="19603" xr:uid="{00000000-0005-0000-0000-0000823C0000}"/>
    <cellStyle name="Normal 10 4 3 2 4 3 2" xfId="39523" xr:uid="{00000000-0005-0000-0000-0000833C0000}"/>
    <cellStyle name="Normal 10 4 3 2 4 4" xfId="27218" xr:uid="{00000000-0005-0000-0000-0000843C0000}"/>
    <cellStyle name="Normal 10 4 3 2 5" xfId="10385" xr:uid="{00000000-0005-0000-0000-0000853C0000}"/>
    <cellStyle name="Normal 10 4 3 2 5 2" xfId="30305" xr:uid="{00000000-0005-0000-0000-0000863C0000}"/>
    <cellStyle name="Normal 10 4 3 2 6" xfId="16537" xr:uid="{00000000-0005-0000-0000-0000873C0000}"/>
    <cellStyle name="Normal 10 4 3 2 6 2" xfId="36457" xr:uid="{00000000-0005-0000-0000-0000883C0000}"/>
    <cellStyle name="Normal 10 4 3 2 7" xfId="24152" xr:uid="{00000000-0005-0000-0000-0000893C0000}"/>
    <cellStyle name="Normal 10 4 3 3" xfId="4849" xr:uid="{00000000-0005-0000-0000-00008A3C0000}"/>
    <cellStyle name="Normal 10 4 3 3 2" xfId="6474" xr:uid="{00000000-0005-0000-0000-00008B3C0000}"/>
    <cellStyle name="Normal 10 4 3 3 2 2" xfId="9560" xr:uid="{00000000-0005-0000-0000-00008C3C0000}"/>
    <cellStyle name="Normal 10 4 3 3 2 2 2" xfId="15753" xr:uid="{00000000-0005-0000-0000-00008D3C0000}"/>
    <cellStyle name="Normal 10 4 3 3 2 2 2 2" xfId="35673" xr:uid="{00000000-0005-0000-0000-00008E3C0000}"/>
    <cellStyle name="Normal 10 4 3 3 2 2 3" xfId="21905" xr:uid="{00000000-0005-0000-0000-00008F3C0000}"/>
    <cellStyle name="Normal 10 4 3 3 2 2 3 2" xfId="41825" xr:uid="{00000000-0005-0000-0000-0000903C0000}"/>
    <cellStyle name="Normal 10 4 3 3 2 2 4" xfId="29520" xr:uid="{00000000-0005-0000-0000-0000913C0000}"/>
    <cellStyle name="Normal 10 4 3 3 2 3" xfId="12687" xr:uid="{00000000-0005-0000-0000-0000923C0000}"/>
    <cellStyle name="Normal 10 4 3 3 2 3 2" xfId="32607" xr:uid="{00000000-0005-0000-0000-0000933C0000}"/>
    <cellStyle name="Normal 10 4 3 3 2 4" xfId="18839" xr:uid="{00000000-0005-0000-0000-0000943C0000}"/>
    <cellStyle name="Normal 10 4 3 3 2 4 2" xfId="38759" xr:uid="{00000000-0005-0000-0000-0000953C0000}"/>
    <cellStyle name="Normal 10 4 3 3 2 5" xfId="26454" xr:uid="{00000000-0005-0000-0000-0000963C0000}"/>
    <cellStyle name="Normal 10 4 3 3 3" xfId="8025" xr:uid="{00000000-0005-0000-0000-0000973C0000}"/>
    <cellStyle name="Normal 10 4 3 3 3 2" xfId="14219" xr:uid="{00000000-0005-0000-0000-0000983C0000}"/>
    <cellStyle name="Normal 10 4 3 3 3 2 2" xfId="34139" xr:uid="{00000000-0005-0000-0000-0000993C0000}"/>
    <cellStyle name="Normal 10 4 3 3 3 3" xfId="20371" xr:uid="{00000000-0005-0000-0000-00009A3C0000}"/>
    <cellStyle name="Normal 10 4 3 3 3 3 2" xfId="40291" xr:uid="{00000000-0005-0000-0000-00009B3C0000}"/>
    <cellStyle name="Normal 10 4 3 3 3 4" xfId="27986" xr:uid="{00000000-0005-0000-0000-00009C3C0000}"/>
    <cellStyle name="Normal 10 4 3 3 4" xfId="11153" xr:uid="{00000000-0005-0000-0000-00009D3C0000}"/>
    <cellStyle name="Normal 10 4 3 3 4 2" xfId="31073" xr:uid="{00000000-0005-0000-0000-00009E3C0000}"/>
    <cellStyle name="Normal 10 4 3 3 5" xfId="17305" xr:uid="{00000000-0005-0000-0000-00009F3C0000}"/>
    <cellStyle name="Normal 10 4 3 3 5 2" xfId="37225" xr:uid="{00000000-0005-0000-0000-0000A03C0000}"/>
    <cellStyle name="Normal 10 4 3 3 6" xfId="24920" xr:uid="{00000000-0005-0000-0000-0000A13C0000}"/>
    <cellStyle name="Normal 10 4 3 4" xfId="5691" xr:uid="{00000000-0005-0000-0000-0000A23C0000}"/>
    <cellStyle name="Normal 10 4 3 4 2" xfId="8791" xr:uid="{00000000-0005-0000-0000-0000A33C0000}"/>
    <cellStyle name="Normal 10 4 3 4 2 2" xfId="14984" xr:uid="{00000000-0005-0000-0000-0000A43C0000}"/>
    <cellStyle name="Normal 10 4 3 4 2 2 2" xfId="34904" xr:uid="{00000000-0005-0000-0000-0000A53C0000}"/>
    <cellStyle name="Normal 10 4 3 4 2 3" xfId="21136" xr:uid="{00000000-0005-0000-0000-0000A63C0000}"/>
    <cellStyle name="Normal 10 4 3 4 2 3 2" xfId="41056" xr:uid="{00000000-0005-0000-0000-0000A73C0000}"/>
    <cellStyle name="Normal 10 4 3 4 2 4" xfId="28751" xr:uid="{00000000-0005-0000-0000-0000A83C0000}"/>
    <cellStyle name="Normal 10 4 3 4 3" xfId="11918" xr:uid="{00000000-0005-0000-0000-0000A93C0000}"/>
    <cellStyle name="Normal 10 4 3 4 3 2" xfId="31838" xr:uid="{00000000-0005-0000-0000-0000AA3C0000}"/>
    <cellStyle name="Normal 10 4 3 4 4" xfId="18070" xr:uid="{00000000-0005-0000-0000-0000AB3C0000}"/>
    <cellStyle name="Normal 10 4 3 4 4 2" xfId="37990" xr:uid="{00000000-0005-0000-0000-0000AC3C0000}"/>
    <cellStyle name="Normal 10 4 3 4 5" xfId="25685" xr:uid="{00000000-0005-0000-0000-0000AD3C0000}"/>
    <cellStyle name="Normal 10 4 3 5" xfId="7256" xr:uid="{00000000-0005-0000-0000-0000AE3C0000}"/>
    <cellStyle name="Normal 10 4 3 5 2" xfId="13450" xr:uid="{00000000-0005-0000-0000-0000AF3C0000}"/>
    <cellStyle name="Normal 10 4 3 5 2 2" xfId="33370" xr:uid="{00000000-0005-0000-0000-0000B03C0000}"/>
    <cellStyle name="Normal 10 4 3 5 3" xfId="19602" xr:uid="{00000000-0005-0000-0000-0000B13C0000}"/>
    <cellStyle name="Normal 10 4 3 5 3 2" xfId="39522" xr:uid="{00000000-0005-0000-0000-0000B23C0000}"/>
    <cellStyle name="Normal 10 4 3 5 4" xfId="27217" xr:uid="{00000000-0005-0000-0000-0000B33C0000}"/>
    <cellStyle name="Normal 10 4 3 6" xfId="10384" xr:uid="{00000000-0005-0000-0000-0000B43C0000}"/>
    <cellStyle name="Normal 10 4 3 6 2" xfId="30304" xr:uid="{00000000-0005-0000-0000-0000B53C0000}"/>
    <cellStyle name="Normal 10 4 3 7" xfId="16536" xr:uid="{00000000-0005-0000-0000-0000B63C0000}"/>
    <cellStyle name="Normal 10 4 3 7 2" xfId="36456" xr:uid="{00000000-0005-0000-0000-0000B73C0000}"/>
    <cellStyle name="Normal 10 4 3 8" xfId="24151" xr:uid="{00000000-0005-0000-0000-0000B83C0000}"/>
    <cellStyle name="Normal 10 4 4" xfId="3318" xr:uid="{00000000-0005-0000-0000-0000B93C0000}"/>
    <cellStyle name="Normal 10 4 4 2" xfId="4851" xr:uid="{00000000-0005-0000-0000-0000BA3C0000}"/>
    <cellStyle name="Normal 10 4 4 2 2" xfId="6476" xr:uid="{00000000-0005-0000-0000-0000BB3C0000}"/>
    <cellStyle name="Normal 10 4 4 2 2 2" xfId="9562" xr:uid="{00000000-0005-0000-0000-0000BC3C0000}"/>
    <cellStyle name="Normal 10 4 4 2 2 2 2" xfId="15755" xr:uid="{00000000-0005-0000-0000-0000BD3C0000}"/>
    <cellStyle name="Normal 10 4 4 2 2 2 2 2" xfId="35675" xr:uid="{00000000-0005-0000-0000-0000BE3C0000}"/>
    <cellStyle name="Normal 10 4 4 2 2 2 3" xfId="21907" xr:uid="{00000000-0005-0000-0000-0000BF3C0000}"/>
    <cellStyle name="Normal 10 4 4 2 2 2 3 2" xfId="41827" xr:uid="{00000000-0005-0000-0000-0000C03C0000}"/>
    <cellStyle name="Normal 10 4 4 2 2 2 4" xfId="29522" xr:uid="{00000000-0005-0000-0000-0000C13C0000}"/>
    <cellStyle name="Normal 10 4 4 2 2 3" xfId="12689" xr:uid="{00000000-0005-0000-0000-0000C23C0000}"/>
    <cellStyle name="Normal 10 4 4 2 2 3 2" xfId="32609" xr:uid="{00000000-0005-0000-0000-0000C33C0000}"/>
    <cellStyle name="Normal 10 4 4 2 2 4" xfId="18841" xr:uid="{00000000-0005-0000-0000-0000C43C0000}"/>
    <cellStyle name="Normal 10 4 4 2 2 4 2" xfId="38761" xr:uid="{00000000-0005-0000-0000-0000C53C0000}"/>
    <cellStyle name="Normal 10 4 4 2 2 5" xfId="26456" xr:uid="{00000000-0005-0000-0000-0000C63C0000}"/>
    <cellStyle name="Normal 10 4 4 2 3" xfId="8027" xr:uid="{00000000-0005-0000-0000-0000C73C0000}"/>
    <cellStyle name="Normal 10 4 4 2 3 2" xfId="14221" xr:uid="{00000000-0005-0000-0000-0000C83C0000}"/>
    <cellStyle name="Normal 10 4 4 2 3 2 2" xfId="34141" xr:uid="{00000000-0005-0000-0000-0000C93C0000}"/>
    <cellStyle name="Normal 10 4 4 2 3 3" xfId="20373" xr:uid="{00000000-0005-0000-0000-0000CA3C0000}"/>
    <cellStyle name="Normal 10 4 4 2 3 3 2" xfId="40293" xr:uid="{00000000-0005-0000-0000-0000CB3C0000}"/>
    <cellStyle name="Normal 10 4 4 2 3 4" xfId="27988" xr:uid="{00000000-0005-0000-0000-0000CC3C0000}"/>
    <cellStyle name="Normal 10 4 4 2 4" xfId="11155" xr:uid="{00000000-0005-0000-0000-0000CD3C0000}"/>
    <cellStyle name="Normal 10 4 4 2 4 2" xfId="31075" xr:uid="{00000000-0005-0000-0000-0000CE3C0000}"/>
    <cellStyle name="Normal 10 4 4 2 5" xfId="17307" xr:uid="{00000000-0005-0000-0000-0000CF3C0000}"/>
    <cellStyle name="Normal 10 4 4 2 5 2" xfId="37227" xr:uid="{00000000-0005-0000-0000-0000D03C0000}"/>
    <cellStyle name="Normal 10 4 4 2 6" xfId="24922" xr:uid="{00000000-0005-0000-0000-0000D13C0000}"/>
    <cellStyle name="Normal 10 4 4 3" xfId="5693" xr:uid="{00000000-0005-0000-0000-0000D23C0000}"/>
    <cellStyle name="Normal 10 4 4 3 2" xfId="8793" xr:uid="{00000000-0005-0000-0000-0000D33C0000}"/>
    <cellStyle name="Normal 10 4 4 3 2 2" xfId="14986" xr:uid="{00000000-0005-0000-0000-0000D43C0000}"/>
    <cellStyle name="Normal 10 4 4 3 2 2 2" xfId="34906" xr:uid="{00000000-0005-0000-0000-0000D53C0000}"/>
    <cellStyle name="Normal 10 4 4 3 2 3" xfId="21138" xr:uid="{00000000-0005-0000-0000-0000D63C0000}"/>
    <cellStyle name="Normal 10 4 4 3 2 3 2" xfId="41058" xr:uid="{00000000-0005-0000-0000-0000D73C0000}"/>
    <cellStyle name="Normal 10 4 4 3 2 4" xfId="28753" xr:uid="{00000000-0005-0000-0000-0000D83C0000}"/>
    <cellStyle name="Normal 10 4 4 3 3" xfId="11920" xr:uid="{00000000-0005-0000-0000-0000D93C0000}"/>
    <cellStyle name="Normal 10 4 4 3 3 2" xfId="31840" xr:uid="{00000000-0005-0000-0000-0000DA3C0000}"/>
    <cellStyle name="Normal 10 4 4 3 4" xfId="18072" xr:uid="{00000000-0005-0000-0000-0000DB3C0000}"/>
    <cellStyle name="Normal 10 4 4 3 4 2" xfId="37992" xr:uid="{00000000-0005-0000-0000-0000DC3C0000}"/>
    <cellStyle name="Normal 10 4 4 3 5" xfId="25687" xr:uid="{00000000-0005-0000-0000-0000DD3C0000}"/>
    <cellStyle name="Normal 10 4 4 4" xfId="7258" xr:uid="{00000000-0005-0000-0000-0000DE3C0000}"/>
    <cellStyle name="Normal 10 4 4 4 2" xfId="13452" xr:uid="{00000000-0005-0000-0000-0000DF3C0000}"/>
    <cellStyle name="Normal 10 4 4 4 2 2" xfId="33372" xr:uid="{00000000-0005-0000-0000-0000E03C0000}"/>
    <cellStyle name="Normal 10 4 4 4 3" xfId="19604" xr:uid="{00000000-0005-0000-0000-0000E13C0000}"/>
    <cellStyle name="Normal 10 4 4 4 3 2" xfId="39524" xr:uid="{00000000-0005-0000-0000-0000E23C0000}"/>
    <cellStyle name="Normal 10 4 4 4 4" xfId="27219" xr:uid="{00000000-0005-0000-0000-0000E33C0000}"/>
    <cellStyle name="Normal 10 4 4 5" xfId="10386" xr:uid="{00000000-0005-0000-0000-0000E43C0000}"/>
    <cellStyle name="Normal 10 4 4 5 2" xfId="30306" xr:uid="{00000000-0005-0000-0000-0000E53C0000}"/>
    <cellStyle name="Normal 10 4 4 6" xfId="16538" xr:uid="{00000000-0005-0000-0000-0000E63C0000}"/>
    <cellStyle name="Normal 10 4 4 6 2" xfId="36458" xr:uid="{00000000-0005-0000-0000-0000E73C0000}"/>
    <cellStyle name="Normal 10 4 4 7" xfId="24153" xr:uid="{00000000-0005-0000-0000-0000E83C0000}"/>
    <cellStyle name="Normal 10 4 5" xfId="4846" xr:uid="{00000000-0005-0000-0000-0000E93C0000}"/>
    <cellStyle name="Normal 10 4 5 2" xfId="6471" xr:uid="{00000000-0005-0000-0000-0000EA3C0000}"/>
    <cellStyle name="Normal 10 4 5 2 2" xfId="9557" xr:uid="{00000000-0005-0000-0000-0000EB3C0000}"/>
    <cellStyle name="Normal 10 4 5 2 2 2" xfId="15750" xr:uid="{00000000-0005-0000-0000-0000EC3C0000}"/>
    <cellStyle name="Normal 10 4 5 2 2 2 2" xfId="35670" xr:uid="{00000000-0005-0000-0000-0000ED3C0000}"/>
    <cellStyle name="Normal 10 4 5 2 2 3" xfId="21902" xr:uid="{00000000-0005-0000-0000-0000EE3C0000}"/>
    <cellStyle name="Normal 10 4 5 2 2 3 2" xfId="41822" xr:uid="{00000000-0005-0000-0000-0000EF3C0000}"/>
    <cellStyle name="Normal 10 4 5 2 2 4" xfId="29517" xr:uid="{00000000-0005-0000-0000-0000F03C0000}"/>
    <cellStyle name="Normal 10 4 5 2 3" xfId="12684" xr:uid="{00000000-0005-0000-0000-0000F13C0000}"/>
    <cellStyle name="Normal 10 4 5 2 3 2" xfId="32604" xr:uid="{00000000-0005-0000-0000-0000F23C0000}"/>
    <cellStyle name="Normal 10 4 5 2 4" xfId="18836" xr:uid="{00000000-0005-0000-0000-0000F33C0000}"/>
    <cellStyle name="Normal 10 4 5 2 4 2" xfId="38756" xr:uid="{00000000-0005-0000-0000-0000F43C0000}"/>
    <cellStyle name="Normal 10 4 5 2 5" xfId="26451" xr:uid="{00000000-0005-0000-0000-0000F53C0000}"/>
    <cellStyle name="Normal 10 4 5 3" xfId="8022" xr:uid="{00000000-0005-0000-0000-0000F63C0000}"/>
    <cellStyle name="Normal 10 4 5 3 2" xfId="14216" xr:uid="{00000000-0005-0000-0000-0000F73C0000}"/>
    <cellStyle name="Normal 10 4 5 3 2 2" xfId="34136" xr:uid="{00000000-0005-0000-0000-0000F83C0000}"/>
    <cellStyle name="Normal 10 4 5 3 3" xfId="20368" xr:uid="{00000000-0005-0000-0000-0000F93C0000}"/>
    <cellStyle name="Normal 10 4 5 3 3 2" xfId="40288" xr:uid="{00000000-0005-0000-0000-0000FA3C0000}"/>
    <cellStyle name="Normal 10 4 5 3 4" xfId="27983" xr:uid="{00000000-0005-0000-0000-0000FB3C0000}"/>
    <cellStyle name="Normal 10 4 5 4" xfId="11150" xr:uid="{00000000-0005-0000-0000-0000FC3C0000}"/>
    <cellStyle name="Normal 10 4 5 4 2" xfId="31070" xr:uid="{00000000-0005-0000-0000-0000FD3C0000}"/>
    <cellStyle name="Normal 10 4 5 5" xfId="17302" xr:uid="{00000000-0005-0000-0000-0000FE3C0000}"/>
    <cellStyle name="Normal 10 4 5 5 2" xfId="37222" xr:uid="{00000000-0005-0000-0000-0000FF3C0000}"/>
    <cellStyle name="Normal 10 4 5 6" xfId="24917" xr:uid="{00000000-0005-0000-0000-0000003D0000}"/>
    <cellStyle name="Normal 10 4 6" xfId="5688" xr:uid="{00000000-0005-0000-0000-0000013D0000}"/>
    <cellStyle name="Normal 10 4 6 2" xfId="8788" xr:uid="{00000000-0005-0000-0000-0000023D0000}"/>
    <cellStyle name="Normal 10 4 6 2 2" xfId="14981" xr:uid="{00000000-0005-0000-0000-0000033D0000}"/>
    <cellStyle name="Normal 10 4 6 2 2 2" xfId="34901" xr:uid="{00000000-0005-0000-0000-0000043D0000}"/>
    <cellStyle name="Normal 10 4 6 2 3" xfId="21133" xr:uid="{00000000-0005-0000-0000-0000053D0000}"/>
    <cellStyle name="Normal 10 4 6 2 3 2" xfId="41053" xr:uid="{00000000-0005-0000-0000-0000063D0000}"/>
    <cellStyle name="Normal 10 4 6 2 4" xfId="28748" xr:uid="{00000000-0005-0000-0000-0000073D0000}"/>
    <cellStyle name="Normal 10 4 6 3" xfId="11915" xr:uid="{00000000-0005-0000-0000-0000083D0000}"/>
    <cellStyle name="Normal 10 4 6 3 2" xfId="31835" xr:uid="{00000000-0005-0000-0000-0000093D0000}"/>
    <cellStyle name="Normal 10 4 6 4" xfId="18067" xr:uid="{00000000-0005-0000-0000-00000A3D0000}"/>
    <cellStyle name="Normal 10 4 6 4 2" xfId="37987" xr:uid="{00000000-0005-0000-0000-00000B3D0000}"/>
    <cellStyle name="Normal 10 4 6 5" xfId="25682" xr:uid="{00000000-0005-0000-0000-00000C3D0000}"/>
    <cellStyle name="Normal 10 4 7" xfId="7253" xr:uid="{00000000-0005-0000-0000-00000D3D0000}"/>
    <cellStyle name="Normal 10 4 7 2" xfId="13447" xr:uid="{00000000-0005-0000-0000-00000E3D0000}"/>
    <cellStyle name="Normal 10 4 7 2 2" xfId="33367" xr:uid="{00000000-0005-0000-0000-00000F3D0000}"/>
    <cellStyle name="Normal 10 4 7 3" xfId="19599" xr:uid="{00000000-0005-0000-0000-0000103D0000}"/>
    <cellStyle name="Normal 10 4 7 3 2" xfId="39519" xr:uid="{00000000-0005-0000-0000-0000113D0000}"/>
    <cellStyle name="Normal 10 4 7 4" xfId="27214" xr:uid="{00000000-0005-0000-0000-0000123D0000}"/>
    <cellStyle name="Normal 10 4 8" xfId="10381" xr:uid="{00000000-0005-0000-0000-0000133D0000}"/>
    <cellStyle name="Normal 10 4 8 2" xfId="30301" xr:uid="{00000000-0005-0000-0000-0000143D0000}"/>
    <cellStyle name="Normal 10 4 9" xfId="16533" xr:uid="{00000000-0005-0000-0000-0000153D0000}"/>
    <cellStyle name="Normal 10 4 9 2" xfId="36453" xr:uid="{00000000-0005-0000-0000-0000163D0000}"/>
    <cellStyle name="Normal 10 5" xfId="3319" xr:uid="{00000000-0005-0000-0000-0000173D0000}"/>
    <cellStyle name="Normal 10 5 10" xfId="24154" xr:uid="{00000000-0005-0000-0000-0000183D0000}"/>
    <cellStyle name="Normal 10 5 2" xfId="3320" xr:uid="{00000000-0005-0000-0000-0000193D0000}"/>
    <cellStyle name="Normal 10 5 2 2" xfId="3321" xr:uid="{00000000-0005-0000-0000-00001A3D0000}"/>
    <cellStyle name="Normal 10 5 2 2 2" xfId="4854" xr:uid="{00000000-0005-0000-0000-00001B3D0000}"/>
    <cellStyle name="Normal 10 5 2 2 2 2" xfId="6479" xr:uid="{00000000-0005-0000-0000-00001C3D0000}"/>
    <cellStyle name="Normal 10 5 2 2 2 2 2" xfId="9565" xr:uid="{00000000-0005-0000-0000-00001D3D0000}"/>
    <cellStyle name="Normal 10 5 2 2 2 2 2 2" xfId="15758" xr:uid="{00000000-0005-0000-0000-00001E3D0000}"/>
    <cellStyle name="Normal 10 5 2 2 2 2 2 2 2" xfId="35678" xr:uid="{00000000-0005-0000-0000-00001F3D0000}"/>
    <cellStyle name="Normal 10 5 2 2 2 2 2 3" xfId="21910" xr:uid="{00000000-0005-0000-0000-0000203D0000}"/>
    <cellStyle name="Normal 10 5 2 2 2 2 2 3 2" xfId="41830" xr:uid="{00000000-0005-0000-0000-0000213D0000}"/>
    <cellStyle name="Normal 10 5 2 2 2 2 2 4" xfId="29525" xr:uid="{00000000-0005-0000-0000-0000223D0000}"/>
    <cellStyle name="Normal 10 5 2 2 2 2 3" xfId="12692" xr:uid="{00000000-0005-0000-0000-0000233D0000}"/>
    <cellStyle name="Normal 10 5 2 2 2 2 3 2" xfId="32612" xr:uid="{00000000-0005-0000-0000-0000243D0000}"/>
    <cellStyle name="Normal 10 5 2 2 2 2 4" xfId="18844" xr:uid="{00000000-0005-0000-0000-0000253D0000}"/>
    <cellStyle name="Normal 10 5 2 2 2 2 4 2" xfId="38764" xr:uid="{00000000-0005-0000-0000-0000263D0000}"/>
    <cellStyle name="Normal 10 5 2 2 2 2 5" xfId="26459" xr:uid="{00000000-0005-0000-0000-0000273D0000}"/>
    <cellStyle name="Normal 10 5 2 2 2 3" xfId="8030" xr:uid="{00000000-0005-0000-0000-0000283D0000}"/>
    <cellStyle name="Normal 10 5 2 2 2 3 2" xfId="14224" xr:uid="{00000000-0005-0000-0000-0000293D0000}"/>
    <cellStyle name="Normal 10 5 2 2 2 3 2 2" xfId="34144" xr:uid="{00000000-0005-0000-0000-00002A3D0000}"/>
    <cellStyle name="Normal 10 5 2 2 2 3 3" xfId="20376" xr:uid="{00000000-0005-0000-0000-00002B3D0000}"/>
    <cellStyle name="Normal 10 5 2 2 2 3 3 2" xfId="40296" xr:uid="{00000000-0005-0000-0000-00002C3D0000}"/>
    <cellStyle name="Normal 10 5 2 2 2 3 4" xfId="27991" xr:uid="{00000000-0005-0000-0000-00002D3D0000}"/>
    <cellStyle name="Normal 10 5 2 2 2 4" xfId="11158" xr:uid="{00000000-0005-0000-0000-00002E3D0000}"/>
    <cellStyle name="Normal 10 5 2 2 2 4 2" xfId="31078" xr:uid="{00000000-0005-0000-0000-00002F3D0000}"/>
    <cellStyle name="Normal 10 5 2 2 2 5" xfId="17310" xr:uid="{00000000-0005-0000-0000-0000303D0000}"/>
    <cellStyle name="Normal 10 5 2 2 2 5 2" xfId="37230" xr:uid="{00000000-0005-0000-0000-0000313D0000}"/>
    <cellStyle name="Normal 10 5 2 2 2 6" xfId="24925" xr:uid="{00000000-0005-0000-0000-0000323D0000}"/>
    <cellStyle name="Normal 10 5 2 2 3" xfId="5696" xr:uid="{00000000-0005-0000-0000-0000333D0000}"/>
    <cellStyle name="Normal 10 5 2 2 3 2" xfId="8796" xr:uid="{00000000-0005-0000-0000-0000343D0000}"/>
    <cellStyle name="Normal 10 5 2 2 3 2 2" xfId="14989" xr:uid="{00000000-0005-0000-0000-0000353D0000}"/>
    <cellStyle name="Normal 10 5 2 2 3 2 2 2" xfId="34909" xr:uid="{00000000-0005-0000-0000-0000363D0000}"/>
    <cellStyle name="Normal 10 5 2 2 3 2 3" xfId="21141" xr:uid="{00000000-0005-0000-0000-0000373D0000}"/>
    <cellStyle name="Normal 10 5 2 2 3 2 3 2" xfId="41061" xr:uid="{00000000-0005-0000-0000-0000383D0000}"/>
    <cellStyle name="Normal 10 5 2 2 3 2 4" xfId="28756" xr:uid="{00000000-0005-0000-0000-0000393D0000}"/>
    <cellStyle name="Normal 10 5 2 2 3 3" xfId="11923" xr:uid="{00000000-0005-0000-0000-00003A3D0000}"/>
    <cellStyle name="Normal 10 5 2 2 3 3 2" xfId="31843" xr:uid="{00000000-0005-0000-0000-00003B3D0000}"/>
    <cellStyle name="Normal 10 5 2 2 3 4" xfId="18075" xr:uid="{00000000-0005-0000-0000-00003C3D0000}"/>
    <cellStyle name="Normal 10 5 2 2 3 4 2" xfId="37995" xr:uid="{00000000-0005-0000-0000-00003D3D0000}"/>
    <cellStyle name="Normal 10 5 2 2 3 5" xfId="25690" xr:uid="{00000000-0005-0000-0000-00003E3D0000}"/>
    <cellStyle name="Normal 10 5 2 2 4" xfId="7261" xr:uid="{00000000-0005-0000-0000-00003F3D0000}"/>
    <cellStyle name="Normal 10 5 2 2 4 2" xfId="13455" xr:uid="{00000000-0005-0000-0000-0000403D0000}"/>
    <cellStyle name="Normal 10 5 2 2 4 2 2" xfId="33375" xr:uid="{00000000-0005-0000-0000-0000413D0000}"/>
    <cellStyle name="Normal 10 5 2 2 4 3" xfId="19607" xr:uid="{00000000-0005-0000-0000-0000423D0000}"/>
    <cellStyle name="Normal 10 5 2 2 4 3 2" xfId="39527" xr:uid="{00000000-0005-0000-0000-0000433D0000}"/>
    <cellStyle name="Normal 10 5 2 2 4 4" xfId="27222" xr:uid="{00000000-0005-0000-0000-0000443D0000}"/>
    <cellStyle name="Normal 10 5 2 2 5" xfId="10389" xr:uid="{00000000-0005-0000-0000-0000453D0000}"/>
    <cellStyle name="Normal 10 5 2 2 5 2" xfId="30309" xr:uid="{00000000-0005-0000-0000-0000463D0000}"/>
    <cellStyle name="Normal 10 5 2 2 6" xfId="16541" xr:uid="{00000000-0005-0000-0000-0000473D0000}"/>
    <cellStyle name="Normal 10 5 2 2 6 2" xfId="36461" xr:uid="{00000000-0005-0000-0000-0000483D0000}"/>
    <cellStyle name="Normal 10 5 2 2 7" xfId="24156" xr:uid="{00000000-0005-0000-0000-0000493D0000}"/>
    <cellStyle name="Normal 10 5 2 3" xfId="4853" xr:uid="{00000000-0005-0000-0000-00004A3D0000}"/>
    <cellStyle name="Normal 10 5 2 3 2" xfId="6478" xr:uid="{00000000-0005-0000-0000-00004B3D0000}"/>
    <cellStyle name="Normal 10 5 2 3 2 2" xfId="9564" xr:uid="{00000000-0005-0000-0000-00004C3D0000}"/>
    <cellStyle name="Normal 10 5 2 3 2 2 2" xfId="15757" xr:uid="{00000000-0005-0000-0000-00004D3D0000}"/>
    <cellStyle name="Normal 10 5 2 3 2 2 2 2" xfId="35677" xr:uid="{00000000-0005-0000-0000-00004E3D0000}"/>
    <cellStyle name="Normal 10 5 2 3 2 2 3" xfId="21909" xr:uid="{00000000-0005-0000-0000-00004F3D0000}"/>
    <cellStyle name="Normal 10 5 2 3 2 2 3 2" xfId="41829" xr:uid="{00000000-0005-0000-0000-0000503D0000}"/>
    <cellStyle name="Normal 10 5 2 3 2 2 4" xfId="29524" xr:uid="{00000000-0005-0000-0000-0000513D0000}"/>
    <cellStyle name="Normal 10 5 2 3 2 3" xfId="12691" xr:uid="{00000000-0005-0000-0000-0000523D0000}"/>
    <cellStyle name="Normal 10 5 2 3 2 3 2" xfId="32611" xr:uid="{00000000-0005-0000-0000-0000533D0000}"/>
    <cellStyle name="Normal 10 5 2 3 2 4" xfId="18843" xr:uid="{00000000-0005-0000-0000-0000543D0000}"/>
    <cellStyle name="Normal 10 5 2 3 2 4 2" xfId="38763" xr:uid="{00000000-0005-0000-0000-0000553D0000}"/>
    <cellStyle name="Normal 10 5 2 3 2 5" xfId="26458" xr:uid="{00000000-0005-0000-0000-0000563D0000}"/>
    <cellStyle name="Normal 10 5 2 3 3" xfId="8029" xr:uid="{00000000-0005-0000-0000-0000573D0000}"/>
    <cellStyle name="Normal 10 5 2 3 3 2" xfId="14223" xr:uid="{00000000-0005-0000-0000-0000583D0000}"/>
    <cellStyle name="Normal 10 5 2 3 3 2 2" xfId="34143" xr:uid="{00000000-0005-0000-0000-0000593D0000}"/>
    <cellStyle name="Normal 10 5 2 3 3 3" xfId="20375" xr:uid="{00000000-0005-0000-0000-00005A3D0000}"/>
    <cellStyle name="Normal 10 5 2 3 3 3 2" xfId="40295" xr:uid="{00000000-0005-0000-0000-00005B3D0000}"/>
    <cellStyle name="Normal 10 5 2 3 3 4" xfId="27990" xr:uid="{00000000-0005-0000-0000-00005C3D0000}"/>
    <cellStyle name="Normal 10 5 2 3 4" xfId="11157" xr:uid="{00000000-0005-0000-0000-00005D3D0000}"/>
    <cellStyle name="Normal 10 5 2 3 4 2" xfId="31077" xr:uid="{00000000-0005-0000-0000-00005E3D0000}"/>
    <cellStyle name="Normal 10 5 2 3 5" xfId="17309" xr:uid="{00000000-0005-0000-0000-00005F3D0000}"/>
    <cellStyle name="Normal 10 5 2 3 5 2" xfId="37229" xr:uid="{00000000-0005-0000-0000-0000603D0000}"/>
    <cellStyle name="Normal 10 5 2 3 6" xfId="24924" xr:uid="{00000000-0005-0000-0000-0000613D0000}"/>
    <cellStyle name="Normal 10 5 2 4" xfId="5695" xr:uid="{00000000-0005-0000-0000-0000623D0000}"/>
    <cellStyle name="Normal 10 5 2 4 2" xfId="8795" xr:uid="{00000000-0005-0000-0000-0000633D0000}"/>
    <cellStyle name="Normal 10 5 2 4 2 2" xfId="14988" xr:uid="{00000000-0005-0000-0000-0000643D0000}"/>
    <cellStyle name="Normal 10 5 2 4 2 2 2" xfId="34908" xr:uid="{00000000-0005-0000-0000-0000653D0000}"/>
    <cellStyle name="Normal 10 5 2 4 2 3" xfId="21140" xr:uid="{00000000-0005-0000-0000-0000663D0000}"/>
    <cellStyle name="Normal 10 5 2 4 2 3 2" xfId="41060" xr:uid="{00000000-0005-0000-0000-0000673D0000}"/>
    <cellStyle name="Normal 10 5 2 4 2 4" xfId="28755" xr:uid="{00000000-0005-0000-0000-0000683D0000}"/>
    <cellStyle name="Normal 10 5 2 4 3" xfId="11922" xr:uid="{00000000-0005-0000-0000-0000693D0000}"/>
    <cellStyle name="Normal 10 5 2 4 3 2" xfId="31842" xr:uid="{00000000-0005-0000-0000-00006A3D0000}"/>
    <cellStyle name="Normal 10 5 2 4 4" xfId="18074" xr:uid="{00000000-0005-0000-0000-00006B3D0000}"/>
    <cellStyle name="Normal 10 5 2 4 4 2" xfId="37994" xr:uid="{00000000-0005-0000-0000-00006C3D0000}"/>
    <cellStyle name="Normal 10 5 2 4 5" xfId="25689" xr:uid="{00000000-0005-0000-0000-00006D3D0000}"/>
    <cellStyle name="Normal 10 5 2 5" xfId="7260" xr:uid="{00000000-0005-0000-0000-00006E3D0000}"/>
    <cellStyle name="Normal 10 5 2 5 2" xfId="13454" xr:uid="{00000000-0005-0000-0000-00006F3D0000}"/>
    <cellStyle name="Normal 10 5 2 5 2 2" xfId="33374" xr:uid="{00000000-0005-0000-0000-0000703D0000}"/>
    <cellStyle name="Normal 10 5 2 5 3" xfId="19606" xr:uid="{00000000-0005-0000-0000-0000713D0000}"/>
    <cellStyle name="Normal 10 5 2 5 3 2" xfId="39526" xr:uid="{00000000-0005-0000-0000-0000723D0000}"/>
    <cellStyle name="Normal 10 5 2 5 4" xfId="27221" xr:uid="{00000000-0005-0000-0000-0000733D0000}"/>
    <cellStyle name="Normal 10 5 2 6" xfId="10388" xr:uid="{00000000-0005-0000-0000-0000743D0000}"/>
    <cellStyle name="Normal 10 5 2 6 2" xfId="30308" xr:uid="{00000000-0005-0000-0000-0000753D0000}"/>
    <cellStyle name="Normal 10 5 2 7" xfId="16540" xr:uid="{00000000-0005-0000-0000-0000763D0000}"/>
    <cellStyle name="Normal 10 5 2 7 2" xfId="36460" xr:uid="{00000000-0005-0000-0000-0000773D0000}"/>
    <cellStyle name="Normal 10 5 2 8" xfId="24155" xr:uid="{00000000-0005-0000-0000-0000783D0000}"/>
    <cellStyle name="Normal 10 5 3" xfId="3322" xr:uid="{00000000-0005-0000-0000-0000793D0000}"/>
    <cellStyle name="Normal 10 5 3 2" xfId="3323" xr:uid="{00000000-0005-0000-0000-00007A3D0000}"/>
    <cellStyle name="Normal 10 5 3 2 2" xfId="4856" xr:uid="{00000000-0005-0000-0000-00007B3D0000}"/>
    <cellStyle name="Normal 10 5 3 2 2 2" xfId="6481" xr:uid="{00000000-0005-0000-0000-00007C3D0000}"/>
    <cellStyle name="Normal 10 5 3 2 2 2 2" xfId="9567" xr:uid="{00000000-0005-0000-0000-00007D3D0000}"/>
    <cellStyle name="Normal 10 5 3 2 2 2 2 2" xfId="15760" xr:uid="{00000000-0005-0000-0000-00007E3D0000}"/>
    <cellStyle name="Normal 10 5 3 2 2 2 2 2 2" xfId="35680" xr:uid="{00000000-0005-0000-0000-00007F3D0000}"/>
    <cellStyle name="Normal 10 5 3 2 2 2 2 3" xfId="21912" xr:uid="{00000000-0005-0000-0000-0000803D0000}"/>
    <cellStyle name="Normal 10 5 3 2 2 2 2 3 2" xfId="41832" xr:uid="{00000000-0005-0000-0000-0000813D0000}"/>
    <cellStyle name="Normal 10 5 3 2 2 2 2 4" xfId="29527" xr:uid="{00000000-0005-0000-0000-0000823D0000}"/>
    <cellStyle name="Normal 10 5 3 2 2 2 3" xfId="12694" xr:uid="{00000000-0005-0000-0000-0000833D0000}"/>
    <cellStyle name="Normal 10 5 3 2 2 2 3 2" xfId="32614" xr:uid="{00000000-0005-0000-0000-0000843D0000}"/>
    <cellStyle name="Normal 10 5 3 2 2 2 4" xfId="18846" xr:uid="{00000000-0005-0000-0000-0000853D0000}"/>
    <cellStyle name="Normal 10 5 3 2 2 2 4 2" xfId="38766" xr:uid="{00000000-0005-0000-0000-0000863D0000}"/>
    <cellStyle name="Normal 10 5 3 2 2 2 5" xfId="26461" xr:uid="{00000000-0005-0000-0000-0000873D0000}"/>
    <cellStyle name="Normal 10 5 3 2 2 3" xfId="8032" xr:uid="{00000000-0005-0000-0000-0000883D0000}"/>
    <cellStyle name="Normal 10 5 3 2 2 3 2" xfId="14226" xr:uid="{00000000-0005-0000-0000-0000893D0000}"/>
    <cellStyle name="Normal 10 5 3 2 2 3 2 2" xfId="34146" xr:uid="{00000000-0005-0000-0000-00008A3D0000}"/>
    <cellStyle name="Normal 10 5 3 2 2 3 3" xfId="20378" xr:uid="{00000000-0005-0000-0000-00008B3D0000}"/>
    <cellStyle name="Normal 10 5 3 2 2 3 3 2" xfId="40298" xr:uid="{00000000-0005-0000-0000-00008C3D0000}"/>
    <cellStyle name="Normal 10 5 3 2 2 3 4" xfId="27993" xr:uid="{00000000-0005-0000-0000-00008D3D0000}"/>
    <cellStyle name="Normal 10 5 3 2 2 4" xfId="11160" xr:uid="{00000000-0005-0000-0000-00008E3D0000}"/>
    <cellStyle name="Normal 10 5 3 2 2 4 2" xfId="31080" xr:uid="{00000000-0005-0000-0000-00008F3D0000}"/>
    <cellStyle name="Normal 10 5 3 2 2 5" xfId="17312" xr:uid="{00000000-0005-0000-0000-0000903D0000}"/>
    <cellStyle name="Normal 10 5 3 2 2 5 2" xfId="37232" xr:uid="{00000000-0005-0000-0000-0000913D0000}"/>
    <cellStyle name="Normal 10 5 3 2 2 6" xfId="24927" xr:uid="{00000000-0005-0000-0000-0000923D0000}"/>
    <cellStyle name="Normal 10 5 3 2 3" xfId="5698" xr:uid="{00000000-0005-0000-0000-0000933D0000}"/>
    <cellStyle name="Normal 10 5 3 2 3 2" xfId="8798" xr:uid="{00000000-0005-0000-0000-0000943D0000}"/>
    <cellStyle name="Normal 10 5 3 2 3 2 2" xfId="14991" xr:uid="{00000000-0005-0000-0000-0000953D0000}"/>
    <cellStyle name="Normal 10 5 3 2 3 2 2 2" xfId="34911" xr:uid="{00000000-0005-0000-0000-0000963D0000}"/>
    <cellStyle name="Normal 10 5 3 2 3 2 3" xfId="21143" xr:uid="{00000000-0005-0000-0000-0000973D0000}"/>
    <cellStyle name="Normal 10 5 3 2 3 2 3 2" xfId="41063" xr:uid="{00000000-0005-0000-0000-0000983D0000}"/>
    <cellStyle name="Normal 10 5 3 2 3 2 4" xfId="28758" xr:uid="{00000000-0005-0000-0000-0000993D0000}"/>
    <cellStyle name="Normal 10 5 3 2 3 3" xfId="11925" xr:uid="{00000000-0005-0000-0000-00009A3D0000}"/>
    <cellStyle name="Normal 10 5 3 2 3 3 2" xfId="31845" xr:uid="{00000000-0005-0000-0000-00009B3D0000}"/>
    <cellStyle name="Normal 10 5 3 2 3 4" xfId="18077" xr:uid="{00000000-0005-0000-0000-00009C3D0000}"/>
    <cellStyle name="Normal 10 5 3 2 3 4 2" xfId="37997" xr:uid="{00000000-0005-0000-0000-00009D3D0000}"/>
    <cellStyle name="Normal 10 5 3 2 3 5" xfId="25692" xr:uid="{00000000-0005-0000-0000-00009E3D0000}"/>
    <cellStyle name="Normal 10 5 3 2 4" xfId="7263" xr:uid="{00000000-0005-0000-0000-00009F3D0000}"/>
    <cellStyle name="Normal 10 5 3 2 4 2" xfId="13457" xr:uid="{00000000-0005-0000-0000-0000A03D0000}"/>
    <cellStyle name="Normal 10 5 3 2 4 2 2" xfId="33377" xr:uid="{00000000-0005-0000-0000-0000A13D0000}"/>
    <cellStyle name="Normal 10 5 3 2 4 3" xfId="19609" xr:uid="{00000000-0005-0000-0000-0000A23D0000}"/>
    <cellStyle name="Normal 10 5 3 2 4 3 2" xfId="39529" xr:uid="{00000000-0005-0000-0000-0000A33D0000}"/>
    <cellStyle name="Normal 10 5 3 2 4 4" xfId="27224" xr:uid="{00000000-0005-0000-0000-0000A43D0000}"/>
    <cellStyle name="Normal 10 5 3 2 5" xfId="10391" xr:uid="{00000000-0005-0000-0000-0000A53D0000}"/>
    <cellStyle name="Normal 10 5 3 2 5 2" xfId="30311" xr:uid="{00000000-0005-0000-0000-0000A63D0000}"/>
    <cellStyle name="Normal 10 5 3 2 6" xfId="16543" xr:uid="{00000000-0005-0000-0000-0000A73D0000}"/>
    <cellStyle name="Normal 10 5 3 2 6 2" xfId="36463" xr:uid="{00000000-0005-0000-0000-0000A83D0000}"/>
    <cellStyle name="Normal 10 5 3 2 7" xfId="24158" xr:uid="{00000000-0005-0000-0000-0000A93D0000}"/>
    <cellStyle name="Normal 10 5 3 3" xfId="4855" xr:uid="{00000000-0005-0000-0000-0000AA3D0000}"/>
    <cellStyle name="Normal 10 5 3 3 2" xfId="6480" xr:uid="{00000000-0005-0000-0000-0000AB3D0000}"/>
    <cellStyle name="Normal 10 5 3 3 2 2" xfId="9566" xr:uid="{00000000-0005-0000-0000-0000AC3D0000}"/>
    <cellStyle name="Normal 10 5 3 3 2 2 2" xfId="15759" xr:uid="{00000000-0005-0000-0000-0000AD3D0000}"/>
    <cellStyle name="Normal 10 5 3 3 2 2 2 2" xfId="35679" xr:uid="{00000000-0005-0000-0000-0000AE3D0000}"/>
    <cellStyle name="Normal 10 5 3 3 2 2 3" xfId="21911" xr:uid="{00000000-0005-0000-0000-0000AF3D0000}"/>
    <cellStyle name="Normal 10 5 3 3 2 2 3 2" xfId="41831" xr:uid="{00000000-0005-0000-0000-0000B03D0000}"/>
    <cellStyle name="Normal 10 5 3 3 2 2 4" xfId="29526" xr:uid="{00000000-0005-0000-0000-0000B13D0000}"/>
    <cellStyle name="Normal 10 5 3 3 2 3" xfId="12693" xr:uid="{00000000-0005-0000-0000-0000B23D0000}"/>
    <cellStyle name="Normal 10 5 3 3 2 3 2" xfId="32613" xr:uid="{00000000-0005-0000-0000-0000B33D0000}"/>
    <cellStyle name="Normal 10 5 3 3 2 4" xfId="18845" xr:uid="{00000000-0005-0000-0000-0000B43D0000}"/>
    <cellStyle name="Normal 10 5 3 3 2 4 2" xfId="38765" xr:uid="{00000000-0005-0000-0000-0000B53D0000}"/>
    <cellStyle name="Normal 10 5 3 3 2 5" xfId="26460" xr:uid="{00000000-0005-0000-0000-0000B63D0000}"/>
    <cellStyle name="Normal 10 5 3 3 3" xfId="8031" xr:uid="{00000000-0005-0000-0000-0000B73D0000}"/>
    <cellStyle name="Normal 10 5 3 3 3 2" xfId="14225" xr:uid="{00000000-0005-0000-0000-0000B83D0000}"/>
    <cellStyle name="Normal 10 5 3 3 3 2 2" xfId="34145" xr:uid="{00000000-0005-0000-0000-0000B93D0000}"/>
    <cellStyle name="Normal 10 5 3 3 3 3" xfId="20377" xr:uid="{00000000-0005-0000-0000-0000BA3D0000}"/>
    <cellStyle name="Normal 10 5 3 3 3 3 2" xfId="40297" xr:uid="{00000000-0005-0000-0000-0000BB3D0000}"/>
    <cellStyle name="Normal 10 5 3 3 3 4" xfId="27992" xr:uid="{00000000-0005-0000-0000-0000BC3D0000}"/>
    <cellStyle name="Normal 10 5 3 3 4" xfId="11159" xr:uid="{00000000-0005-0000-0000-0000BD3D0000}"/>
    <cellStyle name="Normal 10 5 3 3 4 2" xfId="31079" xr:uid="{00000000-0005-0000-0000-0000BE3D0000}"/>
    <cellStyle name="Normal 10 5 3 3 5" xfId="17311" xr:uid="{00000000-0005-0000-0000-0000BF3D0000}"/>
    <cellStyle name="Normal 10 5 3 3 5 2" xfId="37231" xr:uid="{00000000-0005-0000-0000-0000C03D0000}"/>
    <cellStyle name="Normal 10 5 3 3 6" xfId="24926" xr:uid="{00000000-0005-0000-0000-0000C13D0000}"/>
    <cellStyle name="Normal 10 5 3 4" xfId="5697" xr:uid="{00000000-0005-0000-0000-0000C23D0000}"/>
    <cellStyle name="Normal 10 5 3 4 2" xfId="8797" xr:uid="{00000000-0005-0000-0000-0000C33D0000}"/>
    <cellStyle name="Normal 10 5 3 4 2 2" xfId="14990" xr:uid="{00000000-0005-0000-0000-0000C43D0000}"/>
    <cellStyle name="Normal 10 5 3 4 2 2 2" xfId="34910" xr:uid="{00000000-0005-0000-0000-0000C53D0000}"/>
    <cellStyle name="Normal 10 5 3 4 2 3" xfId="21142" xr:uid="{00000000-0005-0000-0000-0000C63D0000}"/>
    <cellStyle name="Normal 10 5 3 4 2 3 2" xfId="41062" xr:uid="{00000000-0005-0000-0000-0000C73D0000}"/>
    <cellStyle name="Normal 10 5 3 4 2 4" xfId="28757" xr:uid="{00000000-0005-0000-0000-0000C83D0000}"/>
    <cellStyle name="Normal 10 5 3 4 3" xfId="11924" xr:uid="{00000000-0005-0000-0000-0000C93D0000}"/>
    <cellStyle name="Normal 10 5 3 4 3 2" xfId="31844" xr:uid="{00000000-0005-0000-0000-0000CA3D0000}"/>
    <cellStyle name="Normal 10 5 3 4 4" xfId="18076" xr:uid="{00000000-0005-0000-0000-0000CB3D0000}"/>
    <cellStyle name="Normal 10 5 3 4 4 2" xfId="37996" xr:uid="{00000000-0005-0000-0000-0000CC3D0000}"/>
    <cellStyle name="Normal 10 5 3 4 5" xfId="25691" xr:uid="{00000000-0005-0000-0000-0000CD3D0000}"/>
    <cellStyle name="Normal 10 5 3 5" xfId="7262" xr:uid="{00000000-0005-0000-0000-0000CE3D0000}"/>
    <cellStyle name="Normal 10 5 3 5 2" xfId="13456" xr:uid="{00000000-0005-0000-0000-0000CF3D0000}"/>
    <cellStyle name="Normal 10 5 3 5 2 2" xfId="33376" xr:uid="{00000000-0005-0000-0000-0000D03D0000}"/>
    <cellStyle name="Normal 10 5 3 5 3" xfId="19608" xr:uid="{00000000-0005-0000-0000-0000D13D0000}"/>
    <cellStyle name="Normal 10 5 3 5 3 2" xfId="39528" xr:uid="{00000000-0005-0000-0000-0000D23D0000}"/>
    <cellStyle name="Normal 10 5 3 5 4" xfId="27223" xr:uid="{00000000-0005-0000-0000-0000D33D0000}"/>
    <cellStyle name="Normal 10 5 3 6" xfId="10390" xr:uid="{00000000-0005-0000-0000-0000D43D0000}"/>
    <cellStyle name="Normal 10 5 3 6 2" xfId="30310" xr:uid="{00000000-0005-0000-0000-0000D53D0000}"/>
    <cellStyle name="Normal 10 5 3 7" xfId="16542" xr:uid="{00000000-0005-0000-0000-0000D63D0000}"/>
    <cellStyle name="Normal 10 5 3 7 2" xfId="36462" xr:uid="{00000000-0005-0000-0000-0000D73D0000}"/>
    <cellStyle name="Normal 10 5 3 8" xfId="24157" xr:uid="{00000000-0005-0000-0000-0000D83D0000}"/>
    <cellStyle name="Normal 10 5 4" xfId="3324" xr:uid="{00000000-0005-0000-0000-0000D93D0000}"/>
    <cellStyle name="Normal 10 5 4 2" xfId="4857" xr:uid="{00000000-0005-0000-0000-0000DA3D0000}"/>
    <cellStyle name="Normal 10 5 4 2 2" xfId="6482" xr:uid="{00000000-0005-0000-0000-0000DB3D0000}"/>
    <cellStyle name="Normal 10 5 4 2 2 2" xfId="9568" xr:uid="{00000000-0005-0000-0000-0000DC3D0000}"/>
    <cellStyle name="Normal 10 5 4 2 2 2 2" xfId="15761" xr:uid="{00000000-0005-0000-0000-0000DD3D0000}"/>
    <cellStyle name="Normal 10 5 4 2 2 2 2 2" xfId="35681" xr:uid="{00000000-0005-0000-0000-0000DE3D0000}"/>
    <cellStyle name="Normal 10 5 4 2 2 2 3" xfId="21913" xr:uid="{00000000-0005-0000-0000-0000DF3D0000}"/>
    <cellStyle name="Normal 10 5 4 2 2 2 3 2" xfId="41833" xr:uid="{00000000-0005-0000-0000-0000E03D0000}"/>
    <cellStyle name="Normal 10 5 4 2 2 2 4" xfId="29528" xr:uid="{00000000-0005-0000-0000-0000E13D0000}"/>
    <cellStyle name="Normal 10 5 4 2 2 3" xfId="12695" xr:uid="{00000000-0005-0000-0000-0000E23D0000}"/>
    <cellStyle name="Normal 10 5 4 2 2 3 2" xfId="32615" xr:uid="{00000000-0005-0000-0000-0000E33D0000}"/>
    <cellStyle name="Normal 10 5 4 2 2 4" xfId="18847" xr:uid="{00000000-0005-0000-0000-0000E43D0000}"/>
    <cellStyle name="Normal 10 5 4 2 2 4 2" xfId="38767" xr:uid="{00000000-0005-0000-0000-0000E53D0000}"/>
    <cellStyle name="Normal 10 5 4 2 2 5" xfId="26462" xr:uid="{00000000-0005-0000-0000-0000E63D0000}"/>
    <cellStyle name="Normal 10 5 4 2 3" xfId="8033" xr:uid="{00000000-0005-0000-0000-0000E73D0000}"/>
    <cellStyle name="Normal 10 5 4 2 3 2" xfId="14227" xr:uid="{00000000-0005-0000-0000-0000E83D0000}"/>
    <cellStyle name="Normal 10 5 4 2 3 2 2" xfId="34147" xr:uid="{00000000-0005-0000-0000-0000E93D0000}"/>
    <cellStyle name="Normal 10 5 4 2 3 3" xfId="20379" xr:uid="{00000000-0005-0000-0000-0000EA3D0000}"/>
    <cellStyle name="Normal 10 5 4 2 3 3 2" xfId="40299" xr:uid="{00000000-0005-0000-0000-0000EB3D0000}"/>
    <cellStyle name="Normal 10 5 4 2 3 4" xfId="27994" xr:uid="{00000000-0005-0000-0000-0000EC3D0000}"/>
    <cellStyle name="Normal 10 5 4 2 4" xfId="11161" xr:uid="{00000000-0005-0000-0000-0000ED3D0000}"/>
    <cellStyle name="Normal 10 5 4 2 4 2" xfId="31081" xr:uid="{00000000-0005-0000-0000-0000EE3D0000}"/>
    <cellStyle name="Normal 10 5 4 2 5" xfId="17313" xr:uid="{00000000-0005-0000-0000-0000EF3D0000}"/>
    <cellStyle name="Normal 10 5 4 2 5 2" xfId="37233" xr:uid="{00000000-0005-0000-0000-0000F03D0000}"/>
    <cellStyle name="Normal 10 5 4 2 6" xfId="24928" xr:uid="{00000000-0005-0000-0000-0000F13D0000}"/>
    <cellStyle name="Normal 10 5 4 3" xfId="5699" xr:uid="{00000000-0005-0000-0000-0000F23D0000}"/>
    <cellStyle name="Normal 10 5 4 3 2" xfId="8799" xr:uid="{00000000-0005-0000-0000-0000F33D0000}"/>
    <cellStyle name="Normal 10 5 4 3 2 2" xfId="14992" xr:uid="{00000000-0005-0000-0000-0000F43D0000}"/>
    <cellStyle name="Normal 10 5 4 3 2 2 2" xfId="34912" xr:uid="{00000000-0005-0000-0000-0000F53D0000}"/>
    <cellStyle name="Normal 10 5 4 3 2 3" xfId="21144" xr:uid="{00000000-0005-0000-0000-0000F63D0000}"/>
    <cellStyle name="Normal 10 5 4 3 2 3 2" xfId="41064" xr:uid="{00000000-0005-0000-0000-0000F73D0000}"/>
    <cellStyle name="Normal 10 5 4 3 2 4" xfId="28759" xr:uid="{00000000-0005-0000-0000-0000F83D0000}"/>
    <cellStyle name="Normal 10 5 4 3 3" xfId="11926" xr:uid="{00000000-0005-0000-0000-0000F93D0000}"/>
    <cellStyle name="Normal 10 5 4 3 3 2" xfId="31846" xr:uid="{00000000-0005-0000-0000-0000FA3D0000}"/>
    <cellStyle name="Normal 10 5 4 3 4" xfId="18078" xr:uid="{00000000-0005-0000-0000-0000FB3D0000}"/>
    <cellStyle name="Normal 10 5 4 3 4 2" xfId="37998" xr:uid="{00000000-0005-0000-0000-0000FC3D0000}"/>
    <cellStyle name="Normal 10 5 4 3 5" xfId="25693" xr:uid="{00000000-0005-0000-0000-0000FD3D0000}"/>
    <cellStyle name="Normal 10 5 4 4" xfId="7264" xr:uid="{00000000-0005-0000-0000-0000FE3D0000}"/>
    <cellStyle name="Normal 10 5 4 4 2" xfId="13458" xr:uid="{00000000-0005-0000-0000-0000FF3D0000}"/>
    <cellStyle name="Normal 10 5 4 4 2 2" xfId="33378" xr:uid="{00000000-0005-0000-0000-0000003E0000}"/>
    <cellStyle name="Normal 10 5 4 4 3" xfId="19610" xr:uid="{00000000-0005-0000-0000-0000013E0000}"/>
    <cellStyle name="Normal 10 5 4 4 3 2" xfId="39530" xr:uid="{00000000-0005-0000-0000-0000023E0000}"/>
    <cellStyle name="Normal 10 5 4 4 4" xfId="27225" xr:uid="{00000000-0005-0000-0000-0000033E0000}"/>
    <cellStyle name="Normal 10 5 4 5" xfId="10392" xr:uid="{00000000-0005-0000-0000-0000043E0000}"/>
    <cellStyle name="Normal 10 5 4 5 2" xfId="30312" xr:uid="{00000000-0005-0000-0000-0000053E0000}"/>
    <cellStyle name="Normal 10 5 4 6" xfId="16544" xr:uid="{00000000-0005-0000-0000-0000063E0000}"/>
    <cellStyle name="Normal 10 5 4 6 2" xfId="36464" xr:uid="{00000000-0005-0000-0000-0000073E0000}"/>
    <cellStyle name="Normal 10 5 4 7" xfId="24159" xr:uid="{00000000-0005-0000-0000-0000083E0000}"/>
    <cellStyle name="Normal 10 5 5" xfId="4852" xr:uid="{00000000-0005-0000-0000-0000093E0000}"/>
    <cellStyle name="Normal 10 5 5 2" xfId="6477" xr:uid="{00000000-0005-0000-0000-00000A3E0000}"/>
    <cellStyle name="Normal 10 5 5 2 2" xfId="9563" xr:uid="{00000000-0005-0000-0000-00000B3E0000}"/>
    <cellStyle name="Normal 10 5 5 2 2 2" xfId="15756" xr:uid="{00000000-0005-0000-0000-00000C3E0000}"/>
    <cellStyle name="Normal 10 5 5 2 2 2 2" xfId="35676" xr:uid="{00000000-0005-0000-0000-00000D3E0000}"/>
    <cellStyle name="Normal 10 5 5 2 2 3" xfId="21908" xr:uid="{00000000-0005-0000-0000-00000E3E0000}"/>
    <cellStyle name="Normal 10 5 5 2 2 3 2" xfId="41828" xr:uid="{00000000-0005-0000-0000-00000F3E0000}"/>
    <cellStyle name="Normal 10 5 5 2 2 4" xfId="29523" xr:uid="{00000000-0005-0000-0000-0000103E0000}"/>
    <cellStyle name="Normal 10 5 5 2 3" xfId="12690" xr:uid="{00000000-0005-0000-0000-0000113E0000}"/>
    <cellStyle name="Normal 10 5 5 2 3 2" xfId="32610" xr:uid="{00000000-0005-0000-0000-0000123E0000}"/>
    <cellStyle name="Normal 10 5 5 2 4" xfId="18842" xr:uid="{00000000-0005-0000-0000-0000133E0000}"/>
    <cellStyle name="Normal 10 5 5 2 4 2" xfId="38762" xr:uid="{00000000-0005-0000-0000-0000143E0000}"/>
    <cellStyle name="Normal 10 5 5 2 5" xfId="26457" xr:uid="{00000000-0005-0000-0000-0000153E0000}"/>
    <cellStyle name="Normal 10 5 5 3" xfId="8028" xr:uid="{00000000-0005-0000-0000-0000163E0000}"/>
    <cellStyle name="Normal 10 5 5 3 2" xfId="14222" xr:uid="{00000000-0005-0000-0000-0000173E0000}"/>
    <cellStyle name="Normal 10 5 5 3 2 2" xfId="34142" xr:uid="{00000000-0005-0000-0000-0000183E0000}"/>
    <cellStyle name="Normal 10 5 5 3 3" xfId="20374" xr:uid="{00000000-0005-0000-0000-0000193E0000}"/>
    <cellStyle name="Normal 10 5 5 3 3 2" xfId="40294" xr:uid="{00000000-0005-0000-0000-00001A3E0000}"/>
    <cellStyle name="Normal 10 5 5 3 4" xfId="27989" xr:uid="{00000000-0005-0000-0000-00001B3E0000}"/>
    <cellStyle name="Normal 10 5 5 4" xfId="11156" xr:uid="{00000000-0005-0000-0000-00001C3E0000}"/>
    <cellStyle name="Normal 10 5 5 4 2" xfId="31076" xr:uid="{00000000-0005-0000-0000-00001D3E0000}"/>
    <cellStyle name="Normal 10 5 5 5" xfId="17308" xr:uid="{00000000-0005-0000-0000-00001E3E0000}"/>
    <cellStyle name="Normal 10 5 5 5 2" xfId="37228" xr:uid="{00000000-0005-0000-0000-00001F3E0000}"/>
    <cellStyle name="Normal 10 5 5 6" xfId="24923" xr:uid="{00000000-0005-0000-0000-0000203E0000}"/>
    <cellStyle name="Normal 10 5 6" xfId="5694" xr:uid="{00000000-0005-0000-0000-0000213E0000}"/>
    <cellStyle name="Normal 10 5 6 2" xfId="8794" xr:uid="{00000000-0005-0000-0000-0000223E0000}"/>
    <cellStyle name="Normal 10 5 6 2 2" xfId="14987" xr:uid="{00000000-0005-0000-0000-0000233E0000}"/>
    <cellStyle name="Normal 10 5 6 2 2 2" xfId="34907" xr:uid="{00000000-0005-0000-0000-0000243E0000}"/>
    <cellStyle name="Normal 10 5 6 2 3" xfId="21139" xr:uid="{00000000-0005-0000-0000-0000253E0000}"/>
    <cellStyle name="Normal 10 5 6 2 3 2" xfId="41059" xr:uid="{00000000-0005-0000-0000-0000263E0000}"/>
    <cellStyle name="Normal 10 5 6 2 4" xfId="28754" xr:uid="{00000000-0005-0000-0000-0000273E0000}"/>
    <cellStyle name="Normal 10 5 6 3" xfId="11921" xr:uid="{00000000-0005-0000-0000-0000283E0000}"/>
    <cellStyle name="Normal 10 5 6 3 2" xfId="31841" xr:uid="{00000000-0005-0000-0000-0000293E0000}"/>
    <cellStyle name="Normal 10 5 6 4" xfId="18073" xr:uid="{00000000-0005-0000-0000-00002A3E0000}"/>
    <cellStyle name="Normal 10 5 6 4 2" xfId="37993" xr:uid="{00000000-0005-0000-0000-00002B3E0000}"/>
    <cellStyle name="Normal 10 5 6 5" xfId="25688" xr:uid="{00000000-0005-0000-0000-00002C3E0000}"/>
    <cellStyle name="Normal 10 5 7" xfId="7259" xr:uid="{00000000-0005-0000-0000-00002D3E0000}"/>
    <cellStyle name="Normal 10 5 7 2" xfId="13453" xr:uid="{00000000-0005-0000-0000-00002E3E0000}"/>
    <cellStyle name="Normal 10 5 7 2 2" xfId="33373" xr:uid="{00000000-0005-0000-0000-00002F3E0000}"/>
    <cellStyle name="Normal 10 5 7 3" xfId="19605" xr:uid="{00000000-0005-0000-0000-0000303E0000}"/>
    <cellStyle name="Normal 10 5 7 3 2" xfId="39525" xr:uid="{00000000-0005-0000-0000-0000313E0000}"/>
    <cellStyle name="Normal 10 5 7 4" xfId="27220" xr:uid="{00000000-0005-0000-0000-0000323E0000}"/>
    <cellStyle name="Normal 10 5 8" xfId="10387" xr:uid="{00000000-0005-0000-0000-0000333E0000}"/>
    <cellStyle name="Normal 10 5 8 2" xfId="30307" xr:uid="{00000000-0005-0000-0000-0000343E0000}"/>
    <cellStyle name="Normal 10 5 9" xfId="16539" xr:uid="{00000000-0005-0000-0000-0000353E0000}"/>
    <cellStyle name="Normal 10 5 9 2" xfId="36459" xr:uid="{00000000-0005-0000-0000-0000363E0000}"/>
    <cellStyle name="Normal 10 6" xfId="3325" xr:uid="{00000000-0005-0000-0000-0000373E0000}"/>
    <cellStyle name="Normal 10 6 2" xfId="3326" xr:uid="{00000000-0005-0000-0000-0000383E0000}"/>
    <cellStyle name="Normal 10 6 2 2" xfId="4859" xr:uid="{00000000-0005-0000-0000-0000393E0000}"/>
    <cellStyle name="Normal 10 6 2 2 2" xfId="6484" xr:uid="{00000000-0005-0000-0000-00003A3E0000}"/>
    <cellStyle name="Normal 10 6 2 2 2 2" xfId="9570" xr:uid="{00000000-0005-0000-0000-00003B3E0000}"/>
    <cellStyle name="Normal 10 6 2 2 2 2 2" xfId="15763" xr:uid="{00000000-0005-0000-0000-00003C3E0000}"/>
    <cellStyle name="Normal 10 6 2 2 2 2 2 2" xfId="35683" xr:uid="{00000000-0005-0000-0000-00003D3E0000}"/>
    <cellStyle name="Normal 10 6 2 2 2 2 3" xfId="21915" xr:uid="{00000000-0005-0000-0000-00003E3E0000}"/>
    <cellStyle name="Normal 10 6 2 2 2 2 3 2" xfId="41835" xr:uid="{00000000-0005-0000-0000-00003F3E0000}"/>
    <cellStyle name="Normal 10 6 2 2 2 2 4" xfId="29530" xr:uid="{00000000-0005-0000-0000-0000403E0000}"/>
    <cellStyle name="Normal 10 6 2 2 2 3" xfId="12697" xr:uid="{00000000-0005-0000-0000-0000413E0000}"/>
    <cellStyle name="Normal 10 6 2 2 2 3 2" xfId="32617" xr:uid="{00000000-0005-0000-0000-0000423E0000}"/>
    <cellStyle name="Normal 10 6 2 2 2 4" xfId="18849" xr:uid="{00000000-0005-0000-0000-0000433E0000}"/>
    <cellStyle name="Normal 10 6 2 2 2 4 2" xfId="38769" xr:uid="{00000000-0005-0000-0000-0000443E0000}"/>
    <cellStyle name="Normal 10 6 2 2 2 5" xfId="26464" xr:uid="{00000000-0005-0000-0000-0000453E0000}"/>
    <cellStyle name="Normal 10 6 2 2 3" xfId="8035" xr:uid="{00000000-0005-0000-0000-0000463E0000}"/>
    <cellStyle name="Normal 10 6 2 2 3 2" xfId="14229" xr:uid="{00000000-0005-0000-0000-0000473E0000}"/>
    <cellStyle name="Normal 10 6 2 2 3 2 2" xfId="34149" xr:uid="{00000000-0005-0000-0000-0000483E0000}"/>
    <cellStyle name="Normal 10 6 2 2 3 3" xfId="20381" xr:uid="{00000000-0005-0000-0000-0000493E0000}"/>
    <cellStyle name="Normal 10 6 2 2 3 3 2" xfId="40301" xr:uid="{00000000-0005-0000-0000-00004A3E0000}"/>
    <cellStyle name="Normal 10 6 2 2 3 4" xfId="27996" xr:uid="{00000000-0005-0000-0000-00004B3E0000}"/>
    <cellStyle name="Normal 10 6 2 2 4" xfId="11163" xr:uid="{00000000-0005-0000-0000-00004C3E0000}"/>
    <cellStyle name="Normal 10 6 2 2 4 2" xfId="31083" xr:uid="{00000000-0005-0000-0000-00004D3E0000}"/>
    <cellStyle name="Normal 10 6 2 2 5" xfId="17315" xr:uid="{00000000-0005-0000-0000-00004E3E0000}"/>
    <cellStyle name="Normal 10 6 2 2 5 2" xfId="37235" xr:uid="{00000000-0005-0000-0000-00004F3E0000}"/>
    <cellStyle name="Normal 10 6 2 2 6" xfId="24930" xr:uid="{00000000-0005-0000-0000-0000503E0000}"/>
    <cellStyle name="Normal 10 6 2 3" xfId="5701" xr:uid="{00000000-0005-0000-0000-0000513E0000}"/>
    <cellStyle name="Normal 10 6 2 3 2" xfId="8801" xr:uid="{00000000-0005-0000-0000-0000523E0000}"/>
    <cellStyle name="Normal 10 6 2 3 2 2" xfId="14994" xr:uid="{00000000-0005-0000-0000-0000533E0000}"/>
    <cellStyle name="Normal 10 6 2 3 2 2 2" xfId="34914" xr:uid="{00000000-0005-0000-0000-0000543E0000}"/>
    <cellStyle name="Normal 10 6 2 3 2 3" xfId="21146" xr:uid="{00000000-0005-0000-0000-0000553E0000}"/>
    <cellStyle name="Normal 10 6 2 3 2 3 2" xfId="41066" xr:uid="{00000000-0005-0000-0000-0000563E0000}"/>
    <cellStyle name="Normal 10 6 2 3 2 4" xfId="28761" xr:uid="{00000000-0005-0000-0000-0000573E0000}"/>
    <cellStyle name="Normal 10 6 2 3 3" xfId="11928" xr:uid="{00000000-0005-0000-0000-0000583E0000}"/>
    <cellStyle name="Normal 10 6 2 3 3 2" xfId="31848" xr:uid="{00000000-0005-0000-0000-0000593E0000}"/>
    <cellStyle name="Normal 10 6 2 3 4" xfId="18080" xr:uid="{00000000-0005-0000-0000-00005A3E0000}"/>
    <cellStyle name="Normal 10 6 2 3 4 2" xfId="38000" xr:uid="{00000000-0005-0000-0000-00005B3E0000}"/>
    <cellStyle name="Normal 10 6 2 3 5" xfId="25695" xr:uid="{00000000-0005-0000-0000-00005C3E0000}"/>
    <cellStyle name="Normal 10 6 2 4" xfId="7266" xr:uid="{00000000-0005-0000-0000-00005D3E0000}"/>
    <cellStyle name="Normal 10 6 2 4 2" xfId="13460" xr:uid="{00000000-0005-0000-0000-00005E3E0000}"/>
    <cellStyle name="Normal 10 6 2 4 2 2" xfId="33380" xr:uid="{00000000-0005-0000-0000-00005F3E0000}"/>
    <cellStyle name="Normal 10 6 2 4 3" xfId="19612" xr:uid="{00000000-0005-0000-0000-0000603E0000}"/>
    <cellStyle name="Normal 10 6 2 4 3 2" xfId="39532" xr:uid="{00000000-0005-0000-0000-0000613E0000}"/>
    <cellStyle name="Normal 10 6 2 4 4" xfId="27227" xr:uid="{00000000-0005-0000-0000-0000623E0000}"/>
    <cellStyle name="Normal 10 6 2 5" xfId="10394" xr:uid="{00000000-0005-0000-0000-0000633E0000}"/>
    <cellStyle name="Normal 10 6 2 5 2" xfId="30314" xr:uid="{00000000-0005-0000-0000-0000643E0000}"/>
    <cellStyle name="Normal 10 6 2 6" xfId="16546" xr:uid="{00000000-0005-0000-0000-0000653E0000}"/>
    <cellStyle name="Normal 10 6 2 6 2" xfId="36466" xr:uid="{00000000-0005-0000-0000-0000663E0000}"/>
    <cellStyle name="Normal 10 6 2 7" xfId="24161" xr:uid="{00000000-0005-0000-0000-0000673E0000}"/>
    <cellStyle name="Normal 10 6 3" xfId="4858" xr:uid="{00000000-0005-0000-0000-0000683E0000}"/>
    <cellStyle name="Normal 10 6 3 2" xfId="6483" xr:uid="{00000000-0005-0000-0000-0000693E0000}"/>
    <cellStyle name="Normal 10 6 3 2 2" xfId="9569" xr:uid="{00000000-0005-0000-0000-00006A3E0000}"/>
    <cellStyle name="Normal 10 6 3 2 2 2" xfId="15762" xr:uid="{00000000-0005-0000-0000-00006B3E0000}"/>
    <cellStyle name="Normal 10 6 3 2 2 2 2" xfId="35682" xr:uid="{00000000-0005-0000-0000-00006C3E0000}"/>
    <cellStyle name="Normal 10 6 3 2 2 3" xfId="21914" xr:uid="{00000000-0005-0000-0000-00006D3E0000}"/>
    <cellStyle name="Normal 10 6 3 2 2 3 2" xfId="41834" xr:uid="{00000000-0005-0000-0000-00006E3E0000}"/>
    <cellStyle name="Normal 10 6 3 2 2 4" xfId="29529" xr:uid="{00000000-0005-0000-0000-00006F3E0000}"/>
    <cellStyle name="Normal 10 6 3 2 3" xfId="12696" xr:uid="{00000000-0005-0000-0000-0000703E0000}"/>
    <cellStyle name="Normal 10 6 3 2 3 2" xfId="32616" xr:uid="{00000000-0005-0000-0000-0000713E0000}"/>
    <cellStyle name="Normal 10 6 3 2 4" xfId="18848" xr:uid="{00000000-0005-0000-0000-0000723E0000}"/>
    <cellStyle name="Normal 10 6 3 2 4 2" xfId="38768" xr:uid="{00000000-0005-0000-0000-0000733E0000}"/>
    <cellStyle name="Normal 10 6 3 2 5" xfId="26463" xr:uid="{00000000-0005-0000-0000-0000743E0000}"/>
    <cellStyle name="Normal 10 6 3 3" xfId="8034" xr:uid="{00000000-0005-0000-0000-0000753E0000}"/>
    <cellStyle name="Normal 10 6 3 3 2" xfId="14228" xr:uid="{00000000-0005-0000-0000-0000763E0000}"/>
    <cellStyle name="Normal 10 6 3 3 2 2" xfId="34148" xr:uid="{00000000-0005-0000-0000-0000773E0000}"/>
    <cellStyle name="Normal 10 6 3 3 3" xfId="20380" xr:uid="{00000000-0005-0000-0000-0000783E0000}"/>
    <cellStyle name="Normal 10 6 3 3 3 2" xfId="40300" xr:uid="{00000000-0005-0000-0000-0000793E0000}"/>
    <cellStyle name="Normal 10 6 3 3 4" xfId="27995" xr:uid="{00000000-0005-0000-0000-00007A3E0000}"/>
    <cellStyle name="Normal 10 6 3 4" xfId="11162" xr:uid="{00000000-0005-0000-0000-00007B3E0000}"/>
    <cellStyle name="Normal 10 6 3 4 2" xfId="31082" xr:uid="{00000000-0005-0000-0000-00007C3E0000}"/>
    <cellStyle name="Normal 10 6 3 5" xfId="17314" xr:uid="{00000000-0005-0000-0000-00007D3E0000}"/>
    <cellStyle name="Normal 10 6 3 5 2" xfId="37234" xr:uid="{00000000-0005-0000-0000-00007E3E0000}"/>
    <cellStyle name="Normal 10 6 3 6" xfId="24929" xr:uid="{00000000-0005-0000-0000-00007F3E0000}"/>
    <cellStyle name="Normal 10 6 4" xfId="5700" xr:uid="{00000000-0005-0000-0000-0000803E0000}"/>
    <cellStyle name="Normal 10 6 4 2" xfId="8800" xr:uid="{00000000-0005-0000-0000-0000813E0000}"/>
    <cellStyle name="Normal 10 6 4 2 2" xfId="14993" xr:uid="{00000000-0005-0000-0000-0000823E0000}"/>
    <cellStyle name="Normal 10 6 4 2 2 2" xfId="34913" xr:uid="{00000000-0005-0000-0000-0000833E0000}"/>
    <cellStyle name="Normal 10 6 4 2 3" xfId="21145" xr:uid="{00000000-0005-0000-0000-0000843E0000}"/>
    <cellStyle name="Normal 10 6 4 2 3 2" xfId="41065" xr:uid="{00000000-0005-0000-0000-0000853E0000}"/>
    <cellStyle name="Normal 10 6 4 2 4" xfId="28760" xr:uid="{00000000-0005-0000-0000-0000863E0000}"/>
    <cellStyle name="Normal 10 6 4 3" xfId="11927" xr:uid="{00000000-0005-0000-0000-0000873E0000}"/>
    <cellStyle name="Normal 10 6 4 3 2" xfId="31847" xr:uid="{00000000-0005-0000-0000-0000883E0000}"/>
    <cellStyle name="Normal 10 6 4 4" xfId="18079" xr:uid="{00000000-0005-0000-0000-0000893E0000}"/>
    <cellStyle name="Normal 10 6 4 4 2" xfId="37999" xr:uid="{00000000-0005-0000-0000-00008A3E0000}"/>
    <cellStyle name="Normal 10 6 4 5" xfId="25694" xr:uid="{00000000-0005-0000-0000-00008B3E0000}"/>
    <cellStyle name="Normal 10 6 5" xfId="7265" xr:uid="{00000000-0005-0000-0000-00008C3E0000}"/>
    <cellStyle name="Normal 10 6 5 2" xfId="13459" xr:uid="{00000000-0005-0000-0000-00008D3E0000}"/>
    <cellStyle name="Normal 10 6 5 2 2" xfId="33379" xr:uid="{00000000-0005-0000-0000-00008E3E0000}"/>
    <cellStyle name="Normal 10 6 5 3" xfId="19611" xr:uid="{00000000-0005-0000-0000-00008F3E0000}"/>
    <cellStyle name="Normal 10 6 5 3 2" xfId="39531" xr:uid="{00000000-0005-0000-0000-0000903E0000}"/>
    <cellStyle name="Normal 10 6 5 4" xfId="27226" xr:uid="{00000000-0005-0000-0000-0000913E0000}"/>
    <cellStyle name="Normal 10 6 6" xfId="10393" xr:uid="{00000000-0005-0000-0000-0000923E0000}"/>
    <cellStyle name="Normal 10 6 6 2" xfId="30313" xr:uid="{00000000-0005-0000-0000-0000933E0000}"/>
    <cellStyle name="Normal 10 6 7" xfId="16545" xr:uid="{00000000-0005-0000-0000-0000943E0000}"/>
    <cellStyle name="Normal 10 6 7 2" xfId="36465" xr:uid="{00000000-0005-0000-0000-0000953E0000}"/>
    <cellStyle name="Normal 10 6 8" xfId="24160" xr:uid="{00000000-0005-0000-0000-0000963E0000}"/>
    <cellStyle name="Normal 10 7" xfId="3327" xr:uid="{00000000-0005-0000-0000-0000973E0000}"/>
    <cellStyle name="Normal 10 7 2" xfId="3328" xr:uid="{00000000-0005-0000-0000-0000983E0000}"/>
    <cellStyle name="Normal 10 7 2 2" xfId="4861" xr:uid="{00000000-0005-0000-0000-0000993E0000}"/>
    <cellStyle name="Normal 10 7 2 2 2" xfId="6486" xr:uid="{00000000-0005-0000-0000-00009A3E0000}"/>
    <cellStyle name="Normal 10 7 2 2 2 2" xfId="9572" xr:uid="{00000000-0005-0000-0000-00009B3E0000}"/>
    <cellStyle name="Normal 10 7 2 2 2 2 2" xfId="15765" xr:uid="{00000000-0005-0000-0000-00009C3E0000}"/>
    <cellStyle name="Normal 10 7 2 2 2 2 2 2" xfId="35685" xr:uid="{00000000-0005-0000-0000-00009D3E0000}"/>
    <cellStyle name="Normal 10 7 2 2 2 2 3" xfId="21917" xr:uid="{00000000-0005-0000-0000-00009E3E0000}"/>
    <cellStyle name="Normal 10 7 2 2 2 2 3 2" xfId="41837" xr:uid="{00000000-0005-0000-0000-00009F3E0000}"/>
    <cellStyle name="Normal 10 7 2 2 2 2 4" xfId="29532" xr:uid="{00000000-0005-0000-0000-0000A03E0000}"/>
    <cellStyle name="Normal 10 7 2 2 2 3" xfId="12699" xr:uid="{00000000-0005-0000-0000-0000A13E0000}"/>
    <cellStyle name="Normal 10 7 2 2 2 3 2" xfId="32619" xr:uid="{00000000-0005-0000-0000-0000A23E0000}"/>
    <cellStyle name="Normal 10 7 2 2 2 4" xfId="18851" xr:uid="{00000000-0005-0000-0000-0000A33E0000}"/>
    <cellStyle name="Normal 10 7 2 2 2 4 2" xfId="38771" xr:uid="{00000000-0005-0000-0000-0000A43E0000}"/>
    <cellStyle name="Normal 10 7 2 2 2 5" xfId="26466" xr:uid="{00000000-0005-0000-0000-0000A53E0000}"/>
    <cellStyle name="Normal 10 7 2 2 3" xfId="8037" xr:uid="{00000000-0005-0000-0000-0000A63E0000}"/>
    <cellStyle name="Normal 10 7 2 2 3 2" xfId="14231" xr:uid="{00000000-0005-0000-0000-0000A73E0000}"/>
    <cellStyle name="Normal 10 7 2 2 3 2 2" xfId="34151" xr:uid="{00000000-0005-0000-0000-0000A83E0000}"/>
    <cellStyle name="Normal 10 7 2 2 3 3" xfId="20383" xr:uid="{00000000-0005-0000-0000-0000A93E0000}"/>
    <cellStyle name="Normal 10 7 2 2 3 3 2" xfId="40303" xr:uid="{00000000-0005-0000-0000-0000AA3E0000}"/>
    <cellStyle name="Normal 10 7 2 2 3 4" xfId="27998" xr:uid="{00000000-0005-0000-0000-0000AB3E0000}"/>
    <cellStyle name="Normal 10 7 2 2 4" xfId="11165" xr:uid="{00000000-0005-0000-0000-0000AC3E0000}"/>
    <cellStyle name="Normal 10 7 2 2 4 2" xfId="31085" xr:uid="{00000000-0005-0000-0000-0000AD3E0000}"/>
    <cellStyle name="Normal 10 7 2 2 5" xfId="17317" xr:uid="{00000000-0005-0000-0000-0000AE3E0000}"/>
    <cellStyle name="Normal 10 7 2 2 5 2" xfId="37237" xr:uid="{00000000-0005-0000-0000-0000AF3E0000}"/>
    <cellStyle name="Normal 10 7 2 2 6" xfId="24932" xr:uid="{00000000-0005-0000-0000-0000B03E0000}"/>
    <cellStyle name="Normal 10 7 2 3" xfId="5703" xr:uid="{00000000-0005-0000-0000-0000B13E0000}"/>
    <cellStyle name="Normal 10 7 2 3 2" xfId="8803" xr:uid="{00000000-0005-0000-0000-0000B23E0000}"/>
    <cellStyle name="Normal 10 7 2 3 2 2" xfId="14996" xr:uid="{00000000-0005-0000-0000-0000B33E0000}"/>
    <cellStyle name="Normal 10 7 2 3 2 2 2" xfId="34916" xr:uid="{00000000-0005-0000-0000-0000B43E0000}"/>
    <cellStyle name="Normal 10 7 2 3 2 3" xfId="21148" xr:uid="{00000000-0005-0000-0000-0000B53E0000}"/>
    <cellStyle name="Normal 10 7 2 3 2 3 2" xfId="41068" xr:uid="{00000000-0005-0000-0000-0000B63E0000}"/>
    <cellStyle name="Normal 10 7 2 3 2 4" xfId="28763" xr:uid="{00000000-0005-0000-0000-0000B73E0000}"/>
    <cellStyle name="Normal 10 7 2 3 3" xfId="11930" xr:uid="{00000000-0005-0000-0000-0000B83E0000}"/>
    <cellStyle name="Normal 10 7 2 3 3 2" xfId="31850" xr:uid="{00000000-0005-0000-0000-0000B93E0000}"/>
    <cellStyle name="Normal 10 7 2 3 4" xfId="18082" xr:uid="{00000000-0005-0000-0000-0000BA3E0000}"/>
    <cellStyle name="Normal 10 7 2 3 4 2" xfId="38002" xr:uid="{00000000-0005-0000-0000-0000BB3E0000}"/>
    <cellStyle name="Normal 10 7 2 3 5" xfId="25697" xr:uid="{00000000-0005-0000-0000-0000BC3E0000}"/>
    <cellStyle name="Normal 10 7 2 4" xfId="7268" xr:uid="{00000000-0005-0000-0000-0000BD3E0000}"/>
    <cellStyle name="Normal 10 7 2 4 2" xfId="13462" xr:uid="{00000000-0005-0000-0000-0000BE3E0000}"/>
    <cellStyle name="Normal 10 7 2 4 2 2" xfId="33382" xr:uid="{00000000-0005-0000-0000-0000BF3E0000}"/>
    <cellStyle name="Normal 10 7 2 4 3" xfId="19614" xr:uid="{00000000-0005-0000-0000-0000C03E0000}"/>
    <cellStyle name="Normal 10 7 2 4 3 2" xfId="39534" xr:uid="{00000000-0005-0000-0000-0000C13E0000}"/>
    <cellStyle name="Normal 10 7 2 4 4" xfId="27229" xr:uid="{00000000-0005-0000-0000-0000C23E0000}"/>
    <cellStyle name="Normal 10 7 2 5" xfId="10396" xr:uid="{00000000-0005-0000-0000-0000C33E0000}"/>
    <cellStyle name="Normal 10 7 2 5 2" xfId="30316" xr:uid="{00000000-0005-0000-0000-0000C43E0000}"/>
    <cellStyle name="Normal 10 7 2 6" xfId="16548" xr:uid="{00000000-0005-0000-0000-0000C53E0000}"/>
    <cellStyle name="Normal 10 7 2 6 2" xfId="36468" xr:uid="{00000000-0005-0000-0000-0000C63E0000}"/>
    <cellStyle name="Normal 10 7 2 7" xfId="24163" xr:uid="{00000000-0005-0000-0000-0000C73E0000}"/>
    <cellStyle name="Normal 10 7 3" xfId="4860" xr:uid="{00000000-0005-0000-0000-0000C83E0000}"/>
    <cellStyle name="Normal 10 7 3 2" xfId="6485" xr:uid="{00000000-0005-0000-0000-0000C93E0000}"/>
    <cellStyle name="Normal 10 7 3 2 2" xfId="9571" xr:uid="{00000000-0005-0000-0000-0000CA3E0000}"/>
    <cellStyle name="Normal 10 7 3 2 2 2" xfId="15764" xr:uid="{00000000-0005-0000-0000-0000CB3E0000}"/>
    <cellStyle name="Normal 10 7 3 2 2 2 2" xfId="35684" xr:uid="{00000000-0005-0000-0000-0000CC3E0000}"/>
    <cellStyle name="Normal 10 7 3 2 2 3" xfId="21916" xr:uid="{00000000-0005-0000-0000-0000CD3E0000}"/>
    <cellStyle name="Normal 10 7 3 2 2 3 2" xfId="41836" xr:uid="{00000000-0005-0000-0000-0000CE3E0000}"/>
    <cellStyle name="Normal 10 7 3 2 2 4" xfId="29531" xr:uid="{00000000-0005-0000-0000-0000CF3E0000}"/>
    <cellStyle name="Normal 10 7 3 2 3" xfId="12698" xr:uid="{00000000-0005-0000-0000-0000D03E0000}"/>
    <cellStyle name="Normal 10 7 3 2 3 2" xfId="32618" xr:uid="{00000000-0005-0000-0000-0000D13E0000}"/>
    <cellStyle name="Normal 10 7 3 2 4" xfId="18850" xr:uid="{00000000-0005-0000-0000-0000D23E0000}"/>
    <cellStyle name="Normal 10 7 3 2 4 2" xfId="38770" xr:uid="{00000000-0005-0000-0000-0000D33E0000}"/>
    <cellStyle name="Normal 10 7 3 2 5" xfId="26465" xr:uid="{00000000-0005-0000-0000-0000D43E0000}"/>
    <cellStyle name="Normal 10 7 3 3" xfId="8036" xr:uid="{00000000-0005-0000-0000-0000D53E0000}"/>
    <cellStyle name="Normal 10 7 3 3 2" xfId="14230" xr:uid="{00000000-0005-0000-0000-0000D63E0000}"/>
    <cellStyle name="Normal 10 7 3 3 2 2" xfId="34150" xr:uid="{00000000-0005-0000-0000-0000D73E0000}"/>
    <cellStyle name="Normal 10 7 3 3 3" xfId="20382" xr:uid="{00000000-0005-0000-0000-0000D83E0000}"/>
    <cellStyle name="Normal 10 7 3 3 3 2" xfId="40302" xr:uid="{00000000-0005-0000-0000-0000D93E0000}"/>
    <cellStyle name="Normal 10 7 3 3 4" xfId="27997" xr:uid="{00000000-0005-0000-0000-0000DA3E0000}"/>
    <cellStyle name="Normal 10 7 3 4" xfId="11164" xr:uid="{00000000-0005-0000-0000-0000DB3E0000}"/>
    <cellStyle name="Normal 10 7 3 4 2" xfId="31084" xr:uid="{00000000-0005-0000-0000-0000DC3E0000}"/>
    <cellStyle name="Normal 10 7 3 5" xfId="17316" xr:uid="{00000000-0005-0000-0000-0000DD3E0000}"/>
    <cellStyle name="Normal 10 7 3 5 2" xfId="37236" xr:uid="{00000000-0005-0000-0000-0000DE3E0000}"/>
    <cellStyle name="Normal 10 7 3 6" xfId="24931" xr:uid="{00000000-0005-0000-0000-0000DF3E0000}"/>
    <cellStyle name="Normal 10 7 4" xfId="5702" xr:uid="{00000000-0005-0000-0000-0000E03E0000}"/>
    <cellStyle name="Normal 10 7 4 2" xfId="8802" xr:uid="{00000000-0005-0000-0000-0000E13E0000}"/>
    <cellStyle name="Normal 10 7 4 2 2" xfId="14995" xr:uid="{00000000-0005-0000-0000-0000E23E0000}"/>
    <cellStyle name="Normal 10 7 4 2 2 2" xfId="34915" xr:uid="{00000000-0005-0000-0000-0000E33E0000}"/>
    <cellStyle name="Normal 10 7 4 2 3" xfId="21147" xr:uid="{00000000-0005-0000-0000-0000E43E0000}"/>
    <cellStyle name="Normal 10 7 4 2 3 2" xfId="41067" xr:uid="{00000000-0005-0000-0000-0000E53E0000}"/>
    <cellStyle name="Normal 10 7 4 2 4" xfId="28762" xr:uid="{00000000-0005-0000-0000-0000E63E0000}"/>
    <cellStyle name="Normal 10 7 4 3" xfId="11929" xr:uid="{00000000-0005-0000-0000-0000E73E0000}"/>
    <cellStyle name="Normal 10 7 4 3 2" xfId="31849" xr:uid="{00000000-0005-0000-0000-0000E83E0000}"/>
    <cellStyle name="Normal 10 7 4 4" xfId="18081" xr:uid="{00000000-0005-0000-0000-0000E93E0000}"/>
    <cellStyle name="Normal 10 7 4 4 2" xfId="38001" xr:uid="{00000000-0005-0000-0000-0000EA3E0000}"/>
    <cellStyle name="Normal 10 7 4 5" xfId="25696" xr:uid="{00000000-0005-0000-0000-0000EB3E0000}"/>
    <cellStyle name="Normal 10 7 5" xfId="7267" xr:uid="{00000000-0005-0000-0000-0000EC3E0000}"/>
    <cellStyle name="Normal 10 7 5 2" xfId="13461" xr:uid="{00000000-0005-0000-0000-0000ED3E0000}"/>
    <cellStyle name="Normal 10 7 5 2 2" xfId="33381" xr:uid="{00000000-0005-0000-0000-0000EE3E0000}"/>
    <cellStyle name="Normal 10 7 5 3" xfId="19613" xr:uid="{00000000-0005-0000-0000-0000EF3E0000}"/>
    <cellStyle name="Normal 10 7 5 3 2" xfId="39533" xr:uid="{00000000-0005-0000-0000-0000F03E0000}"/>
    <cellStyle name="Normal 10 7 5 4" xfId="27228" xr:uid="{00000000-0005-0000-0000-0000F13E0000}"/>
    <cellStyle name="Normal 10 7 6" xfId="10395" xr:uid="{00000000-0005-0000-0000-0000F23E0000}"/>
    <cellStyle name="Normal 10 7 6 2" xfId="30315" xr:uid="{00000000-0005-0000-0000-0000F33E0000}"/>
    <cellStyle name="Normal 10 7 7" xfId="16547" xr:uid="{00000000-0005-0000-0000-0000F43E0000}"/>
    <cellStyle name="Normal 10 7 7 2" xfId="36467" xr:uid="{00000000-0005-0000-0000-0000F53E0000}"/>
    <cellStyle name="Normal 10 7 8" xfId="24162" xr:uid="{00000000-0005-0000-0000-0000F63E0000}"/>
    <cellStyle name="Normal 10 8" xfId="3329" xr:uid="{00000000-0005-0000-0000-0000F73E0000}"/>
    <cellStyle name="Normal 10 8 2" xfId="3330" xr:uid="{00000000-0005-0000-0000-0000F83E0000}"/>
    <cellStyle name="Normal 10 8 2 2" xfId="4862" xr:uid="{00000000-0005-0000-0000-0000F93E0000}"/>
    <cellStyle name="Normal 10 8 2 2 2" xfId="6487" xr:uid="{00000000-0005-0000-0000-0000FA3E0000}"/>
    <cellStyle name="Normal 10 8 2 2 2 2" xfId="9573" xr:uid="{00000000-0005-0000-0000-0000FB3E0000}"/>
    <cellStyle name="Normal 10 8 2 2 2 2 2" xfId="15766" xr:uid="{00000000-0005-0000-0000-0000FC3E0000}"/>
    <cellStyle name="Normal 10 8 2 2 2 2 2 2" xfId="35686" xr:uid="{00000000-0005-0000-0000-0000FD3E0000}"/>
    <cellStyle name="Normal 10 8 2 2 2 2 3" xfId="21918" xr:uid="{00000000-0005-0000-0000-0000FE3E0000}"/>
    <cellStyle name="Normal 10 8 2 2 2 2 3 2" xfId="41838" xr:uid="{00000000-0005-0000-0000-0000FF3E0000}"/>
    <cellStyle name="Normal 10 8 2 2 2 2 4" xfId="29533" xr:uid="{00000000-0005-0000-0000-0000003F0000}"/>
    <cellStyle name="Normal 10 8 2 2 2 3" xfId="12700" xr:uid="{00000000-0005-0000-0000-0000013F0000}"/>
    <cellStyle name="Normal 10 8 2 2 2 3 2" xfId="32620" xr:uid="{00000000-0005-0000-0000-0000023F0000}"/>
    <cellStyle name="Normal 10 8 2 2 2 4" xfId="18852" xr:uid="{00000000-0005-0000-0000-0000033F0000}"/>
    <cellStyle name="Normal 10 8 2 2 2 4 2" xfId="38772" xr:uid="{00000000-0005-0000-0000-0000043F0000}"/>
    <cellStyle name="Normal 10 8 2 2 2 5" xfId="26467" xr:uid="{00000000-0005-0000-0000-0000053F0000}"/>
    <cellStyle name="Normal 10 8 2 2 3" xfId="8038" xr:uid="{00000000-0005-0000-0000-0000063F0000}"/>
    <cellStyle name="Normal 10 8 2 2 3 2" xfId="14232" xr:uid="{00000000-0005-0000-0000-0000073F0000}"/>
    <cellStyle name="Normal 10 8 2 2 3 2 2" xfId="34152" xr:uid="{00000000-0005-0000-0000-0000083F0000}"/>
    <cellStyle name="Normal 10 8 2 2 3 3" xfId="20384" xr:uid="{00000000-0005-0000-0000-0000093F0000}"/>
    <cellStyle name="Normal 10 8 2 2 3 3 2" xfId="40304" xr:uid="{00000000-0005-0000-0000-00000A3F0000}"/>
    <cellStyle name="Normal 10 8 2 2 3 4" xfId="27999" xr:uid="{00000000-0005-0000-0000-00000B3F0000}"/>
    <cellStyle name="Normal 10 8 2 2 4" xfId="11166" xr:uid="{00000000-0005-0000-0000-00000C3F0000}"/>
    <cellStyle name="Normal 10 8 2 2 4 2" xfId="31086" xr:uid="{00000000-0005-0000-0000-00000D3F0000}"/>
    <cellStyle name="Normal 10 8 2 2 5" xfId="17318" xr:uid="{00000000-0005-0000-0000-00000E3F0000}"/>
    <cellStyle name="Normal 10 8 2 2 5 2" xfId="37238" xr:uid="{00000000-0005-0000-0000-00000F3F0000}"/>
    <cellStyle name="Normal 10 8 2 2 6" xfId="24933" xr:uid="{00000000-0005-0000-0000-0000103F0000}"/>
    <cellStyle name="Normal 10 8 2 3" xfId="5704" xr:uid="{00000000-0005-0000-0000-0000113F0000}"/>
    <cellStyle name="Normal 10 8 2 3 2" xfId="8804" xr:uid="{00000000-0005-0000-0000-0000123F0000}"/>
    <cellStyle name="Normal 10 8 2 3 2 2" xfId="14997" xr:uid="{00000000-0005-0000-0000-0000133F0000}"/>
    <cellStyle name="Normal 10 8 2 3 2 2 2" xfId="34917" xr:uid="{00000000-0005-0000-0000-0000143F0000}"/>
    <cellStyle name="Normal 10 8 2 3 2 3" xfId="21149" xr:uid="{00000000-0005-0000-0000-0000153F0000}"/>
    <cellStyle name="Normal 10 8 2 3 2 3 2" xfId="41069" xr:uid="{00000000-0005-0000-0000-0000163F0000}"/>
    <cellStyle name="Normal 10 8 2 3 2 4" xfId="28764" xr:uid="{00000000-0005-0000-0000-0000173F0000}"/>
    <cellStyle name="Normal 10 8 2 3 3" xfId="11931" xr:uid="{00000000-0005-0000-0000-0000183F0000}"/>
    <cellStyle name="Normal 10 8 2 3 3 2" xfId="31851" xr:uid="{00000000-0005-0000-0000-0000193F0000}"/>
    <cellStyle name="Normal 10 8 2 3 4" xfId="18083" xr:uid="{00000000-0005-0000-0000-00001A3F0000}"/>
    <cellStyle name="Normal 10 8 2 3 4 2" xfId="38003" xr:uid="{00000000-0005-0000-0000-00001B3F0000}"/>
    <cellStyle name="Normal 10 8 2 3 5" xfId="25698" xr:uid="{00000000-0005-0000-0000-00001C3F0000}"/>
    <cellStyle name="Normal 10 8 2 4" xfId="7269" xr:uid="{00000000-0005-0000-0000-00001D3F0000}"/>
    <cellStyle name="Normal 10 8 2 4 2" xfId="13463" xr:uid="{00000000-0005-0000-0000-00001E3F0000}"/>
    <cellStyle name="Normal 10 8 2 4 2 2" xfId="33383" xr:uid="{00000000-0005-0000-0000-00001F3F0000}"/>
    <cellStyle name="Normal 10 8 2 4 3" xfId="19615" xr:uid="{00000000-0005-0000-0000-0000203F0000}"/>
    <cellStyle name="Normal 10 8 2 4 3 2" xfId="39535" xr:uid="{00000000-0005-0000-0000-0000213F0000}"/>
    <cellStyle name="Normal 10 8 2 4 4" xfId="27230" xr:uid="{00000000-0005-0000-0000-0000223F0000}"/>
    <cellStyle name="Normal 10 8 2 5" xfId="10397" xr:uid="{00000000-0005-0000-0000-0000233F0000}"/>
    <cellStyle name="Normal 10 8 2 5 2" xfId="30317" xr:uid="{00000000-0005-0000-0000-0000243F0000}"/>
    <cellStyle name="Normal 10 8 2 6" xfId="16549" xr:uid="{00000000-0005-0000-0000-0000253F0000}"/>
    <cellStyle name="Normal 10 8 2 6 2" xfId="36469" xr:uid="{00000000-0005-0000-0000-0000263F0000}"/>
    <cellStyle name="Normal 10 8 2 7" xfId="24164" xr:uid="{00000000-0005-0000-0000-0000273F0000}"/>
    <cellStyle name="Normal 10 9" xfId="3331" xr:uid="{00000000-0005-0000-0000-0000283F0000}"/>
    <cellStyle name="Normal 10 9 2" xfId="4863" xr:uid="{00000000-0005-0000-0000-0000293F0000}"/>
    <cellStyle name="Normal 10 9 2 2" xfId="6488" xr:uid="{00000000-0005-0000-0000-00002A3F0000}"/>
    <cellStyle name="Normal 10 9 2 2 2" xfId="9574" xr:uid="{00000000-0005-0000-0000-00002B3F0000}"/>
    <cellStyle name="Normal 10 9 2 2 2 2" xfId="15767" xr:uid="{00000000-0005-0000-0000-00002C3F0000}"/>
    <cellStyle name="Normal 10 9 2 2 2 2 2" xfId="35687" xr:uid="{00000000-0005-0000-0000-00002D3F0000}"/>
    <cellStyle name="Normal 10 9 2 2 2 3" xfId="21919" xr:uid="{00000000-0005-0000-0000-00002E3F0000}"/>
    <cellStyle name="Normal 10 9 2 2 2 3 2" xfId="41839" xr:uid="{00000000-0005-0000-0000-00002F3F0000}"/>
    <cellStyle name="Normal 10 9 2 2 2 4" xfId="29534" xr:uid="{00000000-0005-0000-0000-0000303F0000}"/>
    <cellStyle name="Normal 10 9 2 2 3" xfId="12701" xr:uid="{00000000-0005-0000-0000-0000313F0000}"/>
    <cellStyle name="Normal 10 9 2 2 3 2" xfId="32621" xr:uid="{00000000-0005-0000-0000-0000323F0000}"/>
    <cellStyle name="Normal 10 9 2 2 4" xfId="18853" xr:uid="{00000000-0005-0000-0000-0000333F0000}"/>
    <cellStyle name="Normal 10 9 2 2 4 2" xfId="38773" xr:uid="{00000000-0005-0000-0000-0000343F0000}"/>
    <cellStyle name="Normal 10 9 2 2 5" xfId="26468" xr:uid="{00000000-0005-0000-0000-0000353F0000}"/>
    <cellStyle name="Normal 10 9 2 3" xfId="8039" xr:uid="{00000000-0005-0000-0000-0000363F0000}"/>
    <cellStyle name="Normal 10 9 2 3 2" xfId="14233" xr:uid="{00000000-0005-0000-0000-0000373F0000}"/>
    <cellStyle name="Normal 10 9 2 3 2 2" xfId="34153" xr:uid="{00000000-0005-0000-0000-0000383F0000}"/>
    <cellStyle name="Normal 10 9 2 3 3" xfId="20385" xr:uid="{00000000-0005-0000-0000-0000393F0000}"/>
    <cellStyle name="Normal 10 9 2 3 3 2" xfId="40305" xr:uid="{00000000-0005-0000-0000-00003A3F0000}"/>
    <cellStyle name="Normal 10 9 2 3 4" xfId="28000" xr:uid="{00000000-0005-0000-0000-00003B3F0000}"/>
    <cellStyle name="Normal 10 9 2 4" xfId="11167" xr:uid="{00000000-0005-0000-0000-00003C3F0000}"/>
    <cellStyle name="Normal 10 9 2 4 2" xfId="31087" xr:uid="{00000000-0005-0000-0000-00003D3F0000}"/>
    <cellStyle name="Normal 10 9 2 5" xfId="17319" xr:uid="{00000000-0005-0000-0000-00003E3F0000}"/>
    <cellStyle name="Normal 10 9 2 5 2" xfId="37239" xr:uid="{00000000-0005-0000-0000-00003F3F0000}"/>
    <cellStyle name="Normal 10 9 2 6" xfId="24934" xr:uid="{00000000-0005-0000-0000-0000403F0000}"/>
    <cellStyle name="Normal 10 9 3" xfId="5705" xr:uid="{00000000-0005-0000-0000-0000413F0000}"/>
    <cellStyle name="Normal 10 9 3 2" xfId="8805" xr:uid="{00000000-0005-0000-0000-0000423F0000}"/>
    <cellStyle name="Normal 10 9 3 2 2" xfId="14998" xr:uid="{00000000-0005-0000-0000-0000433F0000}"/>
    <cellStyle name="Normal 10 9 3 2 2 2" xfId="34918" xr:uid="{00000000-0005-0000-0000-0000443F0000}"/>
    <cellStyle name="Normal 10 9 3 2 3" xfId="21150" xr:uid="{00000000-0005-0000-0000-0000453F0000}"/>
    <cellStyle name="Normal 10 9 3 2 3 2" xfId="41070" xr:uid="{00000000-0005-0000-0000-0000463F0000}"/>
    <cellStyle name="Normal 10 9 3 2 4" xfId="28765" xr:uid="{00000000-0005-0000-0000-0000473F0000}"/>
    <cellStyle name="Normal 10 9 3 3" xfId="11932" xr:uid="{00000000-0005-0000-0000-0000483F0000}"/>
    <cellStyle name="Normal 10 9 3 3 2" xfId="31852" xr:uid="{00000000-0005-0000-0000-0000493F0000}"/>
    <cellStyle name="Normal 10 9 3 4" xfId="18084" xr:uid="{00000000-0005-0000-0000-00004A3F0000}"/>
    <cellStyle name="Normal 10 9 3 4 2" xfId="38004" xr:uid="{00000000-0005-0000-0000-00004B3F0000}"/>
    <cellStyle name="Normal 10 9 3 5" xfId="25699" xr:uid="{00000000-0005-0000-0000-00004C3F0000}"/>
    <cellStyle name="Normal 10 9 4" xfId="7270" xr:uid="{00000000-0005-0000-0000-00004D3F0000}"/>
    <cellStyle name="Normal 10 9 4 2" xfId="13464" xr:uid="{00000000-0005-0000-0000-00004E3F0000}"/>
    <cellStyle name="Normal 10 9 4 2 2" xfId="33384" xr:uid="{00000000-0005-0000-0000-00004F3F0000}"/>
    <cellStyle name="Normal 10 9 4 3" xfId="19616" xr:uid="{00000000-0005-0000-0000-0000503F0000}"/>
    <cellStyle name="Normal 10 9 4 3 2" xfId="39536" xr:uid="{00000000-0005-0000-0000-0000513F0000}"/>
    <cellStyle name="Normal 10 9 4 4" xfId="27231" xr:uid="{00000000-0005-0000-0000-0000523F0000}"/>
    <cellStyle name="Normal 10 9 5" xfId="10398" xr:uid="{00000000-0005-0000-0000-0000533F0000}"/>
    <cellStyle name="Normal 10 9 5 2" xfId="30318" xr:uid="{00000000-0005-0000-0000-0000543F0000}"/>
    <cellStyle name="Normal 10 9 6" xfId="16550" xr:uid="{00000000-0005-0000-0000-0000553F0000}"/>
    <cellStyle name="Normal 10 9 6 2" xfId="36470" xr:uid="{00000000-0005-0000-0000-0000563F0000}"/>
    <cellStyle name="Normal 10 9 7" xfId="24165" xr:uid="{00000000-0005-0000-0000-0000573F0000}"/>
    <cellStyle name="Normal 11" xfId="328" xr:uid="{00000000-0005-0000-0000-0000583F0000}"/>
    <cellStyle name="Normal 11 10" xfId="1165" xr:uid="{00000000-0005-0000-0000-0000593F0000}"/>
    <cellStyle name="Normal 11 10 2" xfId="23930" xr:uid="{00000000-0005-0000-0000-00005A3F0000}"/>
    <cellStyle name="Normal 11 2" xfId="1191" xr:uid="{00000000-0005-0000-0000-00005B3F0000}"/>
    <cellStyle name="Normal 11 2 2" xfId="4604" xr:uid="{00000000-0005-0000-0000-00005C3F0000}"/>
    <cellStyle name="Normal 11 2 2 2" xfId="5380" xr:uid="{00000000-0005-0000-0000-00005D3F0000}"/>
    <cellStyle name="Normal 11 2 2 2 2" xfId="7005" xr:uid="{00000000-0005-0000-0000-00005E3F0000}"/>
    <cellStyle name="Normal 11 2 2 2 2 2" xfId="10091" xr:uid="{00000000-0005-0000-0000-00005F3F0000}"/>
    <cellStyle name="Normal 11 2 2 2 2 2 2" xfId="16284" xr:uid="{00000000-0005-0000-0000-0000603F0000}"/>
    <cellStyle name="Normal 11 2 2 2 2 2 2 2" xfId="36204" xr:uid="{00000000-0005-0000-0000-0000613F0000}"/>
    <cellStyle name="Normal 11 2 2 2 2 2 3" xfId="22436" xr:uid="{00000000-0005-0000-0000-0000623F0000}"/>
    <cellStyle name="Normal 11 2 2 2 2 2 3 2" xfId="42356" xr:uid="{00000000-0005-0000-0000-0000633F0000}"/>
    <cellStyle name="Normal 11 2 2 2 2 2 4" xfId="30051" xr:uid="{00000000-0005-0000-0000-0000643F0000}"/>
    <cellStyle name="Normal 11 2 2 2 2 3" xfId="13218" xr:uid="{00000000-0005-0000-0000-0000653F0000}"/>
    <cellStyle name="Normal 11 2 2 2 2 3 2" xfId="33138" xr:uid="{00000000-0005-0000-0000-0000663F0000}"/>
    <cellStyle name="Normal 11 2 2 2 2 4" xfId="19370" xr:uid="{00000000-0005-0000-0000-0000673F0000}"/>
    <cellStyle name="Normal 11 2 2 2 2 4 2" xfId="39290" xr:uid="{00000000-0005-0000-0000-0000683F0000}"/>
    <cellStyle name="Normal 11 2 2 2 2 5" xfId="26985" xr:uid="{00000000-0005-0000-0000-0000693F0000}"/>
    <cellStyle name="Normal 11 2 2 2 3" xfId="8556" xr:uid="{00000000-0005-0000-0000-00006A3F0000}"/>
    <cellStyle name="Normal 11 2 2 2 3 2" xfId="14750" xr:uid="{00000000-0005-0000-0000-00006B3F0000}"/>
    <cellStyle name="Normal 11 2 2 2 3 2 2" xfId="34670" xr:uid="{00000000-0005-0000-0000-00006C3F0000}"/>
    <cellStyle name="Normal 11 2 2 2 3 3" xfId="20902" xr:uid="{00000000-0005-0000-0000-00006D3F0000}"/>
    <cellStyle name="Normal 11 2 2 2 3 3 2" xfId="40822" xr:uid="{00000000-0005-0000-0000-00006E3F0000}"/>
    <cellStyle name="Normal 11 2 2 2 3 4" xfId="28517" xr:uid="{00000000-0005-0000-0000-00006F3F0000}"/>
    <cellStyle name="Normal 11 2 2 2 4" xfId="11684" xr:uid="{00000000-0005-0000-0000-0000703F0000}"/>
    <cellStyle name="Normal 11 2 2 2 4 2" xfId="31604" xr:uid="{00000000-0005-0000-0000-0000713F0000}"/>
    <cellStyle name="Normal 11 2 2 2 5" xfId="17836" xr:uid="{00000000-0005-0000-0000-0000723F0000}"/>
    <cellStyle name="Normal 11 2 2 2 5 2" xfId="37756" xr:uid="{00000000-0005-0000-0000-0000733F0000}"/>
    <cellStyle name="Normal 11 2 2 2 6" xfId="25451" xr:uid="{00000000-0005-0000-0000-0000743F0000}"/>
    <cellStyle name="Normal 11 2 2 3" xfId="6236" xr:uid="{00000000-0005-0000-0000-0000753F0000}"/>
    <cellStyle name="Normal 11 2 2 3 2" xfId="9322" xr:uid="{00000000-0005-0000-0000-0000763F0000}"/>
    <cellStyle name="Normal 11 2 2 3 2 2" xfId="15515" xr:uid="{00000000-0005-0000-0000-0000773F0000}"/>
    <cellStyle name="Normal 11 2 2 3 2 2 2" xfId="35435" xr:uid="{00000000-0005-0000-0000-0000783F0000}"/>
    <cellStyle name="Normal 11 2 2 3 2 3" xfId="21667" xr:uid="{00000000-0005-0000-0000-0000793F0000}"/>
    <cellStyle name="Normal 11 2 2 3 2 3 2" xfId="41587" xr:uid="{00000000-0005-0000-0000-00007A3F0000}"/>
    <cellStyle name="Normal 11 2 2 3 2 4" xfId="29282" xr:uid="{00000000-0005-0000-0000-00007B3F0000}"/>
    <cellStyle name="Normal 11 2 2 3 3" xfId="12449" xr:uid="{00000000-0005-0000-0000-00007C3F0000}"/>
    <cellStyle name="Normal 11 2 2 3 3 2" xfId="32369" xr:uid="{00000000-0005-0000-0000-00007D3F0000}"/>
    <cellStyle name="Normal 11 2 2 3 4" xfId="18601" xr:uid="{00000000-0005-0000-0000-00007E3F0000}"/>
    <cellStyle name="Normal 11 2 2 3 4 2" xfId="38521" xr:uid="{00000000-0005-0000-0000-00007F3F0000}"/>
    <cellStyle name="Normal 11 2 2 3 5" xfId="26216" xr:uid="{00000000-0005-0000-0000-0000803F0000}"/>
    <cellStyle name="Normal 11 2 2 4" xfId="7787" xr:uid="{00000000-0005-0000-0000-0000813F0000}"/>
    <cellStyle name="Normal 11 2 2 4 2" xfId="13981" xr:uid="{00000000-0005-0000-0000-0000823F0000}"/>
    <cellStyle name="Normal 11 2 2 4 2 2" xfId="33901" xr:uid="{00000000-0005-0000-0000-0000833F0000}"/>
    <cellStyle name="Normal 11 2 2 4 3" xfId="20133" xr:uid="{00000000-0005-0000-0000-0000843F0000}"/>
    <cellStyle name="Normal 11 2 2 4 3 2" xfId="40053" xr:uid="{00000000-0005-0000-0000-0000853F0000}"/>
    <cellStyle name="Normal 11 2 2 4 4" xfId="27748" xr:uid="{00000000-0005-0000-0000-0000863F0000}"/>
    <cellStyle name="Normal 11 2 2 5" xfId="10915" xr:uid="{00000000-0005-0000-0000-0000873F0000}"/>
    <cellStyle name="Normal 11 2 2 5 2" xfId="30835" xr:uid="{00000000-0005-0000-0000-0000883F0000}"/>
    <cellStyle name="Normal 11 2 2 6" xfId="17067" xr:uid="{00000000-0005-0000-0000-0000893F0000}"/>
    <cellStyle name="Normal 11 2 2 6 2" xfId="36987" xr:uid="{00000000-0005-0000-0000-00008A3F0000}"/>
    <cellStyle name="Normal 11 2 2 7" xfId="24682" xr:uid="{00000000-0005-0000-0000-00008B3F0000}"/>
    <cellStyle name="Normal 11 2 3" xfId="3333" xr:uid="{00000000-0005-0000-0000-00008C3F0000}"/>
    <cellStyle name="Normal 11 2 4" xfId="4639" xr:uid="{00000000-0005-0000-0000-00008D3F0000}"/>
    <cellStyle name="Normal 11 2 4 2" xfId="6264" xr:uid="{00000000-0005-0000-0000-00008E3F0000}"/>
    <cellStyle name="Normal 11 2 4 2 2" xfId="9350" xr:uid="{00000000-0005-0000-0000-00008F3F0000}"/>
    <cellStyle name="Normal 11 2 4 2 2 2" xfId="15543" xr:uid="{00000000-0005-0000-0000-0000903F0000}"/>
    <cellStyle name="Normal 11 2 4 2 2 2 2" xfId="35463" xr:uid="{00000000-0005-0000-0000-0000913F0000}"/>
    <cellStyle name="Normal 11 2 4 2 2 3" xfId="21695" xr:uid="{00000000-0005-0000-0000-0000923F0000}"/>
    <cellStyle name="Normal 11 2 4 2 2 3 2" xfId="41615" xr:uid="{00000000-0005-0000-0000-0000933F0000}"/>
    <cellStyle name="Normal 11 2 4 2 2 4" xfId="29310" xr:uid="{00000000-0005-0000-0000-0000943F0000}"/>
    <cellStyle name="Normal 11 2 4 2 3" xfId="12477" xr:uid="{00000000-0005-0000-0000-0000953F0000}"/>
    <cellStyle name="Normal 11 2 4 2 3 2" xfId="32397" xr:uid="{00000000-0005-0000-0000-0000963F0000}"/>
    <cellStyle name="Normal 11 2 4 2 4" xfId="18629" xr:uid="{00000000-0005-0000-0000-0000973F0000}"/>
    <cellStyle name="Normal 11 2 4 2 4 2" xfId="38549" xr:uid="{00000000-0005-0000-0000-0000983F0000}"/>
    <cellStyle name="Normal 11 2 4 2 5" xfId="26244" xr:uid="{00000000-0005-0000-0000-0000993F0000}"/>
    <cellStyle name="Normal 11 2 4 3" xfId="7815" xr:uid="{00000000-0005-0000-0000-00009A3F0000}"/>
    <cellStyle name="Normal 11 2 4 3 2" xfId="14009" xr:uid="{00000000-0005-0000-0000-00009B3F0000}"/>
    <cellStyle name="Normal 11 2 4 3 2 2" xfId="33929" xr:uid="{00000000-0005-0000-0000-00009C3F0000}"/>
    <cellStyle name="Normal 11 2 4 3 3" xfId="20161" xr:uid="{00000000-0005-0000-0000-00009D3F0000}"/>
    <cellStyle name="Normal 11 2 4 3 3 2" xfId="40081" xr:uid="{00000000-0005-0000-0000-00009E3F0000}"/>
    <cellStyle name="Normal 11 2 4 3 4" xfId="27776" xr:uid="{00000000-0005-0000-0000-00009F3F0000}"/>
    <cellStyle name="Normal 11 2 4 4" xfId="10943" xr:uid="{00000000-0005-0000-0000-0000A03F0000}"/>
    <cellStyle name="Normal 11 2 4 4 2" xfId="30863" xr:uid="{00000000-0005-0000-0000-0000A13F0000}"/>
    <cellStyle name="Normal 11 2 4 5" xfId="17095" xr:uid="{00000000-0005-0000-0000-0000A23F0000}"/>
    <cellStyle name="Normal 11 2 4 5 2" xfId="37015" xr:uid="{00000000-0005-0000-0000-0000A33F0000}"/>
    <cellStyle name="Normal 11 2 4 6" xfId="24710" xr:uid="{00000000-0005-0000-0000-0000A43F0000}"/>
    <cellStyle name="Normal 11 2 5" xfId="5478" xr:uid="{00000000-0005-0000-0000-0000A53F0000}"/>
    <cellStyle name="Normal 11 2 5 2" xfId="8581" xr:uid="{00000000-0005-0000-0000-0000A63F0000}"/>
    <cellStyle name="Normal 11 2 5 2 2" xfId="14774" xr:uid="{00000000-0005-0000-0000-0000A73F0000}"/>
    <cellStyle name="Normal 11 2 5 2 2 2" xfId="34694" xr:uid="{00000000-0005-0000-0000-0000A83F0000}"/>
    <cellStyle name="Normal 11 2 5 2 3" xfId="20926" xr:uid="{00000000-0005-0000-0000-0000A93F0000}"/>
    <cellStyle name="Normal 11 2 5 2 3 2" xfId="40846" xr:uid="{00000000-0005-0000-0000-0000AA3F0000}"/>
    <cellStyle name="Normal 11 2 5 2 4" xfId="28541" xr:uid="{00000000-0005-0000-0000-0000AB3F0000}"/>
    <cellStyle name="Normal 11 2 5 3" xfId="11708" xr:uid="{00000000-0005-0000-0000-0000AC3F0000}"/>
    <cellStyle name="Normal 11 2 5 3 2" xfId="31628" xr:uid="{00000000-0005-0000-0000-0000AD3F0000}"/>
    <cellStyle name="Normal 11 2 5 4" xfId="17860" xr:uid="{00000000-0005-0000-0000-0000AE3F0000}"/>
    <cellStyle name="Normal 11 2 5 4 2" xfId="37780" xr:uid="{00000000-0005-0000-0000-0000AF3F0000}"/>
    <cellStyle name="Normal 11 2 5 5" xfId="25475" xr:uid="{00000000-0005-0000-0000-0000B03F0000}"/>
    <cellStyle name="Normal 11 2 6" xfId="7046" xr:uid="{00000000-0005-0000-0000-0000B13F0000}"/>
    <cellStyle name="Normal 11 2 6 2" xfId="13240" xr:uid="{00000000-0005-0000-0000-0000B23F0000}"/>
    <cellStyle name="Normal 11 2 6 2 2" xfId="33160" xr:uid="{00000000-0005-0000-0000-0000B33F0000}"/>
    <cellStyle name="Normal 11 2 6 3" xfId="19392" xr:uid="{00000000-0005-0000-0000-0000B43F0000}"/>
    <cellStyle name="Normal 11 2 6 3 2" xfId="39312" xr:uid="{00000000-0005-0000-0000-0000B53F0000}"/>
    <cellStyle name="Normal 11 2 6 4" xfId="27007" xr:uid="{00000000-0005-0000-0000-0000B63F0000}"/>
    <cellStyle name="Normal 11 2 7" xfId="10174" xr:uid="{00000000-0005-0000-0000-0000B73F0000}"/>
    <cellStyle name="Normal 11 2 7 2" xfId="30094" xr:uid="{00000000-0005-0000-0000-0000B83F0000}"/>
    <cellStyle name="Normal 11 2 8" xfId="16326" xr:uid="{00000000-0005-0000-0000-0000B93F0000}"/>
    <cellStyle name="Normal 11 2 8 2" xfId="36246" xr:uid="{00000000-0005-0000-0000-0000BA3F0000}"/>
    <cellStyle name="Normal 11 2 9" xfId="23941" xr:uid="{00000000-0005-0000-0000-0000BB3F0000}"/>
    <cellStyle name="Normal 11 3" xfId="3334" xr:uid="{00000000-0005-0000-0000-0000BC3F0000}"/>
    <cellStyle name="Normal 11 3 2" xfId="4865" xr:uid="{00000000-0005-0000-0000-0000BD3F0000}"/>
    <cellStyle name="Normal 11 3 2 2" xfId="6490" xr:uid="{00000000-0005-0000-0000-0000BE3F0000}"/>
    <cellStyle name="Normal 11 3 2 2 2" xfId="9576" xr:uid="{00000000-0005-0000-0000-0000BF3F0000}"/>
    <cellStyle name="Normal 11 3 2 2 2 2" xfId="15769" xr:uid="{00000000-0005-0000-0000-0000C03F0000}"/>
    <cellStyle name="Normal 11 3 2 2 2 2 2" xfId="35689" xr:uid="{00000000-0005-0000-0000-0000C13F0000}"/>
    <cellStyle name="Normal 11 3 2 2 2 3" xfId="21921" xr:uid="{00000000-0005-0000-0000-0000C23F0000}"/>
    <cellStyle name="Normal 11 3 2 2 2 3 2" xfId="41841" xr:uid="{00000000-0005-0000-0000-0000C33F0000}"/>
    <cellStyle name="Normal 11 3 2 2 2 4" xfId="29536" xr:uid="{00000000-0005-0000-0000-0000C43F0000}"/>
    <cellStyle name="Normal 11 3 2 2 3" xfId="12703" xr:uid="{00000000-0005-0000-0000-0000C53F0000}"/>
    <cellStyle name="Normal 11 3 2 2 3 2" xfId="32623" xr:uid="{00000000-0005-0000-0000-0000C63F0000}"/>
    <cellStyle name="Normal 11 3 2 2 4" xfId="18855" xr:uid="{00000000-0005-0000-0000-0000C73F0000}"/>
    <cellStyle name="Normal 11 3 2 2 4 2" xfId="38775" xr:uid="{00000000-0005-0000-0000-0000C83F0000}"/>
    <cellStyle name="Normal 11 3 2 2 5" xfId="26470" xr:uid="{00000000-0005-0000-0000-0000C93F0000}"/>
    <cellStyle name="Normal 11 3 2 3" xfId="8041" xr:uid="{00000000-0005-0000-0000-0000CA3F0000}"/>
    <cellStyle name="Normal 11 3 2 3 2" xfId="14235" xr:uid="{00000000-0005-0000-0000-0000CB3F0000}"/>
    <cellStyle name="Normal 11 3 2 3 2 2" xfId="34155" xr:uid="{00000000-0005-0000-0000-0000CC3F0000}"/>
    <cellStyle name="Normal 11 3 2 3 3" xfId="20387" xr:uid="{00000000-0005-0000-0000-0000CD3F0000}"/>
    <cellStyle name="Normal 11 3 2 3 3 2" xfId="40307" xr:uid="{00000000-0005-0000-0000-0000CE3F0000}"/>
    <cellStyle name="Normal 11 3 2 3 4" xfId="28002" xr:uid="{00000000-0005-0000-0000-0000CF3F0000}"/>
    <cellStyle name="Normal 11 3 2 4" xfId="11169" xr:uid="{00000000-0005-0000-0000-0000D03F0000}"/>
    <cellStyle name="Normal 11 3 2 4 2" xfId="31089" xr:uid="{00000000-0005-0000-0000-0000D13F0000}"/>
    <cellStyle name="Normal 11 3 2 5" xfId="17321" xr:uid="{00000000-0005-0000-0000-0000D23F0000}"/>
    <cellStyle name="Normal 11 3 2 5 2" xfId="37241" xr:uid="{00000000-0005-0000-0000-0000D33F0000}"/>
    <cellStyle name="Normal 11 3 2 6" xfId="24936" xr:uid="{00000000-0005-0000-0000-0000D43F0000}"/>
    <cellStyle name="Normal 11 3 3" xfId="5707" xr:uid="{00000000-0005-0000-0000-0000D53F0000}"/>
    <cellStyle name="Normal 11 3 3 2" xfId="8807" xr:uid="{00000000-0005-0000-0000-0000D63F0000}"/>
    <cellStyle name="Normal 11 3 3 2 2" xfId="15000" xr:uid="{00000000-0005-0000-0000-0000D73F0000}"/>
    <cellStyle name="Normal 11 3 3 2 2 2" xfId="34920" xr:uid="{00000000-0005-0000-0000-0000D83F0000}"/>
    <cellStyle name="Normal 11 3 3 2 3" xfId="21152" xr:uid="{00000000-0005-0000-0000-0000D93F0000}"/>
    <cellStyle name="Normal 11 3 3 2 3 2" xfId="41072" xr:uid="{00000000-0005-0000-0000-0000DA3F0000}"/>
    <cellStyle name="Normal 11 3 3 2 4" xfId="28767" xr:uid="{00000000-0005-0000-0000-0000DB3F0000}"/>
    <cellStyle name="Normal 11 3 3 3" xfId="11934" xr:uid="{00000000-0005-0000-0000-0000DC3F0000}"/>
    <cellStyle name="Normal 11 3 3 3 2" xfId="31854" xr:uid="{00000000-0005-0000-0000-0000DD3F0000}"/>
    <cellStyle name="Normal 11 3 3 4" xfId="18086" xr:uid="{00000000-0005-0000-0000-0000DE3F0000}"/>
    <cellStyle name="Normal 11 3 3 4 2" xfId="38006" xr:uid="{00000000-0005-0000-0000-0000DF3F0000}"/>
    <cellStyle name="Normal 11 3 3 5" xfId="25701" xr:uid="{00000000-0005-0000-0000-0000E03F0000}"/>
    <cellStyle name="Normal 11 3 4" xfId="7272" xr:uid="{00000000-0005-0000-0000-0000E13F0000}"/>
    <cellStyle name="Normal 11 3 4 2" xfId="13466" xr:uid="{00000000-0005-0000-0000-0000E23F0000}"/>
    <cellStyle name="Normal 11 3 4 2 2" xfId="33386" xr:uid="{00000000-0005-0000-0000-0000E33F0000}"/>
    <cellStyle name="Normal 11 3 4 3" xfId="19618" xr:uid="{00000000-0005-0000-0000-0000E43F0000}"/>
    <cellStyle name="Normal 11 3 4 3 2" xfId="39538" xr:uid="{00000000-0005-0000-0000-0000E53F0000}"/>
    <cellStyle name="Normal 11 3 4 4" xfId="27233" xr:uid="{00000000-0005-0000-0000-0000E63F0000}"/>
    <cellStyle name="Normal 11 3 5" xfId="10400" xr:uid="{00000000-0005-0000-0000-0000E73F0000}"/>
    <cellStyle name="Normal 11 3 5 2" xfId="30320" xr:uid="{00000000-0005-0000-0000-0000E83F0000}"/>
    <cellStyle name="Normal 11 3 6" xfId="16552" xr:uid="{00000000-0005-0000-0000-0000E93F0000}"/>
    <cellStyle name="Normal 11 3 6 2" xfId="36472" xr:uid="{00000000-0005-0000-0000-0000EA3F0000}"/>
    <cellStyle name="Normal 11 3 7" xfId="24167" xr:uid="{00000000-0005-0000-0000-0000EB3F0000}"/>
    <cellStyle name="Normal 11 4" xfId="3332" xr:uid="{00000000-0005-0000-0000-0000EC3F0000}"/>
    <cellStyle name="Normal 11 4 2" xfId="4864" xr:uid="{00000000-0005-0000-0000-0000ED3F0000}"/>
    <cellStyle name="Normal 11 4 2 2" xfId="6489" xr:uid="{00000000-0005-0000-0000-0000EE3F0000}"/>
    <cellStyle name="Normal 11 4 2 2 2" xfId="9575" xr:uid="{00000000-0005-0000-0000-0000EF3F0000}"/>
    <cellStyle name="Normal 11 4 2 2 2 2" xfId="15768" xr:uid="{00000000-0005-0000-0000-0000F03F0000}"/>
    <cellStyle name="Normal 11 4 2 2 2 2 2" xfId="35688" xr:uid="{00000000-0005-0000-0000-0000F13F0000}"/>
    <cellStyle name="Normal 11 4 2 2 2 3" xfId="21920" xr:uid="{00000000-0005-0000-0000-0000F23F0000}"/>
    <cellStyle name="Normal 11 4 2 2 2 3 2" xfId="41840" xr:uid="{00000000-0005-0000-0000-0000F33F0000}"/>
    <cellStyle name="Normal 11 4 2 2 2 4" xfId="29535" xr:uid="{00000000-0005-0000-0000-0000F43F0000}"/>
    <cellStyle name="Normal 11 4 2 2 3" xfId="12702" xr:uid="{00000000-0005-0000-0000-0000F53F0000}"/>
    <cellStyle name="Normal 11 4 2 2 3 2" xfId="32622" xr:uid="{00000000-0005-0000-0000-0000F63F0000}"/>
    <cellStyle name="Normal 11 4 2 2 4" xfId="18854" xr:uid="{00000000-0005-0000-0000-0000F73F0000}"/>
    <cellStyle name="Normal 11 4 2 2 4 2" xfId="38774" xr:uid="{00000000-0005-0000-0000-0000F83F0000}"/>
    <cellStyle name="Normal 11 4 2 2 5" xfId="26469" xr:uid="{00000000-0005-0000-0000-0000F93F0000}"/>
    <cellStyle name="Normal 11 4 2 3" xfId="8040" xr:uid="{00000000-0005-0000-0000-0000FA3F0000}"/>
    <cellStyle name="Normal 11 4 2 3 2" xfId="14234" xr:uid="{00000000-0005-0000-0000-0000FB3F0000}"/>
    <cellStyle name="Normal 11 4 2 3 2 2" xfId="34154" xr:uid="{00000000-0005-0000-0000-0000FC3F0000}"/>
    <cellStyle name="Normal 11 4 2 3 3" xfId="20386" xr:uid="{00000000-0005-0000-0000-0000FD3F0000}"/>
    <cellStyle name="Normal 11 4 2 3 3 2" xfId="40306" xr:uid="{00000000-0005-0000-0000-0000FE3F0000}"/>
    <cellStyle name="Normal 11 4 2 3 4" xfId="28001" xr:uid="{00000000-0005-0000-0000-0000FF3F0000}"/>
    <cellStyle name="Normal 11 4 2 4" xfId="11168" xr:uid="{00000000-0005-0000-0000-000000400000}"/>
    <cellStyle name="Normal 11 4 2 4 2" xfId="31088" xr:uid="{00000000-0005-0000-0000-000001400000}"/>
    <cellStyle name="Normal 11 4 2 5" xfId="17320" xr:uid="{00000000-0005-0000-0000-000002400000}"/>
    <cellStyle name="Normal 11 4 2 5 2" xfId="37240" xr:uid="{00000000-0005-0000-0000-000003400000}"/>
    <cellStyle name="Normal 11 4 2 6" xfId="24935" xr:uid="{00000000-0005-0000-0000-000004400000}"/>
    <cellStyle name="Normal 11 4 3" xfId="5706" xr:uid="{00000000-0005-0000-0000-000005400000}"/>
    <cellStyle name="Normal 11 4 3 2" xfId="8806" xr:uid="{00000000-0005-0000-0000-000006400000}"/>
    <cellStyle name="Normal 11 4 3 2 2" xfId="14999" xr:uid="{00000000-0005-0000-0000-000007400000}"/>
    <cellStyle name="Normal 11 4 3 2 2 2" xfId="34919" xr:uid="{00000000-0005-0000-0000-000008400000}"/>
    <cellStyle name="Normal 11 4 3 2 3" xfId="21151" xr:uid="{00000000-0005-0000-0000-000009400000}"/>
    <cellStyle name="Normal 11 4 3 2 3 2" xfId="41071" xr:uid="{00000000-0005-0000-0000-00000A400000}"/>
    <cellStyle name="Normal 11 4 3 2 4" xfId="28766" xr:uid="{00000000-0005-0000-0000-00000B400000}"/>
    <cellStyle name="Normal 11 4 3 3" xfId="11933" xr:uid="{00000000-0005-0000-0000-00000C400000}"/>
    <cellStyle name="Normal 11 4 3 3 2" xfId="31853" xr:uid="{00000000-0005-0000-0000-00000D400000}"/>
    <cellStyle name="Normal 11 4 3 4" xfId="18085" xr:uid="{00000000-0005-0000-0000-00000E400000}"/>
    <cellStyle name="Normal 11 4 3 4 2" xfId="38005" xr:uid="{00000000-0005-0000-0000-00000F400000}"/>
    <cellStyle name="Normal 11 4 3 5" xfId="25700" xr:uid="{00000000-0005-0000-0000-000010400000}"/>
    <cellStyle name="Normal 11 4 4" xfId="7271" xr:uid="{00000000-0005-0000-0000-000011400000}"/>
    <cellStyle name="Normal 11 4 4 2" xfId="13465" xr:uid="{00000000-0005-0000-0000-000012400000}"/>
    <cellStyle name="Normal 11 4 4 2 2" xfId="33385" xr:uid="{00000000-0005-0000-0000-000013400000}"/>
    <cellStyle name="Normal 11 4 4 3" xfId="19617" xr:uid="{00000000-0005-0000-0000-000014400000}"/>
    <cellStyle name="Normal 11 4 4 3 2" xfId="39537" xr:uid="{00000000-0005-0000-0000-000015400000}"/>
    <cellStyle name="Normal 11 4 4 4" xfId="27232" xr:uid="{00000000-0005-0000-0000-000016400000}"/>
    <cellStyle name="Normal 11 4 5" xfId="10399" xr:uid="{00000000-0005-0000-0000-000017400000}"/>
    <cellStyle name="Normal 11 4 5 2" xfId="30319" xr:uid="{00000000-0005-0000-0000-000018400000}"/>
    <cellStyle name="Normal 11 4 6" xfId="16551" xr:uid="{00000000-0005-0000-0000-000019400000}"/>
    <cellStyle name="Normal 11 4 6 2" xfId="36471" xr:uid="{00000000-0005-0000-0000-00001A400000}"/>
    <cellStyle name="Normal 11 4 7" xfId="24166" xr:uid="{00000000-0005-0000-0000-00001B400000}"/>
    <cellStyle name="Normal 11 5" xfId="4628" xr:uid="{00000000-0005-0000-0000-00001C400000}"/>
    <cellStyle name="Normal 11 5 2" xfId="6253" xr:uid="{00000000-0005-0000-0000-00001D400000}"/>
    <cellStyle name="Normal 11 5 2 2" xfId="9339" xr:uid="{00000000-0005-0000-0000-00001E400000}"/>
    <cellStyle name="Normal 11 5 2 2 2" xfId="15532" xr:uid="{00000000-0005-0000-0000-00001F400000}"/>
    <cellStyle name="Normal 11 5 2 2 2 2" xfId="35452" xr:uid="{00000000-0005-0000-0000-000020400000}"/>
    <cellStyle name="Normal 11 5 2 2 3" xfId="21684" xr:uid="{00000000-0005-0000-0000-000021400000}"/>
    <cellStyle name="Normal 11 5 2 2 3 2" xfId="41604" xr:uid="{00000000-0005-0000-0000-000022400000}"/>
    <cellStyle name="Normal 11 5 2 2 4" xfId="29299" xr:uid="{00000000-0005-0000-0000-000023400000}"/>
    <cellStyle name="Normal 11 5 2 3" xfId="12466" xr:uid="{00000000-0005-0000-0000-000024400000}"/>
    <cellStyle name="Normal 11 5 2 3 2" xfId="32386" xr:uid="{00000000-0005-0000-0000-000025400000}"/>
    <cellStyle name="Normal 11 5 2 4" xfId="18618" xr:uid="{00000000-0005-0000-0000-000026400000}"/>
    <cellStyle name="Normal 11 5 2 4 2" xfId="38538" xr:uid="{00000000-0005-0000-0000-000027400000}"/>
    <cellStyle name="Normal 11 5 2 5" xfId="26233" xr:uid="{00000000-0005-0000-0000-000028400000}"/>
    <cellStyle name="Normal 11 5 3" xfId="7804" xr:uid="{00000000-0005-0000-0000-000029400000}"/>
    <cellStyle name="Normal 11 5 3 2" xfId="13998" xr:uid="{00000000-0005-0000-0000-00002A400000}"/>
    <cellStyle name="Normal 11 5 3 2 2" xfId="33918" xr:uid="{00000000-0005-0000-0000-00002B400000}"/>
    <cellStyle name="Normal 11 5 3 3" xfId="20150" xr:uid="{00000000-0005-0000-0000-00002C400000}"/>
    <cellStyle name="Normal 11 5 3 3 2" xfId="40070" xr:uid="{00000000-0005-0000-0000-00002D400000}"/>
    <cellStyle name="Normal 11 5 3 4" xfId="27765" xr:uid="{00000000-0005-0000-0000-00002E400000}"/>
    <cellStyle name="Normal 11 5 4" xfId="10932" xr:uid="{00000000-0005-0000-0000-00002F400000}"/>
    <cellStyle name="Normal 11 5 4 2" xfId="30852" xr:uid="{00000000-0005-0000-0000-000030400000}"/>
    <cellStyle name="Normal 11 5 5" xfId="17084" xr:uid="{00000000-0005-0000-0000-000031400000}"/>
    <cellStyle name="Normal 11 5 5 2" xfId="37004" xr:uid="{00000000-0005-0000-0000-000032400000}"/>
    <cellStyle name="Normal 11 5 6" xfId="24699" xr:uid="{00000000-0005-0000-0000-000033400000}"/>
    <cellStyle name="Normal 11 6" xfId="5466" xr:uid="{00000000-0005-0000-0000-000034400000}"/>
    <cellStyle name="Normal 11 6 2" xfId="8570" xr:uid="{00000000-0005-0000-0000-000035400000}"/>
    <cellStyle name="Normal 11 6 2 2" xfId="14763" xr:uid="{00000000-0005-0000-0000-000036400000}"/>
    <cellStyle name="Normal 11 6 2 2 2" xfId="34683" xr:uid="{00000000-0005-0000-0000-000037400000}"/>
    <cellStyle name="Normal 11 6 2 3" xfId="20915" xr:uid="{00000000-0005-0000-0000-000038400000}"/>
    <cellStyle name="Normal 11 6 2 3 2" xfId="40835" xr:uid="{00000000-0005-0000-0000-000039400000}"/>
    <cellStyle name="Normal 11 6 2 4" xfId="28530" xr:uid="{00000000-0005-0000-0000-00003A400000}"/>
    <cellStyle name="Normal 11 6 3" xfId="11697" xr:uid="{00000000-0005-0000-0000-00003B400000}"/>
    <cellStyle name="Normal 11 6 3 2" xfId="31617" xr:uid="{00000000-0005-0000-0000-00003C400000}"/>
    <cellStyle name="Normal 11 6 4" xfId="17849" xr:uid="{00000000-0005-0000-0000-00003D400000}"/>
    <cellStyle name="Normal 11 6 4 2" xfId="37769" xr:uid="{00000000-0005-0000-0000-00003E400000}"/>
    <cellStyle name="Normal 11 6 5" xfId="25464" xr:uid="{00000000-0005-0000-0000-00003F400000}"/>
    <cellStyle name="Normal 11 7" xfId="7035" xr:uid="{00000000-0005-0000-0000-000040400000}"/>
    <cellStyle name="Normal 11 7 2" xfId="13229" xr:uid="{00000000-0005-0000-0000-000041400000}"/>
    <cellStyle name="Normal 11 7 2 2" xfId="33149" xr:uid="{00000000-0005-0000-0000-000042400000}"/>
    <cellStyle name="Normal 11 7 3" xfId="19381" xr:uid="{00000000-0005-0000-0000-000043400000}"/>
    <cellStyle name="Normal 11 7 3 2" xfId="39301" xr:uid="{00000000-0005-0000-0000-000044400000}"/>
    <cellStyle name="Normal 11 7 4" xfId="26996" xr:uid="{00000000-0005-0000-0000-000045400000}"/>
    <cellStyle name="Normal 11 8" xfId="10163" xr:uid="{00000000-0005-0000-0000-000046400000}"/>
    <cellStyle name="Normal 11 8 2" xfId="30083" xr:uid="{00000000-0005-0000-0000-000047400000}"/>
    <cellStyle name="Normal 11 9" xfId="16315" xr:uid="{00000000-0005-0000-0000-000048400000}"/>
    <cellStyle name="Normal 11 9 2" xfId="36235" xr:uid="{00000000-0005-0000-0000-000049400000}"/>
    <cellStyle name="Normal 12" xfId="155" xr:uid="{00000000-0005-0000-0000-00004A400000}"/>
    <cellStyle name="Normal 12 10" xfId="7273" xr:uid="{00000000-0005-0000-0000-00004B400000}"/>
    <cellStyle name="Normal 12 10 2" xfId="13467" xr:uid="{00000000-0005-0000-0000-00004C400000}"/>
    <cellStyle name="Normal 12 10 2 2" xfId="33387" xr:uid="{00000000-0005-0000-0000-00004D400000}"/>
    <cellStyle name="Normal 12 10 3" xfId="19619" xr:uid="{00000000-0005-0000-0000-00004E400000}"/>
    <cellStyle name="Normal 12 10 3 2" xfId="39539" xr:uid="{00000000-0005-0000-0000-00004F400000}"/>
    <cellStyle name="Normal 12 10 4" xfId="27234" xr:uid="{00000000-0005-0000-0000-000050400000}"/>
    <cellStyle name="Normal 12 11" xfId="10145" xr:uid="{00000000-0005-0000-0000-000051400000}"/>
    <cellStyle name="Normal 12 11 2" xfId="16307" xr:uid="{00000000-0005-0000-0000-000052400000}"/>
    <cellStyle name="Normal 12 11 2 2" xfId="36227" xr:uid="{00000000-0005-0000-0000-000053400000}"/>
    <cellStyle name="Normal 12 11 3" xfId="22459" xr:uid="{00000000-0005-0000-0000-000054400000}"/>
    <cellStyle name="Normal 12 11 3 2" xfId="42379" xr:uid="{00000000-0005-0000-0000-000055400000}"/>
    <cellStyle name="Normal 12 11 4" xfId="30074" xr:uid="{00000000-0005-0000-0000-000056400000}"/>
    <cellStyle name="Normal 12 12" xfId="10401" xr:uid="{00000000-0005-0000-0000-000057400000}"/>
    <cellStyle name="Normal 12 12 2" xfId="30321" xr:uid="{00000000-0005-0000-0000-000058400000}"/>
    <cellStyle name="Normal 12 13" xfId="16553" xr:uid="{00000000-0005-0000-0000-000059400000}"/>
    <cellStyle name="Normal 12 13 2" xfId="36473" xr:uid="{00000000-0005-0000-0000-00005A400000}"/>
    <cellStyle name="Normal 12 14" xfId="3335" xr:uid="{00000000-0005-0000-0000-00005B400000}"/>
    <cellStyle name="Normal 12 14 2" xfId="24168" xr:uid="{00000000-0005-0000-0000-00005C400000}"/>
    <cellStyle name="Normal 12 2" xfId="3336" xr:uid="{00000000-0005-0000-0000-00005D400000}"/>
    <cellStyle name="Normal 12 2 2" xfId="3337" xr:uid="{00000000-0005-0000-0000-00005E400000}"/>
    <cellStyle name="Normal 12 2 2 10" xfId="24169" xr:uid="{00000000-0005-0000-0000-00005F400000}"/>
    <cellStyle name="Normal 12 2 2 2" xfId="3338" xr:uid="{00000000-0005-0000-0000-000060400000}"/>
    <cellStyle name="Normal 12 2 2 2 2" xfId="3339" xr:uid="{00000000-0005-0000-0000-000061400000}"/>
    <cellStyle name="Normal 12 2 2 2 2 2" xfId="4869" xr:uid="{00000000-0005-0000-0000-000062400000}"/>
    <cellStyle name="Normal 12 2 2 2 2 2 2" xfId="6494" xr:uid="{00000000-0005-0000-0000-000063400000}"/>
    <cellStyle name="Normal 12 2 2 2 2 2 2 2" xfId="9580" xr:uid="{00000000-0005-0000-0000-000064400000}"/>
    <cellStyle name="Normal 12 2 2 2 2 2 2 2 2" xfId="15773" xr:uid="{00000000-0005-0000-0000-000065400000}"/>
    <cellStyle name="Normal 12 2 2 2 2 2 2 2 2 2" xfId="35693" xr:uid="{00000000-0005-0000-0000-000066400000}"/>
    <cellStyle name="Normal 12 2 2 2 2 2 2 2 3" xfId="21925" xr:uid="{00000000-0005-0000-0000-000067400000}"/>
    <cellStyle name="Normal 12 2 2 2 2 2 2 2 3 2" xfId="41845" xr:uid="{00000000-0005-0000-0000-000068400000}"/>
    <cellStyle name="Normal 12 2 2 2 2 2 2 2 4" xfId="29540" xr:uid="{00000000-0005-0000-0000-000069400000}"/>
    <cellStyle name="Normal 12 2 2 2 2 2 2 3" xfId="12707" xr:uid="{00000000-0005-0000-0000-00006A400000}"/>
    <cellStyle name="Normal 12 2 2 2 2 2 2 3 2" xfId="32627" xr:uid="{00000000-0005-0000-0000-00006B400000}"/>
    <cellStyle name="Normal 12 2 2 2 2 2 2 4" xfId="18859" xr:uid="{00000000-0005-0000-0000-00006C400000}"/>
    <cellStyle name="Normal 12 2 2 2 2 2 2 4 2" xfId="38779" xr:uid="{00000000-0005-0000-0000-00006D400000}"/>
    <cellStyle name="Normal 12 2 2 2 2 2 2 5" xfId="26474" xr:uid="{00000000-0005-0000-0000-00006E400000}"/>
    <cellStyle name="Normal 12 2 2 2 2 2 3" xfId="8045" xr:uid="{00000000-0005-0000-0000-00006F400000}"/>
    <cellStyle name="Normal 12 2 2 2 2 2 3 2" xfId="14239" xr:uid="{00000000-0005-0000-0000-000070400000}"/>
    <cellStyle name="Normal 12 2 2 2 2 2 3 2 2" xfId="34159" xr:uid="{00000000-0005-0000-0000-000071400000}"/>
    <cellStyle name="Normal 12 2 2 2 2 2 3 3" xfId="20391" xr:uid="{00000000-0005-0000-0000-000072400000}"/>
    <cellStyle name="Normal 12 2 2 2 2 2 3 3 2" xfId="40311" xr:uid="{00000000-0005-0000-0000-000073400000}"/>
    <cellStyle name="Normal 12 2 2 2 2 2 3 4" xfId="28006" xr:uid="{00000000-0005-0000-0000-000074400000}"/>
    <cellStyle name="Normal 12 2 2 2 2 2 4" xfId="11173" xr:uid="{00000000-0005-0000-0000-000075400000}"/>
    <cellStyle name="Normal 12 2 2 2 2 2 4 2" xfId="31093" xr:uid="{00000000-0005-0000-0000-000076400000}"/>
    <cellStyle name="Normal 12 2 2 2 2 2 5" xfId="17325" xr:uid="{00000000-0005-0000-0000-000077400000}"/>
    <cellStyle name="Normal 12 2 2 2 2 2 5 2" xfId="37245" xr:uid="{00000000-0005-0000-0000-000078400000}"/>
    <cellStyle name="Normal 12 2 2 2 2 2 6" xfId="24940" xr:uid="{00000000-0005-0000-0000-000079400000}"/>
    <cellStyle name="Normal 12 2 2 2 2 3" xfId="5711" xr:uid="{00000000-0005-0000-0000-00007A400000}"/>
    <cellStyle name="Normal 12 2 2 2 2 3 2" xfId="8811" xr:uid="{00000000-0005-0000-0000-00007B400000}"/>
    <cellStyle name="Normal 12 2 2 2 2 3 2 2" xfId="15004" xr:uid="{00000000-0005-0000-0000-00007C400000}"/>
    <cellStyle name="Normal 12 2 2 2 2 3 2 2 2" xfId="34924" xr:uid="{00000000-0005-0000-0000-00007D400000}"/>
    <cellStyle name="Normal 12 2 2 2 2 3 2 3" xfId="21156" xr:uid="{00000000-0005-0000-0000-00007E400000}"/>
    <cellStyle name="Normal 12 2 2 2 2 3 2 3 2" xfId="41076" xr:uid="{00000000-0005-0000-0000-00007F400000}"/>
    <cellStyle name="Normal 12 2 2 2 2 3 2 4" xfId="28771" xr:uid="{00000000-0005-0000-0000-000080400000}"/>
    <cellStyle name="Normal 12 2 2 2 2 3 3" xfId="11938" xr:uid="{00000000-0005-0000-0000-000081400000}"/>
    <cellStyle name="Normal 12 2 2 2 2 3 3 2" xfId="31858" xr:uid="{00000000-0005-0000-0000-000082400000}"/>
    <cellStyle name="Normal 12 2 2 2 2 3 4" xfId="18090" xr:uid="{00000000-0005-0000-0000-000083400000}"/>
    <cellStyle name="Normal 12 2 2 2 2 3 4 2" xfId="38010" xr:uid="{00000000-0005-0000-0000-000084400000}"/>
    <cellStyle name="Normal 12 2 2 2 2 3 5" xfId="25705" xr:uid="{00000000-0005-0000-0000-000085400000}"/>
    <cellStyle name="Normal 12 2 2 2 2 4" xfId="7276" xr:uid="{00000000-0005-0000-0000-000086400000}"/>
    <cellStyle name="Normal 12 2 2 2 2 4 2" xfId="13470" xr:uid="{00000000-0005-0000-0000-000087400000}"/>
    <cellStyle name="Normal 12 2 2 2 2 4 2 2" xfId="33390" xr:uid="{00000000-0005-0000-0000-000088400000}"/>
    <cellStyle name="Normal 12 2 2 2 2 4 3" xfId="19622" xr:uid="{00000000-0005-0000-0000-000089400000}"/>
    <cellStyle name="Normal 12 2 2 2 2 4 3 2" xfId="39542" xr:uid="{00000000-0005-0000-0000-00008A400000}"/>
    <cellStyle name="Normal 12 2 2 2 2 4 4" xfId="27237" xr:uid="{00000000-0005-0000-0000-00008B400000}"/>
    <cellStyle name="Normal 12 2 2 2 2 5" xfId="10404" xr:uid="{00000000-0005-0000-0000-00008C400000}"/>
    <cellStyle name="Normal 12 2 2 2 2 5 2" xfId="30324" xr:uid="{00000000-0005-0000-0000-00008D400000}"/>
    <cellStyle name="Normal 12 2 2 2 2 6" xfId="16556" xr:uid="{00000000-0005-0000-0000-00008E400000}"/>
    <cellStyle name="Normal 12 2 2 2 2 6 2" xfId="36476" xr:uid="{00000000-0005-0000-0000-00008F400000}"/>
    <cellStyle name="Normal 12 2 2 2 2 7" xfId="24171" xr:uid="{00000000-0005-0000-0000-000090400000}"/>
    <cellStyle name="Normal 12 2 2 2 3" xfId="4868" xr:uid="{00000000-0005-0000-0000-000091400000}"/>
    <cellStyle name="Normal 12 2 2 2 3 2" xfId="6493" xr:uid="{00000000-0005-0000-0000-000092400000}"/>
    <cellStyle name="Normal 12 2 2 2 3 2 2" xfId="9579" xr:uid="{00000000-0005-0000-0000-000093400000}"/>
    <cellStyle name="Normal 12 2 2 2 3 2 2 2" xfId="15772" xr:uid="{00000000-0005-0000-0000-000094400000}"/>
    <cellStyle name="Normal 12 2 2 2 3 2 2 2 2" xfId="35692" xr:uid="{00000000-0005-0000-0000-000095400000}"/>
    <cellStyle name="Normal 12 2 2 2 3 2 2 3" xfId="21924" xr:uid="{00000000-0005-0000-0000-000096400000}"/>
    <cellStyle name="Normal 12 2 2 2 3 2 2 3 2" xfId="41844" xr:uid="{00000000-0005-0000-0000-000097400000}"/>
    <cellStyle name="Normal 12 2 2 2 3 2 2 4" xfId="29539" xr:uid="{00000000-0005-0000-0000-000098400000}"/>
    <cellStyle name="Normal 12 2 2 2 3 2 3" xfId="12706" xr:uid="{00000000-0005-0000-0000-000099400000}"/>
    <cellStyle name="Normal 12 2 2 2 3 2 3 2" xfId="32626" xr:uid="{00000000-0005-0000-0000-00009A400000}"/>
    <cellStyle name="Normal 12 2 2 2 3 2 4" xfId="18858" xr:uid="{00000000-0005-0000-0000-00009B400000}"/>
    <cellStyle name="Normal 12 2 2 2 3 2 4 2" xfId="38778" xr:uid="{00000000-0005-0000-0000-00009C400000}"/>
    <cellStyle name="Normal 12 2 2 2 3 2 5" xfId="26473" xr:uid="{00000000-0005-0000-0000-00009D400000}"/>
    <cellStyle name="Normal 12 2 2 2 3 3" xfId="8044" xr:uid="{00000000-0005-0000-0000-00009E400000}"/>
    <cellStyle name="Normal 12 2 2 2 3 3 2" xfId="14238" xr:uid="{00000000-0005-0000-0000-00009F400000}"/>
    <cellStyle name="Normal 12 2 2 2 3 3 2 2" xfId="34158" xr:uid="{00000000-0005-0000-0000-0000A0400000}"/>
    <cellStyle name="Normal 12 2 2 2 3 3 3" xfId="20390" xr:uid="{00000000-0005-0000-0000-0000A1400000}"/>
    <cellStyle name="Normal 12 2 2 2 3 3 3 2" xfId="40310" xr:uid="{00000000-0005-0000-0000-0000A2400000}"/>
    <cellStyle name="Normal 12 2 2 2 3 3 4" xfId="28005" xr:uid="{00000000-0005-0000-0000-0000A3400000}"/>
    <cellStyle name="Normal 12 2 2 2 3 4" xfId="11172" xr:uid="{00000000-0005-0000-0000-0000A4400000}"/>
    <cellStyle name="Normal 12 2 2 2 3 4 2" xfId="31092" xr:uid="{00000000-0005-0000-0000-0000A5400000}"/>
    <cellStyle name="Normal 12 2 2 2 3 5" xfId="17324" xr:uid="{00000000-0005-0000-0000-0000A6400000}"/>
    <cellStyle name="Normal 12 2 2 2 3 5 2" xfId="37244" xr:uid="{00000000-0005-0000-0000-0000A7400000}"/>
    <cellStyle name="Normal 12 2 2 2 3 6" xfId="24939" xr:uid="{00000000-0005-0000-0000-0000A8400000}"/>
    <cellStyle name="Normal 12 2 2 2 4" xfId="5710" xr:uid="{00000000-0005-0000-0000-0000A9400000}"/>
    <cellStyle name="Normal 12 2 2 2 4 2" xfId="8810" xr:uid="{00000000-0005-0000-0000-0000AA400000}"/>
    <cellStyle name="Normal 12 2 2 2 4 2 2" xfId="15003" xr:uid="{00000000-0005-0000-0000-0000AB400000}"/>
    <cellStyle name="Normal 12 2 2 2 4 2 2 2" xfId="34923" xr:uid="{00000000-0005-0000-0000-0000AC400000}"/>
    <cellStyle name="Normal 12 2 2 2 4 2 3" xfId="21155" xr:uid="{00000000-0005-0000-0000-0000AD400000}"/>
    <cellStyle name="Normal 12 2 2 2 4 2 3 2" xfId="41075" xr:uid="{00000000-0005-0000-0000-0000AE400000}"/>
    <cellStyle name="Normal 12 2 2 2 4 2 4" xfId="28770" xr:uid="{00000000-0005-0000-0000-0000AF400000}"/>
    <cellStyle name="Normal 12 2 2 2 4 3" xfId="11937" xr:uid="{00000000-0005-0000-0000-0000B0400000}"/>
    <cellStyle name="Normal 12 2 2 2 4 3 2" xfId="31857" xr:uid="{00000000-0005-0000-0000-0000B1400000}"/>
    <cellStyle name="Normal 12 2 2 2 4 4" xfId="18089" xr:uid="{00000000-0005-0000-0000-0000B2400000}"/>
    <cellStyle name="Normal 12 2 2 2 4 4 2" xfId="38009" xr:uid="{00000000-0005-0000-0000-0000B3400000}"/>
    <cellStyle name="Normal 12 2 2 2 4 5" xfId="25704" xr:uid="{00000000-0005-0000-0000-0000B4400000}"/>
    <cellStyle name="Normal 12 2 2 2 5" xfId="7275" xr:uid="{00000000-0005-0000-0000-0000B5400000}"/>
    <cellStyle name="Normal 12 2 2 2 5 2" xfId="13469" xr:uid="{00000000-0005-0000-0000-0000B6400000}"/>
    <cellStyle name="Normal 12 2 2 2 5 2 2" xfId="33389" xr:uid="{00000000-0005-0000-0000-0000B7400000}"/>
    <cellStyle name="Normal 12 2 2 2 5 3" xfId="19621" xr:uid="{00000000-0005-0000-0000-0000B8400000}"/>
    <cellStyle name="Normal 12 2 2 2 5 3 2" xfId="39541" xr:uid="{00000000-0005-0000-0000-0000B9400000}"/>
    <cellStyle name="Normal 12 2 2 2 5 4" xfId="27236" xr:uid="{00000000-0005-0000-0000-0000BA400000}"/>
    <cellStyle name="Normal 12 2 2 2 6" xfId="10403" xr:uid="{00000000-0005-0000-0000-0000BB400000}"/>
    <cellStyle name="Normal 12 2 2 2 6 2" xfId="30323" xr:uid="{00000000-0005-0000-0000-0000BC400000}"/>
    <cellStyle name="Normal 12 2 2 2 7" xfId="16555" xr:uid="{00000000-0005-0000-0000-0000BD400000}"/>
    <cellStyle name="Normal 12 2 2 2 7 2" xfId="36475" xr:uid="{00000000-0005-0000-0000-0000BE400000}"/>
    <cellStyle name="Normal 12 2 2 2 8" xfId="24170" xr:uid="{00000000-0005-0000-0000-0000BF400000}"/>
    <cellStyle name="Normal 12 2 2 3" xfId="3340" xr:uid="{00000000-0005-0000-0000-0000C0400000}"/>
    <cellStyle name="Normal 12 2 2 3 2" xfId="3341" xr:uid="{00000000-0005-0000-0000-0000C1400000}"/>
    <cellStyle name="Normal 12 2 2 3 2 2" xfId="4871" xr:uid="{00000000-0005-0000-0000-0000C2400000}"/>
    <cellStyle name="Normal 12 2 2 3 2 2 2" xfId="6496" xr:uid="{00000000-0005-0000-0000-0000C3400000}"/>
    <cellStyle name="Normal 12 2 2 3 2 2 2 2" xfId="9582" xr:uid="{00000000-0005-0000-0000-0000C4400000}"/>
    <cellStyle name="Normal 12 2 2 3 2 2 2 2 2" xfId="15775" xr:uid="{00000000-0005-0000-0000-0000C5400000}"/>
    <cellStyle name="Normal 12 2 2 3 2 2 2 2 2 2" xfId="35695" xr:uid="{00000000-0005-0000-0000-0000C6400000}"/>
    <cellStyle name="Normal 12 2 2 3 2 2 2 2 3" xfId="21927" xr:uid="{00000000-0005-0000-0000-0000C7400000}"/>
    <cellStyle name="Normal 12 2 2 3 2 2 2 2 3 2" xfId="41847" xr:uid="{00000000-0005-0000-0000-0000C8400000}"/>
    <cellStyle name="Normal 12 2 2 3 2 2 2 2 4" xfId="29542" xr:uid="{00000000-0005-0000-0000-0000C9400000}"/>
    <cellStyle name="Normal 12 2 2 3 2 2 2 3" xfId="12709" xr:uid="{00000000-0005-0000-0000-0000CA400000}"/>
    <cellStyle name="Normal 12 2 2 3 2 2 2 3 2" xfId="32629" xr:uid="{00000000-0005-0000-0000-0000CB400000}"/>
    <cellStyle name="Normal 12 2 2 3 2 2 2 4" xfId="18861" xr:uid="{00000000-0005-0000-0000-0000CC400000}"/>
    <cellStyle name="Normal 12 2 2 3 2 2 2 4 2" xfId="38781" xr:uid="{00000000-0005-0000-0000-0000CD400000}"/>
    <cellStyle name="Normal 12 2 2 3 2 2 2 5" xfId="26476" xr:uid="{00000000-0005-0000-0000-0000CE400000}"/>
    <cellStyle name="Normal 12 2 2 3 2 2 3" xfId="8047" xr:uid="{00000000-0005-0000-0000-0000CF400000}"/>
    <cellStyle name="Normal 12 2 2 3 2 2 3 2" xfId="14241" xr:uid="{00000000-0005-0000-0000-0000D0400000}"/>
    <cellStyle name="Normal 12 2 2 3 2 2 3 2 2" xfId="34161" xr:uid="{00000000-0005-0000-0000-0000D1400000}"/>
    <cellStyle name="Normal 12 2 2 3 2 2 3 3" xfId="20393" xr:uid="{00000000-0005-0000-0000-0000D2400000}"/>
    <cellStyle name="Normal 12 2 2 3 2 2 3 3 2" xfId="40313" xr:uid="{00000000-0005-0000-0000-0000D3400000}"/>
    <cellStyle name="Normal 12 2 2 3 2 2 3 4" xfId="28008" xr:uid="{00000000-0005-0000-0000-0000D4400000}"/>
    <cellStyle name="Normal 12 2 2 3 2 2 4" xfId="11175" xr:uid="{00000000-0005-0000-0000-0000D5400000}"/>
    <cellStyle name="Normal 12 2 2 3 2 2 4 2" xfId="31095" xr:uid="{00000000-0005-0000-0000-0000D6400000}"/>
    <cellStyle name="Normal 12 2 2 3 2 2 5" xfId="17327" xr:uid="{00000000-0005-0000-0000-0000D7400000}"/>
    <cellStyle name="Normal 12 2 2 3 2 2 5 2" xfId="37247" xr:uid="{00000000-0005-0000-0000-0000D8400000}"/>
    <cellStyle name="Normal 12 2 2 3 2 2 6" xfId="24942" xr:uid="{00000000-0005-0000-0000-0000D9400000}"/>
    <cellStyle name="Normal 12 2 2 3 2 3" xfId="5713" xr:uid="{00000000-0005-0000-0000-0000DA400000}"/>
    <cellStyle name="Normal 12 2 2 3 2 3 2" xfId="8813" xr:uid="{00000000-0005-0000-0000-0000DB400000}"/>
    <cellStyle name="Normal 12 2 2 3 2 3 2 2" xfId="15006" xr:uid="{00000000-0005-0000-0000-0000DC400000}"/>
    <cellStyle name="Normal 12 2 2 3 2 3 2 2 2" xfId="34926" xr:uid="{00000000-0005-0000-0000-0000DD400000}"/>
    <cellStyle name="Normal 12 2 2 3 2 3 2 3" xfId="21158" xr:uid="{00000000-0005-0000-0000-0000DE400000}"/>
    <cellStyle name="Normal 12 2 2 3 2 3 2 3 2" xfId="41078" xr:uid="{00000000-0005-0000-0000-0000DF400000}"/>
    <cellStyle name="Normal 12 2 2 3 2 3 2 4" xfId="28773" xr:uid="{00000000-0005-0000-0000-0000E0400000}"/>
    <cellStyle name="Normal 12 2 2 3 2 3 3" xfId="11940" xr:uid="{00000000-0005-0000-0000-0000E1400000}"/>
    <cellStyle name="Normal 12 2 2 3 2 3 3 2" xfId="31860" xr:uid="{00000000-0005-0000-0000-0000E2400000}"/>
    <cellStyle name="Normal 12 2 2 3 2 3 4" xfId="18092" xr:uid="{00000000-0005-0000-0000-0000E3400000}"/>
    <cellStyle name="Normal 12 2 2 3 2 3 4 2" xfId="38012" xr:uid="{00000000-0005-0000-0000-0000E4400000}"/>
    <cellStyle name="Normal 12 2 2 3 2 3 5" xfId="25707" xr:uid="{00000000-0005-0000-0000-0000E5400000}"/>
    <cellStyle name="Normal 12 2 2 3 2 4" xfId="7278" xr:uid="{00000000-0005-0000-0000-0000E6400000}"/>
    <cellStyle name="Normal 12 2 2 3 2 4 2" xfId="13472" xr:uid="{00000000-0005-0000-0000-0000E7400000}"/>
    <cellStyle name="Normal 12 2 2 3 2 4 2 2" xfId="33392" xr:uid="{00000000-0005-0000-0000-0000E8400000}"/>
    <cellStyle name="Normal 12 2 2 3 2 4 3" xfId="19624" xr:uid="{00000000-0005-0000-0000-0000E9400000}"/>
    <cellStyle name="Normal 12 2 2 3 2 4 3 2" xfId="39544" xr:uid="{00000000-0005-0000-0000-0000EA400000}"/>
    <cellStyle name="Normal 12 2 2 3 2 4 4" xfId="27239" xr:uid="{00000000-0005-0000-0000-0000EB400000}"/>
    <cellStyle name="Normal 12 2 2 3 2 5" xfId="10406" xr:uid="{00000000-0005-0000-0000-0000EC400000}"/>
    <cellStyle name="Normal 12 2 2 3 2 5 2" xfId="30326" xr:uid="{00000000-0005-0000-0000-0000ED400000}"/>
    <cellStyle name="Normal 12 2 2 3 2 6" xfId="16558" xr:uid="{00000000-0005-0000-0000-0000EE400000}"/>
    <cellStyle name="Normal 12 2 2 3 2 6 2" xfId="36478" xr:uid="{00000000-0005-0000-0000-0000EF400000}"/>
    <cellStyle name="Normal 12 2 2 3 2 7" xfId="24173" xr:uid="{00000000-0005-0000-0000-0000F0400000}"/>
    <cellStyle name="Normal 12 2 2 3 3" xfId="4870" xr:uid="{00000000-0005-0000-0000-0000F1400000}"/>
    <cellStyle name="Normal 12 2 2 3 3 2" xfId="6495" xr:uid="{00000000-0005-0000-0000-0000F2400000}"/>
    <cellStyle name="Normal 12 2 2 3 3 2 2" xfId="9581" xr:uid="{00000000-0005-0000-0000-0000F3400000}"/>
    <cellStyle name="Normal 12 2 2 3 3 2 2 2" xfId="15774" xr:uid="{00000000-0005-0000-0000-0000F4400000}"/>
    <cellStyle name="Normal 12 2 2 3 3 2 2 2 2" xfId="35694" xr:uid="{00000000-0005-0000-0000-0000F5400000}"/>
    <cellStyle name="Normal 12 2 2 3 3 2 2 3" xfId="21926" xr:uid="{00000000-0005-0000-0000-0000F6400000}"/>
    <cellStyle name="Normal 12 2 2 3 3 2 2 3 2" xfId="41846" xr:uid="{00000000-0005-0000-0000-0000F7400000}"/>
    <cellStyle name="Normal 12 2 2 3 3 2 2 4" xfId="29541" xr:uid="{00000000-0005-0000-0000-0000F8400000}"/>
    <cellStyle name="Normal 12 2 2 3 3 2 3" xfId="12708" xr:uid="{00000000-0005-0000-0000-0000F9400000}"/>
    <cellStyle name="Normal 12 2 2 3 3 2 3 2" xfId="32628" xr:uid="{00000000-0005-0000-0000-0000FA400000}"/>
    <cellStyle name="Normal 12 2 2 3 3 2 4" xfId="18860" xr:uid="{00000000-0005-0000-0000-0000FB400000}"/>
    <cellStyle name="Normal 12 2 2 3 3 2 4 2" xfId="38780" xr:uid="{00000000-0005-0000-0000-0000FC400000}"/>
    <cellStyle name="Normal 12 2 2 3 3 2 5" xfId="26475" xr:uid="{00000000-0005-0000-0000-0000FD400000}"/>
    <cellStyle name="Normal 12 2 2 3 3 3" xfId="8046" xr:uid="{00000000-0005-0000-0000-0000FE400000}"/>
    <cellStyle name="Normal 12 2 2 3 3 3 2" xfId="14240" xr:uid="{00000000-0005-0000-0000-0000FF400000}"/>
    <cellStyle name="Normal 12 2 2 3 3 3 2 2" xfId="34160" xr:uid="{00000000-0005-0000-0000-000000410000}"/>
    <cellStyle name="Normal 12 2 2 3 3 3 3" xfId="20392" xr:uid="{00000000-0005-0000-0000-000001410000}"/>
    <cellStyle name="Normal 12 2 2 3 3 3 3 2" xfId="40312" xr:uid="{00000000-0005-0000-0000-000002410000}"/>
    <cellStyle name="Normal 12 2 2 3 3 3 4" xfId="28007" xr:uid="{00000000-0005-0000-0000-000003410000}"/>
    <cellStyle name="Normal 12 2 2 3 3 4" xfId="11174" xr:uid="{00000000-0005-0000-0000-000004410000}"/>
    <cellStyle name="Normal 12 2 2 3 3 4 2" xfId="31094" xr:uid="{00000000-0005-0000-0000-000005410000}"/>
    <cellStyle name="Normal 12 2 2 3 3 5" xfId="17326" xr:uid="{00000000-0005-0000-0000-000006410000}"/>
    <cellStyle name="Normal 12 2 2 3 3 5 2" xfId="37246" xr:uid="{00000000-0005-0000-0000-000007410000}"/>
    <cellStyle name="Normal 12 2 2 3 3 6" xfId="24941" xr:uid="{00000000-0005-0000-0000-000008410000}"/>
    <cellStyle name="Normal 12 2 2 3 4" xfId="5712" xr:uid="{00000000-0005-0000-0000-000009410000}"/>
    <cellStyle name="Normal 12 2 2 3 4 2" xfId="8812" xr:uid="{00000000-0005-0000-0000-00000A410000}"/>
    <cellStyle name="Normal 12 2 2 3 4 2 2" xfId="15005" xr:uid="{00000000-0005-0000-0000-00000B410000}"/>
    <cellStyle name="Normal 12 2 2 3 4 2 2 2" xfId="34925" xr:uid="{00000000-0005-0000-0000-00000C410000}"/>
    <cellStyle name="Normal 12 2 2 3 4 2 3" xfId="21157" xr:uid="{00000000-0005-0000-0000-00000D410000}"/>
    <cellStyle name="Normal 12 2 2 3 4 2 3 2" xfId="41077" xr:uid="{00000000-0005-0000-0000-00000E410000}"/>
    <cellStyle name="Normal 12 2 2 3 4 2 4" xfId="28772" xr:uid="{00000000-0005-0000-0000-00000F410000}"/>
    <cellStyle name="Normal 12 2 2 3 4 3" xfId="11939" xr:uid="{00000000-0005-0000-0000-000010410000}"/>
    <cellStyle name="Normal 12 2 2 3 4 3 2" xfId="31859" xr:uid="{00000000-0005-0000-0000-000011410000}"/>
    <cellStyle name="Normal 12 2 2 3 4 4" xfId="18091" xr:uid="{00000000-0005-0000-0000-000012410000}"/>
    <cellStyle name="Normal 12 2 2 3 4 4 2" xfId="38011" xr:uid="{00000000-0005-0000-0000-000013410000}"/>
    <cellStyle name="Normal 12 2 2 3 4 5" xfId="25706" xr:uid="{00000000-0005-0000-0000-000014410000}"/>
    <cellStyle name="Normal 12 2 2 3 5" xfId="7277" xr:uid="{00000000-0005-0000-0000-000015410000}"/>
    <cellStyle name="Normal 12 2 2 3 5 2" xfId="13471" xr:uid="{00000000-0005-0000-0000-000016410000}"/>
    <cellStyle name="Normal 12 2 2 3 5 2 2" xfId="33391" xr:uid="{00000000-0005-0000-0000-000017410000}"/>
    <cellStyle name="Normal 12 2 2 3 5 3" xfId="19623" xr:uid="{00000000-0005-0000-0000-000018410000}"/>
    <cellStyle name="Normal 12 2 2 3 5 3 2" xfId="39543" xr:uid="{00000000-0005-0000-0000-000019410000}"/>
    <cellStyle name="Normal 12 2 2 3 5 4" xfId="27238" xr:uid="{00000000-0005-0000-0000-00001A410000}"/>
    <cellStyle name="Normal 12 2 2 3 6" xfId="10405" xr:uid="{00000000-0005-0000-0000-00001B410000}"/>
    <cellStyle name="Normal 12 2 2 3 6 2" xfId="30325" xr:uid="{00000000-0005-0000-0000-00001C410000}"/>
    <cellStyle name="Normal 12 2 2 3 7" xfId="16557" xr:uid="{00000000-0005-0000-0000-00001D410000}"/>
    <cellStyle name="Normal 12 2 2 3 7 2" xfId="36477" xr:uid="{00000000-0005-0000-0000-00001E410000}"/>
    <cellStyle name="Normal 12 2 2 3 8" xfId="24172" xr:uid="{00000000-0005-0000-0000-00001F410000}"/>
    <cellStyle name="Normal 12 2 2 4" xfId="3342" xr:uid="{00000000-0005-0000-0000-000020410000}"/>
    <cellStyle name="Normal 12 2 2 4 2" xfId="4872" xr:uid="{00000000-0005-0000-0000-000021410000}"/>
    <cellStyle name="Normal 12 2 2 4 2 2" xfId="6497" xr:uid="{00000000-0005-0000-0000-000022410000}"/>
    <cellStyle name="Normal 12 2 2 4 2 2 2" xfId="9583" xr:uid="{00000000-0005-0000-0000-000023410000}"/>
    <cellStyle name="Normal 12 2 2 4 2 2 2 2" xfId="15776" xr:uid="{00000000-0005-0000-0000-000024410000}"/>
    <cellStyle name="Normal 12 2 2 4 2 2 2 2 2" xfId="35696" xr:uid="{00000000-0005-0000-0000-000025410000}"/>
    <cellStyle name="Normal 12 2 2 4 2 2 2 3" xfId="21928" xr:uid="{00000000-0005-0000-0000-000026410000}"/>
    <cellStyle name="Normal 12 2 2 4 2 2 2 3 2" xfId="41848" xr:uid="{00000000-0005-0000-0000-000027410000}"/>
    <cellStyle name="Normal 12 2 2 4 2 2 2 4" xfId="29543" xr:uid="{00000000-0005-0000-0000-000028410000}"/>
    <cellStyle name="Normal 12 2 2 4 2 2 3" xfId="12710" xr:uid="{00000000-0005-0000-0000-000029410000}"/>
    <cellStyle name="Normal 12 2 2 4 2 2 3 2" xfId="32630" xr:uid="{00000000-0005-0000-0000-00002A410000}"/>
    <cellStyle name="Normal 12 2 2 4 2 2 4" xfId="18862" xr:uid="{00000000-0005-0000-0000-00002B410000}"/>
    <cellStyle name="Normal 12 2 2 4 2 2 4 2" xfId="38782" xr:uid="{00000000-0005-0000-0000-00002C410000}"/>
    <cellStyle name="Normal 12 2 2 4 2 2 5" xfId="26477" xr:uid="{00000000-0005-0000-0000-00002D410000}"/>
    <cellStyle name="Normal 12 2 2 4 2 3" xfId="8048" xr:uid="{00000000-0005-0000-0000-00002E410000}"/>
    <cellStyle name="Normal 12 2 2 4 2 3 2" xfId="14242" xr:uid="{00000000-0005-0000-0000-00002F410000}"/>
    <cellStyle name="Normal 12 2 2 4 2 3 2 2" xfId="34162" xr:uid="{00000000-0005-0000-0000-000030410000}"/>
    <cellStyle name="Normal 12 2 2 4 2 3 3" xfId="20394" xr:uid="{00000000-0005-0000-0000-000031410000}"/>
    <cellStyle name="Normal 12 2 2 4 2 3 3 2" xfId="40314" xr:uid="{00000000-0005-0000-0000-000032410000}"/>
    <cellStyle name="Normal 12 2 2 4 2 3 4" xfId="28009" xr:uid="{00000000-0005-0000-0000-000033410000}"/>
    <cellStyle name="Normal 12 2 2 4 2 4" xfId="11176" xr:uid="{00000000-0005-0000-0000-000034410000}"/>
    <cellStyle name="Normal 12 2 2 4 2 4 2" xfId="31096" xr:uid="{00000000-0005-0000-0000-000035410000}"/>
    <cellStyle name="Normal 12 2 2 4 2 5" xfId="17328" xr:uid="{00000000-0005-0000-0000-000036410000}"/>
    <cellStyle name="Normal 12 2 2 4 2 5 2" xfId="37248" xr:uid="{00000000-0005-0000-0000-000037410000}"/>
    <cellStyle name="Normal 12 2 2 4 2 6" xfId="24943" xr:uid="{00000000-0005-0000-0000-000038410000}"/>
    <cellStyle name="Normal 12 2 2 4 3" xfId="5714" xr:uid="{00000000-0005-0000-0000-000039410000}"/>
    <cellStyle name="Normal 12 2 2 4 3 2" xfId="8814" xr:uid="{00000000-0005-0000-0000-00003A410000}"/>
    <cellStyle name="Normal 12 2 2 4 3 2 2" xfId="15007" xr:uid="{00000000-0005-0000-0000-00003B410000}"/>
    <cellStyle name="Normal 12 2 2 4 3 2 2 2" xfId="34927" xr:uid="{00000000-0005-0000-0000-00003C410000}"/>
    <cellStyle name="Normal 12 2 2 4 3 2 3" xfId="21159" xr:uid="{00000000-0005-0000-0000-00003D410000}"/>
    <cellStyle name="Normal 12 2 2 4 3 2 3 2" xfId="41079" xr:uid="{00000000-0005-0000-0000-00003E410000}"/>
    <cellStyle name="Normal 12 2 2 4 3 2 4" xfId="28774" xr:uid="{00000000-0005-0000-0000-00003F410000}"/>
    <cellStyle name="Normal 12 2 2 4 3 3" xfId="11941" xr:uid="{00000000-0005-0000-0000-000040410000}"/>
    <cellStyle name="Normal 12 2 2 4 3 3 2" xfId="31861" xr:uid="{00000000-0005-0000-0000-000041410000}"/>
    <cellStyle name="Normal 12 2 2 4 3 4" xfId="18093" xr:uid="{00000000-0005-0000-0000-000042410000}"/>
    <cellStyle name="Normal 12 2 2 4 3 4 2" xfId="38013" xr:uid="{00000000-0005-0000-0000-000043410000}"/>
    <cellStyle name="Normal 12 2 2 4 3 5" xfId="25708" xr:uid="{00000000-0005-0000-0000-000044410000}"/>
    <cellStyle name="Normal 12 2 2 4 4" xfId="7279" xr:uid="{00000000-0005-0000-0000-000045410000}"/>
    <cellStyle name="Normal 12 2 2 4 4 2" xfId="13473" xr:uid="{00000000-0005-0000-0000-000046410000}"/>
    <cellStyle name="Normal 12 2 2 4 4 2 2" xfId="33393" xr:uid="{00000000-0005-0000-0000-000047410000}"/>
    <cellStyle name="Normal 12 2 2 4 4 3" xfId="19625" xr:uid="{00000000-0005-0000-0000-000048410000}"/>
    <cellStyle name="Normal 12 2 2 4 4 3 2" xfId="39545" xr:uid="{00000000-0005-0000-0000-000049410000}"/>
    <cellStyle name="Normal 12 2 2 4 4 4" xfId="27240" xr:uid="{00000000-0005-0000-0000-00004A410000}"/>
    <cellStyle name="Normal 12 2 2 4 5" xfId="10407" xr:uid="{00000000-0005-0000-0000-00004B410000}"/>
    <cellStyle name="Normal 12 2 2 4 5 2" xfId="30327" xr:uid="{00000000-0005-0000-0000-00004C410000}"/>
    <cellStyle name="Normal 12 2 2 4 6" xfId="16559" xr:uid="{00000000-0005-0000-0000-00004D410000}"/>
    <cellStyle name="Normal 12 2 2 4 6 2" xfId="36479" xr:uid="{00000000-0005-0000-0000-00004E410000}"/>
    <cellStyle name="Normal 12 2 2 4 7" xfId="24174" xr:uid="{00000000-0005-0000-0000-00004F410000}"/>
    <cellStyle name="Normal 12 2 2 5" xfId="4867" xr:uid="{00000000-0005-0000-0000-000050410000}"/>
    <cellStyle name="Normal 12 2 2 5 2" xfId="6492" xr:uid="{00000000-0005-0000-0000-000051410000}"/>
    <cellStyle name="Normal 12 2 2 5 2 2" xfId="9578" xr:uid="{00000000-0005-0000-0000-000052410000}"/>
    <cellStyle name="Normal 12 2 2 5 2 2 2" xfId="15771" xr:uid="{00000000-0005-0000-0000-000053410000}"/>
    <cellStyle name="Normal 12 2 2 5 2 2 2 2" xfId="35691" xr:uid="{00000000-0005-0000-0000-000054410000}"/>
    <cellStyle name="Normal 12 2 2 5 2 2 3" xfId="21923" xr:uid="{00000000-0005-0000-0000-000055410000}"/>
    <cellStyle name="Normal 12 2 2 5 2 2 3 2" xfId="41843" xr:uid="{00000000-0005-0000-0000-000056410000}"/>
    <cellStyle name="Normal 12 2 2 5 2 2 4" xfId="29538" xr:uid="{00000000-0005-0000-0000-000057410000}"/>
    <cellStyle name="Normal 12 2 2 5 2 3" xfId="12705" xr:uid="{00000000-0005-0000-0000-000058410000}"/>
    <cellStyle name="Normal 12 2 2 5 2 3 2" xfId="32625" xr:uid="{00000000-0005-0000-0000-000059410000}"/>
    <cellStyle name="Normal 12 2 2 5 2 4" xfId="18857" xr:uid="{00000000-0005-0000-0000-00005A410000}"/>
    <cellStyle name="Normal 12 2 2 5 2 4 2" xfId="38777" xr:uid="{00000000-0005-0000-0000-00005B410000}"/>
    <cellStyle name="Normal 12 2 2 5 2 5" xfId="26472" xr:uid="{00000000-0005-0000-0000-00005C410000}"/>
    <cellStyle name="Normal 12 2 2 5 3" xfId="8043" xr:uid="{00000000-0005-0000-0000-00005D410000}"/>
    <cellStyle name="Normal 12 2 2 5 3 2" xfId="14237" xr:uid="{00000000-0005-0000-0000-00005E410000}"/>
    <cellStyle name="Normal 12 2 2 5 3 2 2" xfId="34157" xr:uid="{00000000-0005-0000-0000-00005F410000}"/>
    <cellStyle name="Normal 12 2 2 5 3 3" xfId="20389" xr:uid="{00000000-0005-0000-0000-000060410000}"/>
    <cellStyle name="Normal 12 2 2 5 3 3 2" xfId="40309" xr:uid="{00000000-0005-0000-0000-000061410000}"/>
    <cellStyle name="Normal 12 2 2 5 3 4" xfId="28004" xr:uid="{00000000-0005-0000-0000-000062410000}"/>
    <cellStyle name="Normal 12 2 2 5 4" xfId="11171" xr:uid="{00000000-0005-0000-0000-000063410000}"/>
    <cellStyle name="Normal 12 2 2 5 4 2" xfId="31091" xr:uid="{00000000-0005-0000-0000-000064410000}"/>
    <cellStyle name="Normal 12 2 2 5 5" xfId="17323" xr:uid="{00000000-0005-0000-0000-000065410000}"/>
    <cellStyle name="Normal 12 2 2 5 5 2" xfId="37243" xr:uid="{00000000-0005-0000-0000-000066410000}"/>
    <cellStyle name="Normal 12 2 2 5 6" xfId="24938" xr:uid="{00000000-0005-0000-0000-000067410000}"/>
    <cellStyle name="Normal 12 2 2 6" xfId="5709" xr:uid="{00000000-0005-0000-0000-000068410000}"/>
    <cellStyle name="Normal 12 2 2 6 2" xfId="8809" xr:uid="{00000000-0005-0000-0000-000069410000}"/>
    <cellStyle name="Normal 12 2 2 6 2 2" xfId="15002" xr:uid="{00000000-0005-0000-0000-00006A410000}"/>
    <cellStyle name="Normal 12 2 2 6 2 2 2" xfId="34922" xr:uid="{00000000-0005-0000-0000-00006B410000}"/>
    <cellStyle name="Normal 12 2 2 6 2 3" xfId="21154" xr:uid="{00000000-0005-0000-0000-00006C410000}"/>
    <cellStyle name="Normal 12 2 2 6 2 3 2" xfId="41074" xr:uid="{00000000-0005-0000-0000-00006D410000}"/>
    <cellStyle name="Normal 12 2 2 6 2 4" xfId="28769" xr:uid="{00000000-0005-0000-0000-00006E410000}"/>
    <cellStyle name="Normal 12 2 2 6 3" xfId="11936" xr:uid="{00000000-0005-0000-0000-00006F410000}"/>
    <cellStyle name="Normal 12 2 2 6 3 2" xfId="31856" xr:uid="{00000000-0005-0000-0000-000070410000}"/>
    <cellStyle name="Normal 12 2 2 6 4" xfId="18088" xr:uid="{00000000-0005-0000-0000-000071410000}"/>
    <cellStyle name="Normal 12 2 2 6 4 2" xfId="38008" xr:uid="{00000000-0005-0000-0000-000072410000}"/>
    <cellStyle name="Normal 12 2 2 6 5" xfId="25703" xr:uid="{00000000-0005-0000-0000-000073410000}"/>
    <cellStyle name="Normal 12 2 2 7" xfId="7274" xr:uid="{00000000-0005-0000-0000-000074410000}"/>
    <cellStyle name="Normal 12 2 2 7 2" xfId="13468" xr:uid="{00000000-0005-0000-0000-000075410000}"/>
    <cellStyle name="Normal 12 2 2 7 2 2" xfId="33388" xr:uid="{00000000-0005-0000-0000-000076410000}"/>
    <cellStyle name="Normal 12 2 2 7 3" xfId="19620" xr:uid="{00000000-0005-0000-0000-000077410000}"/>
    <cellStyle name="Normal 12 2 2 7 3 2" xfId="39540" xr:uid="{00000000-0005-0000-0000-000078410000}"/>
    <cellStyle name="Normal 12 2 2 7 4" xfId="27235" xr:uid="{00000000-0005-0000-0000-000079410000}"/>
    <cellStyle name="Normal 12 2 2 8" xfId="10402" xr:uid="{00000000-0005-0000-0000-00007A410000}"/>
    <cellStyle name="Normal 12 2 2 8 2" xfId="30322" xr:uid="{00000000-0005-0000-0000-00007B410000}"/>
    <cellStyle name="Normal 12 2 2 9" xfId="16554" xr:uid="{00000000-0005-0000-0000-00007C410000}"/>
    <cellStyle name="Normal 12 2 2 9 2" xfId="36474" xr:uid="{00000000-0005-0000-0000-00007D410000}"/>
    <cellStyle name="Normal 12 2 3" xfId="3343" xr:uid="{00000000-0005-0000-0000-00007E410000}"/>
    <cellStyle name="Normal 12 2 3 2" xfId="3344" xr:uid="{00000000-0005-0000-0000-00007F410000}"/>
    <cellStyle name="Normal 12 2 3 2 2" xfId="4874" xr:uid="{00000000-0005-0000-0000-000080410000}"/>
    <cellStyle name="Normal 12 2 3 2 2 2" xfId="6499" xr:uid="{00000000-0005-0000-0000-000081410000}"/>
    <cellStyle name="Normal 12 2 3 2 2 2 2" xfId="9585" xr:uid="{00000000-0005-0000-0000-000082410000}"/>
    <cellStyle name="Normal 12 2 3 2 2 2 2 2" xfId="15778" xr:uid="{00000000-0005-0000-0000-000083410000}"/>
    <cellStyle name="Normal 12 2 3 2 2 2 2 2 2" xfId="35698" xr:uid="{00000000-0005-0000-0000-000084410000}"/>
    <cellStyle name="Normal 12 2 3 2 2 2 2 3" xfId="21930" xr:uid="{00000000-0005-0000-0000-000085410000}"/>
    <cellStyle name="Normal 12 2 3 2 2 2 2 3 2" xfId="41850" xr:uid="{00000000-0005-0000-0000-000086410000}"/>
    <cellStyle name="Normal 12 2 3 2 2 2 2 4" xfId="29545" xr:uid="{00000000-0005-0000-0000-000087410000}"/>
    <cellStyle name="Normal 12 2 3 2 2 2 3" xfId="12712" xr:uid="{00000000-0005-0000-0000-000088410000}"/>
    <cellStyle name="Normal 12 2 3 2 2 2 3 2" xfId="32632" xr:uid="{00000000-0005-0000-0000-000089410000}"/>
    <cellStyle name="Normal 12 2 3 2 2 2 4" xfId="18864" xr:uid="{00000000-0005-0000-0000-00008A410000}"/>
    <cellStyle name="Normal 12 2 3 2 2 2 4 2" xfId="38784" xr:uid="{00000000-0005-0000-0000-00008B410000}"/>
    <cellStyle name="Normal 12 2 3 2 2 2 5" xfId="26479" xr:uid="{00000000-0005-0000-0000-00008C410000}"/>
    <cellStyle name="Normal 12 2 3 2 2 3" xfId="8050" xr:uid="{00000000-0005-0000-0000-00008D410000}"/>
    <cellStyle name="Normal 12 2 3 2 2 3 2" xfId="14244" xr:uid="{00000000-0005-0000-0000-00008E410000}"/>
    <cellStyle name="Normal 12 2 3 2 2 3 2 2" xfId="34164" xr:uid="{00000000-0005-0000-0000-00008F410000}"/>
    <cellStyle name="Normal 12 2 3 2 2 3 3" xfId="20396" xr:uid="{00000000-0005-0000-0000-000090410000}"/>
    <cellStyle name="Normal 12 2 3 2 2 3 3 2" xfId="40316" xr:uid="{00000000-0005-0000-0000-000091410000}"/>
    <cellStyle name="Normal 12 2 3 2 2 3 4" xfId="28011" xr:uid="{00000000-0005-0000-0000-000092410000}"/>
    <cellStyle name="Normal 12 2 3 2 2 4" xfId="11178" xr:uid="{00000000-0005-0000-0000-000093410000}"/>
    <cellStyle name="Normal 12 2 3 2 2 4 2" xfId="31098" xr:uid="{00000000-0005-0000-0000-000094410000}"/>
    <cellStyle name="Normal 12 2 3 2 2 5" xfId="17330" xr:uid="{00000000-0005-0000-0000-000095410000}"/>
    <cellStyle name="Normal 12 2 3 2 2 5 2" xfId="37250" xr:uid="{00000000-0005-0000-0000-000096410000}"/>
    <cellStyle name="Normal 12 2 3 2 2 6" xfId="24945" xr:uid="{00000000-0005-0000-0000-000097410000}"/>
    <cellStyle name="Normal 12 2 3 2 3" xfId="5716" xr:uid="{00000000-0005-0000-0000-000098410000}"/>
    <cellStyle name="Normal 12 2 3 2 3 2" xfId="8816" xr:uid="{00000000-0005-0000-0000-000099410000}"/>
    <cellStyle name="Normal 12 2 3 2 3 2 2" xfId="15009" xr:uid="{00000000-0005-0000-0000-00009A410000}"/>
    <cellStyle name="Normal 12 2 3 2 3 2 2 2" xfId="34929" xr:uid="{00000000-0005-0000-0000-00009B410000}"/>
    <cellStyle name="Normal 12 2 3 2 3 2 3" xfId="21161" xr:uid="{00000000-0005-0000-0000-00009C410000}"/>
    <cellStyle name="Normal 12 2 3 2 3 2 3 2" xfId="41081" xr:uid="{00000000-0005-0000-0000-00009D410000}"/>
    <cellStyle name="Normal 12 2 3 2 3 2 4" xfId="28776" xr:uid="{00000000-0005-0000-0000-00009E410000}"/>
    <cellStyle name="Normal 12 2 3 2 3 3" xfId="11943" xr:uid="{00000000-0005-0000-0000-00009F410000}"/>
    <cellStyle name="Normal 12 2 3 2 3 3 2" xfId="31863" xr:uid="{00000000-0005-0000-0000-0000A0410000}"/>
    <cellStyle name="Normal 12 2 3 2 3 4" xfId="18095" xr:uid="{00000000-0005-0000-0000-0000A1410000}"/>
    <cellStyle name="Normal 12 2 3 2 3 4 2" xfId="38015" xr:uid="{00000000-0005-0000-0000-0000A2410000}"/>
    <cellStyle name="Normal 12 2 3 2 3 5" xfId="25710" xr:uid="{00000000-0005-0000-0000-0000A3410000}"/>
    <cellStyle name="Normal 12 2 3 2 4" xfId="7281" xr:uid="{00000000-0005-0000-0000-0000A4410000}"/>
    <cellStyle name="Normal 12 2 3 2 4 2" xfId="13475" xr:uid="{00000000-0005-0000-0000-0000A5410000}"/>
    <cellStyle name="Normal 12 2 3 2 4 2 2" xfId="33395" xr:uid="{00000000-0005-0000-0000-0000A6410000}"/>
    <cellStyle name="Normal 12 2 3 2 4 3" xfId="19627" xr:uid="{00000000-0005-0000-0000-0000A7410000}"/>
    <cellStyle name="Normal 12 2 3 2 4 3 2" xfId="39547" xr:uid="{00000000-0005-0000-0000-0000A8410000}"/>
    <cellStyle name="Normal 12 2 3 2 4 4" xfId="27242" xr:uid="{00000000-0005-0000-0000-0000A9410000}"/>
    <cellStyle name="Normal 12 2 3 2 5" xfId="10409" xr:uid="{00000000-0005-0000-0000-0000AA410000}"/>
    <cellStyle name="Normal 12 2 3 2 5 2" xfId="30329" xr:uid="{00000000-0005-0000-0000-0000AB410000}"/>
    <cellStyle name="Normal 12 2 3 2 6" xfId="16561" xr:uid="{00000000-0005-0000-0000-0000AC410000}"/>
    <cellStyle name="Normal 12 2 3 2 6 2" xfId="36481" xr:uid="{00000000-0005-0000-0000-0000AD410000}"/>
    <cellStyle name="Normal 12 2 3 2 7" xfId="24176" xr:uid="{00000000-0005-0000-0000-0000AE410000}"/>
    <cellStyle name="Normal 12 2 3 3" xfId="4873" xr:uid="{00000000-0005-0000-0000-0000AF410000}"/>
    <cellStyle name="Normal 12 2 3 3 2" xfId="6498" xr:uid="{00000000-0005-0000-0000-0000B0410000}"/>
    <cellStyle name="Normal 12 2 3 3 2 2" xfId="9584" xr:uid="{00000000-0005-0000-0000-0000B1410000}"/>
    <cellStyle name="Normal 12 2 3 3 2 2 2" xfId="15777" xr:uid="{00000000-0005-0000-0000-0000B2410000}"/>
    <cellStyle name="Normal 12 2 3 3 2 2 2 2" xfId="35697" xr:uid="{00000000-0005-0000-0000-0000B3410000}"/>
    <cellStyle name="Normal 12 2 3 3 2 2 3" xfId="21929" xr:uid="{00000000-0005-0000-0000-0000B4410000}"/>
    <cellStyle name="Normal 12 2 3 3 2 2 3 2" xfId="41849" xr:uid="{00000000-0005-0000-0000-0000B5410000}"/>
    <cellStyle name="Normal 12 2 3 3 2 2 4" xfId="29544" xr:uid="{00000000-0005-0000-0000-0000B6410000}"/>
    <cellStyle name="Normal 12 2 3 3 2 3" xfId="12711" xr:uid="{00000000-0005-0000-0000-0000B7410000}"/>
    <cellStyle name="Normal 12 2 3 3 2 3 2" xfId="32631" xr:uid="{00000000-0005-0000-0000-0000B8410000}"/>
    <cellStyle name="Normal 12 2 3 3 2 4" xfId="18863" xr:uid="{00000000-0005-0000-0000-0000B9410000}"/>
    <cellStyle name="Normal 12 2 3 3 2 4 2" xfId="38783" xr:uid="{00000000-0005-0000-0000-0000BA410000}"/>
    <cellStyle name="Normal 12 2 3 3 2 5" xfId="26478" xr:uid="{00000000-0005-0000-0000-0000BB410000}"/>
    <cellStyle name="Normal 12 2 3 3 3" xfId="8049" xr:uid="{00000000-0005-0000-0000-0000BC410000}"/>
    <cellStyle name="Normal 12 2 3 3 3 2" xfId="14243" xr:uid="{00000000-0005-0000-0000-0000BD410000}"/>
    <cellStyle name="Normal 12 2 3 3 3 2 2" xfId="34163" xr:uid="{00000000-0005-0000-0000-0000BE410000}"/>
    <cellStyle name="Normal 12 2 3 3 3 3" xfId="20395" xr:uid="{00000000-0005-0000-0000-0000BF410000}"/>
    <cellStyle name="Normal 12 2 3 3 3 3 2" xfId="40315" xr:uid="{00000000-0005-0000-0000-0000C0410000}"/>
    <cellStyle name="Normal 12 2 3 3 3 4" xfId="28010" xr:uid="{00000000-0005-0000-0000-0000C1410000}"/>
    <cellStyle name="Normal 12 2 3 3 4" xfId="11177" xr:uid="{00000000-0005-0000-0000-0000C2410000}"/>
    <cellStyle name="Normal 12 2 3 3 4 2" xfId="31097" xr:uid="{00000000-0005-0000-0000-0000C3410000}"/>
    <cellStyle name="Normal 12 2 3 3 5" xfId="17329" xr:uid="{00000000-0005-0000-0000-0000C4410000}"/>
    <cellStyle name="Normal 12 2 3 3 5 2" xfId="37249" xr:uid="{00000000-0005-0000-0000-0000C5410000}"/>
    <cellStyle name="Normal 12 2 3 3 6" xfId="24944" xr:uid="{00000000-0005-0000-0000-0000C6410000}"/>
    <cellStyle name="Normal 12 2 3 4" xfId="5715" xr:uid="{00000000-0005-0000-0000-0000C7410000}"/>
    <cellStyle name="Normal 12 2 3 4 2" xfId="8815" xr:uid="{00000000-0005-0000-0000-0000C8410000}"/>
    <cellStyle name="Normal 12 2 3 4 2 2" xfId="15008" xr:uid="{00000000-0005-0000-0000-0000C9410000}"/>
    <cellStyle name="Normal 12 2 3 4 2 2 2" xfId="34928" xr:uid="{00000000-0005-0000-0000-0000CA410000}"/>
    <cellStyle name="Normal 12 2 3 4 2 3" xfId="21160" xr:uid="{00000000-0005-0000-0000-0000CB410000}"/>
    <cellStyle name="Normal 12 2 3 4 2 3 2" xfId="41080" xr:uid="{00000000-0005-0000-0000-0000CC410000}"/>
    <cellStyle name="Normal 12 2 3 4 2 4" xfId="28775" xr:uid="{00000000-0005-0000-0000-0000CD410000}"/>
    <cellStyle name="Normal 12 2 3 4 3" xfId="11942" xr:uid="{00000000-0005-0000-0000-0000CE410000}"/>
    <cellStyle name="Normal 12 2 3 4 3 2" xfId="31862" xr:uid="{00000000-0005-0000-0000-0000CF410000}"/>
    <cellStyle name="Normal 12 2 3 4 4" xfId="18094" xr:uid="{00000000-0005-0000-0000-0000D0410000}"/>
    <cellStyle name="Normal 12 2 3 4 4 2" xfId="38014" xr:uid="{00000000-0005-0000-0000-0000D1410000}"/>
    <cellStyle name="Normal 12 2 3 4 5" xfId="25709" xr:uid="{00000000-0005-0000-0000-0000D2410000}"/>
    <cellStyle name="Normal 12 2 3 5" xfId="7280" xr:uid="{00000000-0005-0000-0000-0000D3410000}"/>
    <cellStyle name="Normal 12 2 3 5 2" xfId="13474" xr:uid="{00000000-0005-0000-0000-0000D4410000}"/>
    <cellStyle name="Normal 12 2 3 5 2 2" xfId="33394" xr:uid="{00000000-0005-0000-0000-0000D5410000}"/>
    <cellStyle name="Normal 12 2 3 5 3" xfId="19626" xr:uid="{00000000-0005-0000-0000-0000D6410000}"/>
    <cellStyle name="Normal 12 2 3 5 3 2" xfId="39546" xr:uid="{00000000-0005-0000-0000-0000D7410000}"/>
    <cellStyle name="Normal 12 2 3 5 4" xfId="27241" xr:uid="{00000000-0005-0000-0000-0000D8410000}"/>
    <cellStyle name="Normal 12 2 3 6" xfId="10408" xr:uid="{00000000-0005-0000-0000-0000D9410000}"/>
    <cellStyle name="Normal 12 2 3 6 2" xfId="30328" xr:uid="{00000000-0005-0000-0000-0000DA410000}"/>
    <cellStyle name="Normal 12 2 3 7" xfId="16560" xr:uid="{00000000-0005-0000-0000-0000DB410000}"/>
    <cellStyle name="Normal 12 2 3 7 2" xfId="36480" xr:uid="{00000000-0005-0000-0000-0000DC410000}"/>
    <cellStyle name="Normal 12 2 3 8" xfId="24175" xr:uid="{00000000-0005-0000-0000-0000DD410000}"/>
    <cellStyle name="Normal 12 2 4" xfId="3345" xr:uid="{00000000-0005-0000-0000-0000DE410000}"/>
    <cellStyle name="Normal 12 2 4 2" xfId="3346" xr:uid="{00000000-0005-0000-0000-0000DF410000}"/>
    <cellStyle name="Normal 12 2 4 2 2" xfId="4876" xr:uid="{00000000-0005-0000-0000-0000E0410000}"/>
    <cellStyle name="Normal 12 2 4 2 2 2" xfId="6501" xr:uid="{00000000-0005-0000-0000-0000E1410000}"/>
    <cellStyle name="Normal 12 2 4 2 2 2 2" xfId="9587" xr:uid="{00000000-0005-0000-0000-0000E2410000}"/>
    <cellStyle name="Normal 12 2 4 2 2 2 2 2" xfId="15780" xr:uid="{00000000-0005-0000-0000-0000E3410000}"/>
    <cellStyle name="Normal 12 2 4 2 2 2 2 2 2" xfId="35700" xr:uid="{00000000-0005-0000-0000-0000E4410000}"/>
    <cellStyle name="Normal 12 2 4 2 2 2 2 3" xfId="21932" xr:uid="{00000000-0005-0000-0000-0000E5410000}"/>
    <cellStyle name="Normal 12 2 4 2 2 2 2 3 2" xfId="41852" xr:uid="{00000000-0005-0000-0000-0000E6410000}"/>
    <cellStyle name="Normal 12 2 4 2 2 2 2 4" xfId="29547" xr:uid="{00000000-0005-0000-0000-0000E7410000}"/>
    <cellStyle name="Normal 12 2 4 2 2 2 3" xfId="12714" xr:uid="{00000000-0005-0000-0000-0000E8410000}"/>
    <cellStyle name="Normal 12 2 4 2 2 2 3 2" xfId="32634" xr:uid="{00000000-0005-0000-0000-0000E9410000}"/>
    <cellStyle name="Normal 12 2 4 2 2 2 4" xfId="18866" xr:uid="{00000000-0005-0000-0000-0000EA410000}"/>
    <cellStyle name="Normal 12 2 4 2 2 2 4 2" xfId="38786" xr:uid="{00000000-0005-0000-0000-0000EB410000}"/>
    <cellStyle name="Normal 12 2 4 2 2 2 5" xfId="26481" xr:uid="{00000000-0005-0000-0000-0000EC410000}"/>
    <cellStyle name="Normal 12 2 4 2 2 3" xfId="8052" xr:uid="{00000000-0005-0000-0000-0000ED410000}"/>
    <cellStyle name="Normal 12 2 4 2 2 3 2" xfId="14246" xr:uid="{00000000-0005-0000-0000-0000EE410000}"/>
    <cellStyle name="Normal 12 2 4 2 2 3 2 2" xfId="34166" xr:uid="{00000000-0005-0000-0000-0000EF410000}"/>
    <cellStyle name="Normal 12 2 4 2 2 3 3" xfId="20398" xr:uid="{00000000-0005-0000-0000-0000F0410000}"/>
    <cellStyle name="Normal 12 2 4 2 2 3 3 2" xfId="40318" xr:uid="{00000000-0005-0000-0000-0000F1410000}"/>
    <cellStyle name="Normal 12 2 4 2 2 3 4" xfId="28013" xr:uid="{00000000-0005-0000-0000-0000F2410000}"/>
    <cellStyle name="Normal 12 2 4 2 2 4" xfId="11180" xr:uid="{00000000-0005-0000-0000-0000F3410000}"/>
    <cellStyle name="Normal 12 2 4 2 2 4 2" xfId="31100" xr:uid="{00000000-0005-0000-0000-0000F4410000}"/>
    <cellStyle name="Normal 12 2 4 2 2 5" xfId="17332" xr:uid="{00000000-0005-0000-0000-0000F5410000}"/>
    <cellStyle name="Normal 12 2 4 2 2 5 2" xfId="37252" xr:uid="{00000000-0005-0000-0000-0000F6410000}"/>
    <cellStyle name="Normal 12 2 4 2 2 6" xfId="24947" xr:uid="{00000000-0005-0000-0000-0000F7410000}"/>
    <cellStyle name="Normal 12 2 4 2 3" xfId="5718" xr:uid="{00000000-0005-0000-0000-0000F8410000}"/>
    <cellStyle name="Normal 12 2 4 2 3 2" xfId="8818" xr:uid="{00000000-0005-0000-0000-0000F9410000}"/>
    <cellStyle name="Normal 12 2 4 2 3 2 2" xfId="15011" xr:uid="{00000000-0005-0000-0000-0000FA410000}"/>
    <cellStyle name="Normal 12 2 4 2 3 2 2 2" xfId="34931" xr:uid="{00000000-0005-0000-0000-0000FB410000}"/>
    <cellStyle name="Normal 12 2 4 2 3 2 3" xfId="21163" xr:uid="{00000000-0005-0000-0000-0000FC410000}"/>
    <cellStyle name="Normal 12 2 4 2 3 2 3 2" xfId="41083" xr:uid="{00000000-0005-0000-0000-0000FD410000}"/>
    <cellStyle name="Normal 12 2 4 2 3 2 4" xfId="28778" xr:uid="{00000000-0005-0000-0000-0000FE410000}"/>
    <cellStyle name="Normal 12 2 4 2 3 3" xfId="11945" xr:uid="{00000000-0005-0000-0000-0000FF410000}"/>
    <cellStyle name="Normal 12 2 4 2 3 3 2" xfId="31865" xr:uid="{00000000-0005-0000-0000-000000420000}"/>
    <cellStyle name="Normal 12 2 4 2 3 4" xfId="18097" xr:uid="{00000000-0005-0000-0000-000001420000}"/>
    <cellStyle name="Normal 12 2 4 2 3 4 2" xfId="38017" xr:uid="{00000000-0005-0000-0000-000002420000}"/>
    <cellStyle name="Normal 12 2 4 2 3 5" xfId="25712" xr:uid="{00000000-0005-0000-0000-000003420000}"/>
    <cellStyle name="Normal 12 2 4 2 4" xfId="7283" xr:uid="{00000000-0005-0000-0000-000004420000}"/>
    <cellStyle name="Normal 12 2 4 2 4 2" xfId="13477" xr:uid="{00000000-0005-0000-0000-000005420000}"/>
    <cellStyle name="Normal 12 2 4 2 4 2 2" xfId="33397" xr:uid="{00000000-0005-0000-0000-000006420000}"/>
    <cellStyle name="Normal 12 2 4 2 4 3" xfId="19629" xr:uid="{00000000-0005-0000-0000-000007420000}"/>
    <cellStyle name="Normal 12 2 4 2 4 3 2" xfId="39549" xr:uid="{00000000-0005-0000-0000-000008420000}"/>
    <cellStyle name="Normal 12 2 4 2 4 4" xfId="27244" xr:uid="{00000000-0005-0000-0000-000009420000}"/>
    <cellStyle name="Normal 12 2 4 2 5" xfId="10411" xr:uid="{00000000-0005-0000-0000-00000A420000}"/>
    <cellStyle name="Normal 12 2 4 2 5 2" xfId="30331" xr:uid="{00000000-0005-0000-0000-00000B420000}"/>
    <cellStyle name="Normal 12 2 4 2 6" xfId="16563" xr:uid="{00000000-0005-0000-0000-00000C420000}"/>
    <cellStyle name="Normal 12 2 4 2 6 2" xfId="36483" xr:uid="{00000000-0005-0000-0000-00000D420000}"/>
    <cellStyle name="Normal 12 2 4 2 7" xfId="24178" xr:uid="{00000000-0005-0000-0000-00000E420000}"/>
    <cellStyle name="Normal 12 2 4 3" xfId="4875" xr:uid="{00000000-0005-0000-0000-00000F420000}"/>
    <cellStyle name="Normal 12 2 4 3 2" xfId="6500" xr:uid="{00000000-0005-0000-0000-000010420000}"/>
    <cellStyle name="Normal 12 2 4 3 2 2" xfId="9586" xr:uid="{00000000-0005-0000-0000-000011420000}"/>
    <cellStyle name="Normal 12 2 4 3 2 2 2" xfId="15779" xr:uid="{00000000-0005-0000-0000-000012420000}"/>
    <cellStyle name="Normal 12 2 4 3 2 2 2 2" xfId="35699" xr:uid="{00000000-0005-0000-0000-000013420000}"/>
    <cellStyle name="Normal 12 2 4 3 2 2 3" xfId="21931" xr:uid="{00000000-0005-0000-0000-000014420000}"/>
    <cellStyle name="Normal 12 2 4 3 2 2 3 2" xfId="41851" xr:uid="{00000000-0005-0000-0000-000015420000}"/>
    <cellStyle name="Normal 12 2 4 3 2 2 4" xfId="29546" xr:uid="{00000000-0005-0000-0000-000016420000}"/>
    <cellStyle name="Normal 12 2 4 3 2 3" xfId="12713" xr:uid="{00000000-0005-0000-0000-000017420000}"/>
    <cellStyle name="Normal 12 2 4 3 2 3 2" xfId="32633" xr:uid="{00000000-0005-0000-0000-000018420000}"/>
    <cellStyle name="Normal 12 2 4 3 2 4" xfId="18865" xr:uid="{00000000-0005-0000-0000-000019420000}"/>
    <cellStyle name="Normal 12 2 4 3 2 4 2" xfId="38785" xr:uid="{00000000-0005-0000-0000-00001A420000}"/>
    <cellStyle name="Normal 12 2 4 3 2 5" xfId="26480" xr:uid="{00000000-0005-0000-0000-00001B420000}"/>
    <cellStyle name="Normal 12 2 4 3 3" xfId="8051" xr:uid="{00000000-0005-0000-0000-00001C420000}"/>
    <cellStyle name="Normal 12 2 4 3 3 2" xfId="14245" xr:uid="{00000000-0005-0000-0000-00001D420000}"/>
    <cellStyle name="Normal 12 2 4 3 3 2 2" xfId="34165" xr:uid="{00000000-0005-0000-0000-00001E420000}"/>
    <cellStyle name="Normal 12 2 4 3 3 3" xfId="20397" xr:uid="{00000000-0005-0000-0000-00001F420000}"/>
    <cellStyle name="Normal 12 2 4 3 3 3 2" xfId="40317" xr:uid="{00000000-0005-0000-0000-000020420000}"/>
    <cellStyle name="Normal 12 2 4 3 3 4" xfId="28012" xr:uid="{00000000-0005-0000-0000-000021420000}"/>
    <cellStyle name="Normal 12 2 4 3 4" xfId="11179" xr:uid="{00000000-0005-0000-0000-000022420000}"/>
    <cellStyle name="Normal 12 2 4 3 4 2" xfId="31099" xr:uid="{00000000-0005-0000-0000-000023420000}"/>
    <cellStyle name="Normal 12 2 4 3 5" xfId="17331" xr:uid="{00000000-0005-0000-0000-000024420000}"/>
    <cellStyle name="Normal 12 2 4 3 5 2" xfId="37251" xr:uid="{00000000-0005-0000-0000-000025420000}"/>
    <cellStyle name="Normal 12 2 4 3 6" xfId="24946" xr:uid="{00000000-0005-0000-0000-000026420000}"/>
    <cellStyle name="Normal 12 2 4 4" xfId="5717" xr:uid="{00000000-0005-0000-0000-000027420000}"/>
    <cellStyle name="Normal 12 2 4 4 2" xfId="8817" xr:uid="{00000000-0005-0000-0000-000028420000}"/>
    <cellStyle name="Normal 12 2 4 4 2 2" xfId="15010" xr:uid="{00000000-0005-0000-0000-000029420000}"/>
    <cellStyle name="Normal 12 2 4 4 2 2 2" xfId="34930" xr:uid="{00000000-0005-0000-0000-00002A420000}"/>
    <cellStyle name="Normal 12 2 4 4 2 3" xfId="21162" xr:uid="{00000000-0005-0000-0000-00002B420000}"/>
    <cellStyle name="Normal 12 2 4 4 2 3 2" xfId="41082" xr:uid="{00000000-0005-0000-0000-00002C420000}"/>
    <cellStyle name="Normal 12 2 4 4 2 4" xfId="28777" xr:uid="{00000000-0005-0000-0000-00002D420000}"/>
    <cellStyle name="Normal 12 2 4 4 3" xfId="11944" xr:uid="{00000000-0005-0000-0000-00002E420000}"/>
    <cellStyle name="Normal 12 2 4 4 3 2" xfId="31864" xr:uid="{00000000-0005-0000-0000-00002F420000}"/>
    <cellStyle name="Normal 12 2 4 4 4" xfId="18096" xr:uid="{00000000-0005-0000-0000-000030420000}"/>
    <cellStyle name="Normal 12 2 4 4 4 2" xfId="38016" xr:uid="{00000000-0005-0000-0000-000031420000}"/>
    <cellStyle name="Normal 12 2 4 4 5" xfId="25711" xr:uid="{00000000-0005-0000-0000-000032420000}"/>
    <cellStyle name="Normal 12 2 4 5" xfId="7282" xr:uid="{00000000-0005-0000-0000-000033420000}"/>
    <cellStyle name="Normal 12 2 4 5 2" xfId="13476" xr:uid="{00000000-0005-0000-0000-000034420000}"/>
    <cellStyle name="Normal 12 2 4 5 2 2" xfId="33396" xr:uid="{00000000-0005-0000-0000-000035420000}"/>
    <cellStyle name="Normal 12 2 4 5 3" xfId="19628" xr:uid="{00000000-0005-0000-0000-000036420000}"/>
    <cellStyle name="Normal 12 2 4 5 3 2" xfId="39548" xr:uid="{00000000-0005-0000-0000-000037420000}"/>
    <cellStyle name="Normal 12 2 4 5 4" xfId="27243" xr:uid="{00000000-0005-0000-0000-000038420000}"/>
    <cellStyle name="Normal 12 2 4 6" xfId="10410" xr:uid="{00000000-0005-0000-0000-000039420000}"/>
    <cellStyle name="Normal 12 2 4 6 2" xfId="30330" xr:uid="{00000000-0005-0000-0000-00003A420000}"/>
    <cellStyle name="Normal 12 2 4 7" xfId="16562" xr:uid="{00000000-0005-0000-0000-00003B420000}"/>
    <cellStyle name="Normal 12 2 4 7 2" xfId="36482" xr:uid="{00000000-0005-0000-0000-00003C420000}"/>
    <cellStyle name="Normal 12 2 4 8" xfId="24177" xr:uid="{00000000-0005-0000-0000-00003D420000}"/>
    <cellStyle name="Normal 12 2 5" xfId="3347" xr:uid="{00000000-0005-0000-0000-00003E420000}"/>
    <cellStyle name="Normal 12 2 5 2" xfId="3348" xr:uid="{00000000-0005-0000-0000-00003F420000}"/>
    <cellStyle name="Normal 12 2 5 2 2" xfId="4877" xr:uid="{00000000-0005-0000-0000-000040420000}"/>
    <cellStyle name="Normal 12 2 5 2 2 2" xfId="6502" xr:uid="{00000000-0005-0000-0000-000041420000}"/>
    <cellStyle name="Normal 12 2 5 2 2 2 2" xfId="9588" xr:uid="{00000000-0005-0000-0000-000042420000}"/>
    <cellStyle name="Normal 12 2 5 2 2 2 2 2" xfId="15781" xr:uid="{00000000-0005-0000-0000-000043420000}"/>
    <cellStyle name="Normal 12 2 5 2 2 2 2 2 2" xfId="35701" xr:uid="{00000000-0005-0000-0000-000044420000}"/>
    <cellStyle name="Normal 12 2 5 2 2 2 2 3" xfId="21933" xr:uid="{00000000-0005-0000-0000-000045420000}"/>
    <cellStyle name="Normal 12 2 5 2 2 2 2 3 2" xfId="41853" xr:uid="{00000000-0005-0000-0000-000046420000}"/>
    <cellStyle name="Normal 12 2 5 2 2 2 2 4" xfId="29548" xr:uid="{00000000-0005-0000-0000-000047420000}"/>
    <cellStyle name="Normal 12 2 5 2 2 2 3" xfId="12715" xr:uid="{00000000-0005-0000-0000-000048420000}"/>
    <cellStyle name="Normal 12 2 5 2 2 2 3 2" xfId="32635" xr:uid="{00000000-0005-0000-0000-000049420000}"/>
    <cellStyle name="Normal 12 2 5 2 2 2 4" xfId="18867" xr:uid="{00000000-0005-0000-0000-00004A420000}"/>
    <cellStyle name="Normal 12 2 5 2 2 2 4 2" xfId="38787" xr:uid="{00000000-0005-0000-0000-00004B420000}"/>
    <cellStyle name="Normal 12 2 5 2 2 2 5" xfId="26482" xr:uid="{00000000-0005-0000-0000-00004C420000}"/>
    <cellStyle name="Normal 12 2 5 2 2 3" xfId="8053" xr:uid="{00000000-0005-0000-0000-00004D420000}"/>
    <cellStyle name="Normal 12 2 5 2 2 3 2" xfId="14247" xr:uid="{00000000-0005-0000-0000-00004E420000}"/>
    <cellStyle name="Normal 12 2 5 2 2 3 2 2" xfId="34167" xr:uid="{00000000-0005-0000-0000-00004F420000}"/>
    <cellStyle name="Normal 12 2 5 2 2 3 3" xfId="20399" xr:uid="{00000000-0005-0000-0000-000050420000}"/>
    <cellStyle name="Normal 12 2 5 2 2 3 3 2" xfId="40319" xr:uid="{00000000-0005-0000-0000-000051420000}"/>
    <cellStyle name="Normal 12 2 5 2 2 3 4" xfId="28014" xr:uid="{00000000-0005-0000-0000-000052420000}"/>
    <cellStyle name="Normal 12 2 5 2 2 4" xfId="11181" xr:uid="{00000000-0005-0000-0000-000053420000}"/>
    <cellStyle name="Normal 12 2 5 2 2 4 2" xfId="31101" xr:uid="{00000000-0005-0000-0000-000054420000}"/>
    <cellStyle name="Normal 12 2 5 2 2 5" xfId="17333" xr:uid="{00000000-0005-0000-0000-000055420000}"/>
    <cellStyle name="Normal 12 2 5 2 2 5 2" xfId="37253" xr:uid="{00000000-0005-0000-0000-000056420000}"/>
    <cellStyle name="Normal 12 2 5 2 2 6" xfId="24948" xr:uid="{00000000-0005-0000-0000-000057420000}"/>
    <cellStyle name="Normal 12 2 5 2 3" xfId="5719" xr:uid="{00000000-0005-0000-0000-000058420000}"/>
    <cellStyle name="Normal 12 2 5 2 3 2" xfId="8819" xr:uid="{00000000-0005-0000-0000-000059420000}"/>
    <cellStyle name="Normal 12 2 5 2 3 2 2" xfId="15012" xr:uid="{00000000-0005-0000-0000-00005A420000}"/>
    <cellStyle name="Normal 12 2 5 2 3 2 2 2" xfId="34932" xr:uid="{00000000-0005-0000-0000-00005B420000}"/>
    <cellStyle name="Normal 12 2 5 2 3 2 3" xfId="21164" xr:uid="{00000000-0005-0000-0000-00005C420000}"/>
    <cellStyle name="Normal 12 2 5 2 3 2 3 2" xfId="41084" xr:uid="{00000000-0005-0000-0000-00005D420000}"/>
    <cellStyle name="Normal 12 2 5 2 3 2 4" xfId="28779" xr:uid="{00000000-0005-0000-0000-00005E420000}"/>
    <cellStyle name="Normal 12 2 5 2 3 3" xfId="11946" xr:uid="{00000000-0005-0000-0000-00005F420000}"/>
    <cellStyle name="Normal 12 2 5 2 3 3 2" xfId="31866" xr:uid="{00000000-0005-0000-0000-000060420000}"/>
    <cellStyle name="Normal 12 2 5 2 3 4" xfId="18098" xr:uid="{00000000-0005-0000-0000-000061420000}"/>
    <cellStyle name="Normal 12 2 5 2 3 4 2" xfId="38018" xr:uid="{00000000-0005-0000-0000-000062420000}"/>
    <cellStyle name="Normal 12 2 5 2 3 5" xfId="25713" xr:uid="{00000000-0005-0000-0000-000063420000}"/>
    <cellStyle name="Normal 12 2 5 2 4" xfId="7284" xr:uid="{00000000-0005-0000-0000-000064420000}"/>
    <cellStyle name="Normal 12 2 5 2 4 2" xfId="13478" xr:uid="{00000000-0005-0000-0000-000065420000}"/>
    <cellStyle name="Normal 12 2 5 2 4 2 2" xfId="33398" xr:uid="{00000000-0005-0000-0000-000066420000}"/>
    <cellStyle name="Normal 12 2 5 2 4 3" xfId="19630" xr:uid="{00000000-0005-0000-0000-000067420000}"/>
    <cellStyle name="Normal 12 2 5 2 4 3 2" xfId="39550" xr:uid="{00000000-0005-0000-0000-000068420000}"/>
    <cellStyle name="Normal 12 2 5 2 4 4" xfId="27245" xr:uid="{00000000-0005-0000-0000-000069420000}"/>
    <cellStyle name="Normal 12 2 5 2 5" xfId="10412" xr:uid="{00000000-0005-0000-0000-00006A420000}"/>
    <cellStyle name="Normal 12 2 5 2 5 2" xfId="30332" xr:uid="{00000000-0005-0000-0000-00006B420000}"/>
    <cellStyle name="Normal 12 2 5 2 6" xfId="16564" xr:uid="{00000000-0005-0000-0000-00006C420000}"/>
    <cellStyle name="Normal 12 2 5 2 6 2" xfId="36484" xr:uid="{00000000-0005-0000-0000-00006D420000}"/>
    <cellStyle name="Normal 12 2 5 2 7" xfId="24179" xr:uid="{00000000-0005-0000-0000-00006E420000}"/>
    <cellStyle name="Normal 12 2 6" xfId="3349" xr:uid="{00000000-0005-0000-0000-00006F420000}"/>
    <cellStyle name="Normal 12 2 6 2" xfId="4878" xr:uid="{00000000-0005-0000-0000-000070420000}"/>
    <cellStyle name="Normal 12 2 6 2 2" xfId="6503" xr:uid="{00000000-0005-0000-0000-000071420000}"/>
    <cellStyle name="Normal 12 2 6 2 2 2" xfId="9589" xr:uid="{00000000-0005-0000-0000-000072420000}"/>
    <cellStyle name="Normal 12 2 6 2 2 2 2" xfId="15782" xr:uid="{00000000-0005-0000-0000-000073420000}"/>
    <cellStyle name="Normal 12 2 6 2 2 2 2 2" xfId="35702" xr:uid="{00000000-0005-0000-0000-000074420000}"/>
    <cellStyle name="Normal 12 2 6 2 2 2 3" xfId="21934" xr:uid="{00000000-0005-0000-0000-000075420000}"/>
    <cellStyle name="Normal 12 2 6 2 2 2 3 2" xfId="41854" xr:uid="{00000000-0005-0000-0000-000076420000}"/>
    <cellStyle name="Normal 12 2 6 2 2 2 4" xfId="29549" xr:uid="{00000000-0005-0000-0000-000077420000}"/>
    <cellStyle name="Normal 12 2 6 2 2 3" xfId="12716" xr:uid="{00000000-0005-0000-0000-000078420000}"/>
    <cellStyle name="Normal 12 2 6 2 2 3 2" xfId="32636" xr:uid="{00000000-0005-0000-0000-000079420000}"/>
    <cellStyle name="Normal 12 2 6 2 2 4" xfId="18868" xr:uid="{00000000-0005-0000-0000-00007A420000}"/>
    <cellStyle name="Normal 12 2 6 2 2 4 2" xfId="38788" xr:uid="{00000000-0005-0000-0000-00007B420000}"/>
    <cellStyle name="Normal 12 2 6 2 2 5" xfId="26483" xr:uid="{00000000-0005-0000-0000-00007C420000}"/>
    <cellStyle name="Normal 12 2 6 2 3" xfId="8054" xr:uid="{00000000-0005-0000-0000-00007D420000}"/>
    <cellStyle name="Normal 12 2 6 2 3 2" xfId="14248" xr:uid="{00000000-0005-0000-0000-00007E420000}"/>
    <cellStyle name="Normal 12 2 6 2 3 2 2" xfId="34168" xr:uid="{00000000-0005-0000-0000-00007F420000}"/>
    <cellStyle name="Normal 12 2 6 2 3 3" xfId="20400" xr:uid="{00000000-0005-0000-0000-000080420000}"/>
    <cellStyle name="Normal 12 2 6 2 3 3 2" xfId="40320" xr:uid="{00000000-0005-0000-0000-000081420000}"/>
    <cellStyle name="Normal 12 2 6 2 3 4" xfId="28015" xr:uid="{00000000-0005-0000-0000-000082420000}"/>
    <cellStyle name="Normal 12 2 6 2 4" xfId="11182" xr:uid="{00000000-0005-0000-0000-000083420000}"/>
    <cellStyle name="Normal 12 2 6 2 4 2" xfId="31102" xr:uid="{00000000-0005-0000-0000-000084420000}"/>
    <cellStyle name="Normal 12 2 6 2 5" xfId="17334" xr:uid="{00000000-0005-0000-0000-000085420000}"/>
    <cellStyle name="Normal 12 2 6 2 5 2" xfId="37254" xr:uid="{00000000-0005-0000-0000-000086420000}"/>
    <cellStyle name="Normal 12 2 6 2 6" xfId="24949" xr:uid="{00000000-0005-0000-0000-000087420000}"/>
    <cellStyle name="Normal 12 2 6 3" xfId="5720" xr:uid="{00000000-0005-0000-0000-000088420000}"/>
    <cellStyle name="Normal 12 2 6 3 2" xfId="8820" xr:uid="{00000000-0005-0000-0000-000089420000}"/>
    <cellStyle name="Normal 12 2 6 3 2 2" xfId="15013" xr:uid="{00000000-0005-0000-0000-00008A420000}"/>
    <cellStyle name="Normal 12 2 6 3 2 2 2" xfId="34933" xr:uid="{00000000-0005-0000-0000-00008B420000}"/>
    <cellStyle name="Normal 12 2 6 3 2 3" xfId="21165" xr:uid="{00000000-0005-0000-0000-00008C420000}"/>
    <cellStyle name="Normal 12 2 6 3 2 3 2" xfId="41085" xr:uid="{00000000-0005-0000-0000-00008D420000}"/>
    <cellStyle name="Normal 12 2 6 3 2 4" xfId="28780" xr:uid="{00000000-0005-0000-0000-00008E420000}"/>
    <cellStyle name="Normal 12 2 6 3 3" xfId="11947" xr:uid="{00000000-0005-0000-0000-00008F420000}"/>
    <cellStyle name="Normal 12 2 6 3 3 2" xfId="31867" xr:uid="{00000000-0005-0000-0000-000090420000}"/>
    <cellStyle name="Normal 12 2 6 3 4" xfId="18099" xr:uid="{00000000-0005-0000-0000-000091420000}"/>
    <cellStyle name="Normal 12 2 6 3 4 2" xfId="38019" xr:uid="{00000000-0005-0000-0000-000092420000}"/>
    <cellStyle name="Normal 12 2 6 3 5" xfId="25714" xr:uid="{00000000-0005-0000-0000-000093420000}"/>
    <cellStyle name="Normal 12 2 6 4" xfId="7285" xr:uid="{00000000-0005-0000-0000-000094420000}"/>
    <cellStyle name="Normal 12 2 6 4 2" xfId="13479" xr:uid="{00000000-0005-0000-0000-000095420000}"/>
    <cellStyle name="Normal 12 2 6 4 2 2" xfId="33399" xr:uid="{00000000-0005-0000-0000-000096420000}"/>
    <cellStyle name="Normal 12 2 6 4 3" xfId="19631" xr:uid="{00000000-0005-0000-0000-000097420000}"/>
    <cellStyle name="Normal 12 2 6 4 3 2" xfId="39551" xr:uid="{00000000-0005-0000-0000-000098420000}"/>
    <cellStyle name="Normal 12 2 6 4 4" xfId="27246" xr:uid="{00000000-0005-0000-0000-000099420000}"/>
    <cellStyle name="Normal 12 2 6 5" xfId="10413" xr:uid="{00000000-0005-0000-0000-00009A420000}"/>
    <cellStyle name="Normal 12 2 6 5 2" xfId="30333" xr:uid="{00000000-0005-0000-0000-00009B420000}"/>
    <cellStyle name="Normal 12 2 6 6" xfId="16565" xr:uid="{00000000-0005-0000-0000-00009C420000}"/>
    <cellStyle name="Normal 12 2 6 6 2" xfId="36485" xr:uid="{00000000-0005-0000-0000-00009D420000}"/>
    <cellStyle name="Normal 12 2 6 7" xfId="24180" xr:uid="{00000000-0005-0000-0000-00009E420000}"/>
    <cellStyle name="Normal 12 3" xfId="3350" xr:uid="{00000000-0005-0000-0000-00009F420000}"/>
    <cellStyle name="Normal 12 3 10" xfId="24181" xr:uid="{00000000-0005-0000-0000-0000A0420000}"/>
    <cellStyle name="Normal 12 3 2" xfId="3351" xr:uid="{00000000-0005-0000-0000-0000A1420000}"/>
    <cellStyle name="Normal 12 3 2 2" xfId="3352" xr:uid="{00000000-0005-0000-0000-0000A2420000}"/>
    <cellStyle name="Normal 12 3 2 2 2" xfId="4881" xr:uid="{00000000-0005-0000-0000-0000A3420000}"/>
    <cellStyle name="Normal 12 3 2 2 2 2" xfId="6506" xr:uid="{00000000-0005-0000-0000-0000A4420000}"/>
    <cellStyle name="Normal 12 3 2 2 2 2 2" xfId="9592" xr:uid="{00000000-0005-0000-0000-0000A5420000}"/>
    <cellStyle name="Normal 12 3 2 2 2 2 2 2" xfId="15785" xr:uid="{00000000-0005-0000-0000-0000A6420000}"/>
    <cellStyle name="Normal 12 3 2 2 2 2 2 2 2" xfId="35705" xr:uid="{00000000-0005-0000-0000-0000A7420000}"/>
    <cellStyle name="Normal 12 3 2 2 2 2 2 3" xfId="21937" xr:uid="{00000000-0005-0000-0000-0000A8420000}"/>
    <cellStyle name="Normal 12 3 2 2 2 2 2 3 2" xfId="41857" xr:uid="{00000000-0005-0000-0000-0000A9420000}"/>
    <cellStyle name="Normal 12 3 2 2 2 2 2 4" xfId="29552" xr:uid="{00000000-0005-0000-0000-0000AA420000}"/>
    <cellStyle name="Normal 12 3 2 2 2 2 3" xfId="12719" xr:uid="{00000000-0005-0000-0000-0000AB420000}"/>
    <cellStyle name="Normal 12 3 2 2 2 2 3 2" xfId="32639" xr:uid="{00000000-0005-0000-0000-0000AC420000}"/>
    <cellStyle name="Normal 12 3 2 2 2 2 4" xfId="18871" xr:uid="{00000000-0005-0000-0000-0000AD420000}"/>
    <cellStyle name="Normal 12 3 2 2 2 2 4 2" xfId="38791" xr:uid="{00000000-0005-0000-0000-0000AE420000}"/>
    <cellStyle name="Normal 12 3 2 2 2 2 5" xfId="26486" xr:uid="{00000000-0005-0000-0000-0000AF420000}"/>
    <cellStyle name="Normal 12 3 2 2 2 3" xfId="8057" xr:uid="{00000000-0005-0000-0000-0000B0420000}"/>
    <cellStyle name="Normal 12 3 2 2 2 3 2" xfId="14251" xr:uid="{00000000-0005-0000-0000-0000B1420000}"/>
    <cellStyle name="Normal 12 3 2 2 2 3 2 2" xfId="34171" xr:uid="{00000000-0005-0000-0000-0000B2420000}"/>
    <cellStyle name="Normal 12 3 2 2 2 3 3" xfId="20403" xr:uid="{00000000-0005-0000-0000-0000B3420000}"/>
    <cellStyle name="Normal 12 3 2 2 2 3 3 2" xfId="40323" xr:uid="{00000000-0005-0000-0000-0000B4420000}"/>
    <cellStyle name="Normal 12 3 2 2 2 3 4" xfId="28018" xr:uid="{00000000-0005-0000-0000-0000B5420000}"/>
    <cellStyle name="Normal 12 3 2 2 2 4" xfId="11185" xr:uid="{00000000-0005-0000-0000-0000B6420000}"/>
    <cellStyle name="Normal 12 3 2 2 2 4 2" xfId="31105" xr:uid="{00000000-0005-0000-0000-0000B7420000}"/>
    <cellStyle name="Normal 12 3 2 2 2 5" xfId="17337" xr:uid="{00000000-0005-0000-0000-0000B8420000}"/>
    <cellStyle name="Normal 12 3 2 2 2 5 2" xfId="37257" xr:uid="{00000000-0005-0000-0000-0000B9420000}"/>
    <cellStyle name="Normal 12 3 2 2 2 6" xfId="24952" xr:uid="{00000000-0005-0000-0000-0000BA420000}"/>
    <cellStyle name="Normal 12 3 2 2 3" xfId="5723" xr:uid="{00000000-0005-0000-0000-0000BB420000}"/>
    <cellStyle name="Normal 12 3 2 2 3 2" xfId="8823" xr:uid="{00000000-0005-0000-0000-0000BC420000}"/>
    <cellStyle name="Normal 12 3 2 2 3 2 2" xfId="15016" xr:uid="{00000000-0005-0000-0000-0000BD420000}"/>
    <cellStyle name="Normal 12 3 2 2 3 2 2 2" xfId="34936" xr:uid="{00000000-0005-0000-0000-0000BE420000}"/>
    <cellStyle name="Normal 12 3 2 2 3 2 3" xfId="21168" xr:uid="{00000000-0005-0000-0000-0000BF420000}"/>
    <cellStyle name="Normal 12 3 2 2 3 2 3 2" xfId="41088" xr:uid="{00000000-0005-0000-0000-0000C0420000}"/>
    <cellStyle name="Normal 12 3 2 2 3 2 4" xfId="28783" xr:uid="{00000000-0005-0000-0000-0000C1420000}"/>
    <cellStyle name="Normal 12 3 2 2 3 3" xfId="11950" xr:uid="{00000000-0005-0000-0000-0000C2420000}"/>
    <cellStyle name="Normal 12 3 2 2 3 3 2" xfId="31870" xr:uid="{00000000-0005-0000-0000-0000C3420000}"/>
    <cellStyle name="Normal 12 3 2 2 3 4" xfId="18102" xr:uid="{00000000-0005-0000-0000-0000C4420000}"/>
    <cellStyle name="Normal 12 3 2 2 3 4 2" xfId="38022" xr:uid="{00000000-0005-0000-0000-0000C5420000}"/>
    <cellStyle name="Normal 12 3 2 2 3 5" xfId="25717" xr:uid="{00000000-0005-0000-0000-0000C6420000}"/>
    <cellStyle name="Normal 12 3 2 2 4" xfId="7288" xr:uid="{00000000-0005-0000-0000-0000C7420000}"/>
    <cellStyle name="Normal 12 3 2 2 4 2" xfId="13482" xr:uid="{00000000-0005-0000-0000-0000C8420000}"/>
    <cellStyle name="Normal 12 3 2 2 4 2 2" xfId="33402" xr:uid="{00000000-0005-0000-0000-0000C9420000}"/>
    <cellStyle name="Normal 12 3 2 2 4 3" xfId="19634" xr:uid="{00000000-0005-0000-0000-0000CA420000}"/>
    <cellStyle name="Normal 12 3 2 2 4 3 2" xfId="39554" xr:uid="{00000000-0005-0000-0000-0000CB420000}"/>
    <cellStyle name="Normal 12 3 2 2 4 4" xfId="27249" xr:uid="{00000000-0005-0000-0000-0000CC420000}"/>
    <cellStyle name="Normal 12 3 2 2 5" xfId="10416" xr:uid="{00000000-0005-0000-0000-0000CD420000}"/>
    <cellStyle name="Normal 12 3 2 2 5 2" xfId="30336" xr:uid="{00000000-0005-0000-0000-0000CE420000}"/>
    <cellStyle name="Normal 12 3 2 2 6" xfId="16568" xr:uid="{00000000-0005-0000-0000-0000CF420000}"/>
    <cellStyle name="Normal 12 3 2 2 6 2" xfId="36488" xr:uid="{00000000-0005-0000-0000-0000D0420000}"/>
    <cellStyle name="Normal 12 3 2 2 7" xfId="24183" xr:uid="{00000000-0005-0000-0000-0000D1420000}"/>
    <cellStyle name="Normal 12 3 2 3" xfId="4880" xr:uid="{00000000-0005-0000-0000-0000D2420000}"/>
    <cellStyle name="Normal 12 3 2 3 2" xfId="6505" xr:uid="{00000000-0005-0000-0000-0000D3420000}"/>
    <cellStyle name="Normal 12 3 2 3 2 2" xfId="9591" xr:uid="{00000000-0005-0000-0000-0000D4420000}"/>
    <cellStyle name="Normal 12 3 2 3 2 2 2" xfId="15784" xr:uid="{00000000-0005-0000-0000-0000D5420000}"/>
    <cellStyle name="Normal 12 3 2 3 2 2 2 2" xfId="35704" xr:uid="{00000000-0005-0000-0000-0000D6420000}"/>
    <cellStyle name="Normal 12 3 2 3 2 2 3" xfId="21936" xr:uid="{00000000-0005-0000-0000-0000D7420000}"/>
    <cellStyle name="Normal 12 3 2 3 2 2 3 2" xfId="41856" xr:uid="{00000000-0005-0000-0000-0000D8420000}"/>
    <cellStyle name="Normal 12 3 2 3 2 2 4" xfId="29551" xr:uid="{00000000-0005-0000-0000-0000D9420000}"/>
    <cellStyle name="Normal 12 3 2 3 2 3" xfId="12718" xr:uid="{00000000-0005-0000-0000-0000DA420000}"/>
    <cellStyle name="Normal 12 3 2 3 2 3 2" xfId="32638" xr:uid="{00000000-0005-0000-0000-0000DB420000}"/>
    <cellStyle name="Normal 12 3 2 3 2 4" xfId="18870" xr:uid="{00000000-0005-0000-0000-0000DC420000}"/>
    <cellStyle name="Normal 12 3 2 3 2 4 2" xfId="38790" xr:uid="{00000000-0005-0000-0000-0000DD420000}"/>
    <cellStyle name="Normal 12 3 2 3 2 5" xfId="26485" xr:uid="{00000000-0005-0000-0000-0000DE420000}"/>
    <cellStyle name="Normal 12 3 2 3 3" xfId="8056" xr:uid="{00000000-0005-0000-0000-0000DF420000}"/>
    <cellStyle name="Normal 12 3 2 3 3 2" xfId="14250" xr:uid="{00000000-0005-0000-0000-0000E0420000}"/>
    <cellStyle name="Normal 12 3 2 3 3 2 2" xfId="34170" xr:uid="{00000000-0005-0000-0000-0000E1420000}"/>
    <cellStyle name="Normal 12 3 2 3 3 3" xfId="20402" xr:uid="{00000000-0005-0000-0000-0000E2420000}"/>
    <cellStyle name="Normal 12 3 2 3 3 3 2" xfId="40322" xr:uid="{00000000-0005-0000-0000-0000E3420000}"/>
    <cellStyle name="Normal 12 3 2 3 3 4" xfId="28017" xr:uid="{00000000-0005-0000-0000-0000E4420000}"/>
    <cellStyle name="Normal 12 3 2 3 4" xfId="11184" xr:uid="{00000000-0005-0000-0000-0000E5420000}"/>
    <cellStyle name="Normal 12 3 2 3 4 2" xfId="31104" xr:uid="{00000000-0005-0000-0000-0000E6420000}"/>
    <cellStyle name="Normal 12 3 2 3 5" xfId="17336" xr:uid="{00000000-0005-0000-0000-0000E7420000}"/>
    <cellStyle name="Normal 12 3 2 3 5 2" xfId="37256" xr:uid="{00000000-0005-0000-0000-0000E8420000}"/>
    <cellStyle name="Normal 12 3 2 3 6" xfId="24951" xr:uid="{00000000-0005-0000-0000-0000E9420000}"/>
    <cellStyle name="Normal 12 3 2 4" xfId="5722" xr:uid="{00000000-0005-0000-0000-0000EA420000}"/>
    <cellStyle name="Normal 12 3 2 4 2" xfId="8822" xr:uid="{00000000-0005-0000-0000-0000EB420000}"/>
    <cellStyle name="Normal 12 3 2 4 2 2" xfId="15015" xr:uid="{00000000-0005-0000-0000-0000EC420000}"/>
    <cellStyle name="Normal 12 3 2 4 2 2 2" xfId="34935" xr:uid="{00000000-0005-0000-0000-0000ED420000}"/>
    <cellStyle name="Normal 12 3 2 4 2 3" xfId="21167" xr:uid="{00000000-0005-0000-0000-0000EE420000}"/>
    <cellStyle name="Normal 12 3 2 4 2 3 2" xfId="41087" xr:uid="{00000000-0005-0000-0000-0000EF420000}"/>
    <cellStyle name="Normal 12 3 2 4 2 4" xfId="28782" xr:uid="{00000000-0005-0000-0000-0000F0420000}"/>
    <cellStyle name="Normal 12 3 2 4 3" xfId="11949" xr:uid="{00000000-0005-0000-0000-0000F1420000}"/>
    <cellStyle name="Normal 12 3 2 4 3 2" xfId="31869" xr:uid="{00000000-0005-0000-0000-0000F2420000}"/>
    <cellStyle name="Normal 12 3 2 4 4" xfId="18101" xr:uid="{00000000-0005-0000-0000-0000F3420000}"/>
    <cellStyle name="Normal 12 3 2 4 4 2" xfId="38021" xr:uid="{00000000-0005-0000-0000-0000F4420000}"/>
    <cellStyle name="Normal 12 3 2 4 5" xfId="25716" xr:uid="{00000000-0005-0000-0000-0000F5420000}"/>
    <cellStyle name="Normal 12 3 2 5" xfId="7287" xr:uid="{00000000-0005-0000-0000-0000F6420000}"/>
    <cellStyle name="Normal 12 3 2 5 2" xfId="13481" xr:uid="{00000000-0005-0000-0000-0000F7420000}"/>
    <cellStyle name="Normal 12 3 2 5 2 2" xfId="33401" xr:uid="{00000000-0005-0000-0000-0000F8420000}"/>
    <cellStyle name="Normal 12 3 2 5 3" xfId="19633" xr:uid="{00000000-0005-0000-0000-0000F9420000}"/>
    <cellStyle name="Normal 12 3 2 5 3 2" xfId="39553" xr:uid="{00000000-0005-0000-0000-0000FA420000}"/>
    <cellStyle name="Normal 12 3 2 5 4" xfId="27248" xr:uid="{00000000-0005-0000-0000-0000FB420000}"/>
    <cellStyle name="Normal 12 3 2 6" xfId="10415" xr:uid="{00000000-0005-0000-0000-0000FC420000}"/>
    <cellStyle name="Normal 12 3 2 6 2" xfId="30335" xr:uid="{00000000-0005-0000-0000-0000FD420000}"/>
    <cellStyle name="Normal 12 3 2 7" xfId="16567" xr:uid="{00000000-0005-0000-0000-0000FE420000}"/>
    <cellStyle name="Normal 12 3 2 7 2" xfId="36487" xr:uid="{00000000-0005-0000-0000-0000FF420000}"/>
    <cellStyle name="Normal 12 3 2 8" xfId="24182" xr:uid="{00000000-0005-0000-0000-000000430000}"/>
    <cellStyle name="Normal 12 3 3" xfId="3353" xr:uid="{00000000-0005-0000-0000-000001430000}"/>
    <cellStyle name="Normal 12 3 3 2" xfId="3354" xr:uid="{00000000-0005-0000-0000-000002430000}"/>
    <cellStyle name="Normal 12 3 3 2 2" xfId="4883" xr:uid="{00000000-0005-0000-0000-000003430000}"/>
    <cellStyle name="Normal 12 3 3 2 2 2" xfId="6508" xr:uid="{00000000-0005-0000-0000-000004430000}"/>
    <cellStyle name="Normal 12 3 3 2 2 2 2" xfId="9594" xr:uid="{00000000-0005-0000-0000-000005430000}"/>
    <cellStyle name="Normal 12 3 3 2 2 2 2 2" xfId="15787" xr:uid="{00000000-0005-0000-0000-000006430000}"/>
    <cellStyle name="Normal 12 3 3 2 2 2 2 2 2" xfId="35707" xr:uid="{00000000-0005-0000-0000-000007430000}"/>
    <cellStyle name="Normal 12 3 3 2 2 2 2 3" xfId="21939" xr:uid="{00000000-0005-0000-0000-000008430000}"/>
    <cellStyle name="Normal 12 3 3 2 2 2 2 3 2" xfId="41859" xr:uid="{00000000-0005-0000-0000-000009430000}"/>
    <cellStyle name="Normal 12 3 3 2 2 2 2 4" xfId="29554" xr:uid="{00000000-0005-0000-0000-00000A430000}"/>
    <cellStyle name="Normal 12 3 3 2 2 2 3" xfId="12721" xr:uid="{00000000-0005-0000-0000-00000B430000}"/>
    <cellStyle name="Normal 12 3 3 2 2 2 3 2" xfId="32641" xr:uid="{00000000-0005-0000-0000-00000C430000}"/>
    <cellStyle name="Normal 12 3 3 2 2 2 4" xfId="18873" xr:uid="{00000000-0005-0000-0000-00000D430000}"/>
    <cellStyle name="Normal 12 3 3 2 2 2 4 2" xfId="38793" xr:uid="{00000000-0005-0000-0000-00000E430000}"/>
    <cellStyle name="Normal 12 3 3 2 2 2 5" xfId="26488" xr:uid="{00000000-0005-0000-0000-00000F430000}"/>
    <cellStyle name="Normal 12 3 3 2 2 3" xfId="8059" xr:uid="{00000000-0005-0000-0000-000010430000}"/>
    <cellStyle name="Normal 12 3 3 2 2 3 2" xfId="14253" xr:uid="{00000000-0005-0000-0000-000011430000}"/>
    <cellStyle name="Normal 12 3 3 2 2 3 2 2" xfId="34173" xr:uid="{00000000-0005-0000-0000-000012430000}"/>
    <cellStyle name="Normal 12 3 3 2 2 3 3" xfId="20405" xr:uid="{00000000-0005-0000-0000-000013430000}"/>
    <cellStyle name="Normal 12 3 3 2 2 3 3 2" xfId="40325" xr:uid="{00000000-0005-0000-0000-000014430000}"/>
    <cellStyle name="Normal 12 3 3 2 2 3 4" xfId="28020" xr:uid="{00000000-0005-0000-0000-000015430000}"/>
    <cellStyle name="Normal 12 3 3 2 2 4" xfId="11187" xr:uid="{00000000-0005-0000-0000-000016430000}"/>
    <cellStyle name="Normal 12 3 3 2 2 4 2" xfId="31107" xr:uid="{00000000-0005-0000-0000-000017430000}"/>
    <cellStyle name="Normal 12 3 3 2 2 5" xfId="17339" xr:uid="{00000000-0005-0000-0000-000018430000}"/>
    <cellStyle name="Normal 12 3 3 2 2 5 2" xfId="37259" xr:uid="{00000000-0005-0000-0000-000019430000}"/>
    <cellStyle name="Normal 12 3 3 2 2 6" xfId="24954" xr:uid="{00000000-0005-0000-0000-00001A430000}"/>
    <cellStyle name="Normal 12 3 3 2 3" xfId="5725" xr:uid="{00000000-0005-0000-0000-00001B430000}"/>
    <cellStyle name="Normal 12 3 3 2 3 2" xfId="8825" xr:uid="{00000000-0005-0000-0000-00001C430000}"/>
    <cellStyle name="Normal 12 3 3 2 3 2 2" xfId="15018" xr:uid="{00000000-0005-0000-0000-00001D430000}"/>
    <cellStyle name="Normal 12 3 3 2 3 2 2 2" xfId="34938" xr:uid="{00000000-0005-0000-0000-00001E430000}"/>
    <cellStyle name="Normal 12 3 3 2 3 2 3" xfId="21170" xr:uid="{00000000-0005-0000-0000-00001F430000}"/>
    <cellStyle name="Normal 12 3 3 2 3 2 3 2" xfId="41090" xr:uid="{00000000-0005-0000-0000-000020430000}"/>
    <cellStyle name="Normal 12 3 3 2 3 2 4" xfId="28785" xr:uid="{00000000-0005-0000-0000-000021430000}"/>
    <cellStyle name="Normal 12 3 3 2 3 3" xfId="11952" xr:uid="{00000000-0005-0000-0000-000022430000}"/>
    <cellStyle name="Normal 12 3 3 2 3 3 2" xfId="31872" xr:uid="{00000000-0005-0000-0000-000023430000}"/>
    <cellStyle name="Normal 12 3 3 2 3 4" xfId="18104" xr:uid="{00000000-0005-0000-0000-000024430000}"/>
    <cellStyle name="Normal 12 3 3 2 3 4 2" xfId="38024" xr:uid="{00000000-0005-0000-0000-000025430000}"/>
    <cellStyle name="Normal 12 3 3 2 3 5" xfId="25719" xr:uid="{00000000-0005-0000-0000-000026430000}"/>
    <cellStyle name="Normal 12 3 3 2 4" xfId="7290" xr:uid="{00000000-0005-0000-0000-000027430000}"/>
    <cellStyle name="Normal 12 3 3 2 4 2" xfId="13484" xr:uid="{00000000-0005-0000-0000-000028430000}"/>
    <cellStyle name="Normal 12 3 3 2 4 2 2" xfId="33404" xr:uid="{00000000-0005-0000-0000-000029430000}"/>
    <cellStyle name="Normal 12 3 3 2 4 3" xfId="19636" xr:uid="{00000000-0005-0000-0000-00002A430000}"/>
    <cellStyle name="Normal 12 3 3 2 4 3 2" xfId="39556" xr:uid="{00000000-0005-0000-0000-00002B430000}"/>
    <cellStyle name="Normal 12 3 3 2 4 4" xfId="27251" xr:uid="{00000000-0005-0000-0000-00002C430000}"/>
    <cellStyle name="Normal 12 3 3 2 5" xfId="10418" xr:uid="{00000000-0005-0000-0000-00002D430000}"/>
    <cellStyle name="Normal 12 3 3 2 5 2" xfId="30338" xr:uid="{00000000-0005-0000-0000-00002E430000}"/>
    <cellStyle name="Normal 12 3 3 2 6" xfId="16570" xr:uid="{00000000-0005-0000-0000-00002F430000}"/>
    <cellStyle name="Normal 12 3 3 2 6 2" xfId="36490" xr:uid="{00000000-0005-0000-0000-000030430000}"/>
    <cellStyle name="Normal 12 3 3 2 7" xfId="24185" xr:uid="{00000000-0005-0000-0000-000031430000}"/>
    <cellStyle name="Normal 12 3 3 3" xfId="4882" xr:uid="{00000000-0005-0000-0000-000032430000}"/>
    <cellStyle name="Normal 12 3 3 3 2" xfId="6507" xr:uid="{00000000-0005-0000-0000-000033430000}"/>
    <cellStyle name="Normal 12 3 3 3 2 2" xfId="9593" xr:uid="{00000000-0005-0000-0000-000034430000}"/>
    <cellStyle name="Normal 12 3 3 3 2 2 2" xfId="15786" xr:uid="{00000000-0005-0000-0000-000035430000}"/>
    <cellStyle name="Normal 12 3 3 3 2 2 2 2" xfId="35706" xr:uid="{00000000-0005-0000-0000-000036430000}"/>
    <cellStyle name="Normal 12 3 3 3 2 2 3" xfId="21938" xr:uid="{00000000-0005-0000-0000-000037430000}"/>
    <cellStyle name="Normal 12 3 3 3 2 2 3 2" xfId="41858" xr:uid="{00000000-0005-0000-0000-000038430000}"/>
    <cellStyle name="Normal 12 3 3 3 2 2 4" xfId="29553" xr:uid="{00000000-0005-0000-0000-000039430000}"/>
    <cellStyle name="Normal 12 3 3 3 2 3" xfId="12720" xr:uid="{00000000-0005-0000-0000-00003A430000}"/>
    <cellStyle name="Normal 12 3 3 3 2 3 2" xfId="32640" xr:uid="{00000000-0005-0000-0000-00003B430000}"/>
    <cellStyle name="Normal 12 3 3 3 2 4" xfId="18872" xr:uid="{00000000-0005-0000-0000-00003C430000}"/>
    <cellStyle name="Normal 12 3 3 3 2 4 2" xfId="38792" xr:uid="{00000000-0005-0000-0000-00003D430000}"/>
    <cellStyle name="Normal 12 3 3 3 2 5" xfId="26487" xr:uid="{00000000-0005-0000-0000-00003E430000}"/>
    <cellStyle name="Normal 12 3 3 3 3" xfId="8058" xr:uid="{00000000-0005-0000-0000-00003F430000}"/>
    <cellStyle name="Normal 12 3 3 3 3 2" xfId="14252" xr:uid="{00000000-0005-0000-0000-000040430000}"/>
    <cellStyle name="Normal 12 3 3 3 3 2 2" xfId="34172" xr:uid="{00000000-0005-0000-0000-000041430000}"/>
    <cellStyle name="Normal 12 3 3 3 3 3" xfId="20404" xr:uid="{00000000-0005-0000-0000-000042430000}"/>
    <cellStyle name="Normal 12 3 3 3 3 3 2" xfId="40324" xr:uid="{00000000-0005-0000-0000-000043430000}"/>
    <cellStyle name="Normal 12 3 3 3 3 4" xfId="28019" xr:uid="{00000000-0005-0000-0000-000044430000}"/>
    <cellStyle name="Normal 12 3 3 3 4" xfId="11186" xr:uid="{00000000-0005-0000-0000-000045430000}"/>
    <cellStyle name="Normal 12 3 3 3 4 2" xfId="31106" xr:uid="{00000000-0005-0000-0000-000046430000}"/>
    <cellStyle name="Normal 12 3 3 3 5" xfId="17338" xr:uid="{00000000-0005-0000-0000-000047430000}"/>
    <cellStyle name="Normal 12 3 3 3 5 2" xfId="37258" xr:uid="{00000000-0005-0000-0000-000048430000}"/>
    <cellStyle name="Normal 12 3 3 3 6" xfId="24953" xr:uid="{00000000-0005-0000-0000-000049430000}"/>
    <cellStyle name="Normal 12 3 3 4" xfId="5724" xr:uid="{00000000-0005-0000-0000-00004A430000}"/>
    <cellStyle name="Normal 12 3 3 4 2" xfId="8824" xr:uid="{00000000-0005-0000-0000-00004B430000}"/>
    <cellStyle name="Normal 12 3 3 4 2 2" xfId="15017" xr:uid="{00000000-0005-0000-0000-00004C430000}"/>
    <cellStyle name="Normal 12 3 3 4 2 2 2" xfId="34937" xr:uid="{00000000-0005-0000-0000-00004D430000}"/>
    <cellStyle name="Normal 12 3 3 4 2 3" xfId="21169" xr:uid="{00000000-0005-0000-0000-00004E430000}"/>
    <cellStyle name="Normal 12 3 3 4 2 3 2" xfId="41089" xr:uid="{00000000-0005-0000-0000-00004F430000}"/>
    <cellStyle name="Normal 12 3 3 4 2 4" xfId="28784" xr:uid="{00000000-0005-0000-0000-000050430000}"/>
    <cellStyle name="Normal 12 3 3 4 3" xfId="11951" xr:uid="{00000000-0005-0000-0000-000051430000}"/>
    <cellStyle name="Normal 12 3 3 4 3 2" xfId="31871" xr:uid="{00000000-0005-0000-0000-000052430000}"/>
    <cellStyle name="Normal 12 3 3 4 4" xfId="18103" xr:uid="{00000000-0005-0000-0000-000053430000}"/>
    <cellStyle name="Normal 12 3 3 4 4 2" xfId="38023" xr:uid="{00000000-0005-0000-0000-000054430000}"/>
    <cellStyle name="Normal 12 3 3 4 5" xfId="25718" xr:uid="{00000000-0005-0000-0000-000055430000}"/>
    <cellStyle name="Normal 12 3 3 5" xfId="7289" xr:uid="{00000000-0005-0000-0000-000056430000}"/>
    <cellStyle name="Normal 12 3 3 5 2" xfId="13483" xr:uid="{00000000-0005-0000-0000-000057430000}"/>
    <cellStyle name="Normal 12 3 3 5 2 2" xfId="33403" xr:uid="{00000000-0005-0000-0000-000058430000}"/>
    <cellStyle name="Normal 12 3 3 5 3" xfId="19635" xr:uid="{00000000-0005-0000-0000-000059430000}"/>
    <cellStyle name="Normal 12 3 3 5 3 2" xfId="39555" xr:uid="{00000000-0005-0000-0000-00005A430000}"/>
    <cellStyle name="Normal 12 3 3 5 4" xfId="27250" xr:uid="{00000000-0005-0000-0000-00005B430000}"/>
    <cellStyle name="Normal 12 3 3 6" xfId="10417" xr:uid="{00000000-0005-0000-0000-00005C430000}"/>
    <cellStyle name="Normal 12 3 3 6 2" xfId="30337" xr:uid="{00000000-0005-0000-0000-00005D430000}"/>
    <cellStyle name="Normal 12 3 3 7" xfId="16569" xr:uid="{00000000-0005-0000-0000-00005E430000}"/>
    <cellStyle name="Normal 12 3 3 7 2" xfId="36489" xr:uid="{00000000-0005-0000-0000-00005F430000}"/>
    <cellStyle name="Normal 12 3 3 8" xfId="24184" xr:uid="{00000000-0005-0000-0000-000060430000}"/>
    <cellStyle name="Normal 12 3 4" xfId="3355" xr:uid="{00000000-0005-0000-0000-000061430000}"/>
    <cellStyle name="Normal 12 3 4 2" xfId="4884" xr:uid="{00000000-0005-0000-0000-000062430000}"/>
    <cellStyle name="Normal 12 3 4 2 2" xfId="6509" xr:uid="{00000000-0005-0000-0000-000063430000}"/>
    <cellStyle name="Normal 12 3 4 2 2 2" xfId="9595" xr:uid="{00000000-0005-0000-0000-000064430000}"/>
    <cellStyle name="Normal 12 3 4 2 2 2 2" xfId="15788" xr:uid="{00000000-0005-0000-0000-000065430000}"/>
    <cellStyle name="Normal 12 3 4 2 2 2 2 2" xfId="35708" xr:uid="{00000000-0005-0000-0000-000066430000}"/>
    <cellStyle name="Normal 12 3 4 2 2 2 3" xfId="21940" xr:uid="{00000000-0005-0000-0000-000067430000}"/>
    <cellStyle name="Normal 12 3 4 2 2 2 3 2" xfId="41860" xr:uid="{00000000-0005-0000-0000-000068430000}"/>
    <cellStyle name="Normal 12 3 4 2 2 2 4" xfId="29555" xr:uid="{00000000-0005-0000-0000-000069430000}"/>
    <cellStyle name="Normal 12 3 4 2 2 3" xfId="12722" xr:uid="{00000000-0005-0000-0000-00006A430000}"/>
    <cellStyle name="Normal 12 3 4 2 2 3 2" xfId="32642" xr:uid="{00000000-0005-0000-0000-00006B430000}"/>
    <cellStyle name="Normal 12 3 4 2 2 4" xfId="18874" xr:uid="{00000000-0005-0000-0000-00006C430000}"/>
    <cellStyle name="Normal 12 3 4 2 2 4 2" xfId="38794" xr:uid="{00000000-0005-0000-0000-00006D430000}"/>
    <cellStyle name="Normal 12 3 4 2 2 5" xfId="26489" xr:uid="{00000000-0005-0000-0000-00006E430000}"/>
    <cellStyle name="Normal 12 3 4 2 3" xfId="8060" xr:uid="{00000000-0005-0000-0000-00006F430000}"/>
    <cellStyle name="Normal 12 3 4 2 3 2" xfId="14254" xr:uid="{00000000-0005-0000-0000-000070430000}"/>
    <cellStyle name="Normal 12 3 4 2 3 2 2" xfId="34174" xr:uid="{00000000-0005-0000-0000-000071430000}"/>
    <cellStyle name="Normal 12 3 4 2 3 3" xfId="20406" xr:uid="{00000000-0005-0000-0000-000072430000}"/>
    <cellStyle name="Normal 12 3 4 2 3 3 2" xfId="40326" xr:uid="{00000000-0005-0000-0000-000073430000}"/>
    <cellStyle name="Normal 12 3 4 2 3 4" xfId="28021" xr:uid="{00000000-0005-0000-0000-000074430000}"/>
    <cellStyle name="Normal 12 3 4 2 4" xfId="11188" xr:uid="{00000000-0005-0000-0000-000075430000}"/>
    <cellStyle name="Normal 12 3 4 2 4 2" xfId="31108" xr:uid="{00000000-0005-0000-0000-000076430000}"/>
    <cellStyle name="Normal 12 3 4 2 5" xfId="17340" xr:uid="{00000000-0005-0000-0000-000077430000}"/>
    <cellStyle name="Normal 12 3 4 2 5 2" xfId="37260" xr:uid="{00000000-0005-0000-0000-000078430000}"/>
    <cellStyle name="Normal 12 3 4 2 6" xfId="24955" xr:uid="{00000000-0005-0000-0000-000079430000}"/>
    <cellStyle name="Normal 12 3 4 3" xfId="5726" xr:uid="{00000000-0005-0000-0000-00007A430000}"/>
    <cellStyle name="Normal 12 3 4 3 2" xfId="8826" xr:uid="{00000000-0005-0000-0000-00007B430000}"/>
    <cellStyle name="Normal 12 3 4 3 2 2" xfId="15019" xr:uid="{00000000-0005-0000-0000-00007C430000}"/>
    <cellStyle name="Normal 12 3 4 3 2 2 2" xfId="34939" xr:uid="{00000000-0005-0000-0000-00007D430000}"/>
    <cellStyle name="Normal 12 3 4 3 2 3" xfId="21171" xr:uid="{00000000-0005-0000-0000-00007E430000}"/>
    <cellStyle name="Normal 12 3 4 3 2 3 2" xfId="41091" xr:uid="{00000000-0005-0000-0000-00007F430000}"/>
    <cellStyle name="Normal 12 3 4 3 2 4" xfId="28786" xr:uid="{00000000-0005-0000-0000-000080430000}"/>
    <cellStyle name="Normal 12 3 4 3 3" xfId="11953" xr:uid="{00000000-0005-0000-0000-000081430000}"/>
    <cellStyle name="Normal 12 3 4 3 3 2" xfId="31873" xr:uid="{00000000-0005-0000-0000-000082430000}"/>
    <cellStyle name="Normal 12 3 4 3 4" xfId="18105" xr:uid="{00000000-0005-0000-0000-000083430000}"/>
    <cellStyle name="Normal 12 3 4 3 4 2" xfId="38025" xr:uid="{00000000-0005-0000-0000-000084430000}"/>
    <cellStyle name="Normal 12 3 4 3 5" xfId="25720" xr:uid="{00000000-0005-0000-0000-000085430000}"/>
    <cellStyle name="Normal 12 3 4 4" xfId="7291" xr:uid="{00000000-0005-0000-0000-000086430000}"/>
    <cellStyle name="Normal 12 3 4 4 2" xfId="13485" xr:uid="{00000000-0005-0000-0000-000087430000}"/>
    <cellStyle name="Normal 12 3 4 4 2 2" xfId="33405" xr:uid="{00000000-0005-0000-0000-000088430000}"/>
    <cellStyle name="Normal 12 3 4 4 3" xfId="19637" xr:uid="{00000000-0005-0000-0000-000089430000}"/>
    <cellStyle name="Normal 12 3 4 4 3 2" xfId="39557" xr:uid="{00000000-0005-0000-0000-00008A430000}"/>
    <cellStyle name="Normal 12 3 4 4 4" xfId="27252" xr:uid="{00000000-0005-0000-0000-00008B430000}"/>
    <cellStyle name="Normal 12 3 4 5" xfId="10419" xr:uid="{00000000-0005-0000-0000-00008C430000}"/>
    <cellStyle name="Normal 12 3 4 5 2" xfId="30339" xr:uid="{00000000-0005-0000-0000-00008D430000}"/>
    <cellStyle name="Normal 12 3 4 6" xfId="16571" xr:uid="{00000000-0005-0000-0000-00008E430000}"/>
    <cellStyle name="Normal 12 3 4 6 2" xfId="36491" xr:uid="{00000000-0005-0000-0000-00008F430000}"/>
    <cellStyle name="Normal 12 3 4 7" xfId="24186" xr:uid="{00000000-0005-0000-0000-000090430000}"/>
    <cellStyle name="Normal 12 3 5" xfId="4879" xr:uid="{00000000-0005-0000-0000-000091430000}"/>
    <cellStyle name="Normal 12 3 5 2" xfId="6504" xr:uid="{00000000-0005-0000-0000-000092430000}"/>
    <cellStyle name="Normal 12 3 5 2 2" xfId="9590" xr:uid="{00000000-0005-0000-0000-000093430000}"/>
    <cellStyle name="Normal 12 3 5 2 2 2" xfId="15783" xr:uid="{00000000-0005-0000-0000-000094430000}"/>
    <cellStyle name="Normal 12 3 5 2 2 2 2" xfId="35703" xr:uid="{00000000-0005-0000-0000-000095430000}"/>
    <cellStyle name="Normal 12 3 5 2 2 3" xfId="21935" xr:uid="{00000000-0005-0000-0000-000096430000}"/>
    <cellStyle name="Normal 12 3 5 2 2 3 2" xfId="41855" xr:uid="{00000000-0005-0000-0000-000097430000}"/>
    <cellStyle name="Normal 12 3 5 2 2 4" xfId="29550" xr:uid="{00000000-0005-0000-0000-000098430000}"/>
    <cellStyle name="Normal 12 3 5 2 3" xfId="12717" xr:uid="{00000000-0005-0000-0000-000099430000}"/>
    <cellStyle name="Normal 12 3 5 2 3 2" xfId="32637" xr:uid="{00000000-0005-0000-0000-00009A430000}"/>
    <cellStyle name="Normal 12 3 5 2 4" xfId="18869" xr:uid="{00000000-0005-0000-0000-00009B430000}"/>
    <cellStyle name="Normal 12 3 5 2 4 2" xfId="38789" xr:uid="{00000000-0005-0000-0000-00009C430000}"/>
    <cellStyle name="Normal 12 3 5 2 5" xfId="26484" xr:uid="{00000000-0005-0000-0000-00009D430000}"/>
    <cellStyle name="Normal 12 3 5 3" xfId="8055" xr:uid="{00000000-0005-0000-0000-00009E430000}"/>
    <cellStyle name="Normal 12 3 5 3 2" xfId="14249" xr:uid="{00000000-0005-0000-0000-00009F430000}"/>
    <cellStyle name="Normal 12 3 5 3 2 2" xfId="34169" xr:uid="{00000000-0005-0000-0000-0000A0430000}"/>
    <cellStyle name="Normal 12 3 5 3 3" xfId="20401" xr:uid="{00000000-0005-0000-0000-0000A1430000}"/>
    <cellStyle name="Normal 12 3 5 3 3 2" xfId="40321" xr:uid="{00000000-0005-0000-0000-0000A2430000}"/>
    <cellStyle name="Normal 12 3 5 3 4" xfId="28016" xr:uid="{00000000-0005-0000-0000-0000A3430000}"/>
    <cellStyle name="Normal 12 3 5 4" xfId="11183" xr:uid="{00000000-0005-0000-0000-0000A4430000}"/>
    <cellStyle name="Normal 12 3 5 4 2" xfId="31103" xr:uid="{00000000-0005-0000-0000-0000A5430000}"/>
    <cellStyle name="Normal 12 3 5 5" xfId="17335" xr:uid="{00000000-0005-0000-0000-0000A6430000}"/>
    <cellStyle name="Normal 12 3 5 5 2" xfId="37255" xr:uid="{00000000-0005-0000-0000-0000A7430000}"/>
    <cellStyle name="Normal 12 3 5 6" xfId="24950" xr:uid="{00000000-0005-0000-0000-0000A8430000}"/>
    <cellStyle name="Normal 12 3 6" xfId="5721" xr:uid="{00000000-0005-0000-0000-0000A9430000}"/>
    <cellStyle name="Normal 12 3 6 2" xfId="8821" xr:uid="{00000000-0005-0000-0000-0000AA430000}"/>
    <cellStyle name="Normal 12 3 6 2 2" xfId="15014" xr:uid="{00000000-0005-0000-0000-0000AB430000}"/>
    <cellStyle name="Normal 12 3 6 2 2 2" xfId="34934" xr:uid="{00000000-0005-0000-0000-0000AC430000}"/>
    <cellStyle name="Normal 12 3 6 2 3" xfId="21166" xr:uid="{00000000-0005-0000-0000-0000AD430000}"/>
    <cellStyle name="Normal 12 3 6 2 3 2" xfId="41086" xr:uid="{00000000-0005-0000-0000-0000AE430000}"/>
    <cellStyle name="Normal 12 3 6 2 4" xfId="28781" xr:uid="{00000000-0005-0000-0000-0000AF430000}"/>
    <cellStyle name="Normal 12 3 6 3" xfId="11948" xr:uid="{00000000-0005-0000-0000-0000B0430000}"/>
    <cellStyle name="Normal 12 3 6 3 2" xfId="31868" xr:uid="{00000000-0005-0000-0000-0000B1430000}"/>
    <cellStyle name="Normal 12 3 6 4" xfId="18100" xr:uid="{00000000-0005-0000-0000-0000B2430000}"/>
    <cellStyle name="Normal 12 3 6 4 2" xfId="38020" xr:uid="{00000000-0005-0000-0000-0000B3430000}"/>
    <cellStyle name="Normal 12 3 6 5" xfId="25715" xr:uid="{00000000-0005-0000-0000-0000B4430000}"/>
    <cellStyle name="Normal 12 3 7" xfId="7286" xr:uid="{00000000-0005-0000-0000-0000B5430000}"/>
    <cellStyle name="Normal 12 3 7 2" xfId="13480" xr:uid="{00000000-0005-0000-0000-0000B6430000}"/>
    <cellStyle name="Normal 12 3 7 2 2" xfId="33400" xr:uid="{00000000-0005-0000-0000-0000B7430000}"/>
    <cellStyle name="Normal 12 3 7 3" xfId="19632" xr:uid="{00000000-0005-0000-0000-0000B8430000}"/>
    <cellStyle name="Normal 12 3 7 3 2" xfId="39552" xr:uid="{00000000-0005-0000-0000-0000B9430000}"/>
    <cellStyle name="Normal 12 3 7 4" xfId="27247" xr:uid="{00000000-0005-0000-0000-0000BA430000}"/>
    <cellStyle name="Normal 12 3 8" xfId="10414" xr:uid="{00000000-0005-0000-0000-0000BB430000}"/>
    <cellStyle name="Normal 12 3 8 2" xfId="30334" xr:uid="{00000000-0005-0000-0000-0000BC430000}"/>
    <cellStyle name="Normal 12 3 9" xfId="16566" xr:uid="{00000000-0005-0000-0000-0000BD430000}"/>
    <cellStyle name="Normal 12 3 9 2" xfId="36486" xr:uid="{00000000-0005-0000-0000-0000BE430000}"/>
    <cellStyle name="Normal 12 4" xfId="3356" xr:uid="{00000000-0005-0000-0000-0000BF430000}"/>
    <cellStyle name="Normal 12 4 10" xfId="24187" xr:uid="{00000000-0005-0000-0000-0000C0430000}"/>
    <cellStyle name="Normal 12 4 2" xfId="3357" xr:uid="{00000000-0005-0000-0000-0000C1430000}"/>
    <cellStyle name="Normal 12 4 2 2" xfId="3358" xr:uid="{00000000-0005-0000-0000-0000C2430000}"/>
    <cellStyle name="Normal 12 4 2 2 2" xfId="4887" xr:uid="{00000000-0005-0000-0000-0000C3430000}"/>
    <cellStyle name="Normal 12 4 2 2 2 2" xfId="6512" xr:uid="{00000000-0005-0000-0000-0000C4430000}"/>
    <cellStyle name="Normal 12 4 2 2 2 2 2" xfId="9598" xr:uid="{00000000-0005-0000-0000-0000C5430000}"/>
    <cellStyle name="Normal 12 4 2 2 2 2 2 2" xfId="15791" xr:uid="{00000000-0005-0000-0000-0000C6430000}"/>
    <cellStyle name="Normal 12 4 2 2 2 2 2 2 2" xfId="35711" xr:uid="{00000000-0005-0000-0000-0000C7430000}"/>
    <cellStyle name="Normal 12 4 2 2 2 2 2 3" xfId="21943" xr:uid="{00000000-0005-0000-0000-0000C8430000}"/>
    <cellStyle name="Normal 12 4 2 2 2 2 2 3 2" xfId="41863" xr:uid="{00000000-0005-0000-0000-0000C9430000}"/>
    <cellStyle name="Normal 12 4 2 2 2 2 2 4" xfId="29558" xr:uid="{00000000-0005-0000-0000-0000CA430000}"/>
    <cellStyle name="Normal 12 4 2 2 2 2 3" xfId="12725" xr:uid="{00000000-0005-0000-0000-0000CB430000}"/>
    <cellStyle name="Normal 12 4 2 2 2 2 3 2" xfId="32645" xr:uid="{00000000-0005-0000-0000-0000CC430000}"/>
    <cellStyle name="Normal 12 4 2 2 2 2 4" xfId="18877" xr:uid="{00000000-0005-0000-0000-0000CD430000}"/>
    <cellStyle name="Normal 12 4 2 2 2 2 4 2" xfId="38797" xr:uid="{00000000-0005-0000-0000-0000CE430000}"/>
    <cellStyle name="Normal 12 4 2 2 2 2 5" xfId="26492" xr:uid="{00000000-0005-0000-0000-0000CF430000}"/>
    <cellStyle name="Normal 12 4 2 2 2 3" xfId="8063" xr:uid="{00000000-0005-0000-0000-0000D0430000}"/>
    <cellStyle name="Normal 12 4 2 2 2 3 2" xfId="14257" xr:uid="{00000000-0005-0000-0000-0000D1430000}"/>
    <cellStyle name="Normal 12 4 2 2 2 3 2 2" xfId="34177" xr:uid="{00000000-0005-0000-0000-0000D2430000}"/>
    <cellStyle name="Normal 12 4 2 2 2 3 3" xfId="20409" xr:uid="{00000000-0005-0000-0000-0000D3430000}"/>
    <cellStyle name="Normal 12 4 2 2 2 3 3 2" xfId="40329" xr:uid="{00000000-0005-0000-0000-0000D4430000}"/>
    <cellStyle name="Normal 12 4 2 2 2 3 4" xfId="28024" xr:uid="{00000000-0005-0000-0000-0000D5430000}"/>
    <cellStyle name="Normal 12 4 2 2 2 4" xfId="11191" xr:uid="{00000000-0005-0000-0000-0000D6430000}"/>
    <cellStyle name="Normal 12 4 2 2 2 4 2" xfId="31111" xr:uid="{00000000-0005-0000-0000-0000D7430000}"/>
    <cellStyle name="Normal 12 4 2 2 2 5" xfId="17343" xr:uid="{00000000-0005-0000-0000-0000D8430000}"/>
    <cellStyle name="Normal 12 4 2 2 2 5 2" xfId="37263" xr:uid="{00000000-0005-0000-0000-0000D9430000}"/>
    <cellStyle name="Normal 12 4 2 2 2 6" xfId="24958" xr:uid="{00000000-0005-0000-0000-0000DA430000}"/>
    <cellStyle name="Normal 12 4 2 2 3" xfId="5729" xr:uid="{00000000-0005-0000-0000-0000DB430000}"/>
    <cellStyle name="Normal 12 4 2 2 3 2" xfId="8829" xr:uid="{00000000-0005-0000-0000-0000DC430000}"/>
    <cellStyle name="Normal 12 4 2 2 3 2 2" xfId="15022" xr:uid="{00000000-0005-0000-0000-0000DD430000}"/>
    <cellStyle name="Normal 12 4 2 2 3 2 2 2" xfId="34942" xr:uid="{00000000-0005-0000-0000-0000DE430000}"/>
    <cellStyle name="Normal 12 4 2 2 3 2 3" xfId="21174" xr:uid="{00000000-0005-0000-0000-0000DF430000}"/>
    <cellStyle name="Normal 12 4 2 2 3 2 3 2" xfId="41094" xr:uid="{00000000-0005-0000-0000-0000E0430000}"/>
    <cellStyle name="Normal 12 4 2 2 3 2 4" xfId="28789" xr:uid="{00000000-0005-0000-0000-0000E1430000}"/>
    <cellStyle name="Normal 12 4 2 2 3 3" xfId="11956" xr:uid="{00000000-0005-0000-0000-0000E2430000}"/>
    <cellStyle name="Normal 12 4 2 2 3 3 2" xfId="31876" xr:uid="{00000000-0005-0000-0000-0000E3430000}"/>
    <cellStyle name="Normal 12 4 2 2 3 4" xfId="18108" xr:uid="{00000000-0005-0000-0000-0000E4430000}"/>
    <cellStyle name="Normal 12 4 2 2 3 4 2" xfId="38028" xr:uid="{00000000-0005-0000-0000-0000E5430000}"/>
    <cellStyle name="Normal 12 4 2 2 3 5" xfId="25723" xr:uid="{00000000-0005-0000-0000-0000E6430000}"/>
    <cellStyle name="Normal 12 4 2 2 4" xfId="7294" xr:uid="{00000000-0005-0000-0000-0000E7430000}"/>
    <cellStyle name="Normal 12 4 2 2 4 2" xfId="13488" xr:uid="{00000000-0005-0000-0000-0000E8430000}"/>
    <cellStyle name="Normal 12 4 2 2 4 2 2" xfId="33408" xr:uid="{00000000-0005-0000-0000-0000E9430000}"/>
    <cellStyle name="Normal 12 4 2 2 4 3" xfId="19640" xr:uid="{00000000-0005-0000-0000-0000EA430000}"/>
    <cellStyle name="Normal 12 4 2 2 4 3 2" xfId="39560" xr:uid="{00000000-0005-0000-0000-0000EB430000}"/>
    <cellStyle name="Normal 12 4 2 2 4 4" xfId="27255" xr:uid="{00000000-0005-0000-0000-0000EC430000}"/>
    <cellStyle name="Normal 12 4 2 2 5" xfId="10422" xr:uid="{00000000-0005-0000-0000-0000ED430000}"/>
    <cellStyle name="Normal 12 4 2 2 5 2" xfId="30342" xr:uid="{00000000-0005-0000-0000-0000EE430000}"/>
    <cellStyle name="Normal 12 4 2 2 6" xfId="16574" xr:uid="{00000000-0005-0000-0000-0000EF430000}"/>
    <cellStyle name="Normal 12 4 2 2 6 2" xfId="36494" xr:uid="{00000000-0005-0000-0000-0000F0430000}"/>
    <cellStyle name="Normal 12 4 2 2 7" xfId="24189" xr:uid="{00000000-0005-0000-0000-0000F1430000}"/>
    <cellStyle name="Normal 12 4 2 3" xfId="4886" xr:uid="{00000000-0005-0000-0000-0000F2430000}"/>
    <cellStyle name="Normal 12 4 2 3 2" xfId="6511" xr:uid="{00000000-0005-0000-0000-0000F3430000}"/>
    <cellStyle name="Normal 12 4 2 3 2 2" xfId="9597" xr:uid="{00000000-0005-0000-0000-0000F4430000}"/>
    <cellStyle name="Normal 12 4 2 3 2 2 2" xfId="15790" xr:uid="{00000000-0005-0000-0000-0000F5430000}"/>
    <cellStyle name="Normal 12 4 2 3 2 2 2 2" xfId="35710" xr:uid="{00000000-0005-0000-0000-0000F6430000}"/>
    <cellStyle name="Normal 12 4 2 3 2 2 3" xfId="21942" xr:uid="{00000000-0005-0000-0000-0000F7430000}"/>
    <cellStyle name="Normal 12 4 2 3 2 2 3 2" xfId="41862" xr:uid="{00000000-0005-0000-0000-0000F8430000}"/>
    <cellStyle name="Normal 12 4 2 3 2 2 4" xfId="29557" xr:uid="{00000000-0005-0000-0000-0000F9430000}"/>
    <cellStyle name="Normal 12 4 2 3 2 3" xfId="12724" xr:uid="{00000000-0005-0000-0000-0000FA430000}"/>
    <cellStyle name="Normal 12 4 2 3 2 3 2" xfId="32644" xr:uid="{00000000-0005-0000-0000-0000FB430000}"/>
    <cellStyle name="Normal 12 4 2 3 2 4" xfId="18876" xr:uid="{00000000-0005-0000-0000-0000FC430000}"/>
    <cellStyle name="Normal 12 4 2 3 2 4 2" xfId="38796" xr:uid="{00000000-0005-0000-0000-0000FD430000}"/>
    <cellStyle name="Normal 12 4 2 3 2 5" xfId="26491" xr:uid="{00000000-0005-0000-0000-0000FE430000}"/>
    <cellStyle name="Normal 12 4 2 3 3" xfId="8062" xr:uid="{00000000-0005-0000-0000-0000FF430000}"/>
    <cellStyle name="Normal 12 4 2 3 3 2" xfId="14256" xr:uid="{00000000-0005-0000-0000-000000440000}"/>
    <cellStyle name="Normal 12 4 2 3 3 2 2" xfId="34176" xr:uid="{00000000-0005-0000-0000-000001440000}"/>
    <cellStyle name="Normal 12 4 2 3 3 3" xfId="20408" xr:uid="{00000000-0005-0000-0000-000002440000}"/>
    <cellStyle name="Normal 12 4 2 3 3 3 2" xfId="40328" xr:uid="{00000000-0005-0000-0000-000003440000}"/>
    <cellStyle name="Normal 12 4 2 3 3 4" xfId="28023" xr:uid="{00000000-0005-0000-0000-000004440000}"/>
    <cellStyle name="Normal 12 4 2 3 4" xfId="11190" xr:uid="{00000000-0005-0000-0000-000005440000}"/>
    <cellStyle name="Normal 12 4 2 3 4 2" xfId="31110" xr:uid="{00000000-0005-0000-0000-000006440000}"/>
    <cellStyle name="Normal 12 4 2 3 5" xfId="17342" xr:uid="{00000000-0005-0000-0000-000007440000}"/>
    <cellStyle name="Normal 12 4 2 3 5 2" xfId="37262" xr:uid="{00000000-0005-0000-0000-000008440000}"/>
    <cellStyle name="Normal 12 4 2 3 6" xfId="24957" xr:uid="{00000000-0005-0000-0000-000009440000}"/>
    <cellStyle name="Normal 12 4 2 4" xfId="5728" xr:uid="{00000000-0005-0000-0000-00000A440000}"/>
    <cellStyle name="Normal 12 4 2 4 2" xfId="8828" xr:uid="{00000000-0005-0000-0000-00000B440000}"/>
    <cellStyle name="Normal 12 4 2 4 2 2" xfId="15021" xr:uid="{00000000-0005-0000-0000-00000C440000}"/>
    <cellStyle name="Normal 12 4 2 4 2 2 2" xfId="34941" xr:uid="{00000000-0005-0000-0000-00000D440000}"/>
    <cellStyle name="Normal 12 4 2 4 2 3" xfId="21173" xr:uid="{00000000-0005-0000-0000-00000E440000}"/>
    <cellStyle name="Normal 12 4 2 4 2 3 2" xfId="41093" xr:uid="{00000000-0005-0000-0000-00000F440000}"/>
    <cellStyle name="Normal 12 4 2 4 2 4" xfId="28788" xr:uid="{00000000-0005-0000-0000-000010440000}"/>
    <cellStyle name="Normal 12 4 2 4 3" xfId="11955" xr:uid="{00000000-0005-0000-0000-000011440000}"/>
    <cellStyle name="Normal 12 4 2 4 3 2" xfId="31875" xr:uid="{00000000-0005-0000-0000-000012440000}"/>
    <cellStyle name="Normal 12 4 2 4 4" xfId="18107" xr:uid="{00000000-0005-0000-0000-000013440000}"/>
    <cellStyle name="Normal 12 4 2 4 4 2" xfId="38027" xr:uid="{00000000-0005-0000-0000-000014440000}"/>
    <cellStyle name="Normal 12 4 2 4 5" xfId="25722" xr:uid="{00000000-0005-0000-0000-000015440000}"/>
    <cellStyle name="Normal 12 4 2 5" xfId="7293" xr:uid="{00000000-0005-0000-0000-000016440000}"/>
    <cellStyle name="Normal 12 4 2 5 2" xfId="13487" xr:uid="{00000000-0005-0000-0000-000017440000}"/>
    <cellStyle name="Normal 12 4 2 5 2 2" xfId="33407" xr:uid="{00000000-0005-0000-0000-000018440000}"/>
    <cellStyle name="Normal 12 4 2 5 3" xfId="19639" xr:uid="{00000000-0005-0000-0000-000019440000}"/>
    <cellStyle name="Normal 12 4 2 5 3 2" xfId="39559" xr:uid="{00000000-0005-0000-0000-00001A440000}"/>
    <cellStyle name="Normal 12 4 2 5 4" xfId="27254" xr:uid="{00000000-0005-0000-0000-00001B440000}"/>
    <cellStyle name="Normal 12 4 2 6" xfId="10421" xr:uid="{00000000-0005-0000-0000-00001C440000}"/>
    <cellStyle name="Normal 12 4 2 6 2" xfId="30341" xr:uid="{00000000-0005-0000-0000-00001D440000}"/>
    <cellStyle name="Normal 12 4 2 7" xfId="16573" xr:uid="{00000000-0005-0000-0000-00001E440000}"/>
    <cellStyle name="Normal 12 4 2 7 2" xfId="36493" xr:uid="{00000000-0005-0000-0000-00001F440000}"/>
    <cellStyle name="Normal 12 4 2 8" xfId="24188" xr:uid="{00000000-0005-0000-0000-000020440000}"/>
    <cellStyle name="Normal 12 4 3" xfId="3359" xr:uid="{00000000-0005-0000-0000-000021440000}"/>
    <cellStyle name="Normal 12 4 3 2" xfId="3360" xr:uid="{00000000-0005-0000-0000-000022440000}"/>
    <cellStyle name="Normal 12 4 3 2 2" xfId="4889" xr:uid="{00000000-0005-0000-0000-000023440000}"/>
    <cellStyle name="Normal 12 4 3 2 2 2" xfId="6514" xr:uid="{00000000-0005-0000-0000-000024440000}"/>
    <cellStyle name="Normal 12 4 3 2 2 2 2" xfId="9600" xr:uid="{00000000-0005-0000-0000-000025440000}"/>
    <cellStyle name="Normal 12 4 3 2 2 2 2 2" xfId="15793" xr:uid="{00000000-0005-0000-0000-000026440000}"/>
    <cellStyle name="Normal 12 4 3 2 2 2 2 2 2" xfId="35713" xr:uid="{00000000-0005-0000-0000-000027440000}"/>
    <cellStyle name="Normal 12 4 3 2 2 2 2 3" xfId="21945" xr:uid="{00000000-0005-0000-0000-000028440000}"/>
    <cellStyle name="Normal 12 4 3 2 2 2 2 3 2" xfId="41865" xr:uid="{00000000-0005-0000-0000-000029440000}"/>
    <cellStyle name="Normal 12 4 3 2 2 2 2 4" xfId="29560" xr:uid="{00000000-0005-0000-0000-00002A440000}"/>
    <cellStyle name="Normal 12 4 3 2 2 2 3" xfId="12727" xr:uid="{00000000-0005-0000-0000-00002B440000}"/>
    <cellStyle name="Normal 12 4 3 2 2 2 3 2" xfId="32647" xr:uid="{00000000-0005-0000-0000-00002C440000}"/>
    <cellStyle name="Normal 12 4 3 2 2 2 4" xfId="18879" xr:uid="{00000000-0005-0000-0000-00002D440000}"/>
    <cellStyle name="Normal 12 4 3 2 2 2 4 2" xfId="38799" xr:uid="{00000000-0005-0000-0000-00002E440000}"/>
    <cellStyle name="Normal 12 4 3 2 2 2 5" xfId="26494" xr:uid="{00000000-0005-0000-0000-00002F440000}"/>
    <cellStyle name="Normal 12 4 3 2 2 3" xfId="8065" xr:uid="{00000000-0005-0000-0000-000030440000}"/>
    <cellStyle name="Normal 12 4 3 2 2 3 2" xfId="14259" xr:uid="{00000000-0005-0000-0000-000031440000}"/>
    <cellStyle name="Normal 12 4 3 2 2 3 2 2" xfId="34179" xr:uid="{00000000-0005-0000-0000-000032440000}"/>
    <cellStyle name="Normal 12 4 3 2 2 3 3" xfId="20411" xr:uid="{00000000-0005-0000-0000-000033440000}"/>
    <cellStyle name="Normal 12 4 3 2 2 3 3 2" xfId="40331" xr:uid="{00000000-0005-0000-0000-000034440000}"/>
    <cellStyle name="Normal 12 4 3 2 2 3 4" xfId="28026" xr:uid="{00000000-0005-0000-0000-000035440000}"/>
    <cellStyle name="Normal 12 4 3 2 2 4" xfId="11193" xr:uid="{00000000-0005-0000-0000-000036440000}"/>
    <cellStyle name="Normal 12 4 3 2 2 4 2" xfId="31113" xr:uid="{00000000-0005-0000-0000-000037440000}"/>
    <cellStyle name="Normal 12 4 3 2 2 5" xfId="17345" xr:uid="{00000000-0005-0000-0000-000038440000}"/>
    <cellStyle name="Normal 12 4 3 2 2 5 2" xfId="37265" xr:uid="{00000000-0005-0000-0000-000039440000}"/>
    <cellStyle name="Normal 12 4 3 2 2 6" xfId="24960" xr:uid="{00000000-0005-0000-0000-00003A440000}"/>
    <cellStyle name="Normal 12 4 3 2 3" xfId="5731" xr:uid="{00000000-0005-0000-0000-00003B440000}"/>
    <cellStyle name="Normal 12 4 3 2 3 2" xfId="8831" xr:uid="{00000000-0005-0000-0000-00003C440000}"/>
    <cellStyle name="Normal 12 4 3 2 3 2 2" xfId="15024" xr:uid="{00000000-0005-0000-0000-00003D440000}"/>
    <cellStyle name="Normal 12 4 3 2 3 2 2 2" xfId="34944" xr:uid="{00000000-0005-0000-0000-00003E440000}"/>
    <cellStyle name="Normal 12 4 3 2 3 2 3" xfId="21176" xr:uid="{00000000-0005-0000-0000-00003F440000}"/>
    <cellStyle name="Normal 12 4 3 2 3 2 3 2" xfId="41096" xr:uid="{00000000-0005-0000-0000-000040440000}"/>
    <cellStyle name="Normal 12 4 3 2 3 2 4" xfId="28791" xr:uid="{00000000-0005-0000-0000-000041440000}"/>
    <cellStyle name="Normal 12 4 3 2 3 3" xfId="11958" xr:uid="{00000000-0005-0000-0000-000042440000}"/>
    <cellStyle name="Normal 12 4 3 2 3 3 2" xfId="31878" xr:uid="{00000000-0005-0000-0000-000043440000}"/>
    <cellStyle name="Normal 12 4 3 2 3 4" xfId="18110" xr:uid="{00000000-0005-0000-0000-000044440000}"/>
    <cellStyle name="Normal 12 4 3 2 3 4 2" xfId="38030" xr:uid="{00000000-0005-0000-0000-000045440000}"/>
    <cellStyle name="Normal 12 4 3 2 3 5" xfId="25725" xr:uid="{00000000-0005-0000-0000-000046440000}"/>
    <cellStyle name="Normal 12 4 3 2 4" xfId="7296" xr:uid="{00000000-0005-0000-0000-000047440000}"/>
    <cellStyle name="Normal 12 4 3 2 4 2" xfId="13490" xr:uid="{00000000-0005-0000-0000-000048440000}"/>
    <cellStyle name="Normal 12 4 3 2 4 2 2" xfId="33410" xr:uid="{00000000-0005-0000-0000-000049440000}"/>
    <cellStyle name="Normal 12 4 3 2 4 3" xfId="19642" xr:uid="{00000000-0005-0000-0000-00004A440000}"/>
    <cellStyle name="Normal 12 4 3 2 4 3 2" xfId="39562" xr:uid="{00000000-0005-0000-0000-00004B440000}"/>
    <cellStyle name="Normal 12 4 3 2 4 4" xfId="27257" xr:uid="{00000000-0005-0000-0000-00004C440000}"/>
    <cellStyle name="Normal 12 4 3 2 5" xfId="10424" xr:uid="{00000000-0005-0000-0000-00004D440000}"/>
    <cellStyle name="Normal 12 4 3 2 5 2" xfId="30344" xr:uid="{00000000-0005-0000-0000-00004E440000}"/>
    <cellStyle name="Normal 12 4 3 2 6" xfId="16576" xr:uid="{00000000-0005-0000-0000-00004F440000}"/>
    <cellStyle name="Normal 12 4 3 2 6 2" xfId="36496" xr:uid="{00000000-0005-0000-0000-000050440000}"/>
    <cellStyle name="Normal 12 4 3 2 7" xfId="24191" xr:uid="{00000000-0005-0000-0000-000051440000}"/>
    <cellStyle name="Normal 12 4 3 3" xfId="4888" xr:uid="{00000000-0005-0000-0000-000052440000}"/>
    <cellStyle name="Normal 12 4 3 3 2" xfId="6513" xr:uid="{00000000-0005-0000-0000-000053440000}"/>
    <cellStyle name="Normal 12 4 3 3 2 2" xfId="9599" xr:uid="{00000000-0005-0000-0000-000054440000}"/>
    <cellStyle name="Normal 12 4 3 3 2 2 2" xfId="15792" xr:uid="{00000000-0005-0000-0000-000055440000}"/>
    <cellStyle name="Normal 12 4 3 3 2 2 2 2" xfId="35712" xr:uid="{00000000-0005-0000-0000-000056440000}"/>
    <cellStyle name="Normal 12 4 3 3 2 2 3" xfId="21944" xr:uid="{00000000-0005-0000-0000-000057440000}"/>
    <cellStyle name="Normal 12 4 3 3 2 2 3 2" xfId="41864" xr:uid="{00000000-0005-0000-0000-000058440000}"/>
    <cellStyle name="Normal 12 4 3 3 2 2 4" xfId="29559" xr:uid="{00000000-0005-0000-0000-000059440000}"/>
    <cellStyle name="Normal 12 4 3 3 2 3" xfId="12726" xr:uid="{00000000-0005-0000-0000-00005A440000}"/>
    <cellStyle name="Normal 12 4 3 3 2 3 2" xfId="32646" xr:uid="{00000000-0005-0000-0000-00005B440000}"/>
    <cellStyle name="Normal 12 4 3 3 2 4" xfId="18878" xr:uid="{00000000-0005-0000-0000-00005C440000}"/>
    <cellStyle name="Normal 12 4 3 3 2 4 2" xfId="38798" xr:uid="{00000000-0005-0000-0000-00005D440000}"/>
    <cellStyle name="Normal 12 4 3 3 2 5" xfId="26493" xr:uid="{00000000-0005-0000-0000-00005E440000}"/>
    <cellStyle name="Normal 12 4 3 3 3" xfId="8064" xr:uid="{00000000-0005-0000-0000-00005F440000}"/>
    <cellStyle name="Normal 12 4 3 3 3 2" xfId="14258" xr:uid="{00000000-0005-0000-0000-000060440000}"/>
    <cellStyle name="Normal 12 4 3 3 3 2 2" xfId="34178" xr:uid="{00000000-0005-0000-0000-000061440000}"/>
    <cellStyle name="Normal 12 4 3 3 3 3" xfId="20410" xr:uid="{00000000-0005-0000-0000-000062440000}"/>
    <cellStyle name="Normal 12 4 3 3 3 3 2" xfId="40330" xr:uid="{00000000-0005-0000-0000-000063440000}"/>
    <cellStyle name="Normal 12 4 3 3 3 4" xfId="28025" xr:uid="{00000000-0005-0000-0000-000064440000}"/>
    <cellStyle name="Normal 12 4 3 3 4" xfId="11192" xr:uid="{00000000-0005-0000-0000-000065440000}"/>
    <cellStyle name="Normal 12 4 3 3 4 2" xfId="31112" xr:uid="{00000000-0005-0000-0000-000066440000}"/>
    <cellStyle name="Normal 12 4 3 3 5" xfId="17344" xr:uid="{00000000-0005-0000-0000-000067440000}"/>
    <cellStyle name="Normal 12 4 3 3 5 2" xfId="37264" xr:uid="{00000000-0005-0000-0000-000068440000}"/>
    <cellStyle name="Normal 12 4 3 3 6" xfId="24959" xr:uid="{00000000-0005-0000-0000-000069440000}"/>
    <cellStyle name="Normal 12 4 3 4" xfId="5730" xr:uid="{00000000-0005-0000-0000-00006A440000}"/>
    <cellStyle name="Normal 12 4 3 4 2" xfId="8830" xr:uid="{00000000-0005-0000-0000-00006B440000}"/>
    <cellStyle name="Normal 12 4 3 4 2 2" xfId="15023" xr:uid="{00000000-0005-0000-0000-00006C440000}"/>
    <cellStyle name="Normal 12 4 3 4 2 2 2" xfId="34943" xr:uid="{00000000-0005-0000-0000-00006D440000}"/>
    <cellStyle name="Normal 12 4 3 4 2 3" xfId="21175" xr:uid="{00000000-0005-0000-0000-00006E440000}"/>
    <cellStyle name="Normal 12 4 3 4 2 3 2" xfId="41095" xr:uid="{00000000-0005-0000-0000-00006F440000}"/>
    <cellStyle name="Normal 12 4 3 4 2 4" xfId="28790" xr:uid="{00000000-0005-0000-0000-000070440000}"/>
    <cellStyle name="Normal 12 4 3 4 3" xfId="11957" xr:uid="{00000000-0005-0000-0000-000071440000}"/>
    <cellStyle name="Normal 12 4 3 4 3 2" xfId="31877" xr:uid="{00000000-0005-0000-0000-000072440000}"/>
    <cellStyle name="Normal 12 4 3 4 4" xfId="18109" xr:uid="{00000000-0005-0000-0000-000073440000}"/>
    <cellStyle name="Normal 12 4 3 4 4 2" xfId="38029" xr:uid="{00000000-0005-0000-0000-000074440000}"/>
    <cellStyle name="Normal 12 4 3 4 5" xfId="25724" xr:uid="{00000000-0005-0000-0000-000075440000}"/>
    <cellStyle name="Normal 12 4 3 5" xfId="7295" xr:uid="{00000000-0005-0000-0000-000076440000}"/>
    <cellStyle name="Normal 12 4 3 5 2" xfId="13489" xr:uid="{00000000-0005-0000-0000-000077440000}"/>
    <cellStyle name="Normal 12 4 3 5 2 2" xfId="33409" xr:uid="{00000000-0005-0000-0000-000078440000}"/>
    <cellStyle name="Normal 12 4 3 5 3" xfId="19641" xr:uid="{00000000-0005-0000-0000-000079440000}"/>
    <cellStyle name="Normal 12 4 3 5 3 2" xfId="39561" xr:uid="{00000000-0005-0000-0000-00007A440000}"/>
    <cellStyle name="Normal 12 4 3 5 4" xfId="27256" xr:uid="{00000000-0005-0000-0000-00007B440000}"/>
    <cellStyle name="Normal 12 4 3 6" xfId="10423" xr:uid="{00000000-0005-0000-0000-00007C440000}"/>
    <cellStyle name="Normal 12 4 3 6 2" xfId="30343" xr:uid="{00000000-0005-0000-0000-00007D440000}"/>
    <cellStyle name="Normal 12 4 3 7" xfId="16575" xr:uid="{00000000-0005-0000-0000-00007E440000}"/>
    <cellStyle name="Normal 12 4 3 7 2" xfId="36495" xr:uid="{00000000-0005-0000-0000-00007F440000}"/>
    <cellStyle name="Normal 12 4 3 8" xfId="24190" xr:uid="{00000000-0005-0000-0000-000080440000}"/>
    <cellStyle name="Normal 12 4 4" xfId="3361" xr:uid="{00000000-0005-0000-0000-000081440000}"/>
    <cellStyle name="Normal 12 4 4 2" xfId="4890" xr:uid="{00000000-0005-0000-0000-000082440000}"/>
    <cellStyle name="Normal 12 4 4 2 2" xfId="6515" xr:uid="{00000000-0005-0000-0000-000083440000}"/>
    <cellStyle name="Normal 12 4 4 2 2 2" xfId="9601" xr:uid="{00000000-0005-0000-0000-000084440000}"/>
    <cellStyle name="Normal 12 4 4 2 2 2 2" xfId="15794" xr:uid="{00000000-0005-0000-0000-000085440000}"/>
    <cellStyle name="Normal 12 4 4 2 2 2 2 2" xfId="35714" xr:uid="{00000000-0005-0000-0000-000086440000}"/>
    <cellStyle name="Normal 12 4 4 2 2 2 3" xfId="21946" xr:uid="{00000000-0005-0000-0000-000087440000}"/>
    <cellStyle name="Normal 12 4 4 2 2 2 3 2" xfId="41866" xr:uid="{00000000-0005-0000-0000-000088440000}"/>
    <cellStyle name="Normal 12 4 4 2 2 2 4" xfId="29561" xr:uid="{00000000-0005-0000-0000-000089440000}"/>
    <cellStyle name="Normal 12 4 4 2 2 3" xfId="12728" xr:uid="{00000000-0005-0000-0000-00008A440000}"/>
    <cellStyle name="Normal 12 4 4 2 2 3 2" xfId="32648" xr:uid="{00000000-0005-0000-0000-00008B440000}"/>
    <cellStyle name="Normal 12 4 4 2 2 4" xfId="18880" xr:uid="{00000000-0005-0000-0000-00008C440000}"/>
    <cellStyle name="Normal 12 4 4 2 2 4 2" xfId="38800" xr:uid="{00000000-0005-0000-0000-00008D440000}"/>
    <cellStyle name="Normal 12 4 4 2 2 5" xfId="26495" xr:uid="{00000000-0005-0000-0000-00008E440000}"/>
    <cellStyle name="Normal 12 4 4 2 3" xfId="8066" xr:uid="{00000000-0005-0000-0000-00008F440000}"/>
    <cellStyle name="Normal 12 4 4 2 3 2" xfId="14260" xr:uid="{00000000-0005-0000-0000-000090440000}"/>
    <cellStyle name="Normal 12 4 4 2 3 2 2" xfId="34180" xr:uid="{00000000-0005-0000-0000-000091440000}"/>
    <cellStyle name="Normal 12 4 4 2 3 3" xfId="20412" xr:uid="{00000000-0005-0000-0000-000092440000}"/>
    <cellStyle name="Normal 12 4 4 2 3 3 2" xfId="40332" xr:uid="{00000000-0005-0000-0000-000093440000}"/>
    <cellStyle name="Normal 12 4 4 2 3 4" xfId="28027" xr:uid="{00000000-0005-0000-0000-000094440000}"/>
    <cellStyle name="Normal 12 4 4 2 4" xfId="11194" xr:uid="{00000000-0005-0000-0000-000095440000}"/>
    <cellStyle name="Normal 12 4 4 2 4 2" xfId="31114" xr:uid="{00000000-0005-0000-0000-000096440000}"/>
    <cellStyle name="Normal 12 4 4 2 5" xfId="17346" xr:uid="{00000000-0005-0000-0000-000097440000}"/>
    <cellStyle name="Normal 12 4 4 2 5 2" xfId="37266" xr:uid="{00000000-0005-0000-0000-000098440000}"/>
    <cellStyle name="Normal 12 4 4 2 6" xfId="24961" xr:uid="{00000000-0005-0000-0000-000099440000}"/>
    <cellStyle name="Normal 12 4 4 3" xfId="5732" xr:uid="{00000000-0005-0000-0000-00009A440000}"/>
    <cellStyle name="Normal 12 4 4 3 2" xfId="8832" xr:uid="{00000000-0005-0000-0000-00009B440000}"/>
    <cellStyle name="Normal 12 4 4 3 2 2" xfId="15025" xr:uid="{00000000-0005-0000-0000-00009C440000}"/>
    <cellStyle name="Normal 12 4 4 3 2 2 2" xfId="34945" xr:uid="{00000000-0005-0000-0000-00009D440000}"/>
    <cellStyle name="Normal 12 4 4 3 2 3" xfId="21177" xr:uid="{00000000-0005-0000-0000-00009E440000}"/>
    <cellStyle name="Normal 12 4 4 3 2 3 2" xfId="41097" xr:uid="{00000000-0005-0000-0000-00009F440000}"/>
    <cellStyle name="Normal 12 4 4 3 2 4" xfId="28792" xr:uid="{00000000-0005-0000-0000-0000A0440000}"/>
    <cellStyle name="Normal 12 4 4 3 3" xfId="11959" xr:uid="{00000000-0005-0000-0000-0000A1440000}"/>
    <cellStyle name="Normal 12 4 4 3 3 2" xfId="31879" xr:uid="{00000000-0005-0000-0000-0000A2440000}"/>
    <cellStyle name="Normal 12 4 4 3 4" xfId="18111" xr:uid="{00000000-0005-0000-0000-0000A3440000}"/>
    <cellStyle name="Normal 12 4 4 3 4 2" xfId="38031" xr:uid="{00000000-0005-0000-0000-0000A4440000}"/>
    <cellStyle name="Normal 12 4 4 3 5" xfId="25726" xr:uid="{00000000-0005-0000-0000-0000A5440000}"/>
    <cellStyle name="Normal 12 4 4 4" xfId="7297" xr:uid="{00000000-0005-0000-0000-0000A6440000}"/>
    <cellStyle name="Normal 12 4 4 4 2" xfId="13491" xr:uid="{00000000-0005-0000-0000-0000A7440000}"/>
    <cellStyle name="Normal 12 4 4 4 2 2" xfId="33411" xr:uid="{00000000-0005-0000-0000-0000A8440000}"/>
    <cellStyle name="Normal 12 4 4 4 3" xfId="19643" xr:uid="{00000000-0005-0000-0000-0000A9440000}"/>
    <cellStyle name="Normal 12 4 4 4 3 2" xfId="39563" xr:uid="{00000000-0005-0000-0000-0000AA440000}"/>
    <cellStyle name="Normal 12 4 4 4 4" xfId="27258" xr:uid="{00000000-0005-0000-0000-0000AB440000}"/>
    <cellStyle name="Normal 12 4 4 5" xfId="10425" xr:uid="{00000000-0005-0000-0000-0000AC440000}"/>
    <cellStyle name="Normal 12 4 4 5 2" xfId="30345" xr:uid="{00000000-0005-0000-0000-0000AD440000}"/>
    <cellStyle name="Normal 12 4 4 6" xfId="16577" xr:uid="{00000000-0005-0000-0000-0000AE440000}"/>
    <cellStyle name="Normal 12 4 4 6 2" xfId="36497" xr:uid="{00000000-0005-0000-0000-0000AF440000}"/>
    <cellStyle name="Normal 12 4 4 7" xfId="24192" xr:uid="{00000000-0005-0000-0000-0000B0440000}"/>
    <cellStyle name="Normal 12 4 5" xfId="4885" xr:uid="{00000000-0005-0000-0000-0000B1440000}"/>
    <cellStyle name="Normal 12 4 5 2" xfId="6510" xr:uid="{00000000-0005-0000-0000-0000B2440000}"/>
    <cellStyle name="Normal 12 4 5 2 2" xfId="9596" xr:uid="{00000000-0005-0000-0000-0000B3440000}"/>
    <cellStyle name="Normal 12 4 5 2 2 2" xfId="15789" xr:uid="{00000000-0005-0000-0000-0000B4440000}"/>
    <cellStyle name="Normal 12 4 5 2 2 2 2" xfId="35709" xr:uid="{00000000-0005-0000-0000-0000B5440000}"/>
    <cellStyle name="Normal 12 4 5 2 2 3" xfId="21941" xr:uid="{00000000-0005-0000-0000-0000B6440000}"/>
    <cellStyle name="Normal 12 4 5 2 2 3 2" xfId="41861" xr:uid="{00000000-0005-0000-0000-0000B7440000}"/>
    <cellStyle name="Normal 12 4 5 2 2 4" xfId="29556" xr:uid="{00000000-0005-0000-0000-0000B8440000}"/>
    <cellStyle name="Normal 12 4 5 2 3" xfId="12723" xr:uid="{00000000-0005-0000-0000-0000B9440000}"/>
    <cellStyle name="Normal 12 4 5 2 3 2" xfId="32643" xr:uid="{00000000-0005-0000-0000-0000BA440000}"/>
    <cellStyle name="Normal 12 4 5 2 4" xfId="18875" xr:uid="{00000000-0005-0000-0000-0000BB440000}"/>
    <cellStyle name="Normal 12 4 5 2 4 2" xfId="38795" xr:uid="{00000000-0005-0000-0000-0000BC440000}"/>
    <cellStyle name="Normal 12 4 5 2 5" xfId="26490" xr:uid="{00000000-0005-0000-0000-0000BD440000}"/>
    <cellStyle name="Normal 12 4 5 3" xfId="8061" xr:uid="{00000000-0005-0000-0000-0000BE440000}"/>
    <cellStyle name="Normal 12 4 5 3 2" xfId="14255" xr:uid="{00000000-0005-0000-0000-0000BF440000}"/>
    <cellStyle name="Normal 12 4 5 3 2 2" xfId="34175" xr:uid="{00000000-0005-0000-0000-0000C0440000}"/>
    <cellStyle name="Normal 12 4 5 3 3" xfId="20407" xr:uid="{00000000-0005-0000-0000-0000C1440000}"/>
    <cellStyle name="Normal 12 4 5 3 3 2" xfId="40327" xr:uid="{00000000-0005-0000-0000-0000C2440000}"/>
    <cellStyle name="Normal 12 4 5 3 4" xfId="28022" xr:uid="{00000000-0005-0000-0000-0000C3440000}"/>
    <cellStyle name="Normal 12 4 5 4" xfId="11189" xr:uid="{00000000-0005-0000-0000-0000C4440000}"/>
    <cellStyle name="Normal 12 4 5 4 2" xfId="31109" xr:uid="{00000000-0005-0000-0000-0000C5440000}"/>
    <cellStyle name="Normal 12 4 5 5" xfId="17341" xr:uid="{00000000-0005-0000-0000-0000C6440000}"/>
    <cellStyle name="Normal 12 4 5 5 2" xfId="37261" xr:uid="{00000000-0005-0000-0000-0000C7440000}"/>
    <cellStyle name="Normal 12 4 5 6" xfId="24956" xr:uid="{00000000-0005-0000-0000-0000C8440000}"/>
    <cellStyle name="Normal 12 4 6" xfId="5727" xr:uid="{00000000-0005-0000-0000-0000C9440000}"/>
    <cellStyle name="Normal 12 4 6 2" xfId="8827" xr:uid="{00000000-0005-0000-0000-0000CA440000}"/>
    <cellStyle name="Normal 12 4 6 2 2" xfId="15020" xr:uid="{00000000-0005-0000-0000-0000CB440000}"/>
    <cellStyle name="Normal 12 4 6 2 2 2" xfId="34940" xr:uid="{00000000-0005-0000-0000-0000CC440000}"/>
    <cellStyle name="Normal 12 4 6 2 3" xfId="21172" xr:uid="{00000000-0005-0000-0000-0000CD440000}"/>
    <cellStyle name="Normal 12 4 6 2 3 2" xfId="41092" xr:uid="{00000000-0005-0000-0000-0000CE440000}"/>
    <cellStyle name="Normal 12 4 6 2 4" xfId="28787" xr:uid="{00000000-0005-0000-0000-0000CF440000}"/>
    <cellStyle name="Normal 12 4 6 3" xfId="11954" xr:uid="{00000000-0005-0000-0000-0000D0440000}"/>
    <cellStyle name="Normal 12 4 6 3 2" xfId="31874" xr:uid="{00000000-0005-0000-0000-0000D1440000}"/>
    <cellStyle name="Normal 12 4 6 4" xfId="18106" xr:uid="{00000000-0005-0000-0000-0000D2440000}"/>
    <cellStyle name="Normal 12 4 6 4 2" xfId="38026" xr:uid="{00000000-0005-0000-0000-0000D3440000}"/>
    <cellStyle name="Normal 12 4 6 5" xfId="25721" xr:uid="{00000000-0005-0000-0000-0000D4440000}"/>
    <cellStyle name="Normal 12 4 7" xfId="7292" xr:uid="{00000000-0005-0000-0000-0000D5440000}"/>
    <cellStyle name="Normal 12 4 7 2" xfId="13486" xr:uid="{00000000-0005-0000-0000-0000D6440000}"/>
    <cellStyle name="Normal 12 4 7 2 2" xfId="33406" xr:uid="{00000000-0005-0000-0000-0000D7440000}"/>
    <cellStyle name="Normal 12 4 7 3" xfId="19638" xr:uid="{00000000-0005-0000-0000-0000D8440000}"/>
    <cellStyle name="Normal 12 4 7 3 2" xfId="39558" xr:uid="{00000000-0005-0000-0000-0000D9440000}"/>
    <cellStyle name="Normal 12 4 7 4" xfId="27253" xr:uid="{00000000-0005-0000-0000-0000DA440000}"/>
    <cellStyle name="Normal 12 4 8" xfId="10420" xr:uid="{00000000-0005-0000-0000-0000DB440000}"/>
    <cellStyle name="Normal 12 4 8 2" xfId="30340" xr:uid="{00000000-0005-0000-0000-0000DC440000}"/>
    <cellStyle name="Normal 12 4 9" xfId="16572" xr:uid="{00000000-0005-0000-0000-0000DD440000}"/>
    <cellStyle name="Normal 12 4 9 2" xfId="36492" xr:uid="{00000000-0005-0000-0000-0000DE440000}"/>
    <cellStyle name="Normal 12 5" xfId="3362" xr:uid="{00000000-0005-0000-0000-0000DF440000}"/>
    <cellStyle name="Normal 12 5 2" xfId="3363" xr:uid="{00000000-0005-0000-0000-0000E0440000}"/>
    <cellStyle name="Normal 12 5 2 2" xfId="4892" xr:uid="{00000000-0005-0000-0000-0000E1440000}"/>
    <cellStyle name="Normal 12 5 2 2 2" xfId="6517" xr:uid="{00000000-0005-0000-0000-0000E2440000}"/>
    <cellStyle name="Normal 12 5 2 2 2 2" xfId="9603" xr:uid="{00000000-0005-0000-0000-0000E3440000}"/>
    <cellStyle name="Normal 12 5 2 2 2 2 2" xfId="15796" xr:uid="{00000000-0005-0000-0000-0000E4440000}"/>
    <cellStyle name="Normal 12 5 2 2 2 2 2 2" xfId="35716" xr:uid="{00000000-0005-0000-0000-0000E5440000}"/>
    <cellStyle name="Normal 12 5 2 2 2 2 3" xfId="21948" xr:uid="{00000000-0005-0000-0000-0000E6440000}"/>
    <cellStyle name="Normal 12 5 2 2 2 2 3 2" xfId="41868" xr:uid="{00000000-0005-0000-0000-0000E7440000}"/>
    <cellStyle name="Normal 12 5 2 2 2 2 4" xfId="29563" xr:uid="{00000000-0005-0000-0000-0000E8440000}"/>
    <cellStyle name="Normal 12 5 2 2 2 3" xfId="12730" xr:uid="{00000000-0005-0000-0000-0000E9440000}"/>
    <cellStyle name="Normal 12 5 2 2 2 3 2" xfId="32650" xr:uid="{00000000-0005-0000-0000-0000EA440000}"/>
    <cellStyle name="Normal 12 5 2 2 2 4" xfId="18882" xr:uid="{00000000-0005-0000-0000-0000EB440000}"/>
    <cellStyle name="Normal 12 5 2 2 2 4 2" xfId="38802" xr:uid="{00000000-0005-0000-0000-0000EC440000}"/>
    <cellStyle name="Normal 12 5 2 2 2 5" xfId="26497" xr:uid="{00000000-0005-0000-0000-0000ED440000}"/>
    <cellStyle name="Normal 12 5 2 2 3" xfId="8068" xr:uid="{00000000-0005-0000-0000-0000EE440000}"/>
    <cellStyle name="Normal 12 5 2 2 3 2" xfId="14262" xr:uid="{00000000-0005-0000-0000-0000EF440000}"/>
    <cellStyle name="Normal 12 5 2 2 3 2 2" xfId="34182" xr:uid="{00000000-0005-0000-0000-0000F0440000}"/>
    <cellStyle name="Normal 12 5 2 2 3 3" xfId="20414" xr:uid="{00000000-0005-0000-0000-0000F1440000}"/>
    <cellStyle name="Normal 12 5 2 2 3 3 2" xfId="40334" xr:uid="{00000000-0005-0000-0000-0000F2440000}"/>
    <cellStyle name="Normal 12 5 2 2 3 4" xfId="28029" xr:uid="{00000000-0005-0000-0000-0000F3440000}"/>
    <cellStyle name="Normal 12 5 2 2 4" xfId="11196" xr:uid="{00000000-0005-0000-0000-0000F4440000}"/>
    <cellStyle name="Normal 12 5 2 2 4 2" xfId="31116" xr:uid="{00000000-0005-0000-0000-0000F5440000}"/>
    <cellStyle name="Normal 12 5 2 2 5" xfId="17348" xr:uid="{00000000-0005-0000-0000-0000F6440000}"/>
    <cellStyle name="Normal 12 5 2 2 5 2" xfId="37268" xr:uid="{00000000-0005-0000-0000-0000F7440000}"/>
    <cellStyle name="Normal 12 5 2 2 6" xfId="24963" xr:uid="{00000000-0005-0000-0000-0000F8440000}"/>
    <cellStyle name="Normal 12 5 2 3" xfId="5734" xr:uid="{00000000-0005-0000-0000-0000F9440000}"/>
    <cellStyle name="Normal 12 5 2 3 2" xfId="8834" xr:uid="{00000000-0005-0000-0000-0000FA440000}"/>
    <cellStyle name="Normal 12 5 2 3 2 2" xfId="15027" xr:uid="{00000000-0005-0000-0000-0000FB440000}"/>
    <cellStyle name="Normal 12 5 2 3 2 2 2" xfId="34947" xr:uid="{00000000-0005-0000-0000-0000FC440000}"/>
    <cellStyle name="Normal 12 5 2 3 2 3" xfId="21179" xr:uid="{00000000-0005-0000-0000-0000FD440000}"/>
    <cellStyle name="Normal 12 5 2 3 2 3 2" xfId="41099" xr:uid="{00000000-0005-0000-0000-0000FE440000}"/>
    <cellStyle name="Normal 12 5 2 3 2 4" xfId="28794" xr:uid="{00000000-0005-0000-0000-0000FF440000}"/>
    <cellStyle name="Normal 12 5 2 3 3" xfId="11961" xr:uid="{00000000-0005-0000-0000-000000450000}"/>
    <cellStyle name="Normal 12 5 2 3 3 2" xfId="31881" xr:uid="{00000000-0005-0000-0000-000001450000}"/>
    <cellStyle name="Normal 12 5 2 3 4" xfId="18113" xr:uid="{00000000-0005-0000-0000-000002450000}"/>
    <cellStyle name="Normal 12 5 2 3 4 2" xfId="38033" xr:uid="{00000000-0005-0000-0000-000003450000}"/>
    <cellStyle name="Normal 12 5 2 3 5" xfId="25728" xr:uid="{00000000-0005-0000-0000-000004450000}"/>
    <cellStyle name="Normal 12 5 2 4" xfId="7299" xr:uid="{00000000-0005-0000-0000-000005450000}"/>
    <cellStyle name="Normal 12 5 2 4 2" xfId="13493" xr:uid="{00000000-0005-0000-0000-000006450000}"/>
    <cellStyle name="Normal 12 5 2 4 2 2" xfId="33413" xr:uid="{00000000-0005-0000-0000-000007450000}"/>
    <cellStyle name="Normal 12 5 2 4 3" xfId="19645" xr:uid="{00000000-0005-0000-0000-000008450000}"/>
    <cellStyle name="Normal 12 5 2 4 3 2" xfId="39565" xr:uid="{00000000-0005-0000-0000-000009450000}"/>
    <cellStyle name="Normal 12 5 2 4 4" xfId="27260" xr:uid="{00000000-0005-0000-0000-00000A450000}"/>
    <cellStyle name="Normal 12 5 2 5" xfId="10427" xr:uid="{00000000-0005-0000-0000-00000B450000}"/>
    <cellStyle name="Normal 12 5 2 5 2" xfId="30347" xr:uid="{00000000-0005-0000-0000-00000C450000}"/>
    <cellStyle name="Normal 12 5 2 6" xfId="16579" xr:uid="{00000000-0005-0000-0000-00000D450000}"/>
    <cellStyle name="Normal 12 5 2 6 2" xfId="36499" xr:uid="{00000000-0005-0000-0000-00000E450000}"/>
    <cellStyle name="Normal 12 5 2 7" xfId="24194" xr:uid="{00000000-0005-0000-0000-00000F450000}"/>
    <cellStyle name="Normal 12 5 3" xfId="4891" xr:uid="{00000000-0005-0000-0000-000010450000}"/>
    <cellStyle name="Normal 12 5 3 2" xfId="6516" xr:uid="{00000000-0005-0000-0000-000011450000}"/>
    <cellStyle name="Normal 12 5 3 2 2" xfId="9602" xr:uid="{00000000-0005-0000-0000-000012450000}"/>
    <cellStyle name="Normal 12 5 3 2 2 2" xfId="15795" xr:uid="{00000000-0005-0000-0000-000013450000}"/>
    <cellStyle name="Normal 12 5 3 2 2 2 2" xfId="35715" xr:uid="{00000000-0005-0000-0000-000014450000}"/>
    <cellStyle name="Normal 12 5 3 2 2 3" xfId="21947" xr:uid="{00000000-0005-0000-0000-000015450000}"/>
    <cellStyle name="Normal 12 5 3 2 2 3 2" xfId="41867" xr:uid="{00000000-0005-0000-0000-000016450000}"/>
    <cellStyle name="Normal 12 5 3 2 2 4" xfId="29562" xr:uid="{00000000-0005-0000-0000-000017450000}"/>
    <cellStyle name="Normal 12 5 3 2 3" xfId="12729" xr:uid="{00000000-0005-0000-0000-000018450000}"/>
    <cellStyle name="Normal 12 5 3 2 3 2" xfId="32649" xr:uid="{00000000-0005-0000-0000-000019450000}"/>
    <cellStyle name="Normal 12 5 3 2 4" xfId="18881" xr:uid="{00000000-0005-0000-0000-00001A450000}"/>
    <cellStyle name="Normal 12 5 3 2 4 2" xfId="38801" xr:uid="{00000000-0005-0000-0000-00001B450000}"/>
    <cellStyle name="Normal 12 5 3 2 5" xfId="26496" xr:uid="{00000000-0005-0000-0000-00001C450000}"/>
    <cellStyle name="Normal 12 5 3 3" xfId="8067" xr:uid="{00000000-0005-0000-0000-00001D450000}"/>
    <cellStyle name="Normal 12 5 3 3 2" xfId="14261" xr:uid="{00000000-0005-0000-0000-00001E450000}"/>
    <cellStyle name="Normal 12 5 3 3 2 2" xfId="34181" xr:uid="{00000000-0005-0000-0000-00001F450000}"/>
    <cellStyle name="Normal 12 5 3 3 3" xfId="20413" xr:uid="{00000000-0005-0000-0000-000020450000}"/>
    <cellStyle name="Normal 12 5 3 3 3 2" xfId="40333" xr:uid="{00000000-0005-0000-0000-000021450000}"/>
    <cellStyle name="Normal 12 5 3 3 4" xfId="28028" xr:uid="{00000000-0005-0000-0000-000022450000}"/>
    <cellStyle name="Normal 12 5 3 4" xfId="11195" xr:uid="{00000000-0005-0000-0000-000023450000}"/>
    <cellStyle name="Normal 12 5 3 4 2" xfId="31115" xr:uid="{00000000-0005-0000-0000-000024450000}"/>
    <cellStyle name="Normal 12 5 3 5" xfId="17347" xr:uid="{00000000-0005-0000-0000-000025450000}"/>
    <cellStyle name="Normal 12 5 3 5 2" xfId="37267" xr:uid="{00000000-0005-0000-0000-000026450000}"/>
    <cellStyle name="Normal 12 5 3 6" xfId="24962" xr:uid="{00000000-0005-0000-0000-000027450000}"/>
    <cellStyle name="Normal 12 5 4" xfId="5733" xr:uid="{00000000-0005-0000-0000-000028450000}"/>
    <cellStyle name="Normal 12 5 4 2" xfId="8833" xr:uid="{00000000-0005-0000-0000-000029450000}"/>
    <cellStyle name="Normal 12 5 4 2 2" xfId="15026" xr:uid="{00000000-0005-0000-0000-00002A450000}"/>
    <cellStyle name="Normal 12 5 4 2 2 2" xfId="34946" xr:uid="{00000000-0005-0000-0000-00002B450000}"/>
    <cellStyle name="Normal 12 5 4 2 3" xfId="21178" xr:uid="{00000000-0005-0000-0000-00002C450000}"/>
    <cellStyle name="Normal 12 5 4 2 3 2" xfId="41098" xr:uid="{00000000-0005-0000-0000-00002D450000}"/>
    <cellStyle name="Normal 12 5 4 2 4" xfId="28793" xr:uid="{00000000-0005-0000-0000-00002E450000}"/>
    <cellStyle name="Normal 12 5 4 3" xfId="11960" xr:uid="{00000000-0005-0000-0000-00002F450000}"/>
    <cellStyle name="Normal 12 5 4 3 2" xfId="31880" xr:uid="{00000000-0005-0000-0000-000030450000}"/>
    <cellStyle name="Normal 12 5 4 4" xfId="18112" xr:uid="{00000000-0005-0000-0000-000031450000}"/>
    <cellStyle name="Normal 12 5 4 4 2" xfId="38032" xr:uid="{00000000-0005-0000-0000-000032450000}"/>
    <cellStyle name="Normal 12 5 4 5" xfId="25727" xr:uid="{00000000-0005-0000-0000-000033450000}"/>
    <cellStyle name="Normal 12 5 5" xfId="7298" xr:uid="{00000000-0005-0000-0000-000034450000}"/>
    <cellStyle name="Normal 12 5 5 2" xfId="13492" xr:uid="{00000000-0005-0000-0000-000035450000}"/>
    <cellStyle name="Normal 12 5 5 2 2" xfId="33412" xr:uid="{00000000-0005-0000-0000-000036450000}"/>
    <cellStyle name="Normal 12 5 5 3" xfId="19644" xr:uid="{00000000-0005-0000-0000-000037450000}"/>
    <cellStyle name="Normal 12 5 5 3 2" xfId="39564" xr:uid="{00000000-0005-0000-0000-000038450000}"/>
    <cellStyle name="Normal 12 5 5 4" xfId="27259" xr:uid="{00000000-0005-0000-0000-000039450000}"/>
    <cellStyle name="Normal 12 5 6" xfId="10426" xr:uid="{00000000-0005-0000-0000-00003A450000}"/>
    <cellStyle name="Normal 12 5 6 2" xfId="30346" xr:uid="{00000000-0005-0000-0000-00003B450000}"/>
    <cellStyle name="Normal 12 5 7" xfId="16578" xr:uid="{00000000-0005-0000-0000-00003C450000}"/>
    <cellStyle name="Normal 12 5 7 2" xfId="36498" xr:uid="{00000000-0005-0000-0000-00003D450000}"/>
    <cellStyle name="Normal 12 5 8" xfId="24193" xr:uid="{00000000-0005-0000-0000-00003E450000}"/>
    <cellStyle name="Normal 12 6" xfId="3364" xr:uid="{00000000-0005-0000-0000-00003F450000}"/>
    <cellStyle name="Normal 12 6 2" xfId="3365" xr:uid="{00000000-0005-0000-0000-000040450000}"/>
    <cellStyle name="Normal 12 6 2 2" xfId="4894" xr:uid="{00000000-0005-0000-0000-000041450000}"/>
    <cellStyle name="Normal 12 6 2 2 2" xfId="6519" xr:uid="{00000000-0005-0000-0000-000042450000}"/>
    <cellStyle name="Normal 12 6 2 2 2 2" xfId="9605" xr:uid="{00000000-0005-0000-0000-000043450000}"/>
    <cellStyle name="Normal 12 6 2 2 2 2 2" xfId="15798" xr:uid="{00000000-0005-0000-0000-000044450000}"/>
    <cellStyle name="Normal 12 6 2 2 2 2 2 2" xfId="35718" xr:uid="{00000000-0005-0000-0000-000045450000}"/>
    <cellStyle name="Normal 12 6 2 2 2 2 3" xfId="21950" xr:uid="{00000000-0005-0000-0000-000046450000}"/>
    <cellStyle name="Normal 12 6 2 2 2 2 3 2" xfId="41870" xr:uid="{00000000-0005-0000-0000-000047450000}"/>
    <cellStyle name="Normal 12 6 2 2 2 2 4" xfId="29565" xr:uid="{00000000-0005-0000-0000-000048450000}"/>
    <cellStyle name="Normal 12 6 2 2 2 3" xfId="12732" xr:uid="{00000000-0005-0000-0000-000049450000}"/>
    <cellStyle name="Normal 12 6 2 2 2 3 2" xfId="32652" xr:uid="{00000000-0005-0000-0000-00004A450000}"/>
    <cellStyle name="Normal 12 6 2 2 2 4" xfId="18884" xr:uid="{00000000-0005-0000-0000-00004B450000}"/>
    <cellStyle name="Normal 12 6 2 2 2 4 2" xfId="38804" xr:uid="{00000000-0005-0000-0000-00004C450000}"/>
    <cellStyle name="Normal 12 6 2 2 2 5" xfId="26499" xr:uid="{00000000-0005-0000-0000-00004D450000}"/>
    <cellStyle name="Normal 12 6 2 2 3" xfId="8070" xr:uid="{00000000-0005-0000-0000-00004E450000}"/>
    <cellStyle name="Normal 12 6 2 2 3 2" xfId="14264" xr:uid="{00000000-0005-0000-0000-00004F450000}"/>
    <cellStyle name="Normal 12 6 2 2 3 2 2" xfId="34184" xr:uid="{00000000-0005-0000-0000-000050450000}"/>
    <cellStyle name="Normal 12 6 2 2 3 3" xfId="20416" xr:uid="{00000000-0005-0000-0000-000051450000}"/>
    <cellStyle name="Normal 12 6 2 2 3 3 2" xfId="40336" xr:uid="{00000000-0005-0000-0000-000052450000}"/>
    <cellStyle name="Normal 12 6 2 2 3 4" xfId="28031" xr:uid="{00000000-0005-0000-0000-000053450000}"/>
    <cellStyle name="Normal 12 6 2 2 4" xfId="11198" xr:uid="{00000000-0005-0000-0000-000054450000}"/>
    <cellStyle name="Normal 12 6 2 2 4 2" xfId="31118" xr:uid="{00000000-0005-0000-0000-000055450000}"/>
    <cellStyle name="Normal 12 6 2 2 5" xfId="17350" xr:uid="{00000000-0005-0000-0000-000056450000}"/>
    <cellStyle name="Normal 12 6 2 2 5 2" xfId="37270" xr:uid="{00000000-0005-0000-0000-000057450000}"/>
    <cellStyle name="Normal 12 6 2 2 6" xfId="24965" xr:uid="{00000000-0005-0000-0000-000058450000}"/>
    <cellStyle name="Normal 12 6 2 3" xfId="5736" xr:uid="{00000000-0005-0000-0000-000059450000}"/>
    <cellStyle name="Normal 12 6 2 3 2" xfId="8836" xr:uid="{00000000-0005-0000-0000-00005A450000}"/>
    <cellStyle name="Normal 12 6 2 3 2 2" xfId="15029" xr:uid="{00000000-0005-0000-0000-00005B450000}"/>
    <cellStyle name="Normal 12 6 2 3 2 2 2" xfId="34949" xr:uid="{00000000-0005-0000-0000-00005C450000}"/>
    <cellStyle name="Normal 12 6 2 3 2 3" xfId="21181" xr:uid="{00000000-0005-0000-0000-00005D450000}"/>
    <cellStyle name="Normal 12 6 2 3 2 3 2" xfId="41101" xr:uid="{00000000-0005-0000-0000-00005E450000}"/>
    <cellStyle name="Normal 12 6 2 3 2 4" xfId="28796" xr:uid="{00000000-0005-0000-0000-00005F450000}"/>
    <cellStyle name="Normal 12 6 2 3 3" xfId="11963" xr:uid="{00000000-0005-0000-0000-000060450000}"/>
    <cellStyle name="Normal 12 6 2 3 3 2" xfId="31883" xr:uid="{00000000-0005-0000-0000-000061450000}"/>
    <cellStyle name="Normal 12 6 2 3 4" xfId="18115" xr:uid="{00000000-0005-0000-0000-000062450000}"/>
    <cellStyle name="Normal 12 6 2 3 4 2" xfId="38035" xr:uid="{00000000-0005-0000-0000-000063450000}"/>
    <cellStyle name="Normal 12 6 2 3 5" xfId="25730" xr:uid="{00000000-0005-0000-0000-000064450000}"/>
    <cellStyle name="Normal 12 6 2 4" xfId="7301" xr:uid="{00000000-0005-0000-0000-000065450000}"/>
    <cellStyle name="Normal 12 6 2 4 2" xfId="13495" xr:uid="{00000000-0005-0000-0000-000066450000}"/>
    <cellStyle name="Normal 12 6 2 4 2 2" xfId="33415" xr:uid="{00000000-0005-0000-0000-000067450000}"/>
    <cellStyle name="Normal 12 6 2 4 3" xfId="19647" xr:uid="{00000000-0005-0000-0000-000068450000}"/>
    <cellStyle name="Normal 12 6 2 4 3 2" xfId="39567" xr:uid="{00000000-0005-0000-0000-000069450000}"/>
    <cellStyle name="Normal 12 6 2 4 4" xfId="27262" xr:uid="{00000000-0005-0000-0000-00006A450000}"/>
    <cellStyle name="Normal 12 6 2 5" xfId="10429" xr:uid="{00000000-0005-0000-0000-00006B450000}"/>
    <cellStyle name="Normal 12 6 2 5 2" xfId="30349" xr:uid="{00000000-0005-0000-0000-00006C450000}"/>
    <cellStyle name="Normal 12 6 2 6" xfId="16581" xr:uid="{00000000-0005-0000-0000-00006D450000}"/>
    <cellStyle name="Normal 12 6 2 6 2" xfId="36501" xr:uid="{00000000-0005-0000-0000-00006E450000}"/>
    <cellStyle name="Normal 12 6 2 7" xfId="24196" xr:uid="{00000000-0005-0000-0000-00006F450000}"/>
    <cellStyle name="Normal 12 6 3" xfId="4893" xr:uid="{00000000-0005-0000-0000-000070450000}"/>
    <cellStyle name="Normal 12 6 3 2" xfId="6518" xr:uid="{00000000-0005-0000-0000-000071450000}"/>
    <cellStyle name="Normal 12 6 3 2 2" xfId="9604" xr:uid="{00000000-0005-0000-0000-000072450000}"/>
    <cellStyle name="Normal 12 6 3 2 2 2" xfId="15797" xr:uid="{00000000-0005-0000-0000-000073450000}"/>
    <cellStyle name="Normal 12 6 3 2 2 2 2" xfId="35717" xr:uid="{00000000-0005-0000-0000-000074450000}"/>
    <cellStyle name="Normal 12 6 3 2 2 3" xfId="21949" xr:uid="{00000000-0005-0000-0000-000075450000}"/>
    <cellStyle name="Normal 12 6 3 2 2 3 2" xfId="41869" xr:uid="{00000000-0005-0000-0000-000076450000}"/>
    <cellStyle name="Normal 12 6 3 2 2 4" xfId="29564" xr:uid="{00000000-0005-0000-0000-000077450000}"/>
    <cellStyle name="Normal 12 6 3 2 3" xfId="12731" xr:uid="{00000000-0005-0000-0000-000078450000}"/>
    <cellStyle name="Normal 12 6 3 2 3 2" xfId="32651" xr:uid="{00000000-0005-0000-0000-000079450000}"/>
    <cellStyle name="Normal 12 6 3 2 4" xfId="18883" xr:uid="{00000000-0005-0000-0000-00007A450000}"/>
    <cellStyle name="Normal 12 6 3 2 4 2" xfId="38803" xr:uid="{00000000-0005-0000-0000-00007B450000}"/>
    <cellStyle name="Normal 12 6 3 2 5" xfId="26498" xr:uid="{00000000-0005-0000-0000-00007C450000}"/>
    <cellStyle name="Normal 12 6 3 3" xfId="8069" xr:uid="{00000000-0005-0000-0000-00007D450000}"/>
    <cellStyle name="Normal 12 6 3 3 2" xfId="14263" xr:uid="{00000000-0005-0000-0000-00007E450000}"/>
    <cellStyle name="Normal 12 6 3 3 2 2" xfId="34183" xr:uid="{00000000-0005-0000-0000-00007F450000}"/>
    <cellStyle name="Normal 12 6 3 3 3" xfId="20415" xr:uid="{00000000-0005-0000-0000-000080450000}"/>
    <cellStyle name="Normal 12 6 3 3 3 2" xfId="40335" xr:uid="{00000000-0005-0000-0000-000081450000}"/>
    <cellStyle name="Normal 12 6 3 3 4" xfId="28030" xr:uid="{00000000-0005-0000-0000-000082450000}"/>
    <cellStyle name="Normal 12 6 3 4" xfId="11197" xr:uid="{00000000-0005-0000-0000-000083450000}"/>
    <cellStyle name="Normal 12 6 3 4 2" xfId="31117" xr:uid="{00000000-0005-0000-0000-000084450000}"/>
    <cellStyle name="Normal 12 6 3 5" xfId="17349" xr:uid="{00000000-0005-0000-0000-000085450000}"/>
    <cellStyle name="Normal 12 6 3 5 2" xfId="37269" xr:uid="{00000000-0005-0000-0000-000086450000}"/>
    <cellStyle name="Normal 12 6 3 6" xfId="24964" xr:uid="{00000000-0005-0000-0000-000087450000}"/>
    <cellStyle name="Normal 12 6 4" xfId="5735" xr:uid="{00000000-0005-0000-0000-000088450000}"/>
    <cellStyle name="Normal 12 6 4 2" xfId="8835" xr:uid="{00000000-0005-0000-0000-000089450000}"/>
    <cellStyle name="Normal 12 6 4 2 2" xfId="15028" xr:uid="{00000000-0005-0000-0000-00008A450000}"/>
    <cellStyle name="Normal 12 6 4 2 2 2" xfId="34948" xr:uid="{00000000-0005-0000-0000-00008B450000}"/>
    <cellStyle name="Normal 12 6 4 2 3" xfId="21180" xr:uid="{00000000-0005-0000-0000-00008C450000}"/>
    <cellStyle name="Normal 12 6 4 2 3 2" xfId="41100" xr:uid="{00000000-0005-0000-0000-00008D450000}"/>
    <cellStyle name="Normal 12 6 4 2 4" xfId="28795" xr:uid="{00000000-0005-0000-0000-00008E450000}"/>
    <cellStyle name="Normal 12 6 4 3" xfId="11962" xr:uid="{00000000-0005-0000-0000-00008F450000}"/>
    <cellStyle name="Normal 12 6 4 3 2" xfId="31882" xr:uid="{00000000-0005-0000-0000-000090450000}"/>
    <cellStyle name="Normal 12 6 4 4" xfId="18114" xr:uid="{00000000-0005-0000-0000-000091450000}"/>
    <cellStyle name="Normal 12 6 4 4 2" xfId="38034" xr:uid="{00000000-0005-0000-0000-000092450000}"/>
    <cellStyle name="Normal 12 6 4 5" xfId="25729" xr:uid="{00000000-0005-0000-0000-000093450000}"/>
    <cellStyle name="Normal 12 6 5" xfId="7300" xr:uid="{00000000-0005-0000-0000-000094450000}"/>
    <cellStyle name="Normal 12 6 5 2" xfId="13494" xr:uid="{00000000-0005-0000-0000-000095450000}"/>
    <cellStyle name="Normal 12 6 5 2 2" xfId="33414" xr:uid="{00000000-0005-0000-0000-000096450000}"/>
    <cellStyle name="Normal 12 6 5 3" xfId="19646" xr:uid="{00000000-0005-0000-0000-000097450000}"/>
    <cellStyle name="Normal 12 6 5 3 2" xfId="39566" xr:uid="{00000000-0005-0000-0000-000098450000}"/>
    <cellStyle name="Normal 12 6 5 4" xfId="27261" xr:uid="{00000000-0005-0000-0000-000099450000}"/>
    <cellStyle name="Normal 12 6 6" xfId="10428" xr:uid="{00000000-0005-0000-0000-00009A450000}"/>
    <cellStyle name="Normal 12 6 6 2" xfId="30348" xr:uid="{00000000-0005-0000-0000-00009B450000}"/>
    <cellStyle name="Normal 12 6 7" xfId="16580" xr:uid="{00000000-0005-0000-0000-00009C450000}"/>
    <cellStyle name="Normal 12 6 7 2" xfId="36500" xr:uid="{00000000-0005-0000-0000-00009D450000}"/>
    <cellStyle name="Normal 12 6 8" xfId="24195" xr:uid="{00000000-0005-0000-0000-00009E450000}"/>
    <cellStyle name="Normal 12 7" xfId="3366" xr:uid="{00000000-0005-0000-0000-00009F450000}"/>
    <cellStyle name="Normal 12 7 2" xfId="4895" xr:uid="{00000000-0005-0000-0000-0000A0450000}"/>
    <cellStyle name="Normal 12 7 2 2" xfId="6520" xr:uid="{00000000-0005-0000-0000-0000A1450000}"/>
    <cellStyle name="Normal 12 7 2 2 2" xfId="9606" xr:uid="{00000000-0005-0000-0000-0000A2450000}"/>
    <cellStyle name="Normal 12 7 2 2 2 2" xfId="15799" xr:uid="{00000000-0005-0000-0000-0000A3450000}"/>
    <cellStyle name="Normal 12 7 2 2 2 2 2" xfId="35719" xr:uid="{00000000-0005-0000-0000-0000A4450000}"/>
    <cellStyle name="Normal 12 7 2 2 2 3" xfId="21951" xr:uid="{00000000-0005-0000-0000-0000A5450000}"/>
    <cellStyle name="Normal 12 7 2 2 2 3 2" xfId="41871" xr:uid="{00000000-0005-0000-0000-0000A6450000}"/>
    <cellStyle name="Normal 12 7 2 2 2 4" xfId="29566" xr:uid="{00000000-0005-0000-0000-0000A7450000}"/>
    <cellStyle name="Normal 12 7 2 2 3" xfId="12733" xr:uid="{00000000-0005-0000-0000-0000A8450000}"/>
    <cellStyle name="Normal 12 7 2 2 3 2" xfId="32653" xr:uid="{00000000-0005-0000-0000-0000A9450000}"/>
    <cellStyle name="Normal 12 7 2 2 4" xfId="18885" xr:uid="{00000000-0005-0000-0000-0000AA450000}"/>
    <cellStyle name="Normal 12 7 2 2 4 2" xfId="38805" xr:uid="{00000000-0005-0000-0000-0000AB450000}"/>
    <cellStyle name="Normal 12 7 2 2 5" xfId="26500" xr:uid="{00000000-0005-0000-0000-0000AC450000}"/>
    <cellStyle name="Normal 12 7 2 3" xfId="8071" xr:uid="{00000000-0005-0000-0000-0000AD450000}"/>
    <cellStyle name="Normal 12 7 2 3 2" xfId="14265" xr:uid="{00000000-0005-0000-0000-0000AE450000}"/>
    <cellStyle name="Normal 12 7 2 3 2 2" xfId="34185" xr:uid="{00000000-0005-0000-0000-0000AF450000}"/>
    <cellStyle name="Normal 12 7 2 3 3" xfId="20417" xr:uid="{00000000-0005-0000-0000-0000B0450000}"/>
    <cellStyle name="Normal 12 7 2 3 3 2" xfId="40337" xr:uid="{00000000-0005-0000-0000-0000B1450000}"/>
    <cellStyle name="Normal 12 7 2 3 4" xfId="28032" xr:uid="{00000000-0005-0000-0000-0000B2450000}"/>
    <cellStyle name="Normal 12 7 2 4" xfId="11199" xr:uid="{00000000-0005-0000-0000-0000B3450000}"/>
    <cellStyle name="Normal 12 7 2 4 2" xfId="31119" xr:uid="{00000000-0005-0000-0000-0000B4450000}"/>
    <cellStyle name="Normal 12 7 2 5" xfId="17351" xr:uid="{00000000-0005-0000-0000-0000B5450000}"/>
    <cellStyle name="Normal 12 7 2 5 2" xfId="37271" xr:uid="{00000000-0005-0000-0000-0000B6450000}"/>
    <cellStyle name="Normal 12 7 2 6" xfId="24966" xr:uid="{00000000-0005-0000-0000-0000B7450000}"/>
    <cellStyle name="Normal 12 7 3" xfId="5737" xr:uid="{00000000-0005-0000-0000-0000B8450000}"/>
    <cellStyle name="Normal 12 7 3 2" xfId="8837" xr:uid="{00000000-0005-0000-0000-0000B9450000}"/>
    <cellStyle name="Normal 12 7 3 2 2" xfId="15030" xr:uid="{00000000-0005-0000-0000-0000BA450000}"/>
    <cellStyle name="Normal 12 7 3 2 2 2" xfId="34950" xr:uid="{00000000-0005-0000-0000-0000BB450000}"/>
    <cellStyle name="Normal 12 7 3 2 3" xfId="21182" xr:uid="{00000000-0005-0000-0000-0000BC450000}"/>
    <cellStyle name="Normal 12 7 3 2 3 2" xfId="41102" xr:uid="{00000000-0005-0000-0000-0000BD450000}"/>
    <cellStyle name="Normal 12 7 3 2 4" xfId="28797" xr:uid="{00000000-0005-0000-0000-0000BE450000}"/>
    <cellStyle name="Normal 12 7 3 3" xfId="11964" xr:uid="{00000000-0005-0000-0000-0000BF450000}"/>
    <cellStyle name="Normal 12 7 3 3 2" xfId="31884" xr:uid="{00000000-0005-0000-0000-0000C0450000}"/>
    <cellStyle name="Normal 12 7 3 4" xfId="18116" xr:uid="{00000000-0005-0000-0000-0000C1450000}"/>
    <cellStyle name="Normal 12 7 3 4 2" xfId="38036" xr:uid="{00000000-0005-0000-0000-0000C2450000}"/>
    <cellStyle name="Normal 12 7 3 5" xfId="25731" xr:uid="{00000000-0005-0000-0000-0000C3450000}"/>
    <cellStyle name="Normal 12 7 4" xfId="7302" xr:uid="{00000000-0005-0000-0000-0000C4450000}"/>
    <cellStyle name="Normal 12 7 4 2" xfId="13496" xr:uid="{00000000-0005-0000-0000-0000C5450000}"/>
    <cellStyle name="Normal 12 7 4 2 2" xfId="33416" xr:uid="{00000000-0005-0000-0000-0000C6450000}"/>
    <cellStyle name="Normal 12 7 4 3" xfId="19648" xr:uid="{00000000-0005-0000-0000-0000C7450000}"/>
    <cellStyle name="Normal 12 7 4 3 2" xfId="39568" xr:uid="{00000000-0005-0000-0000-0000C8450000}"/>
    <cellStyle name="Normal 12 7 4 4" xfId="27263" xr:uid="{00000000-0005-0000-0000-0000C9450000}"/>
    <cellStyle name="Normal 12 7 5" xfId="10430" xr:uid="{00000000-0005-0000-0000-0000CA450000}"/>
    <cellStyle name="Normal 12 7 5 2" xfId="30350" xr:uid="{00000000-0005-0000-0000-0000CB450000}"/>
    <cellStyle name="Normal 12 7 6" xfId="16582" xr:uid="{00000000-0005-0000-0000-0000CC450000}"/>
    <cellStyle name="Normal 12 7 6 2" xfId="36502" xr:uid="{00000000-0005-0000-0000-0000CD450000}"/>
    <cellStyle name="Normal 12 7 7" xfId="24197" xr:uid="{00000000-0005-0000-0000-0000CE450000}"/>
    <cellStyle name="Normal 12 8" xfId="4866" xr:uid="{00000000-0005-0000-0000-0000CF450000}"/>
    <cellStyle name="Normal 12 8 2" xfId="6491" xr:uid="{00000000-0005-0000-0000-0000D0450000}"/>
    <cellStyle name="Normal 12 8 2 2" xfId="9577" xr:uid="{00000000-0005-0000-0000-0000D1450000}"/>
    <cellStyle name="Normal 12 8 2 2 2" xfId="15770" xr:uid="{00000000-0005-0000-0000-0000D2450000}"/>
    <cellStyle name="Normal 12 8 2 2 2 2" xfId="35690" xr:uid="{00000000-0005-0000-0000-0000D3450000}"/>
    <cellStyle name="Normal 12 8 2 2 3" xfId="21922" xr:uid="{00000000-0005-0000-0000-0000D4450000}"/>
    <cellStyle name="Normal 12 8 2 2 3 2" xfId="41842" xr:uid="{00000000-0005-0000-0000-0000D5450000}"/>
    <cellStyle name="Normal 12 8 2 2 4" xfId="29537" xr:uid="{00000000-0005-0000-0000-0000D6450000}"/>
    <cellStyle name="Normal 12 8 2 3" xfId="12704" xr:uid="{00000000-0005-0000-0000-0000D7450000}"/>
    <cellStyle name="Normal 12 8 2 3 2" xfId="32624" xr:uid="{00000000-0005-0000-0000-0000D8450000}"/>
    <cellStyle name="Normal 12 8 2 4" xfId="18856" xr:uid="{00000000-0005-0000-0000-0000D9450000}"/>
    <cellStyle name="Normal 12 8 2 4 2" xfId="38776" xr:uid="{00000000-0005-0000-0000-0000DA450000}"/>
    <cellStyle name="Normal 12 8 2 5" xfId="26471" xr:uid="{00000000-0005-0000-0000-0000DB450000}"/>
    <cellStyle name="Normal 12 8 3" xfId="8042" xr:uid="{00000000-0005-0000-0000-0000DC450000}"/>
    <cellStyle name="Normal 12 8 3 2" xfId="14236" xr:uid="{00000000-0005-0000-0000-0000DD450000}"/>
    <cellStyle name="Normal 12 8 3 2 2" xfId="34156" xr:uid="{00000000-0005-0000-0000-0000DE450000}"/>
    <cellStyle name="Normal 12 8 3 3" xfId="20388" xr:uid="{00000000-0005-0000-0000-0000DF450000}"/>
    <cellStyle name="Normal 12 8 3 3 2" xfId="40308" xr:uid="{00000000-0005-0000-0000-0000E0450000}"/>
    <cellStyle name="Normal 12 8 3 4" xfId="28003" xr:uid="{00000000-0005-0000-0000-0000E1450000}"/>
    <cellStyle name="Normal 12 8 4" xfId="11170" xr:uid="{00000000-0005-0000-0000-0000E2450000}"/>
    <cellStyle name="Normal 12 8 4 2" xfId="31090" xr:uid="{00000000-0005-0000-0000-0000E3450000}"/>
    <cellStyle name="Normal 12 8 5" xfId="17322" xr:uid="{00000000-0005-0000-0000-0000E4450000}"/>
    <cellStyle name="Normal 12 8 5 2" xfId="37242" xr:uid="{00000000-0005-0000-0000-0000E5450000}"/>
    <cellStyle name="Normal 12 8 6" xfId="24937" xr:uid="{00000000-0005-0000-0000-0000E6450000}"/>
    <cellStyle name="Normal 12 9" xfId="5708" xr:uid="{00000000-0005-0000-0000-0000E7450000}"/>
    <cellStyle name="Normal 12 9 2" xfId="8808" xr:uid="{00000000-0005-0000-0000-0000E8450000}"/>
    <cellStyle name="Normal 12 9 2 2" xfId="15001" xr:uid="{00000000-0005-0000-0000-0000E9450000}"/>
    <cellStyle name="Normal 12 9 2 2 2" xfId="34921" xr:uid="{00000000-0005-0000-0000-0000EA450000}"/>
    <cellStyle name="Normal 12 9 2 3" xfId="21153" xr:uid="{00000000-0005-0000-0000-0000EB450000}"/>
    <cellStyle name="Normal 12 9 2 3 2" xfId="41073" xr:uid="{00000000-0005-0000-0000-0000EC450000}"/>
    <cellStyle name="Normal 12 9 2 4" xfId="28768" xr:uid="{00000000-0005-0000-0000-0000ED450000}"/>
    <cellStyle name="Normal 12 9 3" xfId="11935" xr:uid="{00000000-0005-0000-0000-0000EE450000}"/>
    <cellStyle name="Normal 12 9 3 2" xfId="31855" xr:uid="{00000000-0005-0000-0000-0000EF450000}"/>
    <cellStyle name="Normal 12 9 4" xfId="18087" xr:uid="{00000000-0005-0000-0000-0000F0450000}"/>
    <cellStyle name="Normal 12 9 4 2" xfId="38007" xr:uid="{00000000-0005-0000-0000-0000F1450000}"/>
    <cellStyle name="Normal 12 9 5" xfId="25702" xr:uid="{00000000-0005-0000-0000-0000F2450000}"/>
    <cellStyle name="Normal 13" xfId="364" xr:uid="{00000000-0005-0000-0000-0000F3450000}"/>
    <cellStyle name="Normal 14" xfId="727" xr:uid="{00000000-0005-0000-0000-0000F4450000}"/>
    <cellStyle name="Normal 14 2" xfId="3367" xr:uid="{00000000-0005-0000-0000-0000F5450000}"/>
    <cellStyle name="Normal 15" xfId="728" xr:uid="{00000000-0005-0000-0000-0000F6450000}"/>
    <cellStyle name="Normal 15 10" xfId="16583" xr:uid="{00000000-0005-0000-0000-0000F7450000}"/>
    <cellStyle name="Normal 15 10 2" xfId="36503" xr:uid="{00000000-0005-0000-0000-0000F8450000}"/>
    <cellStyle name="Normal 15 11" xfId="3368" xr:uid="{00000000-0005-0000-0000-0000F9450000}"/>
    <cellStyle name="Normal 15 11 2" xfId="24198" xr:uid="{00000000-0005-0000-0000-0000FA450000}"/>
    <cellStyle name="Normal 15 2" xfId="3369" xr:uid="{00000000-0005-0000-0000-0000FB450000}"/>
    <cellStyle name="Normal 15 3" xfId="3370" xr:uid="{00000000-0005-0000-0000-0000FC450000}"/>
    <cellStyle name="Normal 15 3 2" xfId="4897" xr:uid="{00000000-0005-0000-0000-0000FD450000}"/>
    <cellStyle name="Normal 15 3 2 2" xfId="6522" xr:uid="{00000000-0005-0000-0000-0000FE450000}"/>
    <cellStyle name="Normal 15 3 2 2 2" xfId="9608" xr:uid="{00000000-0005-0000-0000-0000FF450000}"/>
    <cellStyle name="Normal 15 3 2 2 2 2" xfId="15801" xr:uid="{00000000-0005-0000-0000-000000460000}"/>
    <cellStyle name="Normal 15 3 2 2 2 2 2" xfId="35721" xr:uid="{00000000-0005-0000-0000-000001460000}"/>
    <cellStyle name="Normal 15 3 2 2 2 3" xfId="21953" xr:uid="{00000000-0005-0000-0000-000002460000}"/>
    <cellStyle name="Normal 15 3 2 2 2 3 2" xfId="41873" xr:uid="{00000000-0005-0000-0000-000003460000}"/>
    <cellStyle name="Normal 15 3 2 2 2 4" xfId="29568" xr:uid="{00000000-0005-0000-0000-000004460000}"/>
    <cellStyle name="Normal 15 3 2 2 3" xfId="12735" xr:uid="{00000000-0005-0000-0000-000005460000}"/>
    <cellStyle name="Normal 15 3 2 2 3 2" xfId="32655" xr:uid="{00000000-0005-0000-0000-000006460000}"/>
    <cellStyle name="Normal 15 3 2 2 4" xfId="18887" xr:uid="{00000000-0005-0000-0000-000007460000}"/>
    <cellStyle name="Normal 15 3 2 2 4 2" xfId="38807" xr:uid="{00000000-0005-0000-0000-000008460000}"/>
    <cellStyle name="Normal 15 3 2 2 5" xfId="26502" xr:uid="{00000000-0005-0000-0000-000009460000}"/>
    <cellStyle name="Normal 15 3 2 3" xfId="8073" xr:uid="{00000000-0005-0000-0000-00000A460000}"/>
    <cellStyle name="Normal 15 3 2 3 2" xfId="14267" xr:uid="{00000000-0005-0000-0000-00000B460000}"/>
    <cellStyle name="Normal 15 3 2 3 2 2" xfId="34187" xr:uid="{00000000-0005-0000-0000-00000C460000}"/>
    <cellStyle name="Normal 15 3 2 3 3" xfId="20419" xr:uid="{00000000-0005-0000-0000-00000D460000}"/>
    <cellStyle name="Normal 15 3 2 3 3 2" xfId="40339" xr:uid="{00000000-0005-0000-0000-00000E460000}"/>
    <cellStyle name="Normal 15 3 2 3 4" xfId="28034" xr:uid="{00000000-0005-0000-0000-00000F460000}"/>
    <cellStyle name="Normal 15 3 2 4" xfId="11201" xr:uid="{00000000-0005-0000-0000-000010460000}"/>
    <cellStyle name="Normal 15 3 2 4 2" xfId="31121" xr:uid="{00000000-0005-0000-0000-000011460000}"/>
    <cellStyle name="Normal 15 3 2 5" xfId="17353" xr:uid="{00000000-0005-0000-0000-000012460000}"/>
    <cellStyle name="Normal 15 3 2 5 2" xfId="37273" xr:uid="{00000000-0005-0000-0000-000013460000}"/>
    <cellStyle name="Normal 15 3 2 6" xfId="24968" xr:uid="{00000000-0005-0000-0000-000014460000}"/>
    <cellStyle name="Normal 15 3 3" xfId="5739" xr:uid="{00000000-0005-0000-0000-000015460000}"/>
    <cellStyle name="Normal 15 3 3 2" xfId="8839" xr:uid="{00000000-0005-0000-0000-000016460000}"/>
    <cellStyle name="Normal 15 3 3 2 2" xfId="15032" xr:uid="{00000000-0005-0000-0000-000017460000}"/>
    <cellStyle name="Normal 15 3 3 2 2 2" xfId="34952" xr:uid="{00000000-0005-0000-0000-000018460000}"/>
    <cellStyle name="Normal 15 3 3 2 3" xfId="21184" xr:uid="{00000000-0005-0000-0000-000019460000}"/>
    <cellStyle name="Normal 15 3 3 2 3 2" xfId="41104" xr:uid="{00000000-0005-0000-0000-00001A460000}"/>
    <cellStyle name="Normal 15 3 3 2 4" xfId="28799" xr:uid="{00000000-0005-0000-0000-00001B460000}"/>
    <cellStyle name="Normal 15 3 3 3" xfId="11966" xr:uid="{00000000-0005-0000-0000-00001C460000}"/>
    <cellStyle name="Normal 15 3 3 3 2" xfId="31886" xr:uid="{00000000-0005-0000-0000-00001D460000}"/>
    <cellStyle name="Normal 15 3 3 4" xfId="18118" xr:uid="{00000000-0005-0000-0000-00001E460000}"/>
    <cellStyle name="Normal 15 3 3 4 2" xfId="38038" xr:uid="{00000000-0005-0000-0000-00001F460000}"/>
    <cellStyle name="Normal 15 3 3 5" xfId="25733" xr:uid="{00000000-0005-0000-0000-000020460000}"/>
    <cellStyle name="Normal 15 3 4" xfId="7304" xr:uid="{00000000-0005-0000-0000-000021460000}"/>
    <cellStyle name="Normal 15 3 4 2" xfId="13498" xr:uid="{00000000-0005-0000-0000-000022460000}"/>
    <cellStyle name="Normal 15 3 4 2 2" xfId="33418" xr:uid="{00000000-0005-0000-0000-000023460000}"/>
    <cellStyle name="Normal 15 3 4 3" xfId="19650" xr:uid="{00000000-0005-0000-0000-000024460000}"/>
    <cellStyle name="Normal 15 3 4 3 2" xfId="39570" xr:uid="{00000000-0005-0000-0000-000025460000}"/>
    <cellStyle name="Normal 15 3 4 4" xfId="27265" xr:uid="{00000000-0005-0000-0000-000026460000}"/>
    <cellStyle name="Normal 15 3 5" xfId="10432" xr:uid="{00000000-0005-0000-0000-000027460000}"/>
    <cellStyle name="Normal 15 3 5 2" xfId="30352" xr:uid="{00000000-0005-0000-0000-000028460000}"/>
    <cellStyle name="Normal 15 3 6" xfId="16584" xr:uid="{00000000-0005-0000-0000-000029460000}"/>
    <cellStyle name="Normal 15 3 6 2" xfId="36504" xr:uid="{00000000-0005-0000-0000-00002A460000}"/>
    <cellStyle name="Normal 15 3 7" xfId="24199" xr:uid="{00000000-0005-0000-0000-00002B460000}"/>
    <cellStyle name="Normal 15 4" xfId="3371" xr:uid="{00000000-0005-0000-0000-00002C460000}"/>
    <cellStyle name="Normal 15 4 2" xfId="3372" xr:uid="{00000000-0005-0000-0000-00002D460000}"/>
    <cellStyle name="Normal 15 5" xfId="3373" xr:uid="{00000000-0005-0000-0000-00002E460000}"/>
    <cellStyle name="Normal 15 5 2" xfId="3374" xr:uid="{00000000-0005-0000-0000-00002F460000}"/>
    <cellStyle name="Normal 15 6" xfId="4896" xr:uid="{00000000-0005-0000-0000-000030460000}"/>
    <cellStyle name="Normal 15 6 2" xfId="6521" xr:uid="{00000000-0005-0000-0000-000031460000}"/>
    <cellStyle name="Normal 15 6 2 2" xfId="9607" xr:uid="{00000000-0005-0000-0000-000032460000}"/>
    <cellStyle name="Normal 15 6 2 2 2" xfId="15800" xr:uid="{00000000-0005-0000-0000-000033460000}"/>
    <cellStyle name="Normal 15 6 2 2 2 2" xfId="35720" xr:uid="{00000000-0005-0000-0000-000034460000}"/>
    <cellStyle name="Normal 15 6 2 2 3" xfId="21952" xr:uid="{00000000-0005-0000-0000-000035460000}"/>
    <cellStyle name="Normal 15 6 2 2 3 2" xfId="41872" xr:uid="{00000000-0005-0000-0000-000036460000}"/>
    <cellStyle name="Normal 15 6 2 2 4" xfId="29567" xr:uid="{00000000-0005-0000-0000-000037460000}"/>
    <cellStyle name="Normal 15 6 2 3" xfId="12734" xr:uid="{00000000-0005-0000-0000-000038460000}"/>
    <cellStyle name="Normal 15 6 2 3 2" xfId="32654" xr:uid="{00000000-0005-0000-0000-000039460000}"/>
    <cellStyle name="Normal 15 6 2 4" xfId="18886" xr:uid="{00000000-0005-0000-0000-00003A460000}"/>
    <cellStyle name="Normal 15 6 2 4 2" xfId="38806" xr:uid="{00000000-0005-0000-0000-00003B460000}"/>
    <cellStyle name="Normal 15 6 2 5" xfId="26501" xr:uid="{00000000-0005-0000-0000-00003C460000}"/>
    <cellStyle name="Normal 15 6 3" xfId="8072" xr:uid="{00000000-0005-0000-0000-00003D460000}"/>
    <cellStyle name="Normal 15 6 3 2" xfId="14266" xr:uid="{00000000-0005-0000-0000-00003E460000}"/>
    <cellStyle name="Normal 15 6 3 2 2" xfId="34186" xr:uid="{00000000-0005-0000-0000-00003F460000}"/>
    <cellStyle name="Normal 15 6 3 3" xfId="20418" xr:uid="{00000000-0005-0000-0000-000040460000}"/>
    <cellStyle name="Normal 15 6 3 3 2" xfId="40338" xr:uid="{00000000-0005-0000-0000-000041460000}"/>
    <cellStyle name="Normal 15 6 3 4" xfId="28033" xr:uid="{00000000-0005-0000-0000-000042460000}"/>
    <cellStyle name="Normal 15 6 4" xfId="11200" xr:uid="{00000000-0005-0000-0000-000043460000}"/>
    <cellStyle name="Normal 15 6 4 2" xfId="31120" xr:uid="{00000000-0005-0000-0000-000044460000}"/>
    <cellStyle name="Normal 15 6 5" xfId="17352" xr:uid="{00000000-0005-0000-0000-000045460000}"/>
    <cellStyle name="Normal 15 6 5 2" xfId="37272" xr:uid="{00000000-0005-0000-0000-000046460000}"/>
    <cellStyle name="Normal 15 6 6" xfId="24967" xr:uid="{00000000-0005-0000-0000-000047460000}"/>
    <cellStyle name="Normal 15 7" xfId="5738" xr:uid="{00000000-0005-0000-0000-000048460000}"/>
    <cellStyle name="Normal 15 7 2" xfId="8838" xr:uid="{00000000-0005-0000-0000-000049460000}"/>
    <cellStyle name="Normal 15 7 2 2" xfId="15031" xr:uid="{00000000-0005-0000-0000-00004A460000}"/>
    <cellStyle name="Normal 15 7 2 2 2" xfId="34951" xr:uid="{00000000-0005-0000-0000-00004B460000}"/>
    <cellStyle name="Normal 15 7 2 3" xfId="21183" xr:uid="{00000000-0005-0000-0000-00004C460000}"/>
    <cellStyle name="Normal 15 7 2 3 2" xfId="41103" xr:uid="{00000000-0005-0000-0000-00004D460000}"/>
    <cellStyle name="Normal 15 7 2 4" xfId="28798" xr:uid="{00000000-0005-0000-0000-00004E460000}"/>
    <cellStyle name="Normal 15 7 3" xfId="11965" xr:uid="{00000000-0005-0000-0000-00004F460000}"/>
    <cellStyle name="Normal 15 7 3 2" xfId="31885" xr:uid="{00000000-0005-0000-0000-000050460000}"/>
    <cellStyle name="Normal 15 7 4" xfId="18117" xr:uid="{00000000-0005-0000-0000-000051460000}"/>
    <cellStyle name="Normal 15 7 4 2" xfId="38037" xr:uid="{00000000-0005-0000-0000-000052460000}"/>
    <cellStyle name="Normal 15 7 5" xfId="25732" xr:uid="{00000000-0005-0000-0000-000053460000}"/>
    <cellStyle name="Normal 15 8" xfId="7303" xr:uid="{00000000-0005-0000-0000-000054460000}"/>
    <cellStyle name="Normal 15 8 2" xfId="13497" xr:uid="{00000000-0005-0000-0000-000055460000}"/>
    <cellStyle name="Normal 15 8 2 2" xfId="33417" xr:uid="{00000000-0005-0000-0000-000056460000}"/>
    <cellStyle name="Normal 15 8 3" xfId="19649" xr:uid="{00000000-0005-0000-0000-000057460000}"/>
    <cellStyle name="Normal 15 8 3 2" xfId="39569" xr:uid="{00000000-0005-0000-0000-000058460000}"/>
    <cellStyle name="Normal 15 8 4" xfId="27264" xr:uid="{00000000-0005-0000-0000-000059460000}"/>
    <cellStyle name="Normal 15 9" xfId="10431" xr:uid="{00000000-0005-0000-0000-00005A460000}"/>
    <cellStyle name="Normal 15 9 2" xfId="30351" xr:uid="{00000000-0005-0000-0000-00005B460000}"/>
    <cellStyle name="Normal 16" xfId="3375" xr:uid="{00000000-0005-0000-0000-00005C460000}"/>
    <cellStyle name="Normal 16 2" xfId="3376" xr:uid="{00000000-0005-0000-0000-00005D460000}"/>
    <cellStyle name="Normal 16 2 10" xfId="24200" xr:uid="{00000000-0005-0000-0000-00005E460000}"/>
    <cellStyle name="Normal 16 2 2" xfId="3377" xr:uid="{00000000-0005-0000-0000-00005F460000}"/>
    <cellStyle name="Normal 16 2 2 2" xfId="3378" xr:uid="{00000000-0005-0000-0000-000060460000}"/>
    <cellStyle name="Normal 16 2 2 2 2" xfId="4900" xr:uid="{00000000-0005-0000-0000-000061460000}"/>
    <cellStyle name="Normal 16 2 2 2 2 2" xfId="6525" xr:uid="{00000000-0005-0000-0000-000062460000}"/>
    <cellStyle name="Normal 16 2 2 2 2 2 2" xfId="9611" xr:uid="{00000000-0005-0000-0000-000063460000}"/>
    <cellStyle name="Normal 16 2 2 2 2 2 2 2" xfId="15804" xr:uid="{00000000-0005-0000-0000-000064460000}"/>
    <cellStyle name="Normal 16 2 2 2 2 2 2 2 2" xfId="35724" xr:uid="{00000000-0005-0000-0000-000065460000}"/>
    <cellStyle name="Normal 16 2 2 2 2 2 2 3" xfId="21956" xr:uid="{00000000-0005-0000-0000-000066460000}"/>
    <cellStyle name="Normal 16 2 2 2 2 2 2 3 2" xfId="41876" xr:uid="{00000000-0005-0000-0000-000067460000}"/>
    <cellStyle name="Normal 16 2 2 2 2 2 2 4" xfId="29571" xr:uid="{00000000-0005-0000-0000-000068460000}"/>
    <cellStyle name="Normal 16 2 2 2 2 2 3" xfId="12738" xr:uid="{00000000-0005-0000-0000-000069460000}"/>
    <cellStyle name="Normal 16 2 2 2 2 2 3 2" xfId="32658" xr:uid="{00000000-0005-0000-0000-00006A460000}"/>
    <cellStyle name="Normal 16 2 2 2 2 2 4" xfId="18890" xr:uid="{00000000-0005-0000-0000-00006B460000}"/>
    <cellStyle name="Normal 16 2 2 2 2 2 4 2" xfId="38810" xr:uid="{00000000-0005-0000-0000-00006C460000}"/>
    <cellStyle name="Normal 16 2 2 2 2 2 5" xfId="26505" xr:uid="{00000000-0005-0000-0000-00006D460000}"/>
    <cellStyle name="Normal 16 2 2 2 2 3" xfId="8076" xr:uid="{00000000-0005-0000-0000-00006E460000}"/>
    <cellStyle name="Normal 16 2 2 2 2 3 2" xfId="14270" xr:uid="{00000000-0005-0000-0000-00006F460000}"/>
    <cellStyle name="Normal 16 2 2 2 2 3 2 2" xfId="34190" xr:uid="{00000000-0005-0000-0000-000070460000}"/>
    <cellStyle name="Normal 16 2 2 2 2 3 3" xfId="20422" xr:uid="{00000000-0005-0000-0000-000071460000}"/>
    <cellStyle name="Normal 16 2 2 2 2 3 3 2" xfId="40342" xr:uid="{00000000-0005-0000-0000-000072460000}"/>
    <cellStyle name="Normal 16 2 2 2 2 3 4" xfId="28037" xr:uid="{00000000-0005-0000-0000-000073460000}"/>
    <cellStyle name="Normal 16 2 2 2 2 4" xfId="11204" xr:uid="{00000000-0005-0000-0000-000074460000}"/>
    <cellStyle name="Normal 16 2 2 2 2 4 2" xfId="31124" xr:uid="{00000000-0005-0000-0000-000075460000}"/>
    <cellStyle name="Normal 16 2 2 2 2 5" xfId="17356" xr:uid="{00000000-0005-0000-0000-000076460000}"/>
    <cellStyle name="Normal 16 2 2 2 2 5 2" xfId="37276" xr:uid="{00000000-0005-0000-0000-000077460000}"/>
    <cellStyle name="Normal 16 2 2 2 2 6" xfId="24971" xr:uid="{00000000-0005-0000-0000-000078460000}"/>
    <cellStyle name="Normal 16 2 2 2 3" xfId="5742" xr:uid="{00000000-0005-0000-0000-000079460000}"/>
    <cellStyle name="Normal 16 2 2 2 3 2" xfId="8842" xr:uid="{00000000-0005-0000-0000-00007A460000}"/>
    <cellStyle name="Normal 16 2 2 2 3 2 2" xfId="15035" xr:uid="{00000000-0005-0000-0000-00007B460000}"/>
    <cellStyle name="Normal 16 2 2 2 3 2 2 2" xfId="34955" xr:uid="{00000000-0005-0000-0000-00007C460000}"/>
    <cellStyle name="Normal 16 2 2 2 3 2 3" xfId="21187" xr:uid="{00000000-0005-0000-0000-00007D460000}"/>
    <cellStyle name="Normal 16 2 2 2 3 2 3 2" xfId="41107" xr:uid="{00000000-0005-0000-0000-00007E460000}"/>
    <cellStyle name="Normal 16 2 2 2 3 2 4" xfId="28802" xr:uid="{00000000-0005-0000-0000-00007F460000}"/>
    <cellStyle name="Normal 16 2 2 2 3 3" xfId="11969" xr:uid="{00000000-0005-0000-0000-000080460000}"/>
    <cellStyle name="Normal 16 2 2 2 3 3 2" xfId="31889" xr:uid="{00000000-0005-0000-0000-000081460000}"/>
    <cellStyle name="Normal 16 2 2 2 3 4" xfId="18121" xr:uid="{00000000-0005-0000-0000-000082460000}"/>
    <cellStyle name="Normal 16 2 2 2 3 4 2" xfId="38041" xr:uid="{00000000-0005-0000-0000-000083460000}"/>
    <cellStyle name="Normal 16 2 2 2 3 5" xfId="25736" xr:uid="{00000000-0005-0000-0000-000084460000}"/>
    <cellStyle name="Normal 16 2 2 2 4" xfId="7307" xr:uid="{00000000-0005-0000-0000-000085460000}"/>
    <cellStyle name="Normal 16 2 2 2 4 2" xfId="13501" xr:uid="{00000000-0005-0000-0000-000086460000}"/>
    <cellStyle name="Normal 16 2 2 2 4 2 2" xfId="33421" xr:uid="{00000000-0005-0000-0000-000087460000}"/>
    <cellStyle name="Normal 16 2 2 2 4 3" xfId="19653" xr:uid="{00000000-0005-0000-0000-000088460000}"/>
    <cellStyle name="Normal 16 2 2 2 4 3 2" xfId="39573" xr:uid="{00000000-0005-0000-0000-000089460000}"/>
    <cellStyle name="Normal 16 2 2 2 4 4" xfId="27268" xr:uid="{00000000-0005-0000-0000-00008A460000}"/>
    <cellStyle name="Normal 16 2 2 2 5" xfId="10435" xr:uid="{00000000-0005-0000-0000-00008B460000}"/>
    <cellStyle name="Normal 16 2 2 2 5 2" xfId="30355" xr:uid="{00000000-0005-0000-0000-00008C460000}"/>
    <cellStyle name="Normal 16 2 2 2 6" xfId="16587" xr:uid="{00000000-0005-0000-0000-00008D460000}"/>
    <cellStyle name="Normal 16 2 2 2 6 2" xfId="36507" xr:uid="{00000000-0005-0000-0000-00008E460000}"/>
    <cellStyle name="Normal 16 2 2 2 7" xfId="24202" xr:uid="{00000000-0005-0000-0000-00008F460000}"/>
    <cellStyle name="Normal 16 2 2 3" xfId="4899" xr:uid="{00000000-0005-0000-0000-000090460000}"/>
    <cellStyle name="Normal 16 2 2 3 2" xfId="6524" xr:uid="{00000000-0005-0000-0000-000091460000}"/>
    <cellStyle name="Normal 16 2 2 3 2 2" xfId="9610" xr:uid="{00000000-0005-0000-0000-000092460000}"/>
    <cellStyle name="Normal 16 2 2 3 2 2 2" xfId="15803" xr:uid="{00000000-0005-0000-0000-000093460000}"/>
    <cellStyle name="Normal 16 2 2 3 2 2 2 2" xfId="35723" xr:uid="{00000000-0005-0000-0000-000094460000}"/>
    <cellStyle name="Normal 16 2 2 3 2 2 3" xfId="21955" xr:uid="{00000000-0005-0000-0000-000095460000}"/>
    <cellStyle name="Normal 16 2 2 3 2 2 3 2" xfId="41875" xr:uid="{00000000-0005-0000-0000-000096460000}"/>
    <cellStyle name="Normal 16 2 2 3 2 2 4" xfId="29570" xr:uid="{00000000-0005-0000-0000-000097460000}"/>
    <cellStyle name="Normal 16 2 2 3 2 3" xfId="12737" xr:uid="{00000000-0005-0000-0000-000098460000}"/>
    <cellStyle name="Normal 16 2 2 3 2 3 2" xfId="32657" xr:uid="{00000000-0005-0000-0000-000099460000}"/>
    <cellStyle name="Normal 16 2 2 3 2 4" xfId="18889" xr:uid="{00000000-0005-0000-0000-00009A460000}"/>
    <cellStyle name="Normal 16 2 2 3 2 4 2" xfId="38809" xr:uid="{00000000-0005-0000-0000-00009B460000}"/>
    <cellStyle name="Normal 16 2 2 3 2 5" xfId="26504" xr:uid="{00000000-0005-0000-0000-00009C460000}"/>
    <cellStyle name="Normal 16 2 2 3 3" xfId="8075" xr:uid="{00000000-0005-0000-0000-00009D460000}"/>
    <cellStyle name="Normal 16 2 2 3 3 2" xfId="14269" xr:uid="{00000000-0005-0000-0000-00009E460000}"/>
    <cellStyle name="Normal 16 2 2 3 3 2 2" xfId="34189" xr:uid="{00000000-0005-0000-0000-00009F460000}"/>
    <cellStyle name="Normal 16 2 2 3 3 3" xfId="20421" xr:uid="{00000000-0005-0000-0000-0000A0460000}"/>
    <cellStyle name="Normal 16 2 2 3 3 3 2" xfId="40341" xr:uid="{00000000-0005-0000-0000-0000A1460000}"/>
    <cellStyle name="Normal 16 2 2 3 3 4" xfId="28036" xr:uid="{00000000-0005-0000-0000-0000A2460000}"/>
    <cellStyle name="Normal 16 2 2 3 4" xfId="11203" xr:uid="{00000000-0005-0000-0000-0000A3460000}"/>
    <cellStyle name="Normal 16 2 2 3 4 2" xfId="31123" xr:uid="{00000000-0005-0000-0000-0000A4460000}"/>
    <cellStyle name="Normal 16 2 2 3 5" xfId="17355" xr:uid="{00000000-0005-0000-0000-0000A5460000}"/>
    <cellStyle name="Normal 16 2 2 3 5 2" xfId="37275" xr:uid="{00000000-0005-0000-0000-0000A6460000}"/>
    <cellStyle name="Normal 16 2 2 3 6" xfId="24970" xr:uid="{00000000-0005-0000-0000-0000A7460000}"/>
    <cellStyle name="Normal 16 2 2 4" xfId="5741" xr:uid="{00000000-0005-0000-0000-0000A8460000}"/>
    <cellStyle name="Normal 16 2 2 4 2" xfId="8841" xr:uid="{00000000-0005-0000-0000-0000A9460000}"/>
    <cellStyle name="Normal 16 2 2 4 2 2" xfId="15034" xr:uid="{00000000-0005-0000-0000-0000AA460000}"/>
    <cellStyle name="Normal 16 2 2 4 2 2 2" xfId="34954" xr:uid="{00000000-0005-0000-0000-0000AB460000}"/>
    <cellStyle name="Normal 16 2 2 4 2 3" xfId="21186" xr:uid="{00000000-0005-0000-0000-0000AC460000}"/>
    <cellStyle name="Normal 16 2 2 4 2 3 2" xfId="41106" xr:uid="{00000000-0005-0000-0000-0000AD460000}"/>
    <cellStyle name="Normal 16 2 2 4 2 4" xfId="28801" xr:uid="{00000000-0005-0000-0000-0000AE460000}"/>
    <cellStyle name="Normal 16 2 2 4 3" xfId="11968" xr:uid="{00000000-0005-0000-0000-0000AF460000}"/>
    <cellStyle name="Normal 16 2 2 4 3 2" xfId="31888" xr:uid="{00000000-0005-0000-0000-0000B0460000}"/>
    <cellStyle name="Normal 16 2 2 4 4" xfId="18120" xr:uid="{00000000-0005-0000-0000-0000B1460000}"/>
    <cellStyle name="Normal 16 2 2 4 4 2" xfId="38040" xr:uid="{00000000-0005-0000-0000-0000B2460000}"/>
    <cellStyle name="Normal 16 2 2 4 5" xfId="25735" xr:uid="{00000000-0005-0000-0000-0000B3460000}"/>
    <cellStyle name="Normal 16 2 2 5" xfId="7306" xr:uid="{00000000-0005-0000-0000-0000B4460000}"/>
    <cellStyle name="Normal 16 2 2 5 2" xfId="13500" xr:uid="{00000000-0005-0000-0000-0000B5460000}"/>
    <cellStyle name="Normal 16 2 2 5 2 2" xfId="33420" xr:uid="{00000000-0005-0000-0000-0000B6460000}"/>
    <cellStyle name="Normal 16 2 2 5 3" xfId="19652" xr:uid="{00000000-0005-0000-0000-0000B7460000}"/>
    <cellStyle name="Normal 16 2 2 5 3 2" xfId="39572" xr:uid="{00000000-0005-0000-0000-0000B8460000}"/>
    <cellStyle name="Normal 16 2 2 5 4" xfId="27267" xr:uid="{00000000-0005-0000-0000-0000B9460000}"/>
    <cellStyle name="Normal 16 2 2 6" xfId="10434" xr:uid="{00000000-0005-0000-0000-0000BA460000}"/>
    <cellStyle name="Normal 16 2 2 6 2" xfId="30354" xr:uid="{00000000-0005-0000-0000-0000BB460000}"/>
    <cellStyle name="Normal 16 2 2 7" xfId="16586" xr:uid="{00000000-0005-0000-0000-0000BC460000}"/>
    <cellStyle name="Normal 16 2 2 7 2" xfId="36506" xr:uid="{00000000-0005-0000-0000-0000BD460000}"/>
    <cellStyle name="Normal 16 2 2 8" xfId="24201" xr:uid="{00000000-0005-0000-0000-0000BE460000}"/>
    <cellStyle name="Normal 16 2 3" xfId="3379" xr:uid="{00000000-0005-0000-0000-0000BF460000}"/>
    <cellStyle name="Normal 16 2 3 2" xfId="3380" xr:uid="{00000000-0005-0000-0000-0000C0460000}"/>
    <cellStyle name="Normal 16 2 3 2 2" xfId="4902" xr:uid="{00000000-0005-0000-0000-0000C1460000}"/>
    <cellStyle name="Normal 16 2 3 2 2 2" xfId="6527" xr:uid="{00000000-0005-0000-0000-0000C2460000}"/>
    <cellStyle name="Normal 16 2 3 2 2 2 2" xfId="9613" xr:uid="{00000000-0005-0000-0000-0000C3460000}"/>
    <cellStyle name="Normal 16 2 3 2 2 2 2 2" xfId="15806" xr:uid="{00000000-0005-0000-0000-0000C4460000}"/>
    <cellStyle name="Normal 16 2 3 2 2 2 2 2 2" xfId="35726" xr:uid="{00000000-0005-0000-0000-0000C5460000}"/>
    <cellStyle name="Normal 16 2 3 2 2 2 2 3" xfId="21958" xr:uid="{00000000-0005-0000-0000-0000C6460000}"/>
    <cellStyle name="Normal 16 2 3 2 2 2 2 3 2" xfId="41878" xr:uid="{00000000-0005-0000-0000-0000C7460000}"/>
    <cellStyle name="Normal 16 2 3 2 2 2 2 4" xfId="29573" xr:uid="{00000000-0005-0000-0000-0000C8460000}"/>
    <cellStyle name="Normal 16 2 3 2 2 2 3" xfId="12740" xr:uid="{00000000-0005-0000-0000-0000C9460000}"/>
    <cellStyle name="Normal 16 2 3 2 2 2 3 2" xfId="32660" xr:uid="{00000000-0005-0000-0000-0000CA460000}"/>
    <cellStyle name="Normal 16 2 3 2 2 2 4" xfId="18892" xr:uid="{00000000-0005-0000-0000-0000CB460000}"/>
    <cellStyle name="Normal 16 2 3 2 2 2 4 2" xfId="38812" xr:uid="{00000000-0005-0000-0000-0000CC460000}"/>
    <cellStyle name="Normal 16 2 3 2 2 2 5" xfId="26507" xr:uid="{00000000-0005-0000-0000-0000CD460000}"/>
    <cellStyle name="Normal 16 2 3 2 2 3" xfId="8078" xr:uid="{00000000-0005-0000-0000-0000CE460000}"/>
    <cellStyle name="Normal 16 2 3 2 2 3 2" xfId="14272" xr:uid="{00000000-0005-0000-0000-0000CF460000}"/>
    <cellStyle name="Normal 16 2 3 2 2 3 2 2" xfId="34192" xr:uid="{00000000-0005-0000-0000-0000D0460000}"/>
    <cellStyle name="Normal 16 2 3 2 2 3 3" xfId="20424" xr:uid="{00000000-0005-0000-0000-0000D1460000}"/>
    <cellStyle name="Normal 16 2 3 2 2 3 3 2" xfId="40344" xr:uid="{00000000-0005-0000-0000-0000D2460000}"/>
    <cellStyle name="Normal 16 2 3 2 2 3 4" xfId="28039" xr:uid="{00000000-0005-0000-0000-0000D3460000}"/>
    <cellStyle name="Normal 16 2 3 2 2 4" xfId="11206" xr:uid="{00000000-0005-0000-0000-0000D4460000}"/>
    <cellStyle name="Normal 16 2 3 2 2 4 2" xfId="31126" xr:uid="{00000000-0005-0000-0000-0000D5460000}"/>
    <cellStyle name="Normal 16 2 3 2 2 5" xfId="17358" xr:uid="{00000000-0005-0000-0000-0000D6460000}"/>
    <cellStyle name="Normal 16 2 3 2 2 5 2" xfId="37278" xr:uid="{00000000-0005-0000-0000-0000D7460000}"/>
    <cellStyle name="Normal 16 2 3 2 2 6" xfId="24973" xr:uid="{00000000-0005-0000-0000-0000D8460000}"/>
    <cellStyle name="Normal 16 2 3 2 3" xfId="5744" xr:uid="{00000000-0005-0000-0000-0000D9460000}"/>
    <cellStyle name="Normal 16 2 3 2 3 2" xfId="8844" xr:uid="{00000000-0005-0000-0000-0000DA460000}"/>
    <cellStyle name="Normal 16 2 3 2 3 2 2" xfId="15037" xr:uid="{00000000-0005-0000-0000-0000DB460000}"/>
    <cellStyle name="Normal 16 2 3 2 3 2 2 2" xfId="34957" xr:uid="{00000000-0005-0000-0000-0000DC460000}"/>
    <cellStyle name="Normal 16 2 3 2 3 2 3" xfId="21189" xr:uid="{00000000-0005-0000-0000-0000DD460000}"/>
    <cellStyle name="Normal 16 2 3 2 3 2 3 2" xfId="41109" xr:uid="{00000000-0005-0000-0000-0000DE460000}"/>
    <cellStyle name="Normal 16 2 3 2 3 2 4" xfId="28804" xr:uid="{00000000-0005-0000-0000-0000DF460000}"/>
    <cellStyle name="Normal 16 2 3 2 3 3" xfId="11971" xr:uid="{00000000-0005-0000-0000-0000E0460000}"/>
    <cellStyle name="Normal 16 2 3 2 3 3 2" xfId="31891" xr:uid="{00000000-0005-0000-0000-0000E1460000}"/>
    <cellStyle name="Normal 16 2 3 2 3 4" xfId="18123" xr:uid="{00000000-0005-0000-0000-0000E2460000}"/>
    <cellStyle name="Normal 16 2 3 2 3 4 2" xfId="38043" xr:uid="{00000000-0005-0000-0000-0000E3460000}"/>
    <cellStyle name="Normal 16 2 3 2 3 5" xfId="25738" xr:uid="{00000000-0005-0000-0000-0000E4460000}"/>
    <cellStyle name="Normal 16 2 3 2 4" xfId="7309" xr:uid="{00000000-0005-0000-0000-0000E5460000}"/>
    <cellStyle name="Normal 16 2 3 2 4 2" xfId="13503" xr:uid="{00000000-0005-0000-0000-0000E6460000}"/>
    <cellStyle name="Normal 16 2 3 2 4 2 2" xfId="33423" xr:uid="{00000000-0005-0000-0000-0000E7460000}"/>
    <cellStyle name="Normal 16 2 3 2 4 3" xfId="19655" xr:uid="{00000000-0005-0000-0000-0000E8460000}"/>
    <cellStyle name="Normal 16 2 3 2 4 3 2" xfId="39575" xr:uid="{00000000-0005-0000-0000-0000E9460000}"/>
    <cellStyle name="Normal 16 2 3 2 4 4" xfId="27270" xr:uid="{00000000-0005-0000-0000-0000EA460000}"/>
    <cellStyle name="Normal 16 2 3 2 5" xfId="10437" xr:uid="{00000000-0005-0000-0000-0000EB460000}"/>
    <cellStyle name="Normal 16 2 3 2 5 2" xfId="30357" xr:uid="{00000000-0005-0000-0000-0000EC460000}"/>
    <cellStyle name="Normal 16 2 3 2 6" xfId="16589" xr:uid="{00000000-0005-0000-0000-0000ED460000}"/>
    <cellStyle name="Normal 16 2 3 2 6 2" xfId="36509" xr:uid="{00000000-0005-0000-0000-0000EE460000}"/>
    <cellStyle name="Normal 16 2 3 2 7" xfId="24204" xr:uid="{00000000-0005-0000-0000-0000EF460000}"/>
    <cellStyle name="Normal 16 2 3 3" xfId="4901" xr:uid="{00000000-0005-0000-0000-0000F0460000}"/>
    <cellStyle name="Normal 16 2 3 3 2" xfId="6526" xr:uid="{00000000-0005-0000-0000-0000F1460000}"/>
    <cellStyle name="Normal 16 2 3 3 2 2" xfId="9612" xr:uid="{00000000-0005-0000-0000-0000F2460000}"/>
    <cellStyle name="Normal 16 2 3 3 2 2 2" xfId="15805" xr:uid="{00000000-0005-0000-0000-0000F3460000}"/>
    <cellStyle name="Normal 16 2 3 3 2 2 2 2" xfId="35725" xr:uid="{00000000-0005-0000-0000-0000F4460000}"/>
    <cellStyle name="Normal 16 2 3 3 2 2 3" xfId="21957" xr:uid="{00000000-0005-0000-0000-0000F5460000}"/>
    <cellStyle name="Normal 16 2 3 3 2 2 3 2" xfId="41877" xr:uid="{00000000-0005-0000-0000-0000F6460000}"/>
    <cellStyle name="Normal 16 2 3 3 2 2 4" xfId="29572" xr:uid="{00000000-0005-0000-0000-0000F7460000}"/>
    <cellStyle name="Normal 16 2 3 3 2 3" xfId="12739" xr:uid="{00000000-0005-0000-0000-0000F8460000}"/>
    <cellStyle name="Normal 16 2 3 3 2 3 2" xfId="32659" xr:uid="{00000000-0005-0000-0000-0000F9460000}"/>
    <cellStyle name="Normal 16 2 3 3 2 4" xfId="18891" xr:uid="{00000000-0005-0000-0000-0000FA460000}"/>
    <cellStyle name="Normal 16 2 3 3 2 4 2" xfId="38811" xr:uid="{00000000-0005-0000-0000-0000FB460000}"/>
    <cellStyle name="Normal 16 2 3 3 2 5" xfId="26506" xr:uid="{00000000-0005-0000-0000-0000FC460000}"/>
    <cellStyle name="Normal 16 2 3 3 3" xfId="8077" xr:uid="{00000000-0005-0000-0000-0000FD460000}"/>
    <cellStyle name="Normal 16 2 3 3 3 2" xfId="14271" xr:uid="{00000000-0005-0000-0000-0000FE460000}"/>
    <cellStyle name="Normal 16 2 3 3 3 2 2" xfId="34191" xr:uid="{00000000-0005-0000-0000-0000FF460000}"/>
    <cellStyle name="Normal 16 2 3 3 3 3" xfId="20423" xr:uid="{00000000-0005-0000-0000-000000470000}"/>
    <cellStyle name="Normal 16 2 3 3 3 3 2" xfId="40343" xr:uid="{00000000-0005-0000-0000-000001470000}"/>
    <cellStyle name="Normal 16 2 3 3 3 4" xfId="28038" xr:uid="{00000000-0005-0000-0000-000002470000}"/>
    <cellStyle name="Normal 16 2 3 3 4" xfId="11205" xr:uid="{00000000-0005-0000-0000-000003470000}"/>
    <cellStyle name="Normal 16 2 3 3 4 2" xfId="31125" xr:uid="{00000000-0005-0000-0000-000004470000}"/>
    <cellStyle name="Normal 16 2 3 3 5" xfId="17357" xr:uid="{00000000-0005-0000-0000-000005470000}"/>
    <cellStyle name="Normal 16 2 3 3 5 2" xfId="37277" xr:uid="{00000000-0005-0000-0000-000006470000}"/>
    <cellStyle name="Normal 16 2 3 3 6" xfId="24972" xr:uid="{00000000-0005-0000-0000-000007470000}"/>
    <cellStyle name="Normal 16 2 3 4" xfId="5743" xr:uid="{00000000-0005-0000-0000-000008470000}"/>
    <cellStyle name="Normal 16 2 3 4 2" xfId="8843" xr:uid="{00000000-0005-0000-0000-000009470000}"/>
    <cellStyle name="Normal 16 2 3 4 2 2" xfId="15036" xr:uid="{00000000-0005-0000-0000-00000A470000}"/>
    <cellStyle name="Normal 16 2 3 4 2 2 2" xfId="34956" xr:uid="{00000000-0005-0000-0000-00000B470000}"/>
    <cellStyle name="Normal 16 2 3 4 2 3" xfId="21188" xr:uid="{00000000-0005-0000-0000-00000C470000}"/>
    <cellStyle name="Normal 16 2 3 4 2 3 2" xfId="41108" xr:uid="{00000000-0005-0000-0000-00000D470000}"/>
    <cellStyle name="Normal 16 2 3 4 2 4" xfId="28803" xr:uid="{00000000-0005-0000-0000-00000E470000}"/>
    <cellStyle name="Normal 16 2 3 4 3" xfId="11970" xr:uid="{00000000-0005-0000-0000-00000F470000}"/>
    <cellStyle name="Normal 16 2 3 4 3 2" xfId="31890" xr:uid="{00000000-0005-0000-0000-000010470000}"/>
    <cellStyle name="Normal 16 2 3 4 4" xfId="18122" xr:uid="{00000000-0005-0000-0000-000011470000}"/>
    <cellStyle name="Normal 16 2 3 4 4 2" xfId="38042" xr:uid="{00000000-0005-0000-0000-000012470000}"/>
    <cellStyle name="Normal 16 2 3 4 5" xfId="25737" xr:uid="{00000000-0005-0000-0000-000013470000}"/>
    <cellStyle name="Normal 16 2 3 5" xfId="7308" xr:uid="{00000000-0005-0000-0000-000014470000}"/>
    <cellStyle name="Normal 16 2 3 5 2" xfId="13502" xr:uid="{00000000-0005-0000-0000-000015470000}"/>
    <cellStyle name="Normal 16 2 3 5 2 2" xfId="33422" xr:uid="{00000000-0005-0000-0000-000016470000}"/>
    <cellStyle name="Normal 16 2 3 5 3" xfId="19654" xr:uid="{00000000-0005-0000-0000-000017470000}"/>
    <cellStyle name="Normal 16 2 3 5 3 2" xfId="39574" xr:uid="{00000000-0005-0000-0000-000018470000}"/>
    <cellStyle name="Normal 16 2 3 5 4" xfId="27269" xr:uid="{00000000-0005-0000-0000-000019470000}"/>
    <cellStyle name="Normal 16 2 3 6" xfId="10436" xr:uid="{00000000-0005-0000-0000-00001A470000}"/>
    <cellStyle name="Normal 16 2 3 6 2" xfId="30356" xr:uid="{00000000-0005-0000-0000-00001B470000}"/>
    <cellStyle name="Normal 16 2 3 7" xfId="16588" xr:uid="{00000000-0005-0000-0000-00001C470000}"/>
    <cellStyle name="Normal 16 2 3 7 2" xfId="36508" xr:uid="{00000000-0005-0000-0000-00001D470000}"/>
    <cellStyle name="Normal 16 2 3 8" xfId="24203" xr:uid="{00000000-0005-0000-0000-00001E470000}"/>
    <cellStyle name="Normal 16 2 4" xfId="3381" xr:uid="{00000000-0005-0000-0000-00001F470000}"/>
    <cellStyle name="Normal 16 2 4 2" xfId="4903" xr:uid="{00000000-0005-0000-0000-000020470000}"/>
    <cellStyle name="Normal 16 2 4 2 2" xfId="6528" xr:uid="{00000000-0005-0000-0000-000021470000}"/>
    <cellStyle name="Normal 16 2 4 2 2 2" xfId="9614" xr:uid="{00000000-0005-0000-0000-000022470000}"/>
    <cellStyle name="Normal 16 2 4 2 2 2 2" xfId="15807" xr:uid="{00000000-0005-0000-0000-000023470000}"/>
    <cellStyle name="Normal 16 2 4 2 2 2 2 2" xfId="35727" xr:uid="{00000000-0005-0000-0000-000024470000}"/>
    <cellStyle name="Normal 16 2 4 2 2 2 3" xfId="21959" xr:uid="{00000000-0005-0000-0000-000025470000}"/>
    <cellStyle name="Normal 16 2 4 2 2 2 3 2" xfId="41879" xr:uid="{00000000-0005-0000-0000-000026470000}"/>
    <cellStyle name="Normal 16 2 4 2 2 2 4" xfId="29574" xr:uid="{00000000-0005-0000-0000-000027470000}"/>
    <cellStyle name="Normal 16 2 4 2 2 3" xfId="12741" xr:uid="{00000000-0005-0000-0000-000028470000}"/>
    <cellStyle name="Normal 16 2 4 2 2 3 2" xfId="32661" xr:uid="{00000000-0005-0000-0000-000029470000}"/>
    <cellStyle name="Normal 16 2 4 2 2 4" xfId="18893" xr:uid="{00000000-0005-0000-0000-00002A470000}"/>
    <cellStyle name="Normal 16 2 4 2 2 4 2" xfId="38813" xr:uid="{00000000-0005-0000-0000-00002B470000}"/>
    <cellStyle name="Normal 16 2 4 2 2 5" xfId="26508" xr:uid="{00000000-0005-0000-0000-00002C470000}"/>
    <cellStyle name="Normal 16 2 4 2 3" xfId="8079" xr:uid="{00000000-0005-0000-0000-00002D470000}"/>
    <cellStyle name="Normal 16 2 4 2 3 2" xfId="14273" xr:uid="{00000000-0005-0000-0000-00002E470000}"/>
    <cellStyle name="Normal 16 2 4 2 3 2 2" xfId="34193" xr:uid="{00000000-0005-0000-0000-00002F470000}"/>
    <cellStyle name="Normal 16 2 4 2 3 3" xfId="20425" xr:uid="{00000000-0005-0000-0000-000030470000}"/>
    <cellStyle name="Normal 16 2 4 2 3 3 2" xfId="40345" xr:uid="{00000000-0005-0000-0000-000031470000}"/>
    <cellStyle name="Normal 16 2 4 2 3 4" xfId="28040" xr:uid="{00000000-0005-0000-0000-000032470000}"/>
    <cellStyle name="Normal 16 2 4 2 4" xfId="11207" xr:uid="{00000000-0005-0000-0000-000033470000}"/>
    <cellStyle name="Normal 16 2 4 2 4 2" xfId="31127" xr:uid="{00000000-0005-0000-0000-000034470000}"/>
    <cellStyle name="Normal 16 2 4 2 5" xfId="17359" xr:uid="{00000000-0005-0000-0000-000035470000}"/>
    <cellStyle name="Normal 16 2 4 2 5 2" xfId="37279" xr:uid="{00000000-0005-0000-0000-000036470000}"/>
    <cellStyle name="Normal 16 2 4 2 6" xfId="24974" xr:uid="{00000000-0005-0000-0000-000037470000}"/>
    <cellStyle name="Normal 16 2 4 3" xfId="5745" xr:uid="{00000000-0005-0000-0000-000038470000}"/>
    <cellStyle name="Normal 16 2 4 3 2" xfId="8845" xr:uid="{00000000-0005-0000-0000-000039470000}"/>
    <cellStyle name="Normal 16 2 4 3 2 2" xfId="15038" xr:uid="{00000000-0005-0000-0000-00003A470000}"/>
    <cellStyle name="Normal 16 2 4 3 2 2 2" xfId="34958" xr:uid="{00000000-0005-0000-0000-00003B470000}"/>
    <cellStyle name="Normal 16 2 4 3 2 3" xfId="21190" xr:uid="{00000000-0005-0000-0000-00003C470000}"/>
    <cellStyle name="Normal 16 2 4 3 2 3 2" xfId="41110" xr:uid="{00000000-0005-0000-0000-00003D470000}"/>
    <cellStyle name="Normal 16 2 4 3 2 4" xfId="28805" xr:uid="{00000000-0005-0000-0000-00003E470000}"/>
    <cellStyle name="Normal 16 2 4 3 3" xfId="11972" xr:uid="{00000000-0005-0000-0000-00003F470000}"/>
    <cellStyle name="Normal 16 2 4 3 3 2" xfId="31892" xr:uid="{00000000-0005-0000-0000-000040470000}"/>
    <cellStyle name="Normal 16 2 4 3 4" xfId="18124" xr:uid="{00000000-0005-0000-0000-000041470000}"/>
    <cellStyle name="Normal 16 2 4 3 4 2" xfId="38044" xr:uid="{00000000-0005-0000-0000-000042470000}"/>
    <cellStyle name="Normal 16 2 4 3 5" xfId="25739" xr:uid="{00000000-0005-0000-0000-000043470000}"/>
    <cellStyle name="Normal 16 2 4 4" xfId="7310" xr:uid="{00000000-0005-0000-0000-000044470000}"/>
    <cellStyle name="Normal 16 2 4 4 2" xfId="13504" xr:uid="{00000000-0005-0000-0000-000045470000}"/>
    <cellStyle name="Normal 16 2 4 4 2 2" xfId="33424" xr:uid="{00000000-0005-0000-0000-000046470000}"/>
    <cellStyle name="Normal 16 2 4 4 3" xfId="19656" xr:uid="{00000000-0005-0000-0000-000047470000}"/>
    <cellStyle name="Normal 16 2 4 4 3 2" xfId="39576" xr:uid="{00000000-0005-0000-0000-000048470000}"/>
    <cellStyle name="Normal 16 2 4 4 4" xfId="27271" xr:uid="{00000000-0005-0000-0000-000049470000}"/>
    <cellStyle name="Normal 16 2 4 5" xfId="10438" xr:uid="{00000000-0005-0000-0000-00004A470000}"/>
    <cellStyle name="Normal 16 2 4 5 2" xfId="30358" xr:uid="{00000000-0005-0000-0000-00004B470000}"/>
    <cellStyle name="Normal 16 2 4 6" xfId="16590" xr:uid="{00000000-0005-0000-0000-00004C470000}"/>
    <cellStyle name="Normal 16 2 4 6 2" xfId="36510" xr:uid="{00000000-0005-0000-0000-00004D470000}"/>
    <cellStyle name="Normal 16 2 4 7" xfId="24205" xr:uid="{00000000-0005-0000-0000-00004E470000}"/>
    <cellStyle name="Normal 16 2 5" xfId="4898" xr:uid="{00000000-0005-0000-0000-00004F470000}"/>
    <cellStyle name="Normal 16 2 5 2" xfId="6523" xr:uid="{00000000-0005-0000-0000-000050470000}"/>
    <cellStyle name="Normal 16 2 5 2 2" xfId="9609" xr:uid="{00000000-0005-0000-0000-000051470000}"/>
    <cellStyle name="Normal 16 2 5 2 2 2" xfId="15802" xr:uid="{00000000-0005-0000-0000-000052470000}"/>
    <cellStyle name="Normal 16 2 5 2 2 2 2" xfId="35722" xr:uid="{00000000-0005-0000-0000-000053470000}"/>
    <cellStyle name="Normal 16 2 5 2 2 3" xfId="21954" xr:uid="{00000000-0005-0000-0000-000054470000}"/>
    <cellStyle name="Normal 16 2 5 2 2 3 2" xfId="41874" xr:uid="{00000000-0005-0000-0000-000055470000}"/>
    <cellStyle name="Normal 16 2 5 2 2 4" xfId="29569" xr:uid="{00000000-0005-0000-0000-000056470000}"/>
    <cellStyle name="Normal 16 2 5 2 3" xfId="12736" xr:uid="{00000000-0005-0000-0000-000057470000}"/>
    <cellStyle name="Normal 16 2 5 2 3 2" xfId="32656" xr:uid="{00000000-0005-0000-0000-000058470000}"/>
    <cellStyle name="Normal 16 2 5 2 4" xfId="18888" xr:uid="{00000000-0005-0000-0000-000059470000}"/>
    <cellStyle name="Normal 16 2 5 2 4 2" xfId="38808" xr:uid="{00000000-0005-0000-0000-00005A470000}"/>
    <cellStyle name="Normal 16 2 5 2 5" xfId="26503" xr:uid="{00000000-0005-0000-0000-00005B470000}"/>
    <cellStyle name="Normal 16 2 5 3" xfId="8074" xr:uid="{00000000-0005-0000-0000-00005C470000}"/>
    <cellStyle name="Normal 16 2 5 3 2" xfId="14268" xr:uid="{00000000-0005-0000-0000-00005D470000}"/>
    <cellStyle name="Normal 16 2 5 3 2 2" xfId="34188" xr:uid="{00000000-0005-0000-0000-00005E470000}"/>
    <cellStyle name="Normal 16 2 5 3 3" xfId="20420" xr:uid="{00000000-0005-0000-0000-00005F470000}"/>
    <cellStyle name="Normal 16 2 5 3 3 2" xfId="40340" xr:uid="{00000000-0005-0000-0000-000060470000}"/>
    <cellStyle name="Normal 16 2 5 3 4" xfId="28035" xr:uid="{00000000-0005-0000-0000-000061470000}"/>
    <cellStyle name="Normal 16 2 5 4" xfId="11202" xr:uid="{00000000-0005-0000-0000-000062470000}"/>
    <cellStyle name="Normal 16 2 5 4 2" xfId="31122" xr:uid="{00000000-0005-0000-0000-000063470000}"/>
    <cellStyle name="Normal 16 2 5 5" xfId="17354" xr:uid="{00000000-0005-0000-0000-000064470000}"/>
    <cellStyle name="Normal 16 2 5 5 2" xfId="37274" xr:uid="{00000000-0005-0000-0000-000065470000}"/>
    <cellStyle name="Normal 16 2 5 6" xfId="24969" xr:uid="{00000000-0005-0000-0000-000066470000}"/>
    <cellStyle name="Normal 16 2 6" xfId="5740" xr:uid="{00000000-0005-0000-0000-000067470000}"/>
    <cellStyle name="Normal 16 2 6 2" xfId="8840" xr:uid="{00000000-0005-0000-0000-000068470000}"/>
    <cellStyle name="Normal 16 2 6 2 2" xfId="15033" xr:uid="{00000000-0005-0000-0000-000069470000}"/>
    <cellStyle name="Normal 16 2 6 2 2 2" xfId="34953" xr:uid="{00000000-0005-0000-0000-00006A470000}"/>
    <cellStyle name="Normal 16 2 6 2 3" xfId="21185" xr:uid="{00000000-0005-0000-0000-00006B470000}"/>
    <cellStyle name="Normal 16 2 6 2 3 2" xfId="41105" xr:uid="{00000000-0005-0000-0000-00006C470000}"/>
    <cellStyle name="Normal 16 2 6 2 4" xfId="28800" xr:uid="{00000000-0005-0000-0000-00006D470000}"/>
    <cellStyle name="Normal 16 2 6 3" xfId="11967" xr:uid="{00000000-0005-0000-0000-00006E470000}"/>
    <cellStyle name="Normal 16 2 6 3 2" xfId="31887" xr:uid="{00000000-0005-0000-0000-00006F470000}"/>
    <cellStyle name="Normal 16 2 6 4" xfId="18119" xr:uid="{00000000-0005-0000-0000-000070470000}"/>
    <cellStyle name="Normal 16 2 6 4 2" xfId="38039" xr:uid="{00000000-0005-0000-0000-000071470000}"/>
    <cellStyle name="Normal 16 2 6 5" xfId="25734" xr:uid="{00000000-0005-0000-0000-000072470000}"/>
    <cellStyle name="Normal 16 2 7" xfId="7305" xr:uid="{00000000-0005-0000-0000-000073470000}"/>
    <cellStyle name="Normal 16 2 7 2" xfId="13499" xr:uid="{00000000-0005-0000-0000-000074470000}"/>
    <cellStyle name="Normal 16 2 7 2 2" xfId="33419" xr:uid="{00000000-0005-0000-0000-000075470000}"/>
    <cellStyle name="Normal 16 2 7 3" xfId="19651" xr:uid="{00000000-0005-0000-0000-000076470000}"/>
    <cellStyle name="Normal 16 2 7 3 2" xfId="39571" xr:uid="{00000000-0005-0000-0000-000077470000}"/>
    <cellStyle name="Normal 16 2 7 4" xfId="27266" xr:uid="{00000000-0005-0000-0000-000078470000}"/>
    <cellStyle name="Normal 16 2 8" xfId="10433" xr:uid="{00000000-0005-0000-0000-000079470000}"/>
    <cellStyle name="Normal 16 2 8 2" xfId="30353" xr:uid="{00000000-0005-0000-0000-00007A470000}"/>
    <cellStyle name="Normal 16 2 9" xfId="16585" xr:uid="{00000000-0005-0000-0000-00007B470000}"/>
    <cellStyle name="Normal 16 2 9 2" xfId="36505" xr:uid="{00000000-0005-0000-0000-00007C470000}"/>
    <cellStyle name="Normal 16 3" xfId="3382" xr:uid="{00000000-0005-0000-0000-00007D470000}"/>
    <cellStyle name="Normal 16 3 2" xfId="3383" xr:uid="{00000000-0005-0000-0000-00007E470000}"/>
    <cellStyle name="Normal 16 3 2 2" xfId="4905" xr:uid="{00000000-0005-0000-0000-00007F470000}"/>
    <cellStyle name="Normal 16 3 2 2 2" xfId="6530" xr:uid="{00000000-0005-0000-0000-000080470000}"/>
    <cellStyle name="Normal 16 3 2 2 2 2" xfId="9616" xr:uid="{00000000-0005-0000-0000-000081470000}"/>
    <cellStyle name="Normal 16 3 2 2 2 2 2" xfId="15809" xr:uid="{00000000-0005-0000-0000-000082470000}"/>
    <cellStyle name="Normal 16 3 2 2 2 2 2 2" xfId="35729" xr:uid="{00000000-0005-0000-0000-000083470000}"/>
    <cellStyle name="Normal 16 3 2 2 2 2 3" xfId="21961" xr:uid="{00000000-0005-0000-0000-000084470000}"/>
    <cellStyle name="Normal 16 3 2 2 2 2 3 2" xfId="41881" xr:uid="{00000000-0005-0000-0000-000085470000}"/>
    <cellStyle name="Normal 16 3 2 2 2 2 4" xfId="29576" xr:uid="{00000000-0005-0000-0000-000086470000}"/>
    <cellStyle name="Normal 16 3 2 2 2 3" xfId="12743" xr:uid="{00000000-0005-0000-0000-000087470000}"/>
    <cellStyle name="Normal 16 3 2 2 2 3 2" xfId="32663" xr:uid="{00000000-0005-0000-0000-000088470000}"/>
    <cellStyle name="Normal 16 3 2 2 2 4" xfId="18895" xr:uid="{00000000-0005-0000-0000-000089470000}"/>
    <cellStyle name="Normal 16 3 2 2 2 4 2" xfId="38815" xr:uid="{00000000-0005-0000-0000-00008A470000}"/>
    <cellStyle name="Normal 16 3 2 2 2 5" xfId="26510" xr:uid="{00000000-0005-0000-0000-00008B470000}"/>
    <cellStyle name="Normal 16 3 2 2 3" xfId="8081" xr:uid="{00000000-0005-0000-0000-00008C470000}"/>
    <cellStyle name="Normal 16 3 2 2 3 2" xfId="14275" xr:uid="{00000000-0005-0000-0000-00008D470000}"/>
    <cellStyle name="Normal 16 3 2 2 3 2 2" xfId="34195" xr:uid="{00000000-0005-0000-0000-00008E470000}"/>
    <cellStyle name="Normal 16 3 2 2 3 3" xfId="20427" xr:uid="{00000000-0005-0000-0000-00008F470000}"/>
    <cellStyle name="Normal 16 3 2 2 3 3 2" xfId="40347" xr:uid="{00000000-0005-0000-0000-000090470000}"/>
    <cellStyle name="Normal 16 3 2 2 3 4" xfId="28042" xr:uid="{00000000-0005-0000-0000-000091470000}"/>
    <cellStyle name="Normal 16 3 2 2 4" xfId="11209" xr:uid="{00000000-0005-0000-0000-000092470000}"/>
    <cellStyle name="Normal 16 3 2 2 4 2" xfId="31129" xr:uid="{00000000-0005-0000-0000-000093470000}"/>
    <cellStyle name="Normal 16 3 2 2 5" xfId="17361" xr:uid="{00000000-0005-0000-0000-000094470000}"/>
    <cellStyle name="Normal 16 3 2 2 5 2" xfId="37281" xr:uid="{00000000-0005-0000-0000-000095470000}"/>
    <cellStyle name="Normal 16 3 2 2 6" xfId="24976" xr:uid="{00000000-0005-0000-0000-000096470000}"/>
    <cellStyle name="Normal 16 3 2 3" xfId="5747" xr:uid="{00000000-0005-0000-0000-000097470000}"/>
    <cellStyle name="Normal 16 3 2 3 2" xfId="8847" xr:uid="{00000000-0005-0000-0000-000098470000}"/>
    <cellStyle name="Normal 16 3 2 3 2 2" xfId="15040" xr:uid="{00000000-0005-0000-0000-000099470000}"/>
    <cellStyle name="Normal 16 3 2 3 2 2 2" xfId="34960" xr:uid="{00000000-0005-0000-0000-00009A470000}"/>
    <cellStyle name="Normal 16 3 2 3 2 3" xfId="21192" xr:uid="{00000000-0005-0000-0000-00009B470000}"/>
    <cellStyle name="Normal 16 3 2 3 2 3 2" xfId="41112" xr:uid="{00000000-0005-0000-0000-00009C470000}"/>
    <cellStyle name="Normal 16 3 2 3 2 4" xfId="28807" xr:uid="{00000000-0005-0000-0000-00009D470000}"/>
    <cellStyle name="Normal 16 3 2 3 3" xfId="11974" xr:uid="{00000000-0005-0000-0000-00009E470000}"/>
    <cellStyle name="Normal 16 3 2 3 3 2" xfId="31894" xr:uid="{00000000-0005-0000-0000-00009F470000}"/>
    <cellStyle name="Normal 16 3 2 3 4" xfId="18126" xr:uid="{00000000-0005-0000-0000-0000A0470000}"/>
    <cellStyle name="Normal 16 3 2 3 4 2" xfId="38046" xr:uid="{00000000-0005-0000-0000-0000A1470000}"/>
    <cellStyle name="Normal 16 3 2 3 5" xfId="25741" xr:uid="{00000000-0005-0000-0000-0000A2470000}"/>
    <cellStyle name="Normal 16 3 2 4" xfId="7312" xr:uid="{00000000-0005-0000-0000-0000A3470000}"/>
    <cellStyle name="Normal 16 3 2 4 2" xfId="13506" xr:uid="{00000000-0005-0000-0000-0000A4470000}"/>
    <cellStyle name="Normal 16 3 2 4 2 2" xfId="33426" xr:uid="{00000000-0005-0000-0000-0000A5470000}"/>
    <cellStyle name="Normal 16 3 2 4 3" xfId="19658" xr:uid="{00000000-0005-0000-0000-0000A6470000}"/>
    <cellStyle name="Normal 16 3 2 4 3 2" xfId="39578" xr:uid="{00000000-0005-0000-0000-0000A7470000}"/>
    <cellStyle name="Normal 16 3 2 4 4" xfId="27273" xr:uid="{00000000-0005-0000-0000-0000A8470000}"/>
    <cellStyle name="Normal 16 3 2 5" xfId="10440" xr:uid="{00000000-0005-0000-0000-0000A9470000}"/>
    <cellStyle name="Normal 16 3 2 5 2" xfId="30360" xr:uid="{00000000-0005-0000-0000-0000AA470000}"/>
    <cellStyle name="Normal 16 3 2 6" xfId="16592" xr:uid="{00000000-0005-0000-0000-0000AB470000}"/>
    <cellStyle name="Normal 16 3 2 6 2" xfId="36512" xr:uid="{00000000-0005-0000-0000-0000AC470000}"/>
    <cellStyle name="Normal 16 3 2 7" xfId="24207" xr:uid="{00000000-0005-0000-0000-0000AD470000}"/>
    <cellStyle name="Normal 16 3 3" xfId="4904" xr:uid="{00000000-0005-0000-0000-0000AE470000}"/>
    <cellStyle name="Normal 16 3 3 2" xfId="6529" xr:uid="{00000000-0005-0000-0000-0000AF470000}"/>
    <cellStyle name="Normal 16 3 3 2 2" xfId="9615" xr:uid="{00000000-0005-0000-0000-0000B0470000}"/>
    <cellStyle name="Normal 16 3 3 2 2 2" xfId="15808" xr:uid="{00000000-0005-0000-0000-0000B1470000}"/>
    <cellStyle name="Normal 16 3 3 2 2 2 2" xfId="35728" xr:uid="{00000000-0005-0000-0000-0000B2470000}"/>
    <cellStyle name="Normal 16 3 3 2 2 3" xfId="21960" xr:uid="{00000000-0005-0000-0000-0000B3470000}"/>
    <cellStyle name="Normal 16 3 3 2 2 3 2" xfId="41880" xr:uid="{00000000-0005-0000-0000-0000B4470000}"/>
    <cellStyle name="Normal 16 3 3 2 2 4" xfId="29575" xr:uid="{00000000-0005-0000-0000-0000B5470000}"/>
    <cellStyle name="Normal 16 3 3 2 3" xfId="12742" xr:uid="{00000000-0005-0000-0000-0000B6470000}"/>
    <cellStyle name="Normal 16 3 3 2 3 2" xfId="32662" xr:uid="{00000000-0005-0000-0000-0000B7470000}"/>
    <cellStyle name="Normal 16 3 3 2 4" xfId="18894" xr:uid="{00000000-0005-0000-0000-0000B8470000}"/>
    <cellStyle name="Normal 16 3 3 2 4 2" xfId="38814" xr:uid="{00000000-0005-0000-0000-0000B9470000}"/>
    <cellStyle name="Normal 16 3 3 2 5" xfId="26509" xr:uid="{00000000-0005-0000-0000-0000BA470000}"/>
    <cellStyle name="Normal 16 3 3 3" xfId="8080" xr:uid="{00000000-0005-0000-0000-0000BB470000}"/>
    <cellStyle name="Normal 16 3 3 3 2" xfId="14274" xr:uid="{00000000-0005-0000-0000-0000BC470000}"/>
    <cellStyle name="Normal 16 3 3 3 2 2" xfId="34194" xr:uid="{00000000-0005-0000-0000-0000BD470000}"/>
    <cellStyle name="Normal 16 3 3 3 3" xfId="20426" xr:uid="{00000000-0005-0000-0000-0000BE470000}"/>
    <cellStyle name="Normal 16 3 3 3 3 2" xfId="40346" xr:uid="{00000000-0005-0000-0000-0000BF470000}"/>
    <cellStyle name="Normal 16 3 3 3 4" xfId="28041" xr:uid="{00000000-0005-0000-0000-0000C0470000}"/>
    <cellStyle name="Normal 16 3 3 4" xfId="11208" xr:uid="{00000000-0005-0000-0000-0000C1470000}"/>
    <cellStyle name="Normal 16 3 3 4 2" xfId="31128" xr:uid="{00000000-0005-0000-0000-0000C2470000}"/>
    <cellStyle name="Normal 16 3 3 5" xfId="17360" xr:uid="{00000000-0005-0000-0000-0000C3470000}"/>
    <cellStyle name="Normal 16 3 3 5 2" xfId="37280" xr:uid="{00000000-0005-0000-0000-0000C4470000}"/>
    <cellStyle name="Normal 16 3 3 6" xfId="24975" xr:uid="{00000000-0005-0000-0000-0000C5470000}"/>
    <cellStyle name="Normal 16 3 4" xfId="5746" xr:uid="{00000000-0005-0000-0000-0000C6470000}"/>
    <cellStyle name="Normal 16 3 4 2" xfId="8846" xr:uid="{00000000-0005-0000-0000-0000C7470000}"/>
    <cellStyle name="Normal 16 3 4 2 2" xfId="15039" xr:uid="{00000000-0005-0000-0000-0000C8470000}"/>
    <cellStyle name="Normal 16 3 4 2 2 2" xfId="34959" xr:uid="{00000000-0005-0000-0000-0000C9470000}"/>
    <cellStyle name="Normal 16 3 4 2 3" xfId="21191" xr:uid="{00000000-0005-0000-0000-0000CA470000}"/>
    <cellStyle name="Normal 16 3 4 2 3 2" xfId="41111" xr:uid="{00000000-0005-0000-0000-0000CB470000}"/>
    <cellStyle name="Normal 16 3 4 2 4" xfId="28806" xr:uid="{00000000-0005-0000-0000-0000CC470000}"/>
    <cellStyle name="Normal 16 3 4 3" xfId="11973" xr:uid="{00000000-0005-0000-0000-0000CD470000}"/>
    <cellStyle name="Normal 16 3 4 3 2" xfId="31893" xr:uid="{00000000-0005-0000-0000-0000CE470000}"/>
    <cellStyle name="Normal 16 3 4 4" xfId="18125" xr:uid="{00000000-0005-0000-0000-0000CF470000}"/>
    <cellStyle name="Normal 16 3 4 4 2" xfId="38045" xr:uid="{00000000-0005-0000-0000-0000D0470000}"/>
    <cellStyle name="Normal 16 3 4 5" xfId="25740" xr:uid="{00000000-0005-0000-0000-0000D1470000}"/>
    <cellStyle name="Normal 16 3 5" xfId="7311" xr:uid="{00000000-0005-0000-0000-0000D2470000}"/>
    <cellStyle name="Normal 16 3 5 2" xfId="13505" xr:uid="{00000000-0005-0000-0000-0000D3470000}"/>
    <cellStyle name="Normal 16 3 5 2 2" xfId="33425" xr:uid="{00000000-0005-0000-0000-0000D4470000}"/>
    <cellStyle name="Normal 16 3 5 3" xfId="19657" xr:uid="{00000000-0005-0000-0000-0000D5470000}"/>
    <cellStyle name="Normal 16 3 5 3 2" xfId="39577" xr:uid="{00000000-0005-0000-0000-0000D6470000}"/>
    <cellStyle name="Normal 16 3 5 4" xfId="27272" xr:uid="{00000000-0005-0000-0000-0000D7470000}"/>
    <cellStyle name="Normal 16 3 6" xfId="10439" xr:uid="{00000000-0005-0000-0000-0000D8470000}"/>
    <cellStyle name="Normal 16 3 6 2" xfId="30359" xr:uid="{00000000-0005-0000-0000-0000D9470000}"/>
    <cellStyle name="Normal 16 3 7" xfId="16591" xr:uid="{00000000-0005-0000-0000-0000DA470000}"/>
    <cellStyle name="Normal 16 3 7 2" xfId="36511" xr:uid="{00000000-0005-0000-0000-0000DB470000}"/>
    <cellStyle name="Normal 16 3 8" xfId="24206" xr:uid="{00000000-0005-0000-0000-0000DC470000}"/>
    <cellStyle name="Normal 16 4" xfId="3384" xr:uid="{00000000-0005-0000-0000-0000DD470000}"/>
    <cellStyle name="Normal 16 4 2" xfId="3385" xr:uid="{00000000-0005-0000-0000-0000DE470000}"/>
    <cellStyle name="Normal 16 4 2 2" xfId="4907" xr:uid="{00000000-0005-0000-0000-0000DF470000}"/>
    <cellStyle name="Normal 16 4 2 2 2" xfId="6532" xr:uid="{00000000-0005-0000-0000-0000E0470000}"/>
    <cellStyle name="Normal 16 4 2 2 2 2" xfId="9618" xr:uid="{00000000-0005-0000-0000-0000E1470000}"/>
    <cellStyle name="Normal 16 4 2 2 2 2 2" xfId="15811" xr:uid="{00000000-0005-0000-0000-0000E2470000}"/>
    <cellStyle name="Normal 16 4 2 2 2 2 2 2" xfId="35731" xr:uid="{00000000-0005-0000-0000-0000E3470000}"/>
    <cellStyle name="Normal 16 4 2 2 2 2 3" xfId="21963" xr:uid="{00000000-0005-0000-0000-0000E4470000}"/>
    <cellStyle name="Normal 16 4 2 2 2 2 3 2" xfId="41883" xr:uid="{00000000-0005-0000-0000-0000E5470000}"/>
    <cellStyle name="Normal 16 4 2 2 2 2 4" xfId="29578" xr:uid="{00000000-0005-0000-0000-0000E6470000}"/>
    <cellStyle name="Normal 16 4 2 2 2 3" xfId="12745" xr:uid="{00000000-0005-0000-0000-0000E7470000}"/>
    <cellStyle name="Normal 16 4 2 2 2 3 2" xfId="32665" xr:uid="{00000000-0005-0000-0000-0000E8470000}"/>
    <cellStyle name="Normal 16 4 2 2 2 4" xfId="18897" xr:uid="{00000000-0005-0000-0000-0000E9470000}"/>
    <cellStyle name="Normal 16 4 2 2 2 4 2" xfId="38817" xr:uid="{00000000-0005-0000-0000-0000EA470000}"/>
    <cellStyle name="Normal 16 4 2 2 2 5" xfId="26512" xr:uid="{00000000-0005-0000-0000-0000EB470000}"/>
    <cellStyle name="Normal 16 4 2 2 3" xfId="8083" xr:uid="{00000000-0005-0000-0000-0000EC470000}"/>
    <cellStyle name="Normal 16 4 2 2 3 2" xfId="14277" xr:uid="{00000000-0005-0000-0000-0000ED470000}"/>
    <cellStyle name="Normal 16 4 2 2 3 2 2" xfId="34197" xr:uid="{00000000-0005-0000-0000-0000EE470000}"/>
    <cellStyle name="Normal 16 4 2 2 3 3" xfId="20429" xr:uid="{00000000-0005-0000-0000-0000EF470000}"/>
    <cellStyle name="Normal 16 4 2 2 3 3 2" xfId="40349" xr:uid="{00000000-0005-0000-0000-0000F0470000}"/>
    <cellStyle name="Normal 16 4 2 2 3 4" xfId="28044" xr:uid="{00000000-0005-0000-0000-0000F1470000}"/>
    <cellStyle name="Normal 16 4 2 2 4" xfId="11211" xr:uid="{00000000-0005-0000-0000-0000F2470000}"/>
    <cellStyle name="Normal 16 4 2 2 4 2" xfId="31131" xr:uid="{00000000-0005-0000-0000-0000F3470000}"/>
    <cellStyle name="Normal 16 4 2 2 5" xfId="17363" xr:uid="{00000000-0005-0000-0000-0000F4470000}"/>
    <cellStyle name="Normal 16 4 2 2 5 2" xfId="37283" xr:uid="{00000000-0005-0000-0000-0000F5470000}"/>
    <cellStyle name="Normal 16 4 2 2 6" xfId="24978" xr:uid="{00000000-0005-0000-0000-0000F6470000}"/>
    <cellStyle name="Normal 16 4 2 3" xfId="5749" xr:uid="{00000000-0005-0000-0000-0000F7470000}"/>
    <cellStyle name="Normal 16 4 2 3 2" xfId="8849" xr:uid="{00000000-0005-0000-0000-0000F8470000}"/>
    <cellStyle name="Normal 16 4 2 3 2 2" xfId="15042" xr:uid="{00000000-0005-0000-0000-0000F9470000}"/>
    <cellStyle name="Normal 16 4 2 3 2 2 2" xfId="34962" xr:uid="{00000000-0005-0000-0000-0000FA470000}"/>
    <cellStyle name="Normal 16 4 2 3 2 3" xfId="21194" xr:uid="{00000000-0005-0000-0000-0000FB470000}"/>
    <cellStyle name="Normal 16 4 2 3 2 3 2" xfId="41114" xr:uid="{00000000-0005-0000-0000-0000FC470000}"/>
    <cellStyle name="Normal 16 4 2 3 2 4" xfId="28809" xr:uid="{00000000-0005-0000-0000-0000FD470000}"/>
    <cellStyle name="Normal 16 4 2 3 3" xfId="11976" xr:uid="{00000000-0005-0000-0000-0000FE470000}"/>
    <cellStyle name="Normal 16 4 2 3 3 2" xfId="31896" xr:uid="{00000000-0005-0000-0000-0000FF470000}"/>
    <cellStyle name="Normal 16 4 2 3 4" xfId="18128" xr:uid="{00000000-0005-0000-0000-000000480000}"/>
    <cellStyle name="Normal 16 4 2 3 4 2" xfId="38048" xr:uid="{00000000-0005-0000-0000-000001480000}"/>
    <cellStyle name="Normal 16 4 2 3 5" xfId="25743" xr:uid="{00000000-0005-0000-0000-000002480000}"/>
    <cellStyle name="Normal 16 4 2 4" xfId="7314" xr:uid="{00000000-0005-0000-0000-000003480000}"/>
    <cellStyle name="Normal 16 4 2 4 2" xfId="13508" xr:uid="{00000000-0005-0000-0000-000004480000}"/>
    <cellStyle name="Normal 16 4 2 4 2 2" xfId="33428" xr:uid="{00000000-0005-0000-0000-000005480000}"/>
    <cellStyle name="Normal 16 4 2 4 3" xfId="19660" xr:uid="{00000000-0005-0000-0000-000006480000}"/>
    <cellStyle name="Normal 16 4 2 4 3 2" xfId="39580" xr:uid="{00000000-0005-0000-0000-000007480000}"/>
    <cellStyle name="Normal 16 4 2 4 4" xfId="27275" xr:uid="{00000000-0005-0000-0000-000008480000}"/>
    <cellStyle name="Normal 16 4 2 5" xfId="10442" xr:uid="{00000000-0005-0000-0000-000009480000}"/>
    <cellStyle name="Normal 16 4 2 5 2" xfId="30362" xr:uid="{00000000-0005-0000-0000-00000A480000}"/>
    <cellStyle name="Normal 16 4 2 6" xfId="16594" xr:uid="{00000000-0005-0000-0000-00000B480000}"/>
    <cellStyle name="Normal 16 4 2 6 2" xfId="36514" xr:uid="{00000000-0005-0000-0000-00000C480000}"/>
    <cellStyle name="Normal 16 4 2 7" xfId="24209" xr:uid="{00000000-0005-0000-0000-00000D480000}"/>
    <cellStyle name="Normal 16 4 3" xfId="4906" xr:uid="{00000000-0005-0000-0000-00000E480000}"/>
    <cellStyle name="Normal 16 4 3 2" xfId="6531" xr:uid="{00000000-0005-0000-0000-00000F480000}"/>
    <cellStyle name="Normal 16 4 3 2 2" xfId="9617" xr:uid="{00000000-0005-0000-0000-000010480000}"/>
    <cellStyle name="Normal 16 4 3 2 2 2" xfId="15810" xr:uid="{00000000-0005-0000-0000-000011480000}"/>
    <cellStyle name="Normal 16 4 3 2 2 2 2" xfId="35730" xr:uid="{00000000-0005-0000-0000-000012480000}"/>
    <cellStyle name="Normal 16 4 3 2 2 3" xfId="21962" xr:uid="{00000000-0005-0000-0000-000013480000}"/>
    <cellStyle name="Normal 16 4 3 2 2 3 2" xfId="41882" xr:uid="{00000000-0005-0000-0000-000014480000}"/>
    <cellStyle name="Normal 16 4 3 2 2 4" xfId="29577" xr:uid="{00000000-0005-0000-0000-000015480000}"/>
    <cellStyle name="Normal 16 4 3 2 3" xfId="12744" xr:uid="{00000000-0005-0000-0000-000016480000}"/>
    <cellStyle name="Normal 16 4 3 2 3 2" xfId="32664" xr:uid="{00000000-0005-0000-0000-000017480000}"/>
    <cellStyle name="Normal 16 4 3 2 4" xfId="18896" xr:uid="{00000000-0005-0000-0000-000018480000}"/>
    <cellStyle name="Normal 16 4 3 2 4 2" xfId="38816" xr:uid="{00000000-0005-0000-0000-000019480000}"/>
    <cellStyle name="Normal 16 4 3 2 5" xfId="26511" xr:uid="{00000000-0005-0000-0000-00001A480000}"/>
    <cellStyle name="Normal 16 4 3 3" xfId="8082" xr:uid="{00000000-0005-0000-0000-00001B480000}"/>
    <cellStyle name="Normal 16 4 3 3 2" xfId="14276" xr:uid="{00000000-0005-0000-0000-00001C480000}"/>
    <cellStyle name="Normal 16 4 3 3 2 2" xfId="34196" xr:uid="{00000000-0005-0000-0000-00001D480000}"/>
    <cellStyle name="Normal 16 4 3 3 3" xfId="20428" xr:uid="{00000000-0005-0000-0000-00001E480000}"/>
    <cellStyle name="Normal 16 4 3 3 3 2" xfId="40348" xr:uid="{00000000-0005-0000-0000-00001F480000}"/>
    <cellStyle name="Normal 16 4 3 3 4" xfId="28043" xr:uid="{00000000-0005-0000-0000-000020480000}"/>
    <cellStyle name="Normal 16 4 3 4" xfId="11210" xr:uid="{00000000-0005-0000-0000-000021480000}"/>
    <cellStyle name="Normal 16 4 3 4 2" xfId="31130" xr:uid="{00000000-0005-0000-0000-000022480000}"/>
    <cellStyle name="Normal 16 4 3 5" xfId="17362" xr:uid="{00000000-0005-0000-0000-000023480000}"/>
    <cellStyle name="Normal 16 4 3 5 2" xfId="37282" xr:uid="{00000000-0005-0000-0000-000024480000}"/>
    <cellStyle name="Normal 16 4 3 6" xfId="24977" xr:uid="{00000000-0005-0000-0000-000025480000}"/>
    <cellStyle name="Normal 16 4 4" xfId="5748" xr:uid="{00000000-0005-0000-0000-000026480000}"/>
    <cellStyle name="Normal 16 4 4 2" xfId="8848" xr:uid="{00000000-0005-0000-0000-000027480000}"/>
    <cellStyle name="Normal 16 4 4 2 2" xfId="15041" xr:uid="{00000000-0005-0000-0000-000028480000}"/>
    <cellStyle name="Normal 16 4 4 2 2 2" xfId="34961" xr:uid="{00000000-0005-0000-0000-000029480000}"/>
    <cellStyle name="Normal 16 4 4 2 3" xfId="21193" xr:uid="{00000000-0005-0000-0000-00002A480000}"/>
    <cellStyle name="Normal 16 4 4 2 3 2" xfId="41113" xr:uid="{00000000-0005-0000-0000-00002B480000}"/>
    <cellStyle name="Normal 16 4 4 2 4" xfId="28808" xr:uid="{00000000-0005-0000-0000-00002C480000}"/>
    <cellStyle name="Normal 16 4 4 3" xfId="11975" xr:uid="{00000000-0005-0000-0000-00002D480000}"/>
    <cellStyle name="Normal 16 4 4 3 2" xfId="31895" xr:uid="{00000000-0005-0000-0000-00002E480000}"/>
    <cellStyle name="Normal 16 4 4 4" xfId="18127" xr:uid="{00000000-0005-0000-0000-00002F480000}"/>
    <cellStyle name="Normal 16 4 4 4 2" xfId="38047" xr:uid="{00000000-0005-0000-0000-000030480000}"/>
    <cellStyle name="Normal 16 4 4 5" xfId="25742" xr:uid="{00000000-0005-0000-0000-000031480000}"/>
    <cellStyle name="Normal 16 4 5" xfId="7313" xr:uid="{00000000-0005-0000-0000-000032480000}"/>
    <cellStyle name="Normal 16 4 5 2" xfId="13507" xr:uid="{00000000-0005-0000-0000-000033480000}"/>
    <cellStyle name="Normal 16 4 5 2 2" xfId="33427" xr:uid="{00000000-0005-0000-0000-000034480000}"/>
    <cellStyle name="Normal 16 4 5 3" xfId="19659" xr:uid="{00000000-0005-0000-0000-000035480000}"/>
    <cellStyle name="Normal 16 4 5 3 2" xfId="39579" xr:uid="{00000000-0005-0000-0000-000036480000}"/>
    <cellStyle name="Normal 16 4 5 4" xfId="27274" xr:uid="{00000000-0005-0000-0000-000037480000}"/>
    <cellStyle name="Normal 16 4 6" xfId="10441" xr:uid="{00000000-0005-0000-0000-000038480000}"/>
    <cellStyle name="Normal 16 4 6 2" xfId="30361" xr:uid="{00000000-0005-0000-0000-000039480000}"/>
    <cellStyle name="Normal 16 4 7" xfId="16593" xr:uid="{00000000-0005-0000-0000-00003A480000}"/>
    <cellStyle name="Normal 16 4 7 2" xfId="36513" xr:uid="{00000000-0005-0000-0000-00003B480000}"/>
    <cellStyle name="Normal 16 4 8" xfId="24208" xr:uid="{00000000-0005-0000-0000-00003C480000}"/>
    <cellStyle name="Normal 16 5" xfId="3386" xr:uid="{00000000-0005-0000-0000-00003D480000}"/>
    <cellStyle name="Normal 16 5 2" xfId="3387" xr:uid="{00000000-0005-0000-0000-00003E480000}"/>
    <cellStyle name="Normal 16 5 2 2" xfId="4908" xr:uid="{00000000-0005-0000-0000-00003F480000}"/>
    <cellStyle name="Normal 16 5 2 2 2" xfId="6533" xr:uid="{00000000-0005-0000-0000-000040480000}"/>
    <cellStyle name="Normal 16 5 2 2 2 2" xfId="9619" xr:uid="{00000000-0005-0000-0000-000041480000}"/>
    <cellStyle name="Normal 16 5 2 2 2 2 2" xfId="15812" xr:uid="{00000000-0005-0000-0000-000042480000}"/>
    <cellStyle name="Normal 16 5 2 2 2 2 2 2" xfId="35732" xr:uid="{00000000-0005-0000-0000-000043480000}"/>
    <cellStyle name="Normal 16 5 2 2 2 2 3" xfId="21964" xr:uid="{00000000-0005-0000-0000-000044480000}"/>
    <cellStyle name="Normal 16 5 2 2 2 2 3 2" xfId="41884" xr:uid="{00000000-0005-0000-0000-000045480000}"/>
    <cellStyle name="Normal 16 5 2 2 2 2 4" xfId="29579" xr:uid="{00000000-0005-0000-0000-000046480000}"/>
    <cellStyle name="Normal 16 5 2 2 2 3" xfId="12746" xr:uid="{00000000-0005-0000-0000-000047480000}"/>
    <cellStyle name="Normal 16 5 2 2 2 3 2" xfId="32666" xr:uid="{00000000-0005-0000-0000-000048480000}"/>
    <cellStyle name="Normal 16 5 2 2 2 4" xfId="18898" xr:uid="{00000000-0005-0000-0000-000049480000}"/>
    <cellStyle name="Normal 16 5 2 2 2 4 2" xfId="38818" xr:uid="{00000000-0005-0000-0000-00004A480000}"/>
    <cellStyle name="Normal 16 5 2 2 2 5" xfId="26513" xr:uid="{00000000-0005-0000-0000-00004B480000}"/>
    <cellStyle name="Normal 16 5 2 2 3" xfId="8084" xr:uid="{00000000-0005-0000-0000-00004C480000}"/>
    <cellStyle name="Normal 16 5 2 2 3 2" xfId="14278" xr:uid="{00000000-0005-0000-0000-00004D480000}"/>
    <cellStyle name="Normal 16 5 2 2 3 2 2" xfId="34198" xr:uid="{00000000-0005-0000-0000-00004E480000}"/>
    <cellStyle name="Normal 16 5 2 2 3 3" xfId="20430" xr:uid="{00000000-0005-0000-0000-00004F480000}"/>
    <cellStyle name="Normal 16 5 2 2 3 3 2" xfId="40350" xr:uid="{00000000-0005-0000-0000-000050480000}"/>
    <cellStyle name="Normal 16 5 2 2 3 4" xfId="28045" xr:uid="{00000000-0005-0000-0000-000051480000}"/>
    <cellStyle name="Normal 16 5 2 2 4" xfId="11212" xr:uid="{00000000-0005-0000-0000-000052480000}"/>
    <cellStyle name="Normal 16 5 2 2 4 2" xfId="31132" xr:uid="{00000000-0005-0000-0000-000053480000}"/>
    <cellStyle name="Normal 16 5 2 2 5" xfId="17364" xr:uid="{00000000-0005-0000-0000-000054480000}"/>
    <cellStyle name="Normal 16 5 2 2 5 2" xfId="37284" xr:uid="{00000000-0005-0000-0000-000055480000}"/>
    <cellStyle name="Normal 16 5 2 2 6" xfId="24979" xr:uid="{00000000-0005-0000-0000-000056480000}"/>
    <cellStyle name="Normal 16 5 2 3" xfId="5750" xr:uid="{00000000-0005-0000-0000-000057480000}"/>
    <cellStyle name="Normal 16 5 2 3 2" xfId="8850" xr:uid="{00000000-0005-0000-0000-000058480000}"/>
    <cellStyle name="Normal 16 5 2 3 2 2" xfId="15043" xr:uid="{00000000-0005-0000-0000-000059480000}"/>
    <cellStyle name="Normal 16 5 2 3 2 2 2" xfId="34963" xr:uid="{00000000-0005-0000-0000-00005A480000}"/>
    <cellStyle name="Normal 16 5 2 3 2 3" xfId="21195" xr:uid="{00000000-0005-0000-0000-00005B480000}"/>
    <cellStyle name="Normal 16 5 2 3 2 3 2" xfId="41115" xr:uid="{00000000-0005-0000-0000-00005C480000}"/>
    <cellStyle name="Normal 16 5 2 3 2 4" xfId="28810" xr:uid="{00000000-0005-0000-0000-00005D480000}"/>
    <cellStyle name="Normal 16 5 2 3 3" xfId="11977" xr:uid="{00000000-0005-0000-0000-00005E480000}"/>
    <cellStyle name="Normal 16 5 2 3 3 2" xfId="31897" xr:uid="{00000000-0005-0000-0000-00005F480000}"/>
    <cellStyle name="Normal 16 5 2 3 4" xfId="18129" xr:uid="{00000000-0005-0000-0000-000060480000}"/>
    <cellStyle name="Normal 16 5 2 3 4 2" xfId="38049" xr:uid="{00000000-0005-0000-0000-000061480000}"/>
    <cellStyle name="Normal 16 5 2 3 5" xfId="25744" xr:uid="{00000000-0005-0000-0000-000062480000}"/>
    <cellStyle name="Normal 16 5 2 4" xfId="7315" xr:uid="{00000000-0005-0000-0000-000063480000}"/>
    <cellStyle name="Normal 16 5 2 4 2" xfId="13509" xr:uid="{00000000-0005-0000-0000-000064480000}"/>
    <cellStyle name="Normal 16 5 2 4 2 2" xfId="33429" xr:uid="{00000000-0005-0000-0000-000065480000}"/>
    <cellStyle name="Normal 16 5 2 4 3" xfId="19661" xr:uid="{00000000-0005-0000-0000-000066480000}"/>
    <cellStyle name="Normal 16 5 2 4 3 2" xfId="39581" xr:uid="{00000000-0005-0000-0000-000067480000}"/>
    <cellStyle name="Normal 16 5 2 4 4" xfId="27276" xr:uid="{00000000-0005-0000-0000-000068480000}"/>
    <cellStyle name="Normal 16 5 2 5" xfId="10443" xr:uid="{00000000-0005-0000-0000-000069480000}"/>
    <cellStyle name="Normal 16 5 2 5 2" xfId="30363" xr:uid="{00000000-0005-0000-0000-00006A480000}"/>
    <cellStyle name="Normal 16 5 2 6" xfId="16595" xr:uid="{00000000-0005-0000-0000-00006B480000}"/>
    <cellStyle name="Normal 16 5 2 6 2" xfId="36515" xr:uid="{00000000-0005-0000-0000-00006C480000}"/>
    <cellStyle name="Normal 16 5 2 7" xfId="24210" xr:uid="{00000000-0005-0000-0000-00006D480000}"/>
    <cellStyle name="Normal 16 6" xfId="3388" xr:uid="{00000000-0005-0000-0000-00006E480000}"/>
    <cellStyle name="Normal 16 6 2" xfId="4909" xr:uid="{00000000-0005-0000-0000-00006F480000}"/>
    <cellStyle name="Normal 16 6 2 2" xfId="6534" xr:uid="{00000000-0005-0000-0000-000070480000}"/>
    <cellStyle name="Normal 16 6 2 2 2" xfId="9620" xr:uid="{00000000-0005-0000-0000-000071480000}"/>
    <cellStyle name="Normal 16 6 2 2 2 2" xfId="15813" xr:uid="{00000000-0005-0000-0000-000072480000}"/>
    <cellStyle name="Normal 16 6 2 2 2 2 2" xfId="35733" xr:uid="{00000000-0005-0000-0000-000073480000}"/>
    <cellStyle name="Normal 16 6 2 2 2 3" xfId="21965" xr:uid="{00000000-0005-0000-0000-000074480000}"/>
    <cellStyle name="Normal 16 6 2 2 2 3 2" xfId="41885" xr:uid="{00000000-0005-0000-0000-000075480000}"/>
    <cellStyle name="Normal 16 6 2 2 2 4" xfId="29580" xr:uid="{00000000-0005-0000-0000-000076480000}"/>
    <cellStyle name="Normal 16 6 2 2 3" xfId="12747" xr:uid="{00000000-0005-0000-0000-000077480000}"/>
    <cellStyle name="Normal 16 6 2 2 3 2" xfId="32667" xr:uid="{00000000-0005-0000-0000-000078480000}"/>
    <cellStyle name="Normal 16 6 2 2 4" xfId="18899" xr:uid="{00000000-0005-0000-0000-000079480000}"/>
    <cellStyle name="Normal 16 6 2 2 4 2" xfId="38819" xr:uid="{00000000-0005-0000-0000-00007A480000}"/>
    <cellStyle name="Normal 16 6 2 2 5" xfId="26514" xr:uid="{00000000-0005-0000-0000-00007B480000}"/>
    <cellStyle name="Normal 16 6 2 3" xfId="8085" xr:uid="{00000000-0005-0000-0000-00007C480000}"/>
    <cellStyle name="Normal 16 6 2 3 2" xfId="14279" xr:uid="{00000000-0005-0000-0000-00007D480000}"/>
    <cellStyle name="Normal 16 6 2 3 2 2" xfId="34199" xr:uid="{00000000-0005-0000-0000-00007E480000}"/>
    <cellStyle name="Normal 16 6 2 3 3" xfId="20431" xr:uid="{00000000-0005-0000-0000-00007F480000}"/>
    <cellStyle name="Normal 16 6 2 3 3 2" xfId="40351" xr:uid="{00000000-0005-0000-0000-000080480000}"/>
    <cellStyle name="Normal 16 6 2 3 4" xfId="28046" xr:uid="{00000000-0005-0000-0000-000081480000}"/>
    <cellStyle name="Normal 16 6 2 4" xfId="11213" xr:uid="{00000000-0005-0000-0000-000082480000}"/>
    <cellStyle name="Normal 16 6 2 4 2" xfId="31133" xr:uid="{00000000-0005-0000-0000-000083480000}"/>
    <cellStyle name="Normal 16 6 2 5" xfId="17365" xr:uid="{00000000-0005-0000-0000-000084480000}"/>
    <cellStyle name="Normal 16 6 2 5 2" xfId="37285" xr:uid="{00000000-0005-0000-0000-000085480000}"/>
    <cellStyle name="Normal 16 6 2 6" xfId="24980" xr:uid="{00000000-0005-0000-0000-000086480000}"/>
    <cellStyle name="Normal 16 6 3" xfId="5751" xr:uid="{00000000-0005-0000-0000-000087480000}"/>
    <cellStyle name="Normal 16 6 3 2" xfId="8851" xr:uid="{00000000-0005-0000-0000-000088480000}"/>
    <cellStyle name="Normal 16 6 3 2 2" xfId="15044" xr:uid="{00000000-0005-0000-0000-000089480000}"/>
    <cellStyle name="Normal 16 6 3 2 2 2" xfId="34964" xr:uid="{00000000-0005-0000-0000-00008A480000}"/>
    <cellStyle name="Normal 16 6 3 2 3" xfId="21196" xr:uid="{00000000-0005-0000-0000-00008B480000}"/>
    <cellStyle name="Normal 16 6 3 2 3 2" xfId="41116" xr:uid="{00000000-0005-0000-0000-00008C480000}"/>
    <cellStyle name="Normal 16 6 3 2 4" xfId="28811" xr:uid="{00000000-0005-0000-0000-00008D480000}"/>
    <cellStyle name="Normal 16 6 3 3" xfId="11978" xr:uid="{00000000-0005-0000-0000-00008E480000}"/>
    <cellStyle name="Normal 16 6 3 3 2" xfId="31898" xr:uid="{00000000-0005-0000-0000-00008F480000}"/>
    <cellStyle name="Normal 16 6 3 4" xfId="18130" xr:uid="{00000000-0005-0000-0000-000090480000}"/>
    <cellStyle name="Normal 16 6 3 4 2" xfId="38050" xr:uid="{00000000-0005-0000-0000-000091480000}"/>
    <cellStyle name="Normal 16 6 3 5" xfId="25745" xr:uid="{00000000-0005-0000-0000-000092480000}"/>
    <cellStyle name="Normal 16 6 4" xfId="7316" xr:uid="{00000000-0005-0000-0000-000093480000}"/>
    <cellStyle name="Normal 16 6 4 2" xfId="13510" xr:uid="{00000000-0005-0000-0000-000094480000}"/>
    <cellStyle name="Normal 16 6 4 2 2" xfId="33430" xr:uid="{00000000-0005-0000-0000-000095480000}"/>
    <cellStyle name="Normal 16 6 4 3" xfId="19662" xr:uid="{00000000-0005-0000-0000-000096480000}"/>
    <cellStyle name="Normal 16 6 4 3 2" xfId="39582" xr:uid="{00000000-0005-0000-0000-000097480000}"/>
    <cellStyle name="Normal 16 6 4 4" xfId="27277" xr:uid="{00000000-0005-0000-0000-000098480000}"/>
    <cellStyle name="Normal 16 6 5" xfId="10444" xr:uid="{00000000-0005-0000-0000-000099480000}"/>
    <cellStyle name="Normal 16 6 5 2" xfId="30364" xr:uid="{00000000-0005-0000-0000-00009A480000}"/>
    <cellStyle name="Normal 16 6 6" xfId="16596" xr:uid="{00000000-0005-0000-0000-00009B480000}"/>
    <cellStyle name="Normal 16 6 6 2" xfId="36516" xr:uid="{00000000-0005-0000-0000-00009C480000}"/>
    <cellStyle name="Normal 16 6 7" xfId="24211" xr:uid="{00000000-0005-0000-0000-00009D480000}"/>
    <cellStyle name="Normal 17" xfId="241" xr:uid="{00000000-0005-0000-0000-00009E480000}"/>
    <cellStyle name="Normal 17 2" xfId="3389" xr:uid="{00000000-0005-0000-0000-00009F480000}"/>
    <cellStyle name="Normal 17 2 10" xfId="24212" xr:uid="{00000000-0005-0000-0000-0000A0480000}"/>
    <cellStyle name="Normal 17 2 2" xfId="3390" xr:uid="{00000000-0005-0000-0000-0000A1480000}"/>
    <cellStyle name="Normal 17 2 2 2" xfId="3391" xr:uid="{00000000-0005-0000-0000-0000A2480000}"/>
    <cellStyle name="Normal 17 2 2 2 2" xfId="4912" xr:uid="{00000000-0005-0000-0000-0000A3480000}"/>
    <cellStyle name="Normal 17 2 2 2 2 2" xfId="6537" xr:uid="{00000000-0005-0000-0000-0000A4480000}"/>
    <cellStyle name="Normal 17 2 2 2 2 2 2" xfId="9623" xr:uid="{00000000-0005-0000-0000-0000A5480000}"/>
    <cellStyle name="Normal 17 2 2 2 2 2 2 2" xfId="15816" xr:uid="{00000000-0005-0000-0000-0000A6480000}"/>
    <cellStyle name="Normal 17 2 2 2 2 2 2 2 2" xfId="35736" xr:uid="{00000000-0005-0000-0000-0000A7480000}"/>
    <cellStyle name="Normal 17 2 2 2 2 2 2 3" xfId="21968" xr:uid="{00000000-0005-0000-0000-0000A8480000}"/>
    <cellStyle name="Normal 17 2 2 2 2 2 2 3 2" xfId="41888" xr:uid="{00000000-0005-0000-0000-0000A9480000}"/>
    <cellStyle name="Normal 17 2 2 2 2 2 2 4" xfId="29583" xr:uid="{00000000-0005-0000-0000-0000AA480000}"/>
    <cellStyle name="Normal 17 2 2 2 2 2 3" xfId="12750" xr:uid="{00000000-0005-0000-0000-0000AB480000}"/>
    <cellStyle name="Normal 17 2 2 2 2 2 3 2" xfId="32670" xr:uid="{00000000-0005-0000-0000-0000AC480000}"/>
    <cellStyle name="Normal 17 2 2 2 2 2 4" xfId="18902" xr:uid="{00000000-0005-0000-0000-0000AD480000}"/>
    <cellStyle name="Normal 17 2 2 2 2 2 4 2" xfId="38822" xr:uid="{00000000-0005-0000-0000-0000AE480000}"/>
    <cellStyle name="Normal 17 2 2 2 2 2 5" xfId="26517" xr:uid="{00000000-0005-0000-0000-0000AF480000}"/>
    <cellStyle name="Normal 17 2 2 2 2 3" xfId="8088" xr:uid="{00000000-0005-0000-0000-0000B0480000}"/>
    <cellStyle name="Normal 17 2 2 2 2 3 2" xfId="14282" xr:uid="{00000000-0005-0000-0000-0000B1480000}"/>
    <cellStyle name="Normal 17 2 2 2 2 3 2 2" xfId="34202" xr:uid="{00000000-0005-0000-0000-0000B2480000}"/>
    <cellStyle name="Normal 17 2 2 2 2 3 3" xfId="20434" xr:uid="{00000000-0005-0000-0000-0000B3480000}"/>
    <cellStyle name="Normal 17 2 2 2 2 3 3 2" xfId="40354" xr:uid="{00000000-0005-0000-0000-0000B4480000}"/>
    <cellStyle name="Normal 17 2 2 2 2 3 4" xfId="28049" xr:uid="{00000000-0005-0000-0000-0000B5480000}"/>
    <cellStyle name="Normal 17 2 2 2 2 4" xfId="11216" xr:uid="{00000000-0005-0000-0000-0000B6480000}"/>
    <cellStyle name="Normal 17 2 2 2 2 4 2" xfId="31136" xr:uid="{00000000-0005-0000-0000-0000B7480000}"/>
    <cellStyle name="Normal 17 2 2 2 2 5" xfId="17368" xr:uid="{00000000-0005-0000-0000-0000B8480000}"/>
    <cellStyle name="Normal 17 2 2 2 2 5 2" xfId="37288" xr:uid="{00000000-0005-0000-0000-0000B9480000}"/>
    <cellStyle name="Normal 17 2 2 2 2 6" xfId="24983" xr:uid="{00000000-0005-0000-0000-0000BA480000}"/>
    <cellStyle name="Normal 17 2 2 2 3" xfId="5754" xr:uid="{00000000-0005-0000-0000-0000BB480000}"/>
    <cellStyle name="Normal 17 2 2 2 3 2" xfId="8854" xr:uid="{00000000-0005-0000-0000-0000BC480000}"/>
    <cellStyle name="Normal 17 2 2 2 3 2 2" xfId="15047" xr:uid="{00000000-0005-0000-0000-0000BD480000}"/>
    <cellStyle name="Normal 17 2 2 2 3 2 2 2" xfId="34967" xr:uid="{00000000-0005-0000-0000-0000BE480000}"/>
    <cellStyle name="Normal 17 2 2 2 3 2 3" xfId="21199" xr:uid="{00000000-0005-0000-0000-0000BF480000}"/>
    <cellStyle name="Normal 17 2 2 2 3 2 3 2" xfId="41119" xr:uid="{00000000-0005-0000-0000-0000C0480000}"/>
    <cellStyle name="Normal 17 2 2 2 3 2 4" xfId="28814" xr:uid="{00000000-0005-0000-0000-0000C1480000}"/>
    <cellStyle name="Normal 17 2 2 2 3 3" xfId="11981" xr:uid="{00000000-0005-0000-0000-0000C2480000}"/>
    <cellStyle name="Normal 17 2 2 2 3 3 2" xfId="31901" xr:uid="{00000000-0005-0000-0000-0000C3480000}"/>
    <cellStyle name="Normal 17 2 2 2 3 4" xfId="18133" xr:uid="{00000000-0005-0000-0000-0000C4480000}"/>
    <cellStyle name="Normal 17 2 2 2 3 4 2" xfId="38053" xr:uid="{00000000-0005-0000-0000-0000C5480000}"/>
    <cellStyle name="Normal 17 2 2 2 3 5" xfId="25748" xr:uid="{00000000-0005-0000-0000-0000C6480000}"/>
    <cellStyle name="Normal 17 2 2 2 4" xfId="7319" xr:uid="{00000000-0005-0000-0000-0000C7480000}"/>
    <cellStyle name="Normal 17 2 2 2 4 2" xfId="13513" xr:uid="{00000000-0005-0000-0000-0000C8480000}"/>
    <cellStyle name="Normal 17 2 2 2 4 2 2" xfId="33433" xr:uid="{00000000-0005-0000-0000-0000C9480000}"/>
    <cellStyle name="Normal 17 2 2 2 4 3" xfId="19665" xr:uid="{00000000-0005-0000-0000-0000CA480000}"/>
    <cellStyle name="Normal 17 2 2 2 4 3 2" xfId="39585" xr:uid="{00000000-0005-0000-0000-0000CB480000}"/>
    <cellStyle name="Normal 17 2 2 2 4 4" xfId="27280" xr:uid="{00000000-0005-0000-0000-0000CC480000}"/>
    <cellStyle name="Normal 17 2 2 2 5" xfId="10447" xr:uid="{00000000-0005-0000-0000-0000CD480000}"/>
    <cellStyle name="Normal 17 2 2 2 5 2" xfId="30367" xr:uid="{00000000-0005-0000-0000-0000CE480000}"/>
    <cellStyle name="Normal 17 2 2 2 6" xfId="16599" xr:uid="{00000000-0005-0000-0000-0000CF480000}"/>
    <cellStyle name="Normal 17 2 2 2 6 2" xfId="36519" xr:uid="{00000000-0005-0000-0000-0000D0480000}"/>
    <cellStyle name="Normal 17 2 2 2 7" xfId="24214" xr:uid="{00000000-0005-0000-0000-0000D1480000}"/>
    <cellStyle name="Normal 17 2 2 3" xfId="4911" xr:uid="{00000000-0005-0000-0000-0000D2480000}"/>
    <cellStyle name="Normal 17 2 2 3 2" xfId="6536" xr:uid="{00000000-0005-0000-0000-0000D3480000}"/>
    <cellStyle name="Normal 17 2 2 3 2 2" xfId="9622" xr:uid="{00000000-0005-0000-0000-0000D4480000}"/>
    <cellStyle name="Normal 17 2 2 3 2 2 2" xfId="15815" xr:uid="{00000000-0005-0000-0000-0000D5480000}"/>
    <cellStyle name="Normal 17 2 2 3 2 2 2 2" xfId="35735" xr:uid="{00000000-0005-0000-0000-0000D6480000}"/>
    <cellStyle name="Normal 17 2 2 3 2 2 3" xfId="21967" xr:uid="{00000000-0005-0000-0000-0000D7480000}"/>
    <cellStyle name="Normal 17 2 2 3 2 2 3 2" xfId="41887" xr:uid="{00000000-0005-0000-0000-0000D8480000}"/>
    <cellStyle name="Normal 17 2 2 3 2 2 4" xfId="29582" xr:uid="{00000000-0005-0000-0000-0000D9480000}"/>
    <cellStyle name="Normal 17 2 2 3 2 3" xfId="12749" xr:uid="{00000000-0005-0000-0000-0000DA480000}"/>
    <cellStyle name="Normal 17 2 2 3 2 3 2" xfId="32669" xr:uid="{00000000-0005-0000-0000-0000DB480000}"/>
    <cellStyle name="Normal 17 2 2 3 2 4" xfId="18901" xr:uid="{00000000-0005-0000-0000-0000DC480000}"/>
    <cellStyle name="Normal 17 2 2 3 2 4 2" xfId="38821" xr:uid="{00000000-0005-0000-0000-0000DD480000}"/>
    <cellStyle name="Normal 17 2 2 3 2 5" xfId="26516" xr:uid="{00000000-0005-0000-0000-0000DE480000}"/>
    <cellStyle name="Normal 17 2 2 3 3" xfId="8087" xr:uid="{00000000-0005-0000-0000-0000DF480000}"/>
    <cellStyle name="Normal 17 2 2 3 3 2" xfId="14281" xr:uid="{00000000-0005-0000-0000-0000E0480000}"/>
    <cellStyle name="Normal 17 2 2 3 3 2 2" xfId="34201" xr:uid="{00000000-0005-0000-0000-0000E1480000}"/>
    <cellStyle name="Normal 17 2 2 3 3 3" xfId="20433" xr:uid="{00000000-0005-0000-0000-0000E2480000}"/>
    <cellStyle name="Normal 17 2 2 3 3 3 2" xfId="40353" xr:uid="{00000000-0005-0000-0000-0000E3480000}"/>
    <cellStyle name="Normal 17 2 2 3 3 4" xfId="28048" xr:uid="{00000000-0005-0000-0000-0000E4480000}"/>
    <cellStyle name="Normal 17 2 2 3 4" xfId="11215" xr:uid="{00000000-0005-0000-0000-0000E5480000}"/>
    <cellStyle name="Normal 17 2 2 3 4 2" xfId="31135" xr:uid="{00000000-0005-0000-0000-0000E6480000}"/>
    <cellStyle name="Normal 17 2 2 3 5" xfId="17367" xr:uid="{00000000-0005-0000-0000-0000E7480000}"/>
    <cellStyle name="Normal 17 2 2 3 5 2" xfId="37287" xr:uid="{00000000-0005-0000-0000-0000E8480000}"/>
    <cellStyle name="Normal 17 2 2 3 6" xfId="24982" xr:uid="{00000000-0005-0000-0000-0000E9480000}"/>
    <cellStyle name="Normal 17 2 2 4" xfId="5753" xr:uid="{00000000-0005-0000-0000-0000EA480000}"/>
    <cellStyle name="Normal 17 2 2 4 2" xfId="8853" xr:uid="{00000000-0005-0000-0000-0000EB480000}"/>
    <cellStyle name="Normal 17 2 2 4 2 2" xfId="15046" xr:uid="{00000000-0005-0000-0000-0000EC480000}"/>
    <cellStyle name="Normal 17 2 2 4 2 2 2" xfId="34966" xr:uid="{00000000-0005-0000-0000-0000ED480000}"/>
    <cellStyle name="Normal 17 2 2 4 2 3" xfId="21198" xr:uid="{00000000-0005-0000-0000-0000EE480000}"/>
    <cellStyle name="Normal 17 2 2 4 2 3 2" xfId="41118" xr:uid="{00000000-0005-0000-0000-0000EF480000}"/>
    <cellStyle name="Normal 17 2 2 4 2 4" xfId="28813" xr:uid="{00000000-0005-0000-0000-0000F0480000}"/>
    <cellStyle name="Normal 17 2 2 4 3" xfId="11980" xr:uid="{00000000-0005-0000-0000-0000F1480000}"/>
    <cellStyle name="Normal 17 2 2 4 3 2" xfId="31900" xr:uid="{00000000-0005-0000-0000-0000F2480000}"/>
    <cellStyle name="Normal 17 2 2 4 4" xfId="18132" xr:uid="{00000000-0005-0000-0000-0000F3480000}"/>
    <cellStyle name="Normal 17 2 2 4 4 2" xfId="38052" xr:uid="{00000000-0005-0000-0000-0000F4480000}"/>
    <cellStyle name="Normal 17 2 2 4 5" xfId="25747" xr:uid="{00000000-0005-0000-0000-0000F5480000}"/>
    <cellStyle name="Normal 17 2 2 5" xfId="7318" xr:uid="{00000000-0005-0000-0000-0000F6480000}"/>
    <cellStyle name="Normal 17 2 2 5 2" xfId="13512" xr:uid="{00000000-0005-0000-0000-0000F7480000}"/>
    <cellStyle name="Normal 17 2 2 5 2 2" xfId="33432" xr:uid="{00000000-0005-0000-0000-0000F8480000}"/>
    <cellStyle name="Normal 17 2 2 5 3" xfId="19664" xr:uid="{00000000-0005-0000-0000-0000F9480000}"/>
    <cellStyle name="Normal 17 2 2 5 3 2" xfId="39584" xr:uid="{00000000-0005-0000-0000-0000FA480000}"/>
    <cellStyle name="Normal 17 2 2 5 4" xfId="27279" xr:uid="{00000000-0005-0000-0000-0000FB480000}"/>
    <cellStyle name="Normal 17 2 2 6" xfId="10446" xr:uid="{00000000-0005-0000-0000-0000FC480000}"/>
    <cellStyle name="Normal 17 2 2 6 2" xfId="30366" xr:uid="{00000000-0005-0000-0000-0000FD480000}"/>
    <cellStyle name="Normal 17 2 2 7" xfId="16598" xr:uid="{00000000-0005-0000-0000-0000FE480000}"/>
    <cellStyle name="Normal 17 2 2 7 2" xfId="36518" xr:uid="{00000000-0005-0000-0000-0000FF480000}"/>
    <cellStyle name="Normal 17 2 2 8" xfId="24213" xr:uid="{00000000-0005-0000-0000-000000490000}"/>
    <cellStyle name="Normal 17 2 3" xfId="3392" xr:uid="{00000000-0005-0000-0000-000001490000}"/>
    <cellStyle name="Normal 17 2 3 2" xfId="3393" xr:uid="{00000000-0005-0000-0000-000002490000}"/>
    <cellStyle name="Normal 17 2 3 2 2" xfId="4914" xr:uid="{00000000-0005-0000-0000-000003490000}"/>
    <cellStyle name="Normal 17 2 3 2 2 2" xfId="6539" xr:uid="{00000000-0005-0000-0000-000004490000}"/>
    <cellStyle name="Normal 17 2 3 2 2 2 2" xfId="9625" xr:uid="{00000000-0005-0000-0000-000005490000}"/>
    <cellStyle name="Normal 17 2 3 2 2 2 2 2" xfId="15818" xr:uid="{00000000-0005-0000-0000-000006490000}"/>
    <cellStyle name="Normal 17 2 3 2 2 2 2 2 2" xfId="35738" xr:uid="{00000000-0005-0000-0000-000007490000}"/>
    <cellStyle name="Normal 17 2 3 2 2 2 2 3" xfId="21970" xr:uid="{00000000-0005-0000-0000-000008490000}"/>
    <cellStyle name="Normal 17 2 3 2 2 2 2 3 2" xfId="41890" xr:uid="{00000000-0005-0000-0000-000009490000}"/>
    <cellStyle name="Normal 17 2 3 2 2 2 2 4" xfId="29585" xr:uid="{00000000-0005-0000-0000-00000A490000}"/>
    <cellStyle name="Normal 17 2 3 2 2 2 3" xfId="12752" xr:uid="{00000000-0005-0000-0000-00000B490000}"/>
    <cellStyle name="Normal 17 2 3 2 2 2 3 2" xfId="32672" xr:uid="{00000000-0005-0000-0000-00000C490000}"/>
    <cellStyle name="Normal 17 2 3 2 2 2 4" xfId="18904" xr:uid="{00000000-0005-0000-0000-00000D490000}"/>
    <cellStyle name="Normal 17 2 3 2 2 2 4 2" xfId="38824" xr:uid="{00000000-0005-0000-0000-00000E490000}"/>
    <cellStyle name="Normal 17 2 3 2 2 2 5" xfId="26519" xr:uid="{00000000-0005-0000-0000-00000F490000}"/>
    <cellStyle name="Normal 17 2 3 2 2 3" xfId="8090" xr:uid="{00000000-0005-0000-0000-000010490000}"/>
    <cellStyle name="Normal 17 2 3 2 2 3 2" xfId="14284" xr:uid="{00000000-0005-0000-0000-000011490000}"/>
    <cellStyle name="Normal 17 2 3 2 2 3 2 2" xfId="34204" xr:uid="{00000000-0005-0000-0000-000012490000}"/>
    <cellStyle name="Normal 17 2 3 2 2 3 3" xfId="20436" xr:uid="{00000000-0005-0000-0000-000013490000}"/>
    <cellStyle name="Normal 17 2 3 2 2 3 3 2" xfId="40356" xr:uid="{00000000-0005-0000-0000-000014490000}"/>
    <cellStyle name="Normal 17 2 3 2 2 3 4" xfId="28051" xr:uid="{00000000-0005-0000-0000-000015490000}"/>
    <cellStyle name="Normal 17 2 3 2 2 4" xfId="11218" xr:uid="{00000000-0005-0000-0000-000016490000}"/>
    <cellStyle name="Normal 17 2 3 2 2 4 2" xfId="31138" xr:uid="{00000000-0005-0000-0000-000017490000}"/>
    <cellStyle name="Normal 17 2 3 2 2 5" xfId="17370" xr:uid="{00000000-0005-0000-0000-000018490000}"/>
    <cellStyle name="Normal 17 2 3 2 2 5 2" xfId="37290" xr:uid="{00000000-0005-0000-0000-000019490000}"/>
    <cellStyle name="Normal 17 2 3 2 2 6" xfId="24985" xr:uid="{00000000-0005-0000-0000-00001A490000}"/>
    <cellStyle name="Normal 17 2 3 2 3" xfId="5756" xr:uid="{00000000-0005-0000-0000-00001B490000}"/>
    <cellStyle name="Normal 17 2 3 2 3 2" xfId="8856" xr:uid="{00000000-0005-0000-0000-00001C490000}"/>
    <cellStyle name="Normal 17 2 3 2 3 2 2" xfId="15049" xr:uid="{00000000-0005-0000-0000-00001D490000}"/>
    <cellStyle name="Normal 17 2 3 2 3 2 2 2" xfId="34969" xr:uid="{00000000-0005-0000-0000-00001E490000}"/>
    <cellStyle name="Normal 17 2 3 2 3 2 3" xfId="21201" xr:uid="{00000000-0005-0000-0000-00001F490000}"/>
    <cellStyle name="Normal 17 2 3 2 3 2 3 2" xfId="41121" xr:uid="{00000000-0005-0000-0000-000020490000}"/>
    <cellStyle name="Normal 17 2 3 2 3 2 4" xfId="28816" xr:uid="{00000000-0005-0000-0000-000021490000}"/>
    <cellStyle name="Normal 17 2 3 2 3 3" xfId="11983" xr:uid="{00000000-0005-0000-0000-000022490000}"/>
    <cellStyle name="Normal 17 2 3 2 3 3 2" xfId="31903" xr:uid="{00000000-0005-0000-0000-000023490000}"/>
    <cellStyle name="Normal 17 2 3 2 3 4" xfId="18135" xr:uid="{00000000-0005-0000-0000-000024490000}"/>
    <cellStyle name="Normal 17 2 3 2 3 4 2" xfId="38055" xr:uid="{00000000-0005-0000-0000-000025490000}"/>
    <cellStyle name="Normal 17 2 3 2 3 5" xfId="25750" xr:uid="{00000000-0005-0000-0000-000026490000}"/>
    <cellStyle name="Normal 17 2 3 2 4" xfId="7321" xr:uid="{00000000-0005-0000-0000-000027490000}"/>
    <cellStyle name="Normal 17 2 3 2 4 2" xfId="13515" xr:uid="{00000000-0005-0000-0000-000028490000}"/>
    <cellStyle name="Normal 17 2 3 2 4 2 2" xfId="33435" xr:uid="{00000000-0005-0000-0000-000029490000}"/>
    <cellStyle name="Normal 17 2 3 2 4 3" xfId="19667" xr:uid="{00000000-0005-0000-0000-00002A490000}"/>
    <cellStyle name="Normal 17 2 3 2 4 3 2" xfId="39587" xr:uid="{00000000-0005-0000-0000-00002B490000}"/>
    <cellStyle name="Normal 17 2 3 2 4 4" xfId="27282" xr:uid="{00000000-0005-0000-0000-00002C490000}"/>
    <cellStyle name="Normal 17 2 3 2 5" xfId="10449" xr:uid="{00000000-0005-0000-0000-00002D490000}"/>
    <cellStyle name="Normal 17 2 3 2 5 2" xfId="30369" xr:uid="{00000000-0005-0000-0000-00002E490000}"/>
    <cellStyle name="Normal 17 2 3 2 6" xfId="16601" xr:uid="{00000000-0005-0000-0000-00002F490000}"/>
    <cellStyle name="Normal 17 2 3 2 6 2" xfId="36521" xr:uid="{00000000-0005-0000-0000-000030490000}"/>
    <cellStyle name="Normal 17 2 3 2 7" xfId="24216" xr:uid="{00000000-0005-0000-0000-000031490000}"/>
    <cellStyle name="Normal 17 2 3 3" xfId="4913" xr:uid="{00000000-0005-0000-0000-000032490000}"/>
    <cellStyle name="Normal 17 2 3 3 2" xfId="6538" xr:uid="{00000000-0005-0000-0000-000033490000}"/>
    <cellStyle name="Normal 17 2 3 3 2 2" xfId="9624" xr:uid="{00000000-0005-0000-0000-000034490000}"/>
    <cellStyle name="Normal 17 2 3 3 2 2 2" xfId="15817" xr:uid="{00000000-0005-0000-0000-000035490000}"/>
    <cellStyle name="Normal 17 2 3 3 2 2 2 2" xfId="35737" xr:uid="{00000000-0005-0000-0000-000036490000}"/>
    <cellStyle name="Normal 17 2 3 3 2 2 3" xfId="21969" xr:uid="{00000000-0005-0000-0000-000037490000}"/>
    <cellStyle name="Normal 17 2 3 3 2 2 3 2" xfId="41889" xr:uid="{00000000-0005-0000-0000-000038490000}"/>
    <cellStyle name="Normal 17 2 3 3 2 2 4" xfId="29584" xr:uid="{00000000-0005-0000-0000-000039490000}"/>
    <cellStyle name="Normal 17 2 3 3 2 3" xfId="12751" xr:uid="{00000000-0005-0000-0000-00003A490000}"/>
    <cellStyle name="Normal 17 2 3 3 2 3 2" xfId="32671" xr:uid="{00000000-0005-0000-0000-00003B490000}"/>
    <cellStyle name="Normal 17 2 3 3 2 4" xfId="18903" xr:uid="{00000000-0005-0000-0000-00003C490000}"/>
    <cellStyle name="Normal 17 2 3 3 2 4 2" xfId="38823" xr:uid="{00000000-0005-0000-0000-00003D490000}"/>
    <cellStyle name="Normal 17 2 3 3 2 5" xfId="26518" xr:uid="{00000000-0005-0000-0000-00003E490000}"/>
    <cellStyle name="Normal 17 2 3 3 3" xfId="8089" xr:uid="{00000000-0005-0000-0000-00003F490000}"/>
    <cellStyle name="Normal 17 2 3 3 3 2" xfId="14283" xr:uid="{00000000-0005-0000-0000-000040490000}"/>
    <cellStyle name="Normal 17 2 3 3 3 2 2" xfId="34203" xr:uid="{00000000-0005-0000-0000-000041490000}"/>
    <cellStyle name="Normal 17 2 3 3 3 3" xfId="20435" xr:uid="{00000000-0005-0000-0000-000042490000}"/>
    <cellStyle name="Normal 17 2 3 3 3 3 2" xfId="40355" xr:uid="{00000000-0005-0000-0000-000043490000}"/>
    <cellStyle name="Normal 17 2 3 3 3 4" xfId="28050" xr:uid="{00000000-0005-0000-0000-000044490000}"/>
    <cellStyle name="Normal 17 2 3 3 4" xfId="11217" xr:uid="{00000000-0005-0000-0000-000045490000}"/>
    <cellStyle name="Normal 17 2 3 3 4 2" xfId="31137" xr:uid="{00000000-0005-0000-0000-000046490000}"/>
    <cellStyle name="Normal 17 2 3 3 5" xfId="17369" xr:uid="{00000000-0005-0000-0000-000047490000}"/>
    <cellStyle name="Normal 17 2 3 3 5 2" xfId="37289" xr:uid="{00000000-0005-0000-0000-000048490000}"/>
    <cellStyle name="Normal 17 2 3 3 6" xfId="24984" xr:uid="{00000000-0005-0000-0000-000049490000}"/>
    <cellStyle name="Normal 17 2 3 4" xfId="5755" xr:uid="{00000000-0005-0000-0000-00004A490000}"/>
    <cellStyle name="Normal 17 2 3 4 2" xfId="8855" xr:uid="{00000000-0005-0000-0000-00004B490000}"/>
    <cellStyle name="Normal 17 2 3 4 2 2" xfId="15048" xr:uid="{00000000-0005-0000-0000-00004C490000}"/>
    <cellStyle name="Normal 17 2 3 4 2 2 2" xfId="34968" xr:uid="{00000000-0005-0000-0000-00004D490000}"/>
    <cellStyle name="Normal 17 2 3 4 2 3" xfId="21200" xr:uid="{00000000-0005-0000-0000-00004E490000}"/>
    <cellStyle name="Normal 17 2 3 4 2 3 2" xfId="41120" xr:uid="{00000000-0005-0000-0000-00004F490000}"/>
    <cellStyle name="Normal 17 2 3 4 2 4" xfId="28815" xr:uid="{00000000-0005-0000-0000-000050490000}"/>
    <cellStyle name="Normal 17 2 3 4 3" xfId="11982" xr:uid="{00000000-0005-0000-0000-000051490000}"/>
    <cellStyle name="Normal 17 2 3 4 3 2" xfId="31902" xr:uid="{00000000-0005-0000-0000-000052490000}"/>
    <cellStyle name="Normal 17 2 3 4 4" xfId="18134" xr:uid="{00000000-0005-0000-0000-000053490000}"/>
    <cellStyle name="Normal 17 2 3 4 4 2" xfId="38054" xr:uid="{00000000-0005-0000-0000-000054490000}"/>
    <cellStyle name="Normal 17 2 3 4 5" xfId="25749" xr:uid="{00000000-0005-0000-0000-000055490000}"/>
    <cellStyle name="Normal 17 2 3 5" xfId="7320" xr:uid="{00000000-0005-0000-0000-000056490000}"/>
    <cellStyle name="Normal 17 2 3 5 2" xfId="13514" xr:uid="{00000000-0005-0000-0000-000057490000}"/>
    <cellStyle name="Normal 17 2 3 5 2 2" xfId="33434" xr:uid="{00000000-0005-0000-0000-000058490000}"/>
    <cellStyle name="Normal 17 2 3 5 3" xfId="19666" xr:uid="{00000000-0005-0000-0000-000059490000}"/>
    <cellStyle name="Normal 17 2 3 5 3 2" xfId="39586" xr:uid="{00000000-0005-0000-0000-00005A490000}"/>
    <cellStyle name="Normal 17 2 3 5 4" xfId="27281" xr:uid="{00000000-0005-0000-0000-00005B490000}"/>
    <cellStyle name="Normal 17 2 3 6" xfId="10448" xr:uid="{00000000-0005-0000-0000-00005C490000}"/>
    <cellStyle name="Normal 17 2 3 6 2" xfId="30368" xr:uid="{00000000-0005-0000-0000-00005D490000}"/>
    <cellStyle name="Normal 17 2 3 7" xfId="16600" xr:uid="{00000000-0005-0000-0000-00005E490000}"/>
    <cellStyle name="Normal 17 2 3 7 2" xfId="36520" xr:uid="{00000000-0005-0000-0000-00005F490000}"/>
    <cellStyle name="Normal 17 2 3 8" xfId="24215" xr:uid="{00000000-0005-0000-0000-000060490000}"/>
    <cellStyle name="Normal 17 2 4" xfId="3394" xr:uid="{00000000-0005-0000-0000-000061490000}"/>
    <cellStyle name="Normal 17 2 4 2" xfId="4915" xr:uid="{00000000-0005-0000-0000-000062490000}"/>
    <cellStyle name="Normal 17 2 4 2 2" xfId="6540" xr:uid="{00000000-0005-0000-0000-000063490000}"/>
    <cellStyle name="Normal 17 2 4 2 2 2" xfId="9626" xr:uid="{00000000-0005-0000-0000-000064490000}"/>
    <cellStyle name="Normal 17 2 4 2 2 2 2" xfId="15819" xr:uid="{00000000-0005-0000-0000-000065490000}"/>
    <cellStyle name="Normal 17 2 4 2 2 2 2 2" xfId="35739" xr:uid="{00000000-0005-0000-0000-000066490000}"/>
    <cellStyle name="Normal 17 2 4 2 2 2 3" xfId="21971" xr:uid="{00000000-0005-0000-0000-000067490000}"/>
    <cellStyle name="Normal 17 2 4 2 2 2 3 2" xfId="41891" xr:uid="{00000000-0005-0000-0000-000068490000}"/>
    <cellStyle name="Normal 17 2 4 2 2 2 4" xfId="29586" xr:uid="{00000000-0005-0000-0000-000069490000}"/>
    <cellStyle name="Normal 17 2 4 2 2 3" xfId="12753" xr:uid="{00000000-0005-0000-0000-00006A490000}"/>
    <cellStyle name="Normal 17 2 4 2 2 3 2" xfId="32673" xr:uid="{00000000-0005-0000-0000-00006B490000}"/>
    <cellStyle name="Normal 17 2 4 2 2 4" xfId="18905" xr:uid="{00000000-0005-0000-0000-00006C490000}"/>
    <cellStyle name="Normal 17 2 4 2 2 4 2" xfId="38825" xr:uid="{00000000-0005-0000-0000-00006D490000}"/>
    <cellStyle name="Normal 17 2 4 2 2 5" xfId="26520" xr:uid="{00000000-0005-0000-0000-00006E490000}"/>
    <cellStyle name="Normal 17 2 4 2 3" xfId="8091" xr:uid="{00000000-0005-0000-0000-00006F490000}"/>
    <cellStyle name="Normal 17 2 4 2 3 2" xfId="14285" xr:uid="{00000000-0005-0000-0000-000070490000}"/>
    <cellStyle name="Normal 17 2 4 2 3 2 2" xfId="34205" xr:uid="{00000000-0005-0000-0000-000071490000}"/>
    <cellStyle name="Normal 17 2 4 2 3 3" xfId="20437" xr:uid="{00000000-0005-0000-0000-000072490000}"/>
    <cellStyle name="Normal 17 2 4 2 3 3 2" xfId="40357" xr:uid="{00000000-0005-0000-0000-000073490000}"/>
    <cellStyle name="Normal 17 2 4 2 3 4" xfId="28052" xr:uid="{00000000-0005-0000-0000-000074490000}"/>
    <cellStyle name="Normal 17 2 4 2 4" xfId="11219" xr:uid="{00000000-0005-0000-0000-000075490000}"/>
    <cellStyle name="Normal 17 2 4 2 4 2" xfId="31139" xr:uid="{00000000-0005-0000-0000-000076490000}"/>
    <cellStyle name="Normal 17 2 4 2 5" xfId="17371" xr:uid="{00000000-0005-0000-0000-000077490000}"/>
    <cellStyle name="Normal 17 2 4 2 5 2" xfId="37291" xr:uid="{00000000-0005-0000-0000-000078490000}"/>
    <cellStyle name="Normal 17 2 4 2 6" xfId="24986" xr:uid="{00000000-0005-0000-0000-000079490000}"/>
    <cellStyle name="Normal 17 2 4 3" xfId="5757" xr:uid="{00000000-0005-0000-0000-00007A490000}"/>
    <cellStyle name="Normal 17 2 4 3 2" xfId="8857" xr:uid="{00000000-0005-0000-0000-00007B490000}"/>
    <cellStyle name="Normal 17 2 4 3 2 2" xfId="15050" xr:uid="{00000000-0005-0000-0000-00007C490000}"/>
    <cellStyle name="Normal 17 2 4 3 2 2 2" xfId="34970" xr:uid="{00000000-0005-0000-0000-00007D490000}"/>
    <cellStyle name="Normal 17 2 4 3 2 3" xfId="21202" xr:uid="{00000000-0005-0000-0000-00007E490000}"/>
    <cellStyle name="Normal 17 2 4 3 2 3 2" xfId="41122" xr:uid="{00000000-0005-0000-0000-00007F490000}"/>
    <cellStyle name="Normal 17 2 4 3 2 4" xfId="28817" xr:uid="{00000000-0005-0000-0000-000080490000}"/>
    <cellStyle name="Normal 17 2 4 3 3" xfId="11984" xr:uid="{00000000-0005-0000-0000-000081490000}"/>
    <cellStyle name="Normal 17 2 4 3 3 2" xfId="31904" xr:uid="{00000000-0005-0000-0000-000082490000}"/>
    <cellStyle name="Normal 17 2 4 3 4" xfId="18136" xr:uid="{00000000-0005-0000-0000-000083490000}"/>
    <cellStyle name="Normal 17 2 4 3 4 2" xfId="38056" xr:uid="{00000000-0005-0000-0000-000084490000}"/>
    <cellStyle name="Normal 17 2 4 3 5" xfId="25751" xr:uid="{00000000-0005-0000-0000-000085490000}"/>
    <cellStyle name="Normal 17 2 4 4" xfId="7322" xr:uid="{00000000-0005-0000-0000-000086490000}"/>
    <cellStyle name="Normal 17 2 4 4 2" xfId="13516" xr:uid="{00000000-0005-0000-0000-000087490000}"/>
    <cellStyle name="Normal 17 2 4 4 2 2" xfId="33436" xr:uid="{00000000-0005-0000-0000-000088490000}"/>
    <cellStyle name="Normal 17 2 4 4 3" xfId="19668" xr:uid="{00000000-0005-0000-0000-000089490000}"/>
    <cellStyle name="Normal 17 2 4 4 3 2" xfId="39588" xr:uid="{00000000-0005-0000-0000-00008A490000}"/>
    <cellStyle name="Normal 17 2 4 4 4" xfId="27283" xr:uid="{00000000-0005-0000-0000-00008B490000}"/>
    <cellStyle name="Normal 17 2 4 5" xfId="10450" xr:uid="{00000000-0005-0000-0000-00008C490000}"/>
    <cellStyle name="Normal 17 2 4 5 2" xfId="30370" xr:uid="{00000000-0005-0000-0000-00008D490000}"/>
    <cellStyle name="Normal 17 2 4 6" xfId="16602" xr:uid="{00000000-0005-0000-0000-00008E490000}"/>
    <cellStyle name="Normal 17 2 4 6 2" xfId="36522" xr:uid="{00000000-0005-0000-0000-00008F490000}"/>
    <cellStyle name="Normal 17 2 4 7" xfId="24217" xr:uid="{00000000-0005-0000-0000-000090490000}"/>
    <cellStyle name="Normal 17 2 5" xfId="4910" xr:uid="{00000000-0005-0000-0000-000091490000}"/>
    <cellStyle name="Normal 17 2 5 2" xfId="6535" xr:uid="{00000000-0005-0000-0000-000092490000}"/>
    <cellStyle name="Normal 17 2 5 2 2" xfId="9621" xr:uid="{00000000-0005-0000-0000-000093490000}"/>
    <cellStyle name="Normal 17 2 5 2 2 2" xfId="15814" xr:uid="{00000000-0005-0000-0000-000094490000}"/>
    <cellStyle name="Normal 17 2 5 2 2 2 2" xfId="35734" xr:uid="{00000000-0005-0000-0000-000095490000}"/>
    <cellStyle name="Normal 17 2 5 2 2 3" xfId="21966" xr:uid="{00000000-0005-0000-0000-000096490000}"/>
    <cellStyle name="Normal 17 2 5 2 2 3 2" xfId="41886" xr:uid="{00000000-0005-0000-0000-000097490000}"/>
    <cellStyle name="Normal 17 2 5 2 2 4" xfId="29581" xr:uid="{00000000-0005-0000-0000-000098490000}"/>
    <cellStyle name="Normal 17 2 5 2 3" xfId="12748" xr:uid="{00000000-0005-0000-0000-000099490000}"/>
    <cellStyle name="Normal 17 2 5 2 3 2" xfId="32668" xr:uid="{00000000-0005-0000-0000-00009A490000}"/>
    <cellStyle name="Normal 17 2 5 2 4" xfId="18900" xr:uid="{00000000-0005-0000-0000-00009B490000}"/>
    <cellStyle name="Normal 17 2 5 2 4 2" xfId="38820" xr:uid="{00000000-0005-0000-0000-00009C490000}"/>
    <cellStyle name="Normal 17 2 5 2 5" xfId="26515" xr:uid="{00000000-0005-0000-0000-00009D490000}"/>
    <cellStyle name="Normal 17 2 5 3" xfId="8086" xr:uid="{00000000-0005-0000-0000-00009E490000}"/>
    <cellStyle name="Normal 17 2 5 3 2" xfId="14280" xr:uid="{00000000-0005-0000-0000-00009F490000}"/>
    <cellStyle name="Normal 17 2 5 3 2 2" xfId="34200" xr:uid="{00000000-0005-0000-0000-0000A0490000}"/>
    <cellStyle name="Normal 17 2 5 3 3" xfId="20432" xr:uid="{00000000-0005-0000-0000-0000A1490000}"/>
    <cellStyle name="Normal 17 2 5 3 3 2" xfId="40352" xr:uid="{00000000-0005-0000-0000-0000A2490000}"/>
    <cellStyle name="Normal 17 2 5 3 4" xfId="28047" xr:uid="{00000000-0005-0000-0000-0000A3490000}"/>
    <cellStyle name="Normal 17 2 5 4" xfId="11214" xr:uid="{00000000-0005-0000-0000-0000A4490000}"/>
    <cellStyle name="Normal 17 2 5 4 2" xfId="31134" xr:uid="{00000000-0005-0000-0000-0000A5490000}"/>
    <cellStyle name="Normal 17 2 5 5" xfId="17366" xr:uid="{00000000-0005-0000-0000-0000A6490000}"/>
    <cellStyle name="Normal 17 2 5 5 2" xfId="37286" xr:uid="{00000000-0005-0000-0000-0000A7490000}"/>
    <cellStyle name="Normal 17 2 5 6" xfId="24981" xr:uid="{00000000-0005-0000-0000-0000A8490000}"/>
    <cellStyle name="Normal 17 2 6" xfId="5752" xr:uid="{00000000-0005-0000-0000-0000A9490000}"/>
    <cellStyle name="Normal 17 2 6 2" xfId="8852" xr:uid="{00000000-0005-0000-0000-0000AA490000}"/>
    <cellStyle name="Normal 17 2 6 2 2" xfId="15045" xr:uid="{00000000-0005-0000-0000-0000AB490000}"/>
    <cellStyle name="Normal 17 2 6 2 2 2" xfId="34965" xr:uid="{00000000-0005-0000-0000-0000AC490000}"/>
    <cellStyle name="Normal 17 2 6 2 3" xfId="21197" xr:uid="{00000000-0005-0000-0000-0000AD490000}"/>
    <cellStyle name="Normal 17 2 6 2 3 2" xfId="41117" xr:uid="{00000000-0005-0000-0000-0000AE490000}"/>
    <cellStyle name="Normal 17 2 6 2 4" xfId="28812" xr:uid="{00000000-0005-0000-0000-0000AF490000}"/>
    <cellStyle name="Normal 17 2 6 3" xfId="11979" xr:uid="{00000000-0005-0000-0000-0000B0490000}"/>
    <cellStyle name="Normal 17 2 6 3 2" xfId="31899" xr:uid="{00000000-0005-0000-0000-0000B1490000}"/>
    <cellStyle name="Normal 17 2 6 4" xfId="18131" xr:uid="{00000000-0005-0000-0000-0000B2490000}"/>
    <cellStyle name="Normal 17 2 6 4 2" xfId="38051" xr:uid="{00000000-0005-0000-0000-0000B3490000}"/>
    <cellStyle name="Normal 17 2 6 5" xfId="25746" xr:uid="{00000000-0005-0000-0000-0000B4490000}"/>
    <cellStyle name="Normal 17 2 7" xfId="7317" xr:uid="{00000000-0005-0000-0000-0000B5490000}"/>
    <cellStyle name="Normal 17 2 7 2" xfId="13511" xr:uid="{00000000-0005-0000-0000-0000B6490000}"/>
    <cellStyle name="Normal 17 2 7 2 2" xfId="33431" xr:uid="{00000000-0005-0000-0000-0000B7490000}"/>
    <cellStyle name="Normal 17 2 7 3" xfId="19663" xr:uid="{00000000-0005-0000-0000-0000B8490000}"/>
    <cellStyle name="Normal 17 2 7 3 2" xfId="39583" xr:uid="{00000000-0005-0000-0000-0000B9490000}"/>
    <cellStyle name="Normal 17 2 7 4" xfId="27278" xr:uid="{00000000-0005-0000-0000-0000BA490000}"/>
    <cellStyle name="Normal 17 2 8" xfId="10445" xr:uid="{00000000-0005-0000-0000-0000BB490000}"/>
    <cellStyle name="Normal 17 2 8 2" xfId="30365" xr:uid="{00000000-0005-0000-0000-0000BC490000}"/>
    <cellStyle name="Normal 17 2 9" xfId="16597" xr:uid="{00000000-0005-0000-0000-0000BD490000}"/>
    <cellStyle name="Normal 17 2 9 2" xfId="36517" xr:uid="{00000000-0005-0000-0000-0000BE490000}"/>
    <cellStyle name="Normal 17 3" xfId="3395" xr:uid="{00000000-0005-0000-0000-0000BF490000}"/>
    <cellStyle name="Normal 17 3 2" xfId="3396" xr:uid="{00000000-0005-0000-0000-0000C0490000}"/>
    <cellStyle name="Normal 17 3 2 2" xfId="4917" xr:uid="{00000000-0005-0000-0000-0000C1490000}"/>
    <cellStyle name="Normal 17 3 2 2 2" xfId="6542" xr:uid="{00000000-0005-0000-0000-0000C2490000}"/>
    <cellStyle name="Normal 17 3 2 2 2 2" xfId="9628" xr:uid="{00000000-0005-0000-0000-0000C3490000}"/>
    <cellStyle name="Normal 17 3 2 2 2 2 2" xfId="15821" xr:uid="{00000000-0005-0000-0000-0000C4490000}"/>
    <cellStyle name="Normal 17 3 2 2 2 2 2 2" xfId="35741" xr:uid="{00000000-0005-0000-0000-0000C5490000}"/>
    <cellStyle name="Normal 17 3 2 2 2 2 3" xfId="21973" xr:uid="{00000000-0005-0000-0000-0000C6490000}"/>
    <cellStyle name="Normal 17 3 2 2 2 2 3 2" xfId="41893" xr:uid="{00000000-0005-0000-0000-0000C7490000}"/>
    <cellStyle name="Normal 17 3 2 2 2 2 4" xfId="29588" xr:uid="{00000000-0005-0000-0000-0000C8490000}"/>
    <cellStyle name="Normal 17 3 2 2 2 3" xfId="12755" xr:uid="{00000000-0005-0000-0000-0000C9490000}"/>
    <cellStyle name="Normal 17 3 2 2 2 3 2" xfId="32675" xr:uid="{00000000-0005-0000-0000-0000CA490000}"/>
    <cellStyle name="Normal 17 3 2 2 2 4" xfId="18907" xr:uid="{00000000-0005-0000-0000-0000CB490000}"/>
    <cellStyle name="Normal 17 3 2 2 2 4 2" xfId="38827" xr:uid="{00000000-0005-0000-0000-0000CC490000}"/>
    <cellStyle name="Normal 17 3 2 2 2 5" xfId="26522" xr:uid="{00000000-0005-0000-0000-0000CD490000}"/>
    <cellStyle name="Normal 17 3 2 2 3" xfId="8093" xr:uid="{00000000-0005-0000-0000-0000CE490000}"/>
    <cellStyle name="Normal 17 3 2 2 3 2" xfId="14287" xr:uid="{00000000-0005-0000-0000-0000CF490000}"/>
    <cellStyle name="Normal 17 3 2 2 3 2 2" xfId="34207" xr:uid="{00000000-0005-0000-0000-0000D0490000}"/>
    <cellStyle name="Normal 17 3 2 2 3 3" xfId="20439" xr:uid="{00000000-0005-0000-0000-0000D1490000}"/>
    <cellStyle name="Normal 17 3 2 2 3 3 2" xfId="40359" xr:uid="{00000000-0005-0000-0000-0000D2490000}"/>
    <cellStyle name="Normal 17 3 2 2 3 4" xfId="28054" xr:uid="{00000000-0005-0000-0000-0000D3490000}"/>
    <cellStyle name="Normal 17 3 2 2 4" xfId="11221" xr:uid="{00000000-0005-0000-0000-0000D4490000}"/>
    <cellStyle name="Normal 17 3 2 2 4 2" xfId="31141" xr:uid="{00000000-0005-0000-0000-0000D5490000}"/>
    <cellStyle name="Normal 17 3 2 2 5" xfId="17373" xr:uid="{00000000-0005-0000-0000-0000D6490000}"/>
    <cellStyle name="Normal 17 3 2 2 5 2" xfId="37293" xr:uid="{00000000-0005-0000-0000-0000D7490000}"/>
    <cellStyle name="Normal 17 3 2 2 6" xfId="24988" xr:uid="{00000000-0005-0000-0000-0000D8490000}"/>
    <cellStyle name="Normal 17 3 2 3" xfId="5759" xr:uid="{00000000-0005-0000-0000-0000D9490000}"/>
    <cellStyle name="Normal 17 3 2 3 2" xfId="8859" xr:uid="{00000000-0005-0000-0000-0000DA490000}"/>
    <cellStyle name="Normal 17 3 2 3 2 2" xfId="15052" xr:uid="{00000000-0005-0000-0000-0000DB490000}"/>
    <cellStyle name="Normal 17 3 2 3 2 2 2" xfId="34972" xr:uid="{00000000-0005-0000-0000-0000DC490000}"/>
    <cellStyle name="Normal 17 3 2 3 2 3" xfId="21204" xr:uid="{00000000-0005-0000-0000-0000DD490000}"/>
    <cellStyle name="Normal 17 3 2 3 2 3 2" xfId="41124" xr:uid="{00000000-0005-0000-0000-0000DE490000}"/>
    <cellStyle name="Normal 17 3 2 3 2 4" xfId="28819" xr:uid="{00000000-0005-0000-0000-0000DF490000}"/>
    <cellStyle name="Normal 17 3 2 3 3" xfId="11986" xr:uid="{00000000-0005-0000-0000-0000E0490000}"/>
    <cellStyle name="Normal 17 3 2 3 3 2" xfId="31906" xr:uid="{00000000-0005-0000-0000-0000E1490000}"/>
    <cellStyle name="Normal 17 3 2 3 4" xfId="18138" xr:uid="{00000000-0005-0000-0000-0000E2490000}"/>
    <cellStyle name="Normal 17 3 2 3 4 2" xfId="38058" xr:uid="{00000000-0005-0000-0000-0000E3490000}"/>
    <cellStyle name="Normal 17 3 2 3 5" xfId="25753" xr:uid="{00000000-0005-0000-0000-0000E4490000}"/>
    <cellStyle name="Normal 17 3 2 4" xfId="7324" xr:uid="{00000000-0005-0000-0000-0000E5490000}"/>
    <cellStyle name="Normal 17 3 2 4 2" xfId="13518" xr:uid="{00000000-0005-0000-0000-0000E6490000}"/>
    <cellStyle name="Normal 17 3 2 4 2 2" xfId="33438" xr:uid="{00000000-0005-0000-0000-0000E7490000}"/>
    <cellStyle name="Normal 17 3 2 4 3" xfId="19670" xr:uid="{00000000-0005-0000-0000-0000E8490000}"/>
    <cellStyle name="Normal 17 3 2 4 3 2" xfId="39590" xr:uid="{00000000-0005-0000-0000-0000E9490000}"/>
    <cellStyle name="Normal 17 3 2 4 4" xfId="27285" xr:uid="{00000000-0005-0000-0000-0000EA490000}"/>
    <cellStyle name="Normal 17 3 2 5" xfId="10452" xr:uid="{00000000-0005-0000-0000-0000EB490000}"/>
    <cellStyle name="Normal 17 3 2 5 2" xfId="30372" xr:uid="{00000000-0005-0000-0000-0000EC490000}"/>
    <cellStyle name="Normal 17 3 2 6" xfId="16604" xr:uid="{00000000-0005-0000-0000-0000ED490000}"/>
    <cellStyle name="Normal 17 3 2 6 2" xfId="36524" xr:uid="{00000000-0005-0000-0000-0000EE490000}"/>
    <cellStyle name="Normal 17 3 2 7" xfId="24219" xr:uid="{00000000-0005-0000-0000-0000EF490000}"/>
    <cellStyle name="Normal 17 3 3" xfId="4916" xr:uid="{00000000-0005-0000-0000-0000F0490000}"/>
    <cellStyle name="Normal 17 3 3 2" xfId="6541" xr:uid="{00000000-0005-0000-0000-0000F1490000}"/>
    <cellStyle name="Normal 17 3 3 2 2" xfId="9627" xr:uid="{00000000-0005-0000-0000-0000F2490000}"/>
    <cellStyle name="Normal 17 3 3 2 2 2" xfId="15820" xr:uid="{00000000-0005-0000-0000-0000F3490000}"/>
    <cellStyle name="Normal 17 3 3 2 2 2 2" xfId="35740" xr:uid="{00000000-0005-0000-0000-0000F4490000}"/>
    <cellStyle name="Normal 17 3 3 2 2 3" xfId="21972" xr:uid="{00000000-0005-0000-0000-0000F5490000}"/>
    <cellStyle name="Normal 17 3 3 2 2 3 2" xfId="41892" xr:uid="{00000000-0005-0000-0000-0000F6490000}"/>
    <cellStyle name="Normal 17 3 3 2 2 4" xfId="29587" xr:uid="{00000000-0005-0000-0000-0000F7490000}"/>
    <cellStyle name="Normal 17 3 3 2 3" xfId="12754" xr:uid="{00000000-0005-0000-0000-0000F8490000}"/>
    <cellStyle name="Normal 17 3 3 2 3 2" xfId="32674" xr:uid="{00000000-0005-0000-0000-0000F9490000}"/>
    <cellStyle name="Normal 17 3 3 2 4" xfId="18906" xr:uid="{00000000-0005-0000-0000-0000FA490000}"/>
    <cellStyle name="Normal 17 3 3 2 4 2" xfId="38826" xr:uid="{00000000-0005-0000-0000-0000FB490000}"/>
    <cellStyle name="Normal 17 3 3 2 5" xfId="26521" xr:uid="{00000000-0005-0000-0000-0000FC490000}"/>
    <cellStyle name="Normal 17 3 3 3" xfId="8092" xr:uid="{00000000-0005-0000-0000-0000FD490000}"/>
    <cellStyle name="Normal 17 3 3 3 2" xfId="14286" xr:uid="{00000000-0005-0000-0000-0000FE490000}"/>
    <cellStyle name="Normal 17 3 3 3 2 2" xfId="34206" xr:uid="{00000000-0005-0000-0000-0000FF490000}"/>
    <cellStyle name="Normal 17 3 3 3 3" xfId="20438" xr:uid="{00000000-0005-0000-0000-0000004A0000}"/>
    <cellStyle name="Normal 17 3 3 3 3 2" xfId="40358" xr:uid="{00000000-0005-0000-0000-0000014A0000}"/>
    <cellStyle name="Normal 17 3 3 3 4" xfId="28053" xr:uid="{00000000-0005-0000-0000-0000024A0000}"/>
    <cellStyle name="Normal 17 3 3 4" xfId="11220" xr:uid="{00000000-0005-0000-0000-0000034A0000}"/>
    <cellStyle name="Normal 17 3 3 4 2" xfId="31140" xr:uid="{00000000-0005-0000-0000-0000044A0000}"/>
    <cellStyle name="Normal 17 3 3 5" xfId="17372" xr:uid="{00000000-0005-0000-0000-0000054A0000}"/>
    <cellStyle name="Normal 17 3 3 5 2" xfId="37292" xr:uid="{00000000-0005-0000-0000-0000064A0000}"/>
    <cellStyle name="Normal 17 3 3 6" xfId="24987" xr:uid="{00000000-0005-0000-0000-0000074A0000}"/>
    <cellStyle name="Normal 17 3 4" xfId="5758" xr:uid="{00000000-0005-0000-0000-0000084A0000}"/>
    <cellStyle name="Normal 17 3 4 2" xfId="8858" xr:uid="{00000000-0005-0000-0000-0000094A0000}"/>
    <cellStyle name="Normal 17 3 4 2 2" xfId="15051" xr:uid="{00000000-0005-0000-0000-00000A4A0000}"/>
    <cellStyle name="Normal 17 3 4 2 2 2" xfId="34971" xr:uid="{00000000-0005-0000-0000-00000B4A0000}"/>
    <cellStyle name="Normal 17 3 4 2 3" xfId="21203" xr:uid="{00000000-0005-0000-0000-00000C4A0000}"/>
    <cellStyle name="Normal 17 3 4 2 3 2" xfId="41123" xr:uid="{00000000-0005-0000-0000-00000D4A0000}"/>
    <cellStyle name="Normal 17 3 4 2 4" xfId="28818" xr:uid="{00000000-0005-0000-0000-00000E4A0000}"/>
    <cellStyle name="Normal 17 3 4 3" xfId="11985" xr:uid="{00000000-0005-0000-0000-00000F4A0000}"/>
    <cellStyle name="Normal 17 3 4 3 2" xfId="31905" xr:uid="{00000000-0005-0000-0000-0000104A0000}"/>
    <cellStyle name="Normal 17 3 4 4" xfId="18137" xr:uid="{00000000-0005-0000-0000-0000114A0000}"/>
    <cellStyle name="Normal 17 3 4 4 2" xfId="38057" xr:uid="{00000000-0005-0000-0000-0000124A0000}"/>
    <cellStyle name="Normal 17 3 4 5" xfId="25752" xr:uid="{00000000-0005-0000-0000-0000134A0000}"/>
    <cellStyle name="Normal 17 3 5" xfId="7323" xr:uid="{00000000-0005-0000-0000-0000144A0000}"/>
    <cellStyle name="Normal 17 3 5 2" xfId="13517" xr:uid="{00000000-0005-0000-0000-0000154A0000}"/>
    <cellStyle name="Normal 17 3 5 2 2" xfId="33437" xr:uid="{00000000-0005-0000-0000-0000164A0000}"/>
    <cellStyle name="Normal 17 3 5 3" xfId="19669" xr:uid="{00000000-0005-0000-0000-0000174A0000}"/>
    <cellStyle name="Normal 17 3 5 3 2" xfId="39589" xr:uid="{00000000-0005-0000-0000-0000184A0000}"/>
    <cellStyle name="Normal 17 3 5 4" xfId="27284" xr:uid="{00000000-0005-0000-0000-0000194A0000}"/>
    <cellStyle name="Normal 17 3 6" xfId="10451" xr:uid="{00000000-0005-0000-0000-00001A4A0000}"/>
    <cellStyle name="Normal 17 3 6 2" xfId="30371" xr:uid="{00000000-0005-0000-0000-00001B4A0000}"/>
    <cellStyle name="Normal 17 3 7" xfId="16603" xr:uid="{00000000-0005-0000-0000-00001C4A0000}"/>
    <cellStyle name="Normal 17 3 7 2" xfId="36523" xr:uid="{00000000-0005-0000-0000-00001D4A0000}"/>
    <cellStyle name="Normal 17 3 8" xfId="24218" xr:uid="{00000000-0005-0000-0000-00001E4A0000}"/>
    <cellStyle name="Normal 17 4" xfId="3397" xr:uid="{00000000-0005-0000-0000-00001F4A0000}"/>
    <cellStyle name="Normal 17 4 2" xfId="3398" xr:uid="{00000000-0005-0000-0000-0000204A0000}"/>
    <cellStyle name="Normal 17 4 2 2" xfId="4919" xr:uid="{00000000-0005-0000-0000-0000214A0000}"/>
    <cellStyle name="Normal 17 4 2 2 2" xfId="6544" xr:uid="{00000000-0005-0000-0000-0000224A0000}"/>
    <cellStyle name="Normal 17 4 2 2 2 2" xfId="9630" xr:uid="{00000000-0005-0000-0000-0000234A0000}"/>
    <cellStyle name="Normal 17 4 2 2 2 2 2" xfId="15823" xr:uid="{00000000-0005-0000-0000-0000244A0000}"/>
    <cellStyle name="Normal 17 4 2 2 2 2 2 2" xfId="35743" xr:uid="{00000000-0005-0000-0000-0000254A0000}"/>
    <cellStyle name="Normal 17 4 2 2 2 2 3" xfId="21975" xr:uid="{00000000-0005-0000-0000-0000264A0000}"/>
    <cellStyle name="Normal 17 4 2 2 2 2 3 2" xfId="41895" xr:uid="{00000000-0005-0000-0000-0000274A0000}"/>
    <cellStyle name="Normal 17 4 2 2 2 2 4" xfId="29590" xr:uid="{00000000-0005-0000-0000-0000284A0000}"/>
    <cellStyle name="Normal 17 4 2 2 2 3" xfId="12757" xr:uid="{00000000-0005-0000-0000-0000294A0000}"/>
    <cellStyle name="Normal 17 4 2 2 2 3 2" xfId="32677" xr:uid="{00000000-0005-0000-0000-00002A4A0000}"/>
    <cellStyle name="Normal 17 4 2 2 2 4" xfId="18909" xr:uid="{00000000-0005-0000-0000-00002B4A0000}"/>
    <cellStyle name="Normal 17 4 2 2 2 4 2" xfId="38829" xr:uid="{00000000-0005-0000-0000-00002C4A0000}"/>
    <cellStyle name="Normal 17 4 2 2 2 5" xfId="26524" xr:uid="{00000000-0005-0000-0000-00002D4A0000}"/>
    <cellStyle name="Normal 17 4 2 2 3" xfId="8095" xr:uid="{00000000-0005-0000-0000-00002E4A0000}"/>
    <cellStyle name="Normal 17 4 2 2 3 2" xfId="14289" xr:uid="{00000000-0005-0000-0000-00002F4A0000}"/>
    <cellStyle name="Normal 17 4 2 2 3 2 2" xfId="34209" xr:uid="{00000000-0005-0000-0000-0000304A0000}"/>
    <cellStyle name="Normal 17 4 2 2 3 3" xfId="20441" xr:uid="{00000000-0005-0000-0000-0000314A0000}"/>
    <cellStyle name="Normal 17 4 2 2 3 3 2" xfId="40361" xr:uid="{00000000-0005-0000-0000-0000324A0000}"/>
    <cellStyle name="Normal 17 4 2 2 3 4" xfId="28056" xr:uid="{00000000-0005-0000-0000-0000334A0000}"/>
    <cellStyle name="Normal 17 4 2 2 4" xfId="11223" xr:uid="{00000000-0005-0000-0000-0000344A0000}"/>
    <cellStyle name="Normal 17 4 2 2 4 2" xfId="31143" xr:uid="{00000000-0005-0000-0000-0000354A0000}"/>
    <cellStyle name="Normal 17 4 2 2 5" xfId="17375" xr:uid="{00000000-0005-0000-0000-0000364A0000}"/>
    <cellStyle name="Normal 17 4 2 2 5 2" xfId="37295" xr:uid="{00000000-0005-0000-0000-0000374A0000}"/>
    <cellStyle name="Normal 17 4 2 2 6" xfId="24990" xr:uid="{00000000-0005-0000-0000-0000384A0000}"/>
    <cellStyle name="Normal 17 4 2 3" xfId="5761" xr:uid="{00000000-0005-0000-0000-0000394A0000}"/>
    <cellStyle name="Normal 17 4 2 3 2" xfId="8861" xr:uid="{00000000-0005-0000-0000-00003A4A0000}"/>
    <cellStyle name="Normal 17 4 2 3 2 2" xfId="15054" xr:uid="{00000000-0005-0000-0000-00003B4A0000}"/>
    <cellStyle name="Normal 17 4 2 3 2 2 2" xfId="34974" xr:uid="{00000000-0005-0000-0000-00003C4A0000}"/>
    <cellStyle name="Normal 17 4 2 3 2 3" xfId="21206" xr:uid="{00000000-0005-0000-0000-00003D4A0000}"/>
    <cellStyle name="Normal 17 4 2 3 2 3 2" xfId="41126" xr:uid="{00000000-0005-0000-0000-00003E4A0000}"/>
    <cellStyle name="Normal 17 4 2 3 2 4" xfId="28821" xr:uid="{00000000-0005-0000-0000-00003F4A0000}"/>
    <cellStyle name="Normal 17 4 2 3 3" xfId="11988" xr:uid="{00000000-0005-0000-0000-0000404A0000}"/>
    <cellStyle name="Normal 17 4 2 3 3 2" xfId="31908" xr:uid="{00000000-0005-0000-0000-0000414A0000}"/>
    <cellStyle name="Normal 17 4 2 3 4" xfId="18140" xr:uid="{00000000-0005-0000-0000-0000424A0000}"/>
    <cellStyle name="Normal 17 4 2 3 4 2" xfId="38060" xr:uid="{00000000-0005-0000-0000-0000434A0000}"/>
    <cellStyle name="Normal 17 4 2 3 5" xfId="25755" xr:uid="{00000000-0005-0000-0000-0000444A0000}"/>
    <cellStyle name="Normal 17 4 2 4" xfId="7326" xr:uid="{00000000-0005-0000-0000-0000454A0000}"/>
    <cellStyle name="Normal 17 4 2 4 2" xfId="13520" xr:uid="{00000000-0005-0000-0000-0000464A0000}"/>
    <cellStyle name="Normal 17 4 2 4 2 2" xfId="33440" xr:uid="{00000000-0005-0000-0000-0000474A0000}"/>
    <cellStyle name="Normal 17 4 2 4 3" xfId="19672" xr:uid="{00000000-0005-0000-0000-0000484A0000}"/>
    <cellStyle name="Normal 17 4 2 4 3 2" xfId="39592" xr:uid="{00000000-0005-0000-0000-0000494A0000}"/>
    <cellStyle name="Normal 17 4 2 4 4" xfId="27287" xr:uid="{00000000-0005-0000-0000-00004A4A0000}"/>
    <cellStyle name="Normal 17 4 2 5" xfId="10454" xr:uid="{00000000-0005-0000-0000-00004B4A0000}"/>
    <cellStyle name="Normal 17 4 2 5 2" xfId="30374" xr:uid="{00000000-0005-0000-0000-00004C4A0000}"/>
    <cellStyle name="Normal 17 4 2 6" xfId="16606" xr:uid="{00000000-0005-0000-0000-00004D4A0000}"/>
    <cellStyle name="Normal 17 4 2 6 2" xfId="36526" xr:uid="{00000000-0005-0000-0000-00004E4A0000}"/>
    <cellStyle name="Normal 17 4 2 7" xfId="24221" xr:uid="{00000000-0005-0000-0000-00004F4A0000}"/>
    <cellStyle name="Normal 17 4 3" xfId="4918" xr:uid="{00000000-0005-0000-0000-0000504A0000}"/>
    <cellStyle name="Normal 17 4 3 2" xfId="6543" xr:uid="{00000000-0005-0000-0000-0000514A0000}"/>
    <cellStyle name="Normal 17 4 3 2 2" xfId="9629" xr:uid="{00000000-0005-0000-0000-0000524A0000}"/>
    <cellStyle name="Normal 17 4 3 2 2 2" xfId="15822" xr:uid="{00000000-0005-0000-0000-0000534A0000}"/>
    <cellStyle name="Normal 17 4 3 2 2 2 2" xfId="35742" xr:uid="{00000000-0005-0000-0000-0000544A0000}"/>
    <cellStyle name="Normal 17 4 3 2 2 3" xfId="21974" xr:uid="{00000000-0005-0000-0000-0000554A0000}"/>
    <cellStyle name="Normal 17 4 3 2 2 3 2" xfId="41894" xr:uid="{00000000-0005-0000-0000-0000564A0000}"/>
    <cellStyle name="Normal 17 4 3 2 2 4" xfId="29589" xr:uid="{00000000-0005-0000-0000-0000574A0000}"/>
    <cellStyle name="Normal 17 4 3 2 3" xfId="12756" xr:uid="{00000000-0005-0000-0000-0000584A0000}"/>
    <cellStyle name="Normal 17 4 3 2 3 2" xfId="32676" xr:uid="{00000000-0005-0000-0000-0000594A0000}"/>
    <cellStyle name="Normal 17 4 3 2 4" xfId="18908" xr:uid="{00000000-0005-0000-0000-00005A4A0000}"/>
    <cellStyle name="Normal 17 4 3 2 4 2" xfId="38828" xr:uid="{00000000-0005-0000-0000-00005B4A0000}"/>
    <cellStyle name="Normal 17 4 3 2 5" xfId="26523" xr:uid="{00000000-0005-0000-0000-00005C4A0000}"/>
    <cellStyle name="Normal 17 4 3 3" xfId="8094" xr:uid="{00000000-0005-0000-0000-00005D4A0000}"/>
    <cellStyle name="Normal 17 4 3 3 2" xfId="14288" xr:uid="{00000000-0005-0000-0000-00005E4A0000}"/>
    <cellStyle name="Normal 17 4 3 3 2 2" xfId="34208" xr:uid="{00000000-0005-0000-0000-00005F4A0000}"/>
    <cellStyle name="Normal 17 4 3 3 3" xfId="20440" xr:uid="{00000000-0005-0000-0000-0000604A0000}"/>
    <cellStyle name="Normal 17 4 3 3 3 2" xfId="40360" xr:uid="{00000000-0005-0000-0000-0000614A0000}"/>
    <cellStyle name="Normal 17 4 3 3 4" xfId="28055" xr:uid="{00000000-0005-0000-0000-0000624A0000}"/>
    <cellStyle name="Normal 17 4 3 4" xfId="11222" xr:uid="{00000000-0005-0000-0000-0000634A0000}"/>
    <cellStyle name="Normal 17 4 3 4 2" xfId="31142" xr:uid="{00000000-0005-0000-0000-0000644A0000}"/>
    <cellStyle name="Normal 17 4 3 5" xfId="17374" xr:uid="{00000000-0005-0000-0000-0000654A0000}"/>
    <cellStyle name="Normal 17 4 3 5 2" xfId="37294" xr:uid="{00000000-0005-0000-0000-0000664A0000}"/>
    <cellStyle name="Normal 17 4 3 6" xfId="24989" xr:uid="{00000000-0005-0000-0000-0000674A0000}"/>
    <cellStyle name="Normal 17 4 4" xfId="5760" xr:uid="{00000000-0005-0000-0000-0000684A0000}"/>
    <cellStyle name="Normal 17 4 4 2" xfId="8860" xr:uid="{00000000-0005-0000-0000-0000694A0000}"/>
    <cellStyle name="Normal 17 4 4 2 2" xfId="15053" xr:uid="{00000000-0005-0000-0000-00006A4A0000}"/>
    <cellStyle name="Normal 17 4 4 2 2 2" xfId="34973" xr:uid="{00000000-0005-0000-0000-00006B4A0000}"/>
    <cellStyle name="Normal 17 4 4 2 3" xfId="21205" xr:uid="{00000000-0005-0000-0000-00006C4A0000}"/>
    <cellStyle name="Normal 17 4 4 2 3 2" xfId="41125" xr:uid="{00000000-0005-0000-0000-00006D4A0000}"/>
    <cellStyle name="Normal 17 4 4 2 4" xfId="28820" xr:uid="{00000000-0005-0000-0000-00006E4A0000}"/>
    <cellStyle name="Normal 17 4 4 3" xfId="11987" xr:uid="{00000000-0005-0000-0000-00006F4A0000}"/>
    <cellStyle name="Normal 17 4 4 3 2" xfId="31907" xr:uid="{00000000-0005-0000-0000-0000704A0000}"/>
    <cellStyle name="Normal 17 4 4 4" xfId="18139" xr:uid="{00000000-0005-0000-0000-0000714A0000}"/>
    <cellStyle name="Normal 17 4 4 4 2" xfId="38059" xr:uid="{00000000-0005-0000-0000-0000724A0000}"/>
    <cellStyle name="Normal 17 4 4 5" xfId="25754" xr:uid="{00000000-0005-0000-0000-0000734A0000}"/>
    <cellStyle name="Normal 17 4 5" xfId="7325" xr:uid="{00000000-0005-0000-0000-0000744A0000}"/>
    <cellStyle name="Normal 17 4 5 2" xfId="13519" xr:uid="{00000000-0005-0000-0000-0000754A0000}"/>
    <cellStyle name="Normal 17 4 5 2 2" xfId="33439" xr:uid="{00000000-0005-0000-0000-0000764A0000}"/>
    <cellStyle name="Normal 17 4 5 3" xfId="19671" xr:uid="{00000000-0005-0000-0000-0000774A0000}"/>
    <cellStyle name="Normal 17 4 5 3 2" xfId="39591" xr:uid="{00000000-0005-0000-0000-0000784A0000}"/>
    <cellStyle name="Normal 17 4 5 4" xfId="27286" xr:uid="{00000000-0005-0000-0000-0000794A0000}"/>
    <cellStyle name="Normal 17 4 6" xfId="10453" xr:uid="{00000000-0005-0000-0000-00007A4A0000}"/>
    <cellStyle name="Normal 17 4 6 2" xfId="30373" xr:uid="{00000000-0005-0000-0000-00007B4A0000}"/>
    <cellStyle name="Normal 17 4 7" xfId="16605" xr:uid="{00000000-0005-0000-0000-00007C4A0000}"/>
    <cellStyle name="Normal 17 4 7 2" xfId="36525" xr:uid="{00000000-0005-0000-0000-00007D4A0000}"/>
    <cellStyle name="Normal 17 4 8" xfId="24220" xr:uid="{00000000-0005-0000-0000-00007E4A0000}"/>
    <cellStyle name="Normal 17 5" xfId="3399" xr:uid="{00000000-0005-0000-0000-00007F4A0000}"/>
    <cellStyle name="Normal 17 5 2" xfId="3400" xr:uid="{00000000-0005-0000-0000-0000804A0000}"/>
    <cellStyle name="Normal 17 5 2 2" xfId="4920" xr:uid="{00000000-0005-0000-0000-0000814A0000}"/>
    <cellStyle name="Normal 17 5 2 2 2" xfId="6545" xr:uid="{00000000-0005-0000-0000-0000824A0000}"/>
    <cellStyle name="Normal 17 5 2 2 2 2" xfId="9631" xr:uid="{00000000-0005-0000-0000-0000834A0000}"/>
    <cellStyle name="Normal 17 5 2 2 2 2 2" xfId="15824" xr:uid="{00000000-0005-0000-0000-0000844A0000}"/>
    <cellStyle name="Normal 17 5 2 2 2 2 2 2" xfId="35744" xr:uid="{00000000-0005-0000-0000-0000854A0000}"/>
    <cellStyle name="Normal 17 5 2 2 2 2 3" xfId="21976" xr:uid="{00000000-0005-0000-0000-0000864A0000}"/>
    <cellStyle name="Normal 17 5 2 2 2 2 3 2" xfId="41896" xr:uid="{00000000-0005-0000-0000-0000874A0000}"/>
    <cellStyle name="Normal 17 5 2 2 2 2 4" xfId="29591" xr:uid="{00000000-0005-0000-0000-0000884A0000}"/>
    <cellStyle name="Normal 17 5 2 2 2 3" xfId="12758" xr:uid="{00000000-0005-0000-0000-0000894A0000}"/>
    <cellStyle name="Normal 17 5 2 2 2 3 2" xfId="32678" xr:uid="{00000000-0005-0000-0000-00008A4A0000}"/>
    <cellStyle name="Normal 17 5 2 2 2 4" xfId="18910" xr:uid="{00000000-0005-0000-0000-00008B4A0000}"/>
    <cellStyle name="Normal 17 5 2 2 2 4 2" xfId="38830" xr:uid="{00000000-0005-0000-0000-00008C4A0000}"/>
    <cellStyle name="Normal 17 5 2 2 2 5" xfId="26525" xr:uid="{00000000-0005-0000-0000-00008D4A0000}"/>
    <cellStyle name="Normal 17 5 2 2 3" xfId="8096" xr:uid="{00000000-0005-0000-0000-00008E4A0000}"/>
    <cellStyle name="Normal 17 5 2 2 3 2" xfId="14290" xr:uid="{00000000-0005-0000-0000-00008F4A0000}"/>
    <cellStyle name="Normal 17 5 2 2 3 2 2" xfId="34210" xr:uid="{00000000-0005-0000-0000-0000904A0000}"/>
    <cellStyle name="Normal 17 5 2 2 3 3" xfId="20442" xr:uid="{00000000-0005-0000-0000-0000914A0000}"/>
    <cellStyle name="Normal 17 5 2 2 3 3 2" xfId="40362" xr:uid="{00000000-0005-0000-0000-0000924A0000}"/>
    <cellStyle name="Normal 17 5 2 2 3 4" xfId="28057" xr:uid="{00000000-0005-0000-0000-0000934A0000}"/>
    <cellStyle name="Normal 17 5 2 2 4" xfId="11224" xr:uid="{00000000-0005-0000-0000-0000944A0000}"/>
    <cellStyle name="Normal 17 5 2 2 4 2" xfId="31144" xr:uid="{00000000-0005-0000-0000-0000954A0000}"/>
    <cellStyle name="Normal 17 5 2 2 5" xfId="17376" xr:uid="{00000000-0005-0000-0000-0000964A0000}"/>
    <cellStyle name="Normal 17 5 2 2 5 2" xfId="37296" xr:uid="{00000000-0005-0000-0000-0000974A0000}"/>
    <cellStyle name="Normal 17 5 2 2 6" xfId="24991" xr:uid="{00000000-0005-0000-0000-0000984A0000}"/>
    <cellStyle name="Normal 17 5 2 3" xfId="5762" xr:uid="{00000000-0005-0000-0000-0000994A0000}"/>
    <cellStyle name="Normal 17 5 2 3 2" xfId="8862" xr:uid="{00000000-0005-0000-0000-00009A4A0000}"/>
    <cellStyle name="Normal 17 5 2 3 2 2" xfId="15055" xr:uid="{00000000-0005-0000-0000-00009B4A0000}"/>
    <cellStyle name="Normal 17 5 2 3 2 2 2" xfId="34975" xr:uid="{00000000-0005-0000-0000-00009C4A0000}"/>
    <cellStyle name="Normal 17 5 2 3 2 3" xfId="21207" xr:uid="{00000000-0005-0000-0000-00009D4A0000}"/>
    <cellStyle name="Normal 17 5 2 3 2 3 2" xfId="41127" xr:uid="{00000000-0005-0000-0000-00009E4A0000}"/>
    <cellStyle name="Normal 17 5 2 3 2 4" xfId="28822" xr:uid="{00000000-0005-0000-0000-00009F4A0000}"/>
    <cellStyle name="Normal 17 5 2 3 3" xfId="11989" xr:uid="{00000000-0005-0000-0000-0000A04A0000}"/>
    <cellStyle name="Normal 17 5 2 3 3 2" xfId="31909" xr:uid="{00000000-0005-0000-0000-0000A14A0000}"/>
    <cellStyle name="Normal 17 5 2 3 4" xfId="18141" xr:uid="{00000000-0005-0000-0000-0000A24A0000}"/>
    <cellStyle name="Normal 17 5 2 3 4 2" xfId="38061" xr:uid="{00000000-0005-0000-0000-0000A34A0000}"/>
    <cellStyle name="Normal 17 5 2 3 5" xfId="25756" xr:uid="{00000000-0005-0000-0000-0000A44A0000}"/>
    <cellStyle name="Normal 17 5 2 4" xfId="7327" xr:uid="{00000000-0005-0000-0000-0000A54A0000}"/>
    <cellStyle name="Normal 17 5 2 4 2" xfId="13521" xr:uid="{00000000-0005-0000-0000-0000A64A0000}"/>
    <cellStyle name="Normal 17 5 2 4 2 2" xfId="33441" xr:uid="{00000000-0005-0000-0000-0000A74A0000}"/>
    <cellStyle name="Normal 17 5 2 4 3" xfId="19673" xr:uid="{00000000-0005-0000-0000-0000A84A0000}"/>
    <cellStyle name="Normal 17 5 2 4 3 2" xfId="39593" xr:uid="{00000000-0005-0000-0000-0000A94A0000}"/>
    <cellStyle name="Normal 17 5 2 4 4" xfId="27288" xr:uid="{00000000-0005-0000-0000-0000AA4A0000}"/>
    <cellStyle name="Normal 17 5 2 5" xfId="10455" xr:uid="{00000000-0005-0000-0000-0000AB4A0000}"/>
    <cellStyle name="Normal 17 5 2 5 2" xfId="30375" xr:uid="{00000000-0005-0000-0000-0000AC4A0000}"/>
    <cellStyle name="Normal 17 5 2 6" xfId="16607" xr:uid="{00000000-0005-0000-0000-0000AD4A0000}"/>
    <cellStyle name="Normal 17 5 2 6 2" xfId="36527" xr:uid="{00000000-0005-0000-0000-0000AE4A0000}"/>
    <cellStyle name="Normal 17 5 2 7" xfId="24222" xr:uid="{00000000-0005-0000-0000-0000AF4A0000}"/>
    <cellStyle name="Normal 17 6" xfId="3401" xr:uid="{00000000-0005-0000-0000-0000B04A0000}"/>
    <cellStyle name="Normal 17 6 2" xfId="4921" xr:uid="{00000000-0005-0000-0000-0000B14A0000}"/>
    <cellStyle name="Normal 17 6 2 2" xfId="6546" xr:uid="{00000000-0005-0000-0000-0000B24A0000}"/>
    <cellStyle name="Normal 17 6 2 2 2" xfId="9632" xr:uid="{00000000-0005-0000-0000-0000B34A0000}"/>
    <cellStyle name="Normal 17 6 2 2 2 2" xfId="15825" xr:uid="{00000000-0005-0000-0000-0000B44A0000}"/>
    <cellStyle name="Normal 17 6 2 2 2 2 2" xfId="35745" xr:uid="{00000000-0005-0000-0000-0000B54A0000}"/>
    <cellStyle name="Normal 17 6 2 2 2 3" xfId="21977" xr:uid="{00000000-0005-0000-0000-0000B64A0000}"/>
    <cellStyle name="Normal 17 6 2 2 2 3 2" xfId="41897" xr:uid="{00000000-0005-0000-0000-0000B74A0000}"/>
    <cellStyle name="Normal 17 6 2 2 2 4" xfId="29592" xr:uid="{00000000-0005-0000-0000-0000B84A0000}"/>
    <cellStyle name="Normal 17 6 2 2 3" xfId="12759" xr:uid="{00000000-0005-0000-0000-0000B94A0000}"/>
    <cellStyle name="Normal 17 6 2 2 3 2" xfId="32679" xr:uid="{00000000-0005-0000-0000-0000BA4A0000}"/>
    <cellStyle name="Normal 17 6 2 2 4" xfId="18911" xr:uid="{00000000-0005-0000-0000-0000BB4A0000}"/>
    <cellStyle name="Normal 17 6 2 2 4 2" xfId="38831" xr:uid="{00000000-0005-0000-0000-0000BC4A0000}"/>
    <cellStyle name="Normal 17 6 2 2 5" xfId="26526" xr:uid="{00000000-0005-0000-0000-0000BD4A0000}"/>
    <cellStyle name="Normal 17 6 2 3" xfId="8097" xr:uid="{00000000-0005-0000-0000-0000BE4A0000}"/>
    <cellStyle name="Normal 17 6 2 3 2" xfId="14291" xr:uid="{00000000-0005-0000-0000-0000BF4A0000}"/>
    <cellStyle name="Normal 17 6 2 3 2 2" xfId="34211" xr:uid="{00000000-0005-0000-0000-0000C04A0000}"/>
    <cellStyle name="Normal 17 6 2 3 3" xfId="20443" xr:uid="{00000000-0005-0000-0000-0000C14A0000}"/>
    <cellStyle name="Normal 17 6 2 3 3 2" xfId="40363" xr:uid="{00000000-0005-0000-0000-0000C24A0000}"/>
    <cellStyle name="Normal 17 6 2 3 4" xfId="28058" xr:uid="{00000000-0005-0000-0000-0000C34A0000}"/>
    <cellStyle name="Normal 17 6 2 4" xfId="11225" xr:uid="{00000000-0005-0000-0000-0000C44A0000}"/>
    <cellStyle name="Normal 17 6 2 4 2" xfId="31145" xr:uid="{00000000-0005-0000-0000-0000C54A0000}"/>
    <cellStyle name="Normal 17 6 2 5" xfId="17377" xr:uid="{00000000-0005-0000-0000-0000C64A0000}"/>
    <cellStyle name="Normal 17 6 2 5 2" xfId="37297" xr:uid="{00000000-0005-0000-0000-0000C74A0000}"/>
    <cellStyle name="Normal 17 6 2 6" xfId="24992" xr:uid="{00000000-0005-0000-0000-0000C84A0000}"/>
    <cellStyle name="Normal 17 6 3" xfId="5763" xr:uid="{00000000-0005-0000-0000-0000C94A0000}"/>
    <cellStyle name="Normal 17 6 3 2" xfId="8863" xr:uid="{00000000-0005-0000-0000-0000CA4A0000}"/>
    <cellStyle name="Normal 17 6 3 2 2" xfId="15056" xr:uid="{00000000-0005-0000-0000-0000CB4A0000}"/>
    <cellStyle name="Normal 17 6 3 2 2 2" xfId="34976" xr:uid="{00000000-0005-0000-0000-0000CC4A0000}"/>
    <cellStyle name="Normal 17 6 3 2 3" xfId="21208" xr:uid="{00000000-0005-0000-0000-0000CD4A0000}"/>
    <cellStyle name="Normal 17 6 3 2 3 2" xfId="41128" xr:uid="{00000000-0005-0000-0000-0000CE4A0000}"/>
    <cellStyle name="Normal 17 6 3 2 4" xfId="28823" xr:uid="{00000000-0005-0000-0000-0000CF4A0000}"/>
    <cellStyle name="Normal 17 6 3 3" xfId="11990" xr:uid="{00000000-0005-0000-0000-0000D04A0000}"/>
    <cellStyle name="Normal 17 6 3 3 2" xfId="31910" xr:uid="{00000000-0005-0000-0000-0000D14A0000}"/>
    <cellStyle name="Normal 17 6 3 4" xfId="18142" xr:uid="{00000000-0005-0000-0000-0000D24A0000}"/>
    <cellStyle name="Normal 17 6 3 4 2" xfId="38062" xr:uid="{00000000-0005-0000-0000-0000D34A0000}"/>
    <cellStyle name="Normal 17 6 3 5" xfId="25757" xr:uid="{00000000-0005-0000-0000-0000D44A0000}"/>
    <cellStyle name="Normal 17 6 4" xfId="7328" xr:uid="{00000000-0005-0000-0000-0000D54A0000}"/>
    <cellStyle name="Normal 17 6 4 2" xfId="13522" xr:uid="{00000000-0005-0000-0000-0000D64A0000}"/>
    <cellStyle name="Normal 17 6 4 2 2" xfId="33442" xr:uid="{00000000-0005-0000-0000-0000D74A0000}"/>
    <cellStyle name="Normal 17 6 4 3" xfId="19674" xr:uid="{00000000-0005-0000-0000-0000D84A0000}"/>
    <cellStyle name="Normal 17 6 4 3 2" xfId="39594" xr:uid="{00000000-0005-0000-0000-0000D94A0000}"/>
    <cellStyle name="Normal 17 6 4 4" xfId="27289" xr:uid="{00000000-0005-0000-0000-0000DA4A0000}"/>
    <cellStyle name="Normal 17 6 5" xfId="10456" xr:uid="{00000000-0005-0000-0000-0000DB4A0000}"/>
    <cellStyle name="Normal 17 6 5 2" xfId="30376" xr:uid="{00000000-0005-0000-0000-0000DC4A0000}"/>
    <cellStyle name="Normal 17 6 6" xfId="16608" xr:uid="{00000000-0005-0000-0000-0000DD4A0000}"/>
    <cellStyle name="Normal 17 6 6 2" xfId="36528" xr:uid="{00000000-0005-0000-0000-0000DE4A0000}"/>
    <cellStyle name="Normal 17 6 7" xfId="24223" xr:uid="{00000000-0005-0000-0000-0000DF4A0000}"/>
    <cellStyle name="Normal 18" xfId="256" xr:uid="{00000000-0005-0000-0000-0000E04A0000}"/>
    <cellStyle name="Normal 18 2" xfId="3402" xr:uid="{00000000-0005-0000-0000-0000E14A0000}"/>
    <cellStyle name="Normal 19" xfId="272" xr:uid="{00000000-0005-0000-0000-0000E24A0000}"/>
    <cellStyle name="Normal 19 2" xfId="3403" xr:uid="{00000000-0005-0000-0000-0000E34A0000}"/>
    <cellStyle name="Normal 19 2 2" xfId="3404" xr:uid="{00000000-0005-0000-0000-0000E44A0000}"/>
    <cellStyle name="Normal 19 2 2 2" xfId="3405" xr:uid="{00000000-0005-0000-0000-0000E54A0000}"/>
    <cellStyle name="Normal 19 2 3" xfId="3406" xr:uid="{00000000-0005-0000-0000-0000E64A0000}"/>
    <cellStyle name="Normal 19 3" xfId="3407" xr:uid="{00000000-0005-0000-0000-0000E74A0000}"/>
    <cellStyle name="Normal 2" xfId="4" xr:uid="{00000000-0005-0000-0000-0000E84A0000}"/>
    <cellStyle name="Normal 2 10" xfId="1108" xr:uid="{00000000-0005-0000-0000-0000E94A0000}"/>
    <cellStyle name="Normal 2 10 2" xfId="4546" xr:uid="{00000000-0005-0000-0000-0000EA4A0000}"/>
    <cellStyle name="Normal 2 10 3" xfId="3408" xr:uid="{00000000-0005-0000-0000-0000EB4A0000}"/>
    <cellStyle name="Normal 2 10 3 2" xfId="4922" xr:uid="{00000000-0005-0000-0000-0000EC4A0000}"/>
    <cellStyle name="Normal 2 10 3 2 2" xfId="6547" xr:uid="{00000000-0005-0000-0000-0000ED4A0000}"/>
    <cellStyle name="Normal 2 10 3 2 2 2" xfId="9633" xr:uid="{00000000-0005-0000-0000-0000EE4A0000}"/>
    <cellStyle name="Normal 2 10 3 2 2 2 2" xfId="15826" xr:uid="{00000000-0005-0000-0000-0000EF4A0000}"/>
    <cellStyle name="Normal 2 10 3 2 2 2 2 2" xfId="35746" xr:uid="{00000000-0005-0000-0000-0000F04A0000}"/>
    <cellStyle name="Normal 2 10 3 2 2 2 3" xfId="21978" xr:uid="{00000000-0005-0000-0000-0000F14A0000}"/>
    <cellStyle name="Normal 2 10 3 2 2 2 3 2" xfId="41898" xr:uid="{00000000-0005-0000-0000-0000F24A0000}"/>
    <cellStyle name="Normal 2 10 3 2 2 2 4" xfId="29593" xr:uid="{00000000-0005-0000-0000-0000F34A0000}"/>
    <cellStyle name="Normal 2 10 3 2 2 3" xfId="12760" xr:uid="{00000000-0005-0000-0000-0000F44A0000}"/>
    <cellStyle name="Normal 2 10 3 2 2 3 2" xfId="32680" xr:uid="{00000000-0005-0000-0000-0000F54A0000}"/>
    <cellStyle name="Normal 2 10 3 2 2 4" xfId="18912" xr:uid="{00000000-0005-0000-0000-0000F64A0000}"/>
    <cellStyle name="Normal 2 10 3 2 2 4 2" xfId="38832" xr:uid="{00000000-0005-0000-0000-0000F74A0000}"/>
    <cellStyle name="Normal 2 10 3 2 2 5" xfId="26527" xr:uid="{00000000-0005-0000-0000-0000F84A0000}"/>
    <cellStyle name="Normal 2 10 3 2 3" xfId="8098" xr:uid="{00000000-0005-0000-0000-0000F94A0000}"/>
    <cellStyle name="Normal 2 10 3 2 3 2" xfId="14292" xr:uid="{00000000-0005-0000-0000-0000FA4A0000}"/>
    <cellStyle name="Normal 2 10 3 2 3 2 2" xfId="34212" xr:uid="{00000000-0005-0000-0000-0000FB4A0000}"/>
    <cellStyle name="Normal 2 10 3 2 3 3" xfId="20444" xr:uid="{00000000-0005-0000-0000-0000FC4A0000}"/>
    <cellStyle name="Normal 2 10 3 2 3 3 2" xfId="40364" xr:uid="{00000000-0005-0000-0000-0000FD4A0000}"/>
    <cellStyle name="Normal 2 10 3 2 3 4" xfId="28059" xr:uid="{00000000-0005-0000-0000-0000FE4A0000}"/>
    <cellStyle name="Normal 2 10 3 2 4" xfId="11226" xr:uid="{00000000-0005-0000-0000-0000FF4A0000}"/>
    <cellStyle name="Normal 2 10 3 2 4 2" xfId="31146" xr:uid="{00000000-0005-0000-0000-0000004B0000}"/>
    <cellStyle name="Normal 2 10 3 2 5" xfId="17378" xr:uid="{00000000-0005-0000-0000-0000014B0000}"/>
    <cellStyle name="Normal 2 10 3 2 5 2" xfId="37298" xr:uid="{00000000-0005-0000-0000-0000024B0000}"/>
    <cellStyle name="Normal 2 10 3 2 6" xfId="24993" xr:uid="{00000000-0005-0000-0000-0000034B0000}"/>
    <cellStyle name="Normal 2 10 3 3" xfId="5764" xr:uid="{00000000-0005-0000-0000-0000044B0000}"/>
    <cellStyle name="Normal 2 10 3 3 2" xfId="8864" xr:uid="{00000000-0005-0000-0000-0000054B0000}"/>
    <cellStyle name="Normal 2 10 3 3 2 2" xfId="15057" xr:uid="{00000000-0005-0000-0000-0000064B0000}"/>
    <cellStyle name="Normal 2 10 3 3 2 2 2" xfId="34977" xr:uid="{00000000-0005-0000-0000-0000074B0000}"/>
    <cellStyle name="Normal 2 10 3 3 2 3" xfId="21209" xr:uid="{00000000-0005-0000-0000-0000084B0000}"/>
    <cellStyle name="Normal 2 10 3 3 2 3 2" xfId="41129" xr:uid="{00000000-0005-0000-0000-0000094B0000}"/>
    <cellStyle name="Normal 2 10 3 3 2 4" xfId="28824" xr:uid="{00000000-0005-0000-0000-00000A4B0000}"/>
    <cellStyle name="Normal 2 10 3 3 3" xfId="11991" xr:uid="{00000000-0005-0000-0000-00000B4B0000}"/>
    <cellStyle name="Normal 2 10 3 3 3 2" xfId="31911" xr:uid="{00000000-0005-0000-0000-00000C4B0000}"/>
    <cellStyle name="Normal 2 10 3 3 4" xfId="18143" xr:uid="{00000000-0005-0000-0000-00000D4B0000}"/>
    <cellStyle name="Normal 2 10 3 3 4 2" xfId="38063" xr:uid="{00000000-0005-0000-0000-00000E4B0000}"/>
    <cellStyle name="Normal 2 10 3 3 5" xfId="25758" xr:uid="{00000000-0005-0000-0000-00000F4B0000}"/>
    <cellStyle name="Normal 2 10 3 4" xfId="7329" xr:uid="{00000000-0005-0000-0000-0000104B0000}"/>
    <cellStyle name="Normal 2 10 3 4 2" xfId="13523" xr:uid="{00000000-0005-0000-0000-0000114B0000}"/>
    <cellStyle name="Normal 2 10 3 4 2 2" xfId="33443" xr:uid="{00000000-0005-0000-0000-0000124B0000}"/>
    <cellStyle name="Normal 2 10 3 4 3" xfId="19675" xr:uid="{00000000-0005-0000-0000-0000134B0000}"/>
    <cellStyle name="Normal 2 10 3 4 3 2" xfId="39595" xr:uid="{00000000-0005-0000-0000-0000144B0000}"/>
    <cellStyle name="Normal 2 10 3 4 4" xfId="27290" xr:uid="{00000000-0005-0000-0000-0000154B0000}"/>
    <cellStyle name="Normal 2 10 3 5" xfId="10457" xr:uid="{00000000-0005-0000-0000-0000164B0000}"/>
    <cellStyle name="Normal 2 10 3 5 2" xfId="30377" xr:uid="{00000000-0005-0000-0000-0000174B0000}"/>
    <cellStyle name="Normal 2 10 3 6" xfId="16609" xr:uid="{00000000-0005-0000-0000-0000184B0000}"/>
    <cellStyle name="Normal 2 10 3 6 2" xfId="36529" xr:uid="{00000000-0005-0000-0000-0000194B0000}"/>
    <cellStyle name="Normal 2 10 3 7" xfId="24224" xr:uid="{00000000-0005-0000-0000-00001A4B0000}"/>
    <cellStyle name="Normal 2 11" xfId="1109" xr:uid="{00000000-0005-0000-0000-00001B4B0000}"/>
    <cellStyle name="Normal 2 11 2" xfId="4547" xr:uid="{00000000-0005-0000-0000-00001C4B0000}"/>
    <cellStyle name="Normal 2 11 3" xfId="3409" xr:uid="{00000000-0005-0000-0000-00001D4B0000}"/>
    <cellStyle name="Normal 2 11 3 2" xfId="4923" xr:uid="{00000000-0005-0000-0000-00001E4B0000}"/>
    <cellStyle name="Normal 2 11 3 2 2" xfId="6548" xr:uid="{00000000-0005-0000-0000-00001F4B0000}"/>
    <cellStyle name="Normal 2 11 3 2 2 2" xfId="9634" xr:uid="{00000000-0005-0000-0000-0000204B0000}"/>
    <cellStyle name="Normal 2 11 3 2 2 2 2" xfId="15827" xr:uid="{00000000-0005-0000-0000-0000214B0000}"/>
    <cellStyle name="Normal 2 11 3 2 2 2 2 2" xfId="35747" xr:uid="{00000000-0005-0000-0000-0000224B0000}"/>
    <cellStyle name="Normal 2 11 3 2 2 2 3" xfId="21979" xr:uid="{00000000-0005-0000-0000-0000234B0000}"/>
    <cellStyle name="Normal 2 11 3 2 2 2 3 2" xfId="41899" xr:uid="{00000000-0005-0000-0000-0000244B0000}"/>
    <cellStyle name="Normal 2 11 3 2 2 2 4" xfId="29594" xr:uid="{00000000-0005-0000-0000-0000254B0000}"/>
    <cellStyle name="Normal 2 11 3 2 2 3" xfId="12761" xr:uid="{00000000-0005-0000-0000-0000264B0000}"/>
    <cellStyle name="Normal 2 11 3 2 2 3 2" xfId="32681" xr:uid="{00000000-0005-0000-0000-0000274B0000}"/>
    <cellStyle name="Normal 2 11 3 2 2 4" xfId="18913" xr:uid="{00000000-0005-0000-0000-0000284B0000}"/>
    <cellStyle name="Normal 2 11 3 2 2 4 2" xfId="38833" xr:uid="{00000000-0005-0000-0000-0000294B0000}"/>
    <cellStyle name="Normal 2 11 3 2 2 5" xfId="26528" xr:uid="{00000000-0005-0000-0000-00002A4B0000}"/>
    <cellStyle name="Normal 2 11 3 2 3" xfId="8099" xr:uid="{00000000-0005-0000-0000-00002B4B0000}"/>
    <cellStyle name="Normal 2 11 3 2 3 2" xfId="14293" xr:uid="{00000000-0005-0000-0000-00002C4B0000}"/>
    <cellStyle name="Normal 2 11 3 2 3 2 2" xfId="34213" xr:uid="{00000000-0005-0000-0000-00002D4B0000}"/>
    <cellStyle name="Normal 2 11 3 2 3 3" xfId="20445" xr:uid="{00000000-0005-0000-0000-00002E4B0000}"/>
    <cellStyle name="Normal 2 11 3 2 3 3 2" xfId="40365" xr:uid="{00000000-0005-0000-0000-00002F4B0000}"/>
    <cellStyle name="Normal 2 11 3 2 3 4" xfId="28060" xr:uid="{00000000-0005-0000-0000-0000304B0000}"/>
    <cellStyle name="Normal 2 11 3 2 4" xfId="11227" xr:uid="{00000000-0005-0000-0000-0000314B0000}"/>
    <cellStyle name="Normal 2 11 3 2 4 2" xfId="31147" xr:uid="{00000000-0005-0000-0000-0000324B0000}"/>
    <cellStyle name="Normal 2 11 3 2 5" xfId="17379" xr:uid="{00000000-0005-0000-0000-0000334B0000}"/>
    <cellStyle name="Normal 2 11 3 2 5 2" xfId="37299" xr:uid="{00000000-0005-0000-0000-0000344B0000}"/>
    <cellStyle name="Normal 2 11 3 2 6" xfId="24994" xr:uid="{00000000-0005-0000-0000-0000354B0000}"/>
    <cellStyle name="Normal 2 11 3 3" xfId="5765" xr:uid="{00000000-0005-0000-0000-0000364B0000}"/>
    <cellStyle name="Normal 2 11 3 3 2" xfId="8865" xr:uid="{00000000-0005-0000-0000-0000374B0000}"/>
    <cellStyle name="Normal 2 11 3 3 2 2" xfId="15058" xr:uid="{00000000-0005-0000-0000-0000384B0000}"/>
    <cellStyle name="Normal 2 11 3 3 2 2 2" xfId="34978" xr:uid="{00000000-0005-0000-0000-0000394B0000}"/>
    <cellStyle name="Normal 2 11 3 3 2 3" xfId="21210" xr:uid="{00000000-0005-0000-0000-00003A4B0000}"/>
    <cellStyle name="Normal 2 11 3 3 2 3 2" xfId="41130" xr:uid="{00000000-0005-0000-0000-00003B4B0000}"/>
    <cellStyle name="Normal 2 11 3 3 2 4" xfId="28825" xr:uid="{00000000-0005-0000-0000-00003C4B0000}"/>
    <cellStyle name="Normal 2 11 3 3 3" xfId="11992" xr:uid="{00000000-0005-0000-0000-00003D4B0000}"/>
    <cellStyle name="Normal 2 11 3 3 3 2" xfId="31912" xr:uid="{00000000-0005-0000-0000-00003E4B0000}"/>
    <cellStyle name="Normal 2 11 3 3 4" xfId="18144" xr:uid="{00000000-0005-0000-0000-00003F4B0000}"/>
    <cellStyle name="Normal 2 11 3 3 4 2" xfId="38064" xr:uid="{00000000-0005-0000-0000-0000404B0000}"/>
    <cellStyle name="Normal 2 11 3 3 5" xfId="25759" xr:uid="{00000000-0005-0000-0000-0000414B0000}"/>
    <cellStyle name="Normal 2 11 3 4" xfId="7330" xr:uid="{00000000-0005-0000-0000-0000424B0000}"/>
    <cellStyle name="Normal 2 11 3 4 2" xfId="13524" xr:uid="{00000000-0005-0000-0000-0000434B0000}"/>
    <cellStyle name="Normal 2 11 3 4 2 2" xfId="33444" xr:uid="{00000000-0005-0000-0000-0000444B0000}"/>
    <cellStyle name="Normal 2 11 3 4 3" xfId="19676" xr:uid="{00000000-0005-0000-0000-0000454B0000}"/>
    <cellStyle name="Normal 2 11 3 4 3 2" xfId="39596" xr:uid="{00000000-0005-0000-0000-0000464B0000}"/>
    <cellStyle name="Normal 2 11 3 4 4" xfId="27291" xr:uid="{00000000-0005-0000-0000-0000474B0000}"/>
    <cellStyle name="Normal 2 11 3 5" xfId="10458" xr:uid="{00000000-0005-0000-0000-0000484B0000}"/>
    <cellStyle name="Normal 2 11 3 5 2" xfId="30378" xr:uid="{00000000-0005-0000-0000-0000494B0000}"/>
    <cellStyle name="Normal 2 11 3 6" xfId="16610" xr:uid="{00000000-0005-0000-0000-00004A4B0000}"/>
    <cellStyle name="Normal 2 11 3 6 2" xfId="36530" xr:uid="{00000000-0005-0000-0000-00004B4B0000}"/>
    <cellStyle name="Normal 2 11 3 7" xfId="24225" xr:uid="{00000000-0005-0000-0000-00004C4B0000}"/>
    <cellStyle name="Normal 2 12" xfId="1110" xr:uid="{00000000-0005-0000-0000-00004D4B0000}"/>
    <cellStyle name="Normal 2 12 2" xfId="4548" xr:uid="{00000000-0005-0000-0000-00004E4B0000}"/>
    <cellStyle name="Normal 2 12 3" xfId="3410" xr:uid="{00000000-0005-0000-0000-00004F4B0000}"/>
    <cellStyle name="Normal 2 12 3 2" xfId="4924" xr:uid="{00000000-0005-0000-0000-0000504B0000}"/>
    <cellStyle name="Normal 2 12 3 2 2" xfId="6549" xr:uid="{00000000-0005-0000-0000-0000514B0000}"/>
    <cellStyle name="Normal 2 12 3 2 2 2" xfId="9635" xr:uid="{00000000-0005-0000-0000-0000524B0000}"/>
    <cellStyle name="Normal 2 12 3 2 2 2 2" xfId="15828" xr:uid="{00000000-0005-0000-0000-0000534B0000}"/>
    <cellStyle name="Normal 2 12 3 2 2 2 2 2" xfId="35748" xr:uid="{00000000-0005-0000-0000-0000544B0000}"/>
    <cellStyle name="Normal 2 12 3 2 2 2 3" xfId="21980" xr:uid="{00000000-0005-0000-0000-0000554B0000}"/>
    <cellStyle name="Normal 2 12 3 2 2 2 3 2" xfId="41900" xr:uid="{00000000-0005-0000-0000-0000564B0000}"/>
    <cellStyle name="Normal 2 12 3 2 2 2 4" xfId="29595" xr:uid="{00000000-0005-0000-0000-0000574B0000}"/>
    <cellStyle name="Normal 2 12 3 2 2 3" xfId="12762" xr:uid="{00000000-0005-0000-0000-0000584B0000}"/>
    <cellStyle name="Normal 2 12 3 2 2 3 2" xfId="32682" xr:uid="{00000000-0005-0000-0000-0000594B0000}"/>
    <cellStyle name="Normal 2 12 3 2 2 4" xfId="18914" xr:uid="{00000000-0005-0000-0000-00005A4B0000}"/>
    <cellStyle name="Normal 2 12 3 2 2 4 2" xfId="38834" xr:uid="{00000000-0005-0000-0000-00005B4B0000}"/>
    <cellStyle name="Normal 2 12 3 2 2 5" xfId="26529" xr:uid="{00000000-0005-0000-0000-00005C4B0000}"/>
    <cellStyle name="Normal 2 12 3 2 3" xfId="8100" xr:uid="{00000000-0005-0000-0000-00005D4B0000}"/>
    <cellStyle name="Normal 2 12 3 2 3 2" xfId="14294" xr:uid="{00000000-0005-0000-0000-00005E4B0000}"/>
    <cellStyle name="Normal 2 12 3 2 3 2 2" xfId="34214" xr:uid="{00000000-0005-0000-0000-00005F4B0000}"/>
    <cellStyle name="Normal 2 12 3 2 3 3" xfId="20446" xr:uid="{00000000-0005-0000-0000-0000604B0000}"/>
    <cellStyle name="Normal 2 12 3 2 3 3 2" xfId="40366" xr:uid="{00000000-0005-0000-0000-0000614B0000}"/>
    <cellStyle name="Normal 2 12 3 2 3 4" xfId="28061" xr:uid="{00000000-0005-0000-0000-0000624B0000}"/>
    <cellStyle name="Normal 2 12 3 2 4" xfId="11228" xr:uid="{00000000-0005-0000-0000-0000634B0000}"/>
    <cellStyle name="Normal 2 12 3 2 4 2" xfId="31148" xr:uid="{00000000-0005-0000-0000-0000644B0000}"/>
    <cellStyle name="Normal 2 12 3 2 5" xfId="17380" xr:uid="{00000000-0005-0000-0000-0000654B0000}"/>
    <cellStyle name="Normal 2 12 3 2 5 2" xfId="37300" xr:uid="{00000000-0005-0000-0000-0000664B0000}"/>
    <cellStyle name="Normal 2 12 3 2 6" xfId="24995" xr:uid="{00000000-0005-0000-0000-0000674B0000}"/>
    <cellStyle name="Normal 2 12 3 3" xfId="5766" xr:uid="{00000000-0005-0000-0000-0000684B0000}"/>
    <cellStyle name="Normal 2 12 3 3 2" xfId="8866" xr:uid="{00000000-0005-0000-0000-0000694B0000}"/>
    <cellStyle name="Normal 2 12 3 3 2 2" xfId="15059" xr:uid="{00000000-0005-0000-0000-00006A4B0000}"/>
    <cellStyle name="Normal 2 12 3 3 2 2 2" xfId="34979" xr:uid="{00000000-0005-0000-0000-00006B4B0000}"/>
    <cellStyle name="Normal 2 12 3 3 2 3" xfId="21211" xr:uid="{00000000-0005-0000-0000-00006C4B0000}"/>
    <cellStyle name="Normal 2 12 3 3 2 3 2" xfId="41131" xr:uid="{00000000-0005-0000-0000-00006D4B0000}"/>
    <cellStyle name="Normal 2 12 3 3 2 4" xfId="28826" xr:uid="{00000000-0005-0000-0000-00006E4B0000}"/>
    <cellStyle name="Normal 2 12 3 3 3" xfId="11993" xr:uid="{00000000-0005-0000-0000-00006F4B0000}"/>
    <cellStyle name="Normal 2 12 3 3 3 2" xfId="31913" xr:uid="{00000000-0005-0000-0000-0000704B0000}"/>
    <cellStyle name="Normal 2 12 3 3 4" xfId="18145" xr:uid="{00000000-0005-0000-0000-0000714B0000}"/>
    <cellStyle name="Normal 2 12 3 3 4 2" xfId="38065" xr:uid="{00000000-0005-0000-0000-0000724B0000}"/>
    <cellStyle name="Normal 2 12 3 3 5" xfId="25760" xr:uid="{00000000-0005-0000-0000-0000734B0000}"/>
    <cellStyle name="Normal 2 12 3 4" xfId="7331" xr:uid="{00000000-0005-0000-0000-0000744B0000}"/>
    <cellStyle name="Normal 2 12 3 4 2" xfId="13525" xr:uid="{00000000-0005-0000-0000-0000754B0000}"/>
    <cellStyle name="Normal 2 12 3 4 2 2" xfId="33445" xr:uid="{00000000-0005-0000-0000-0000764B0000}"/>
    <cellStyle name="Normal 2 12 3 4 3" xfId="19677" xr:uid="{00000000-0005-0000-0000-0000774B0000}"/>
    <cellStyle name="Normal 2 12 3 4 3 2" xfId="39597" xr:uid="{00000000-0005-0000-0000-0000784B0000}"/>
    <cellStyle name="Normal 2 12 3 4 4" xfId="27292" xr:uid="{00000000-0005-0000-0000-0000794B0000}"/>
    <cellStyle name="Normal 2 12 3 5" xfId="10459" xr:uid="{00000000-0005-0000-0000-00007A4B0000}"/>
    <cellStyle name="Normal 2 12 3 5 2" xfId="30379" xr:uid="{00000000-0005-0000-0000-00007B4B0000}"/>
    <cellStyle name="Normal 2 12 3 6" xfId="16611" xr:uid="{00000000-0005-0000-0000-00007C4B0000}"/>
    <cellStyle name="Normal 2 12 3 6 2" xfId="36531" xr:uid="{00000000-0005-0000-0000-00007D4B0000}"/>
    <cellStyle name="Normal 2 12 3 7" xfId="24226" xr:uid="{00000000-0005-0000-0000-00007E4B0000}"/>
    <cellStyle name="Normal 2 13" xfId="1111" xr:uid="{00000000-0005-0000-0000-00007F4B0000}"/>
    <cellStyle name="Normal 2 13 2" xfId="4549" xr:uid="{00000000-0005-0000-0000-0000804B0000}"/>
    <cellStyle name="Normal 2 13 3" xfId="3411" xr:uid="{00000000-0005-0000-0000-0000814B0000}"/>
    <cellStyle name="Normal 2 13 3 2" xfId="4925" xr:uid="{00000000-0005-0000-0000-0000824B0000}"/>
    <cellStyle name="Normal 2 13 3 2 2" xfId="6550" xr:uid="{00000000-0005-0000-0000-0000834B0000}"/>
    <cellStyle name="Normal 2 13 3 2 2 2" xfId="9636" xr:uid="{00000000-0005-0000-0000-0000844B0000}"/>
    <cellStyle name="Normal 2 13 3 2 2 2 2" xfId="15829" xr:uid="{00000000-0005-0000-0000-0000854B0000}"/>
    <cellStyle name="Normal 2 13 3 2 2 2 2 2" xfId="35749" xr:uid="{00000000-0005-0000-0000-0000864B0000}"/>
    <cellStyle name="Normal 2 13 3 2 2 2 3" xfId="21981" xr:uid="{00000000-0005-0000-0000-0000874B0000}"/>
    <cellStyle name="Normal 2 13 3 2 2 2 3 2" xfId="41901" xr:uid="{00000000-0005-0000-0000-0000884B0000}"/>
    <cellStyle name="Normal 2 13 3 2 2 2 4" xfId="29596" xr:uid="{00000000-0005-0000-0000-0000894B0000}"/>
    <cellStyle name="Normal 2 13 3 2 2 3" xfId="12763" xr:uid="{00000000-0005-0000-0000-00008A4B0000}"/>
    <cellStyle name="Normal 2 13 3 2 2 3 2" xfId="32683" xr:uid="{00000000-0005-0000-0000-00008B4B0000}"/>
    <cellStyle name="Normal 2 13 3 2 2 4" xfId="18915" xr:uid="{00000000-0005-0000-0000-00008C4B0000}"/>
    <cellStyle name="Normal 2 13 3 2 2 4 2" xfId="38835" xr:uid="{00000000-0005-0000-0000-00008D4B0000}"/>
    <cellStyle name="Normal 2 13 3 2 2 5" xfId="26530" xr:uid="{00000000-0005-0000-0000-00008E4B0000}"/>
    <cellStyle name="Normal 2 13 3 2 3" xfId="8101" xr:uid="{00000000-0005-0000-0000-00008F4B0000}"/>
    <cellStyle name="Normal 2 13 3 2 3 2" xfId="14295" xr:uid="{00000000-0005-0000-0000-0000904B0000}"/>
    <cellStyle name="Normal 2 13 3 2 3 2 2" xfId="34215" xr:uid="{00000000-0005-0000-0000-0000914B0000}"/>
    <cellStyle name="Normal 2 13 3 2 3 3" xfId="20447" xr:uid="{00000000-0005-0000-0000-0000924B0000}"/>
    <cellStyle name="Normal 2 13 3 2 3 3 2" xfId="40367" xr:uid="{00000000-0005-0000-0000-0000934B0000}"/>
    <cellStyle name="Normal 2 13 3 2 3 4" xfId="28062" xr:uid="{00000000-0005-0000-0000-0000944B0000}"/>
    <cellStyle name="Normal 2 13 3 2 4" xfId="11229" xr:uid="{00000000-0005-0000-0000-0000954B0000}"/>
    <cellStyle name="Normal 2 13 3 2 4 2" xfId="31149" xr:uid="{00000000-0005-0000-0000-0000964B0000}"/>
    <cellStyle name="Normal 2 13 3 2 5" xfId="17381" xr:uid="{00000000-0005-0000-0000-0000974B0000}"/>
    <cellStyle name="Normal 2 13 3 2 5 2" xfId="37301" xr:uid="{00000000-0005-0000-0000-0000984B0000}"/>
    <cellStyle name="Normal 2 13 3 2 6" xfId="24996" xr:uid="{00000000-0005-0000-0000-0000994B0000}"/>
    <cellStyle name="Normal 2 13 3 3" xfId="5767" xr:uid="{00000000-0005-0000-0000-00009A4B0000}"/>
    <cellStyle name="Normal 2 13 3 3 2" xfId="8867" xr:uid="{00000000-0005-0000-0000-00009B4B0000}"/>
    <cellStyle name="Normal 2 13 3 3 2 2" xfId="15060" xr:uid="{00000000-0005-0000-0000-00009C4B0000}"/>
    <cellStyle name="Normal 2 13 3 3 2 2 2" xfId="34980" xr:uid="{00000000-0005-0000-0000-00009D4B0000}"/>
    <cellStyle name="Normal 2 13 3 3 2 3" xfId="21212" xr:uid="{00000000-0005-0000-0000-00009E4B0000}"/>
    <cellStyle name="Normal 2 13 3 3 2 3 2" xfId="41132" xr:uid="{00000000-0005-0000-0000-00009F4B0000}"/>
    <cellStyle name="Normal 2 13 3 3 2 4" xfId="28827" xr:uid="{00000000-0005-0000-0000-0000A04B0000}"/>
    <cellStyle name="Normal 2 13 3 3 3" xfId="11994" xr:uid="{00000000-0005-0000-0000-0000A14B0000}"/>
    <cellStyle name="Normal 2 13 3 3 3 2" xfId="31914" xr:uid="{00000000-0005-0000-0000-0000A24B0000}"/>
    <cellStyle name="Normal 2 13 3 3 4" xfId="18146" xr:uid="{00000000-0005-0000-0000-0000A34B0000}"/>
    <cellStyle name="Normal 2 13 3 3 4 2" xfId="38066" xr:uid="{00000000-0005-0000-0000-0000A44B0000}"/>
    <cellStyle name="Normal 2 13 3 3 5" xfId="25761" xr:uid="{00000000-0005-0000-0000-0000A54B0000}"/>
    <cellStyle name="Normal 2 13 3 4" xfId="7332" xr:uid="{00000000-0005-0000-0000-0000A64B0000}"/>
    <cellStyle name="Normal 2 13 3 4 2" xfId="13526" xr:uid="{00000000-0005-0000-0000-0000A74B0000}"/>
    <cellStyle name="Normal 2 13 3 4 2 2" xfId="33446" xr:uid="{00000000-0005-0000-0000-0000A84B0000}"/>
    <cellStyle name="Normal 2 13 3 4 3" xfId="19678" xr:uid="{00000000-0005-0000-0000-0000A94B0000}"/>
    <cellStyle name="Normal 2 13 3 4 3 2" xfId="39598" xr:uid="{00000000-0005-0000-0000-0000AA4B0000}"/>
    <cellStyle name="Normal 2 13 3 4 4" xfId="27293" xr:uid="{00000000-0005-0000-0000-0000AB4B0000}"/>
    <cellStyle name="Normal 2 13 3 5" xfId="10460" xr:uid="{00000000-0005-0000-0000-0000AC4B0000}"/>
    <cellStyle name="Normal 2 13 3 5 2" xfId="30380" xr:uid="{00000000-0005-0000-0000-0000AD4B0000}"/>
    <cellStyle name="Normal 2 13 3 6" xfId="16612" xr:uid="{00000000-0005-0000-0000-0000AE4B0000}"/>
    <cellStyle name="Normal 2 13 3 6 2" xfId="36532" xr:uid="{00000000-0005-0000-0000-0000AF4B0000}"/>
    <cellStyle name="Normal 2 13 3 7" xfId="24227" xr:uid="{00000000-0005-0000-0000-0000B04B0000}"/>
    <cellStyle name="Normal 2 14" xfId="1112" xr:uid="{00000000-0005-0000-0000-0000B14B0000}"/>
    <cellStyle name="Normal 2 14 2" xfId="4550" xr:uid="{00000000-0005-0000-0000-0000B24B0000}"/>
    <cellStyle name="Normal 2 14 3" xfId="3412" xr:uid="{00000000-0005-0000-0000-0000B34B0000}"/>
    <cellStyle name="Normal 2 14 3 2" xfId="4926" xr:uid="{00000000-0005-0000-0000-0000B44B0000}"/>
    <cellStyle name="Normal 2 14 3 2 2" xfId="6551" xr:uid="{00000000-0005-0000-0000-0000B54B0000}"/>
    <cellStyle name="Normal 2 14 3 2 2 2" xfId="9637" xr:uid="{00000000-0005-0000-0000-0000B64B0000}"/>
    <cellStyle name="Normal 2 14 3 2 2 2 2" xfId="15830" xr:uid="{00000000-0005-0000-0000-0000B74B0000}"/>
    <cellStyle name="Normal 2 14 3 2 2 2 2 2" xfId="35750" xr:uid="{00000000-0005-0000-0000-0000B84B0000}"/>
    <cellStyle name="Normal 2 14 3 2 2 2 3" xfId="21982" xr:uid="{00000000-0005-0000-0000-0000B94B0000}"/>
    <cellStyle name="Normal 2 14 3 2 2 2 3 2" xfId="41902" xr:uid="{00000000-0005-0000-0000-0000BA4B0000}"/>
    <cellStyle name="Normal 2 14 3 2 2 2 4" xfId="29597" xr:uid="{00000000-0005-0000-0000-0000BB4B0000}"/>
    <cellStyle name="Normal 2 14 3 2 2 3" xfId="12764" xr:uid="{00000000-0005-0000-0000-0000BC4B0000}"/>
    <cellStyle name="Normal 2 14 3 2 2 3 2" xfId="32684" xr:uid="{00000000-0005-0000-0000-0000BD4B0000}"/>
    <cellStyle name="Normal 2 14 3 2 2 4" xfId="18916" xr:uid="{00000000-0005-0000-0000-0000BE4B0000}"/>
    <cellStyle name="Normal 2 14 3 2 2 4 2" xfId="38836" xr:uid="{00000000-0005-0000-0000-0000BF4B0000}"/>
    <cellStyle name="Normal 2 14 3 2 2 5" xfId="26531" xr:uid="{00000000-0005-0000-0000-0000C04B0000}"/>
    <cellStyle name="Normal 2 14 3 2 3" xfId="8102" xr:uid="{00000000-0005-0000-0000-0000C14B0000}"/>
    <cellStyle name="Normal 2 14 3 2 3 2" xfId="14296" xr:uid="{00000000-0005-0000-0000-0000C24B0000}"/>
    <cellStyle name="Normal 2 14 3 2 3 2 2" xfId="34216" xr:uid="{00000000-0005-0000-0000-0000C34B0000}"/>
    <cellStyle name="Normal 2 14 3 2 3 3" xfId="20448" xr:uid="{00000000-0005-0000-0000-0000C44B0000}"/>
    <cellStyle name="Normal 2 14 3 2 3 3 2" xfId="40368" xr:uid="{00000000-0005-0000-0000-0000C54B0000}"/>
    <cellStyle name="Normal 2 14 3 2 3 4" xfId="28063" xr:uid="{00000000-0005-0000-0000-0000C64B0000}"/>
    <cellStyle name="Normal 2 14 3 2 4" xfId="11230" xr:uid="{00000000-0005-0000-0000-0000C74B0000}"/>
    <cellStyle name="Normal 2 14 3 2 4 2" xfId="31150" xr:uid="{00000000-0005-0000-0000-0000C84B0000}"/>
    <cellStyle name="Normal 2 14 3 2 5" xfId="17382" xr:uid="{00000000-0005-0000-0000-0000C94B0000}"/>
    <cellStyle name="Normal 2 14 3 2 5 2" xfId="37302" xr:uid="{00000000-0005-0000-0000-0000CA4B0000}"/>
    <cellStyle name="Normal 2 14 3 2 6" xfId="24997" xr:uid="{00000000-0005-0000-0000-0000CB4B0000}"/>
    <cellStyle name="Normal 2 14 3 3" xfId="5768" xr:uid="{00000000-0005-0000-0000-0000CC4B0000}"/>
    <cellStyle name="Normal 2 14 3 3 2" xfId="8868" xr:uid="{00000000-0005-0000-0000-0000CD4B0000}"/>
    <cellStyle name="Normal 2 14 3 3 2 2" xfId="15061" xr:uid="{00000000-0005-0000-0000-0000CE4B0000}"/>
    <cellStyle name="Normal 2 14 3 3 2 2 2" xfId="34981" xr:uid="{00000000-0005-0000-0000-0000CF4B0000}"/>
    <cellStyle name="Normal 2 14 3 3 2 3" xfId="21213" xr:uid="{00000000-0005-0000-0000-0000D04B0000}"/>
    <cellStyle name="Normal 2 14 3 3 2 3 2" xfId="41133" xr:uid="{00000000-0005-0000-0000-0000D14B0000}"/>
    <cellStyle name="Normal 2 14 3 3 2 4" xfId="28828" xr:uid="{00000000-0005-0000-0000-0000D24B0000}"/>
    <cellStyle name="Normal 2 14 3 3 3" xfId="11995" xr:uid="{00000000-0005-0000-0000-0000D34B0000}"/>
    <cellStyle name="Normal 2 14 3 3 3 2" xfId="31915" xr:uid="{00000000-0005-0000-0000-0000D44B0000}"/>
    <cellStyle name="Normal 2 14 3 3 4" xfId="18147" xr:uid="{00000000-0005-0000-0000-0000D54B0000}"/>
    <cellStyle name="Normal 2 14 3 3 4 2" xfId="38067" xr:uid="{00000000-0005-0000-0000-0000D64B0000}"/>
    <cellStyle name="Normal 2 14 3 3 5" xfId="25762" xr:uid="{00000000-0005-0000-0000-0000D74B0000}"/>
    <cellStyle name="Normal 2 14 3 4" xfId="7333" xr:uid="{00000000-0005-0000-0000-0000D84B0000}"/>
    <cellStyle name="Normal 2 14 3 4 2" xfId="13527" xr:uid="{00000000-0005-0000-0000-0000D94B0000}"/>
    <cellStyle name="Normal 2 14 3 4 2 2" xfId="33447" xr:uid="{00000000-0005-0000-0000-0000DA4B0000}"/>
    <cellStyle name="Normal 2 14 3 4 3" xfId="19679" xr:uid="{00000000-0005-0000-0000-0000DB4B0000}"/>
    <cellStyle name="Normal 2 14 3 4 3 2" xfId="39599" xr:uid="{00000000-0005-0000-0000-0000DC4B0000}"/>
    <cellStyle name="Normal 2 14 3 4 4" xfId="27294" xr:uid="{00000000-0005-0000-0000-0000DD4B0000}"/>
    <cellStyle name="Normal 2 14 3 5" xfId="10461" xr:uid="{00000000-0005-0000-0000-0000DE4B0000}"/>
    <cellStyle name="Normal 2 14 3 5 2" xfId="30381" xr:uid="{00000000-0005-0000-0000-0000DF4B0000}"/>
    <cellStyle name="Normal 2 14 3 6" xfId="16613" xr:uid="{00000000-0005-0000-0000-0000E04B0000}"/>
    <cellStyle name="Normal 2 14 3 6 2" xfId="36533" xr:uid="{00000000-0005-0000-0000-0000E14B0000}"/>
    <cellStyle name="Normal 2 14 3 7" xfId="24228" xr:uid="{00000000-0005-0000-0000-0000E24B0000}"/>
    <cellStyle name="Normal 2 15" xfId="1113" xr:uid="{00000000-0005-0000-0000-0000E34B0000}"/>
    <cellStyle name="Normal 2 15 2" xfId="4551" xr:uid="{00000000-0005-0000-0000-0000E44B0000}"/>
    <cellStyle name="Normal 2 15 3" xfId="3413" xr:uid="{00000000-0005-0000-0000-0000E54B0000}"/>
    <cellStyle name="Normal 2 15 3 2" xfId="4927" xr:uid="{00000000-0005-0000-0000-0000E64B0000}"/>
    <cellStyle name="Normal 2 15 3 2 2" xfId="6552" xr:uid="{00000000-0005-0000-0000-0000E74B0000}"/>
    <cellStyle name="Normal 2 15 3 2 2 2" xfId="9638" xr:uid="{00000000-0005-0000-0000-0000E84B0000}"/>
    <cellStyle name="Normal 2 15 3 2 2 2 2" xfId="15831" xr:uid="{00000000-0005-0000-0000-0000E94B0000}"/>
    <cellStyle name="Normal 2 15 3 2 2 2 2 2" xfId="35751" xr:uid="{00000000-0005-0000-0000-0000EA4B0000}"/>
    <cellStyle name="Normal 2 15 3 2 2 2 3" xfId="21983" xr:uid="{00000000-0005-0000-0000-0000EB4B0000}"/>
    <cellStyle name="Normal 2 15 3 2 2 2 3 2" xfId="41903" xr:uid="{00000000-0005-0000-0000-0000EC4B0000}"/>
    <cellStyle name="Normal 2 15 3 2 2 2 4" xfId="29598" xr:uid="{00000000-0005-0000-0000-0000ED4B0000}"/>
    <cellStyle name="Normal 2 15 3 2 2 3" xfId="12765" xr:uid="{00000000-0005-0000-0000-0000EE4B0000}"/>
    <cellStyle name="Normal 2 15 3 2 2 3 2" xfId="32685" xr:uid="{00000000-0005-0000-0000-0000EF4B0000}"/>
    <cellStyle name="Normal 2 15 3 2 2 4" xfId="18917" xr:uid="{00000000-0005-0000-0000-0000F04B0000}"/>
    <cellStyle name="Normal 2 15 3 2 2 4 2" xfId="38837" xr:uid="{00000000-0005-0000-0000-0000F14B0000}"/>
    <cellStyle name="Normal 2 15 3 2 2 5" xfId="26532" xr:uid="{00000000-0005-0000-0000-0000F24B0000}"/>
    <cellStyle name="Normal 2 15 3 2 3" xfId="8103" xr:uid="{00000000-0005-0000-0000-0000F34B0000}"/>
    <cellStyle name="Normal 2 15 3 2 3 2" xfId="14297" xr:uid="{00000000-0005-0000-0000-0000F44B0000}"/>
    <cellStyle name="Normal 2 15 3 2 3 2 2" xfId="34217" xr:uid="{00000000-0005-0000-0000-0000F54B0000}"/>
    <cellStyle name="Normal 2 15 3 2 3 3" xfId="20449" xr:uid="{00000000-0005-0000-0000-0000F64B0000}"/>
    <cellStyle name="Normal 2 15 3 2 3 3 2" xfId="40369" xr:uid="{00000000-0005-0000-0000-0000F74B0000}"/>
    <cellStyle name="Normal 2 15 3 2 3 4" xfId="28064" xr:uid="{00000000-0005-0000-0000-0000F84B0000}"/>
    <cellStyle name="Normal 2 15 3 2 4" xfId="11231" xr:uid="{00000000-0005-0000-0000-0000F94B0000}"/>
    <cellStyle name="Normal 2 15 3 2 4 2" xfId="31151" xr:uid="{00000000-0005-0000-0000-0000FA4B0000}"/>
    <cellStyle name="Normal 2 15 3 2 5" xfId="17383" xr:uid="{00000000-0005-0000-0000-0000FB4B0000}"/>
    <cellStyle name="Normal 2 15 3 2 5 2" xfId="37303" xr:uid="{00000000-0005-0000-0000-0000FC4B0000}"/>
    <cellStyle name="Normal 2 15 3 2 6" xfId="24998" xr:uid="{00000000-0005-0000-0000-0000FD4B0000}"/>
    <cellStyle name="Normal 2 15 3 3" xfId="5769" xr:uid="{00000000-0005-0000-0000-0000FE4B0000}"/>
    <cellStyle name="Normal 2 15 3 3 2" xfId="8869" xr:uid="{00000000-0005-0000-0000-0000FF4B0000}"/>
    <cellStyle name="Normal 2 15 3 3 2 2" xfId="15062" xr:uid="{00000000-0005-0000-0000-0000004C0000}"/>
    <cellStyle name="Normal 2 15 3 3 2 2 2" xfId="34982" xr:uid="{00000000-0005-0000-0000-0000014C0000}"/>
    <cellStyle name="Normal 2 15 3 3 2 3" xfId="21214" xr:uid="{00000000-0005-0000-0000-0000024C0000}"/>
    <cellStyle name="Normal 2 15 3 3 2 3 2" xfId="41134" xr:uid="{00000000-0005-0000-0000-0000034C0000}"/>
    <cellStyle name="Normal 2 15 3 3 2 4" xfId="28829" xr:uid="{00000000-0005-0000-0000-0000044C0000}"/>
    <cellStyle name="Normal 2 15 3 3 3" xfId="11996" xr:uid="{00000000-0005-0000-0000-0000054C0000}"/>
    <cellStyle name="Normal 2 15 3 3 3 2" xfId="31916" xr:uid="{00000000-0005-0000-0000-0000064C0000}"/>
    <cellStyle name="Normal 2 15 3 3 4" xfId="18148" xr:uid="{00000000-0005-0000-0000-0000074C0000}"/>
    <cellStyle name="Normal 2 15 3 3 4 2" xfId="38068" xr:uid="{00000000-0005-0000-0000-0000084C0000}"/>
    <cellStyle name="Normal 2 15 3 3 5" xfId="25763" xr:uid="{00000000-0005-0000-0000-0000094C0000}"/>
    <cellStyle name="Normal 2 15 3 4" xfId="7334" xr:uid="{00000000-0005-0000-0000-00000A4C0000}"/>
    <cellStyle name="Normal 2 15 3 4 2" xfId="13528" xr:uid="{00000000-0005-0000-0000-00000B4C0000}"/>
    <cellStyle name="Normal 2 15 3 4 2 2" xfId="33448" xr:uid="{00000000-0005-0000-0000-00000C4C0000}"/>
    <cellStyle name="Normal 2 15 3 4 3" xfId="19680" xr:uid="{00000000-0005-0000-0000-00000D4C0000}"/>
    <cellStyle name="Normal 2 15 3 4 3 2" xfId="39600" xr:uid="{00000000-0005-0000-0000-00000E4C0000}"/>
    <cellStyle name="Normal 2 15 3 4 4" xfId="27295" xr:uid="{00000000-0005-0000-0000-00000F4C0000}"/>
    <cellStyle name="Normal 2 15 3 5" xfId="10462" xr:uid="{00000000-0005-0000-0000-0000104C0000}"/>
    <cellStyle name="Normal 2 15 3 5 2" xfId="30382" xr:uid="{00000000-0005-0000-0000-0000114C0000}"/>
    <cellStyle name="Normal 2 15 3 6" xfId="16614" xr:uid="{00000000-0005-0000-0000-0000124C0000}"/>
    <cellStyle name="Normal 2 15 3 6 2" xfId="36534" xr:uid="{00000000-0005-0000-0000-0000134C0000}"/>
    <cellStyle name="Normal 2 15 3 7" xfId="24229" xr:uid="{00000000-0005-0000-0000-0000144C0000}"/>
    <cellStyle name="Normal 2 16" xfId="1114" xr:uid="{00000000-0005-0000-0000-0000154C0000}"/>
    <cellStyle name="Normal 2 16 2" xfId="4552" xr:uid="{00000000-0005-0000-0000-0000164C0000}"/>
    <cellStyle name="Normal 2 16 3" xfId="3414" xr:uid="{00000000-0005-0000-0000-0000174C0000}"/>
    <cellStyle name="Normal 2 16 3 2" xfId="4928" xr:uid="{00000000-0005-0000-0000-0000184C0000}"/>
    <cellStyle name="Normal 2 16 3 2 2" xfId="6553" xr:uid="{00000000-0005-0000-0000-0000194C0000}"/>
    <cellStyle name="Normal 2 16 3 2 2 2" xfId="9639" xr:uid="{00000000-0005-0000-0000-00001A4C0000}"/>
    <cellStyle name="Normal 2 16 3 2 2 2 2" xfId="15832" xr:uid="{00000000-0005-0000-0000-00001B4C0000}"/>
    <cellStyle name="Normal 2 16 3 2 2 2 2 2" xfId="35752" xr:uid="{00000000-0005-0000-0000-00001C4C0000}"/>
    <cellStyle name="Normal 2 16 3 2 2 2 3" xfId="21984" xr:uid="{00000000-0005-0000-0000-00001D4C0000}"/>
    <cellStyle name="Normal 2 16 3 2 2 2 3 2" xfId="41904" xr:uid="{00000000-0005-0000-0000-00001E4C0000}"/>
    <cellStyle name="Normal 2 16 3 2 2 2 4" xfId="29599" xr:uid="{00000000-0005-0000-0000-00001F4C0000}"/>
    <cellStyle name="Normal 2 16 3 2 2 3" xfId="12766" xr:uid="{00000000-0005-0000-0000-0000204C0000}"/>
    <cellStyle name="Normal 2 16 3 2 2 3 2" xfId="32686" xr:uid="{00000000-0005-0000-0000-0000214C0000}"/>
    <cellStyle name="Normal 2 16 3 2 2 4" xfId="18918" xr:uid="{00000000-0005-0000-0000-0000224C0000}"/>
    <cellStyle name="Normal 2 16 3 2 2 4 2" xfId="38838" xr:uid="{00000000-0005-0000-0000-0000234C0000}"/>
    <cellStyle name="Normal 2 16 3 2 2 5" xfId="26533" xr:uid="{00000000-0005-0000-0000-0000244C0000}"/>
    <cellStyle name="Normal 2 16 3 2 3" xfId="8104" xr:uid="{00000000-0005-0000-0000-0000254C0000}"/>
    <cellStyle name="Normal 2 16 3 2 3 2" xfId="14298" xr:uid="{00000000-0005-0000-0000-0000264C0000}"/>
    <cellStyle name="Normal 2 16 3 2 3 2 2" xfId="34218" xr:uid="{00000000-0005-0000-0000-0000274C0000}"/>
    <cellStyle name="Normal 2 16 3 2 3 3" xfId="20450" xr:uid="{00000000-0005-0000-0000-0000284C0000}"/>
    <cellStyle name="Normal 2 16 3 2 3 3 2" xfId="40370" xr:uid="{00000000-0005-0000-0000-0000294C0000}"/>
    <cellStyle name="Normal 2 16 3 2 3 4" xfId="28065" xr:uid="{00000000-0005-0000-0000-00002A4C0000}"/>
    <cellStyle name="Normal 2 16 3 2 4" xfId="11232" xr:uid="{00000000-0005-0000-0000-00002B4C0000}"/>
    <cellStyle name="Normal 2 16 3 2 4 2" xfId="31152" xr:uid="{00000000-0005-0000-0000-00002C4C0000}"/>
    <cellStyle name="Normal 2 16 3 2 5" xfId="17384" xr:uid="{00000000-0005-0000-0000-00002D4C0000}"/>
    <cellStyle name="Normal 2 16 3 2 5 2" xfId="37304" xr:uid="{00000000-0005-0000-0000-00002E4C0000}"/>
    <cellStyle name="Normal 2 16 3 2 6" xfId="24999" xr:uid="{00000000-0005-0000-0000-00002F4C0000}"/>
    <cellStyle name="Normal 2 16 3 3" xfId="5770" xr:uid="{00000000-0005-0000-0000-0000304C0000}"/>
    <cellStyle name="Normal 2 16 3 3 2" xfId="8870" xr:uid="{00000000-0005-0000-0000-0000314C0000}"/>
    <cellStyle name="Normal 2 16 3 3 2 2" xfId="15063" xr:uid="{00000000-0005-0000-0000-0000324C0000}"/>
    <cellStyle name="Normal 2 16 3 3 2 2 2" xfId="34983" xr:uid="{00000000-0005-0000-0000-0000334C0000}"/>
    <cellStyle name="Normal 2 16 3 3 2 3" xfId="21215" xr:uid="{00000000-0005-0000-0000-0000344C0000}"/>
    <cellStyle name="Normal 2 16 3 3 2 3 2" xfId="41135" xr:uid="{00000000-0005-0000-0000-0000354C0000}"/>
    <cellStyle name="Normal 2 16 3 3 2 4" xfId="28830" xr:uid="{00000000-0005-0000-0000-0000364C0000}"/>
    <cellStyle name="Normal 2 16 3 3 3" xfId="11997" xr:uid="{00000000-0005-0000-0000-0000374C0000}"/>
    <cellStyle name="Normal 2 16 3 3 3 2" xfId="31917" xr:uid="{00000000-0005-0000-0000-0000384C0000}"/>
    <cellStyle name="Normal 2 16 3 3 4" xfId="18149" xr:uid="{00000000-0005-0000-0000-0000394C0000}"/>
    <cellStyle name="Normal 2 16 3 3 4 2" xfId="38069" xr:uid="{00000000-0005-0000-0000-00003A4C0000}"/>
    <cellStyle name="Normal 2 16 3 3 5" xfId="25764" xr:uid="{00000000-0005-0000-0000-00003B4C0000}"/>
    <cellStyle name="Normal 2 16 3 4" xfId="7335" xr:uid="{00000000-0005-0000-0000-00003C4C0000}"/>
    <cellStyle name="Normal 2 16 3 4 2" xfId="13529" xr:uid="{00000000-0005-0000-0000-00003D4C0000}"/>
    <cellStyle name="Normal 2 16 3 4 2 2" xfId="33449" xr:uid="{00000000-0005-0000-0000-00003E4C0000}"/>
    <cellStyle name="Normal 2 16 3 4 3" xfId="19681" xr:uid="{00000000-0005-0000-0000-00003F4C0000}"/>
    <cellStyle name="Normal 2 16 3 4 3 2" xfId="39601" xr:uid="{00000000-0005-0000-0000-0000404C0000}"/>
    <cellStyle name="Normal 2 16 3 4 4" xfId="27296" xr:uid="{00000000-0005-0000-0000-0000414C0000}"/>
    <cellStyle name="Normal 2 16 3 5" xfId="10463" xr:uid="{00000000-0005-0000-0000-0000424C0000}"/>
    <cellStyle name="Normal 2 16 3 5 2" xfId="30383" xr:uid="{00000000-0005-0000-0000-0000434C0000}"/>
    <cellStyle name="Normal 2 16 3 6" xfId="16615" xr:uid="{00000000-0005-0000-0000-0000444C0000}"/>
    <cellStyle name="Normal 2 16 3 6 2" xfId="36535" xr:uid="{00000000-0005-0000-0000-0000454C0000}"/>
    <cellStyle name="Normal 2 16 3 7" xfId="24230" xr:uid="{00000000-0005-0000-0000-0000464C0000}"/>
    <cellStyle name="Normal 2 17" xfId="1115" xr:uid="{00000000-0005-0000-0000-0000474C0000}"/>
    <cellStyle name="Normal 2 17 2" xfId="4553" xr:uid="{00000000-0005-0000-0000-0000484C0000}"/>
    <cellStyle name="Normal 2 17 3" xfId="3415" xr:uid="{00000000-0005-0000-0000-0000494C0000}"/>
    <cellStyle name="Normal 2 17 3 2" xfId="4929" xr:uid="{00000000-0005-0000-0000-00004A4C0000}"/>
    <cellStyle name="Normal 2 17 3 2 2" xfId="6554" xr:uid="{00000000-0005-0000-0000-00004B4C0000}"/>
    <cellStyle name="Normal 2 17 3 2 2 2" xfId="9640" xr:uid="{00000000-0005-0000-0000-00004C4C0000}"/>
    <cellStyle name="Normal 2 17 3 2 2 2 2" xfId="15833" xr:uid="{00000000-0005-0000-0000-00004D4C0000}"/>
    <cellStyle name="Normal 2 17 3 2 2 2 2 2" xfId="35753" xr:uid="{00000000-0005-0000-0000-00004E4C0000}"/>
    <cellStyle name="Normal 2 17 3 2 2 2 3" xfId="21985" xr:uid="{00000000-0005-0000-0000-00004F4C0000}"/>
    <cellStyle name="Normal 2 17 3 2 2 2 3 2" xfId="41905" xr:uid="{00000000-0005-0000-0000-0000504C0000}"/>
    <cellStyle name="Normal 2 17 3 2 2 2 4" xfId="29600" xr:uid="{00000000-0005-0000-0000-0000514C0000}"/>
    <cellStyle name="Normal 2 17 3 2 2 3" xfId="12767" xr:uid="{00000000-0005-0000-0000-0000524C0000}"/>
    <cellStyle name="Normal 2 17 3 2 2 3 2" xfId="32687" xr:uid="{00000000-0005-0000-0000-0000534C0000}"/>
    <cellStyle name="Normal 2 17 3 2 2 4" xfId="18919" xr:uid="{00000000-0005-0000-0000-0000544C0000}"/>
    <cellStyle name="Normal 2 17 3 2 2 4 2" xfId="38839" xr:uid="{00000000-0005-0000-0000-0000554C0000}"/>
    <cellStyle name="Normal 2 17 3 2 2 5" xfId="26534" xr:uid="{00000000-0005-0000-0000-0000564C0000}"/>
    <cellStyle name="Normal 2 17 3 2 3" xfId="8105" xr:uid="{00000000-0005-0000-0000-0000574C0000}"/>
    <cellStyle name="Normal 2 17 3 2 3 2" xfId="14299" xr:uid="{00000000-0005-0000-0000-0000584C0000}"/>
    <cellStyle name="Normal 2 17 3 2 3 2 2" xfId="34219" xr:uid="{00000000-0005-0000-0000-0000594C0000}"/>
    <cellStyle name="Normal 2 17 3 2 3 3" xfId="20451" xr:uid="{00000000-0005-0000-0000-00005A4C0000}"/>
    <cellStyle name="Normal 2 17 3 2 3 3 2" xfId="40371" xr:uid="{00000000-0005-0000-0000-00005B4C0000}"/>
    <cellStyle name="Normal 2 17 3 2 3 4" xfId="28066" xr:uid="{00000000-0005-0000-0000-00005C4C0000}"/>
    <cellStyle name="Normal 2 17 3 2 4" xfId="11233" xr:uid="{00000000-0005-0000-0000-00005D4C0000}"/>
    <cellStyle name="Normal 2 17 3 2 4 2" xfId="31153" xr:uid="{00000000-0005-0000-0000-00005E4C0000}"/>
    <cellStyle name="Normal 2 17 3 2 5" xfId="17385" xr:uid="{00000000-0005-0000-0000-00005F4C0000}"/>
    <cellStyle name="Normal 2 17 3 2 5 2" xfId="37305" xr:uid="{00000000-0005-0000-0000-0000604C0000}"/>
    <cellStyle name="Normal 2 17 3 2 6" xfId="25000" xr:uid="{00000000-0005-0000-0000-0000614C0000}"/>
    <cellStyle name="Normal 2 17 3 3" xfId="5771" xr:uid="{00000000-0005-0000-0000-0000624C0000}"/>
    <cellStyle name="Normal 2 17 3 3 2" xfId="8871" xr:uid="{00000000-0005-0000-0000-0000634C0000}"/>
    <cellStyle name="Normal 2 17 3 3 2 2" xfId="15064" xr:uid="{00000000-0005-0000-0000-0000644C0000}"/>
    <cellStyle name="Normal 2 17 3 3 2 2 2" xfId="34984" xr:uid="{00000000-0005-0000-0000-0000654C0000}"/>
    <cellStyle name="Normal 2 17 3 3 2 3" xfId="21216" xr:uid="{00000000-0005-0000-0000-0000664C0000}"/>
    <cellStyle name="Normal 2 17 3 3 2 3 2" xfId="41136" xr:uid="{00000000-0005-0000-0000-0000674C0000}"/>
    <cellStyle name="Normal 2 17 3 3 2 4" xfId="28831" xr:uid="{00000000-0005-0000-0000-0000684C0000}"/>
    <cellStyle name="Normal 2 17 3 3 3" xfId="11998" xr:uid="{00000000-0005-0000-0000-0000694C0000}"/>
    <cellStyle name="Normal 2 17 3 3 3 2" xfId="31918" xr:uid="{00000000-0005-0000-0000-00006A4C0000}"/>
    <cellStyle name="Normal 2 17 3 3 4" xfId="18150" xr:uid="{00000000-0005-0000-0000-00006B4C0000}"/>
    <cellStyle name="Normal 2 17 3 3 4 2" xfId="38070" xr:uid="{00000000-0005-0000-0000-00006C4C0000}"/>
    <cellStyle name="Normal 2 17 3 3 5" xfId="25765" xr:uid="{00000000-0005-0000-0000-00006D4C0000}"/>
    <cellStyle name="Normal 2 17 3 4" xfId="7336" xr:uid="{00000000-0005-0000-0000-00006E4C0000}"/>
    <cellStyle name="Normal 2 17 3 4 2" xfId="13530" xr:uid="{00000000-0005-0000-0000-00006F4C0000}"/>
    <cellStyle name="Normal 2 17 3 4 2 2" xfId="33450" xr:uid="{00000000-0005-0000-0000-0000704C0000}"/>
    <cellStyle name="Normal 2 17 3 4 3" xfId="19682" xr:uid="{00000000-0005-0000-0000-0000714C0000}"/>
    <cellStyle name="Normal 2 17 3 4 3 2" xfId="39602" xr:uid="{00000000-0005-0000-0000-0000724C0000}"/>
    <cellStyle name="Normal 2 17 3 4 4" xfId="27297" xr:uid="{00000000-0005-0000-0000-0000734C0000}"/>
    <cellStyle name="Normal 2 17 3 5" xfId="10464" xr:uid="{00000000-0005-0000-0000-0000744C0000}"/>
    <cellStyle name="Normal 2 17 3 5 2" xfId="30384" xr:uid="{00000000-0005-0000-0000-0000754C0000}"/>
    <cellStyle name="Normal 2 17 3 6" xfId="16616" xr:uid="{00000000-0005-0000-0000-0000764C0000}"/>
    <cellStyle name="Normal 2 17 3 6 2" xfId="36536" xr:uid="{00000000-0005-0000-0000-0000774C0000}"/>
    <cellStyle name="Normal 2 17 3 7" xfId="24231" xr:uid="{00000000-0005-0000-0000-0000784C0000}"/>
    <cellStyle name="Normal 2 18" xfId="1116" xr:uid="{00000000-0005-0000-0000-0000794C0000}"/>
    <cellStyle name="Normal 2 18 2" xfId="4554" xr:uid="{00000000-0005-0000-0000-00007A4C0000}"/>
    <cellStyle name="Normal 2 18 3" xfId="3416" xr:uid="{00000000-0005-0000-0000-00007B4C0000}"/>
    <cellStyle name="Normal 2 18 3 2" xfId="4930" xr:uid="{00000000-0005-0000-0000-00007C4C0000}"/>
    <cellStyle name="Normal 2 18 3 2 2" xfId="6555" xr:uid="{00000000-0005-0000-0000-00007D4C0000}"/>
    <cellStyle name="Normal 2 18 3 2 2 2" xfId="9641" xr:uid="{00000000-0005-0000-0000-00007E4C0000}"/>
    <cellStyle name="Normal 2 18 3 2 2 2 2" xfId="15834" xr:uid="{00000000-0005-0000-0000-00007F4C0000}"/>
    <cellStyle name="Normal 2 18 3 2 2 2 2 2" xfId="35754" xr:uid="{00000000-0005-0000-0000-0000804C0000}"/>
    <cellStyle name="Normal 2 18 3 2 2 2 3" xfId="21986" xr:uid="{00000000-0005-0000-0000-0000814C0000}"/>
    <cellStyle name="Normal 2 18 3 2 2 2 3 2" xfId="41906" xr:uid="{00000000-0005-0000-0000-0000824C0000}"/>
    <cellStyle name="Normal 2 18 3 2 2 2 4" xfId="29601" xr:uid="{00000000-0005-0000-0000-0000834C0000}"/>
    <cellStyle name="Normal 2 18 3 2 2 3" xfId="12768" xr:uid="{00000000-0005-0000-0000-0000844C0000}"/>
    <cellStyle name="Normal 2 18 3 2 2 3 2" xfId="32688" xr:uid="{00000000-0005-0000-0000-0000854C0000}"/>
    <cellStyle name="Normal 2 18 3 2 2 4" xfId="18920" xr:uid="{00000000-0005-0000-0000-0000864C0000}"/>
    <cellStyle name="Normal 2 18 3 2 2 4 2" xfId="38840" xr:uid="{00000000-0005-0000-0000-0000874C0000}"/>
    <cellStyle name="Normal 2 18 3 2 2 5" xfId="26535" xr:uid="{00000000-0005-0000-0000-0000884C0000}"/>
    <cellStyle name="Normal 2 18 3 2 3" xfId="8106" xr:uid="{00000000-0005-0000-0000-0000894C0000}"/>
    <cellStyle name="Normal 2 18 3 2 3 2" xfId="14300" xr:uid="{00000000-0005-0000-0000-00008A4C0000}"/>
    <cellStyle name="Normal 2 18 3 2 3 2 2" xfId="34220" xr:uid="{00000000-0005-0000-0000-00008B4C0000}"/>
    <cellStyle name="Normal 2 18 3 2 3 3" xfId="20452" xr:uid="{00000000-0005-0000-0000-00008C4C0000}"/>
    <cellStyle name="Normal 2 18 3 2 3 3 2" xfId="40372" xr:uid="{00000000-0005-0000-0000-00008D4C0000}"/>
    <cellStyle name="Normal 2 18 3 2 3 4" xfId="28067" xr:uid="{00000000-0005-0000-0000-00008E4C0000}"/>
    <cellStyle name="Normal 2 18 3 2 4" xfId="11234" xr:uid="{00000000-0005-0000-0000-00008F4C0000}"/>
    <cellStyle name="Normal 2 18 3 2 4 2" xfId="31154" xr:uid="{00000000-0005-0000-0000-0000904C0000}"/>
    <cellStyle name="Normal 2 18 3 2 5" xfId="17386" xr:uid="{00000000-0005-0000-0000-0000914C0000}"/>
    <cellStyle name="Normal 2 18 3 2 5 2" xfId="37306" xr:uid="{00000000-0005-0000-0000-0000924C0000}"/>
    <cellStyle name="Normal 2 18 3 2 6" xfId="25001" xr:uid="{00000000-0005-0000-0000-0000934C0000}"/>
    <cellStyle name="Normal 2 18 3 3" xfId="5772" xr:uid="{00000000-0005-0000-0000-0000944C0000}"/>
    <cellStyle name="Normal 2 18 3 3 2" xfId="8872" xr:uid="{00000000-0005-0000-0000-0000954C0000}"/>
    <cellStyle name="Normal 2 18 3 3 2 2" xfId="15065" xr:uid="{00000000-0005-0000-0000-0000964C0000}"/>
    <cellStyle name="Normal 2 18 3 3 2 2 2" xfId="34985" xr:uid="{00000000-0005-0000-0000-0000974C0000}"/>
    <cellStyle name="Normal 2 18 3 3 2 3" xfId="21217" xr:uid="{00000000-0005-0000-0000-0000984C0000}"/>
    <cellStyle name="Normal 2 18 3 3 2 3 2" xfId="41137" xr:uid="{00000000-0005-0000-0000-0000994C0000}"/>
    <cellStyle name="Normal 2 18 3 3 2 4" xfId="28832" xr:uid="{00000000-0005-0000-0000-00009A4C0000}"/>
    <cellStyle name="Normal 2 18 3 3 3" xfId="11999" xr:uid="{00000000-0005-0000-0000-00009B4C0000}"/>
    <cellStyle name="Normal 2 18 3 3 3 2" xfId="31919" xr:uid="{00000000-0005-0000-0000-00009C4C0000}"/>
    <cellStyle name="Normal 2 18 3 3 4" xfId="18151" xr:uid="{00000000-0005-0000-0000-00009D4C0000}"/>
    <cellStyle name="Normal 2 18 3 3 4 2" xfId="38071" xr:uid="{00000000-0005-0000-0000-00009E4C0000}"/>
    <cellStyle name="Normal 2 18 3 3 5" xfId="25766" xr:uid="{00000000-0005-0000-0000-00009F4C0000}"/>
    <cellStyle name="Normal 2 18 3 4" xfId="7337" xr:uid="{00000000-0005-0000-0000-0000A04C0000}"/>
    <cellStyle name="Normal 2 18 3 4 2" xfId="13531" xr:uid="{00000000-0005-0000-0000-0000A14C0000}"/>
    <cellStyle name="Normal 2 18 3 4 2 2" xfId="33451" xr:uid="{00000000-0005-0000-0000-0000A24C0000}"/>
    <cellStyle name="Normal 2 18 3 4 3" xfId="19683" xr:uid="{00000000-0005-0000-0000-0000A34C0000}"/>
    <cellStyle name="Normal 2 18 3 4 3 2" xfId="39603" xr:uid="{00000000-0005-0000-0000-0000A44C0000}"/>
    <cellStyle name="Normal 2 18 3 4 4" xfId="27298" xr:uid="{00000000-0005-0000-0000-0000A54C0000}"/>
    <cellStyle name="Normal 2 18 3 5" xfId="10465" xr:uid="{00000000-0005-0000-0000-0000A64C0000}"/>
    <cellStyle name="Normal 2 18 3 5 2" xfId="30385" xr:uid="{00000000-0005-0000-0000-0000A74C0000}"/>
    <cellStyle name="Normal 2 18 3 6" xfId="16617" xr:uid="{00000000-0005-0000-0000-0000A84C0000}"/>
    <cellStyle name="Normal 2 18 3 6 2" xfId="36537" xr:uid="{00000000-0005-0000-0000-0000A94C0000}"/>
    <cellStyle name="Normal 2 18 3 7" xfId="24232" xr:uid="{00000000-0005-0000-0000-0000AA4C0000}"/>
    <cellStyle name="Normal 2 19" xfId="1117" xr:uid="{00000000-0005-0000-0000-0000AB4C0000}"/>
    <cellStyle name="Normal 2 19 2" xfId="4555" xr:uid="{00000000-0005-0000-0000-0000AC4C0000}"/>
    <cellStyle name="Normal 2 19 3" xfId="3417" xr:uid="{00000000-0005-0000-0000-0000AD4C0000}"/>
    <cellStyle name="Normal 2 19 3 2" xfId="4931" xr:uid="{00000000-0005-0000-0000-0000AE4C0000}"/>
    <cellStyle name="Normal 2 19 3 2 2" xfId="6556" xr:uid="{00000000-0005-0000-0000-0000AF4C0000}"/>
    <cellStyle name="Normal 2 19 3 2 2 2" xfId="9642" xr:uid="{00000000-0005-0000-0000-0000B04C0000}"/>
    <cellStyle name="Normal 2 19 3 2 2 2 2" xfId="15835" xr:uid="{00000000-0005-0000-0000-0000B14C0000}"/>
    <cellStyle name="Normal 2 19 3 2 2 2 2 2" xfId="35755" xr:uid="{00000000-0005-0000-0000-0000B24C0000}"/>
    <cellStyle name="Normal 2 19 3 2 2 2 3" xfId="21987" xr:uid="{00000000-0005-0000-0000-0000B34C0000}"/>
    <cellStyle name="Normal 2 19 3 2 2 2 3 2" xfId="41907" xr:uid="{00000000-0005-0000-0000-0000B44C0000}"/>
    <cellStyle name="Normal 2 19 3 2 2 2 4" xfId="29602" xr:uid="{00000000-0005-0000-0000-0000B54C0000}"/>
    <cellStyle name="Normal 2 19 3 2 2 3" xfId="12769" xr:uid="{00000000-0005-0000-0000-0000B64C0000}"/>
    <cellStyle name="Normal 2 19 3 2 2 3 2" xfId="32689" xr:uid="{00000000-0005-0000-0000-0000B74C0000}"/>
    <cellStyle name="Normal 2 19 3 2 2 4" xfId="18921" xr:uid="{00000000-0005-0000-0000-0000B84C0000}"/>
    <cellStyle name="Normal 2 19 3 2 2 4 2" xfId="38841" xr:uid="{00000000-0005-0000-0000-0000B94C0000}"/>
    <cellStyle name="Normal 2 19 3 2 2 5" xfId="26536" xr:uid="{00000000-0005-0000-0000-0000BA4C0000}"/>
    <cellStyle name="Normal 2 19 3 2 3" xfId="8107" xr:uid="{00000000-0005-0000-0000-0000BB4C0000}"/>
    <cellStyle name="Normal 2 19 3 2 3 2" xfId="14301" xr:uid="{00000000-0005-0000-0000-0000BC4C0000}"/>
    <cellStyle name="Normal 2 19 3 2 3 2 2" xfId="34221" xr:uid="{00000000-0005-0000-0000-0000BD4C0000}"/>
    <cellStyle name="Normal 2 19 3 2 3 3" xfId="20453" xr:uid="{00000000-0005-0000-0000-0000BE4C0000}"/>
    <cellStyle name="Normal 2 19 3 2 3 3 2" xfId="40373" xr:uid="{00000000-0005-0000-0000-0000BF4C0000}"/>
    <cellStyle name="Normal 2 19 3 2 3 4" xfId="28068" xr:uid="{00000000-0005-0000-0000-0000C04C0000}"/>
    <cellStyle name="Normal 2 19 3 2 4" xfId="11235" xr:uid="{00000000-0005-0000-0000-0000C14C0000}"/>
    <cellStyle name="Normal 2 19 3 2 4 2" xfId="31155" xr:uid="{00000000-0005-0000-0000-0000C24C0000}"/>
    <cellStyle name="Normal 2 19 3 2 5" xfId="17387" xr:uid="{00000000-0005-0000-0000-0000C34C0000}"/>
    <cellStyle name="Normal 2 19 3 2 5 2" xfId="37307" xr:uid="{00000000-0005-0000-0000-0000C44C0000}"/>
    <cellStyle name="Normal 2 19 3 2 6" xfId="25002" xr:uid="{00000000-0005-0000-0000-0000C54C0000}"/>
    <cellStyle name="Normal 2 19 3 3" xfId="5773" xr:uid="{00000000-0005-0000-0000-0000C64C0000}"/>
    <cellStyle name="Normal 2 19 3 3 2" xfId="8873" xr:uid="{00000000-0005-0000-0000-0000C74C0000}"/>
    <cellStyle name="Normal 2 19 3 3 2 2" xfId="15066" xr:uid="{00000000-0005-0000-0000-0000C84C0000}"/>
    <cellStyle name="Normal 2 19 3 3 2 2 2" xfId="34986" xr:uid="{00000000-0005-0000-0000-0000C94C0000}"/>
    <cellStyle name="Normal 2 19 3 3 2 3" xfId="21218" xr:uid="{00000000-0005-0000-0000-0000CA4C0000}"/>
    <cellStyle name="Normal 2 19 3 3 2 3 2" xfId="41138" xr:uid="{00000000-0005-0000-0000-0000CB4C0000}"/>
    <cellStyle name="Normal 2 19 3 3 2 4" xfId="28833" xr:uid="{00000000-0005-0000-0000-0000CC4C0000}"/>
    <cellStyle name="Normal 2 19 3 3 3" xfId="12000" xr:uid="{00000000-0005-0000-0000-0000CD4C0000}"/>
    <cellStyle name="Normal 2 19 3 3 3 2" xfId="31920" xr:uid="{00000000-0005-0000-0000-0000CE4C0000}"/>
    <cellStyle name="Normal 2 19 3 3 4" xfId="18152" xr:uid="{00000000-0005-0000-0000-0000CF4C0000}"/>
    <cellStyle name="Normal 2 19 3 3 4 2" xfId="38072" xr:uid="{00000000-0005-0000-0000-0000D04C0000}"/>
    <cellStyle name="Normal 2 19 3 3 5" xfId="25767" xr:uid="{00000000-0005-0000-0000-0000D14C0000}"/>
    <cellStyle name="Normal 2 19 3 4" xfId="7338" xr:uid="{00000000-0005-0000-0000-0000D24C0000}"/>
    <cellStyle name="Normal 2 19 3 4 2" xfId="13532" xr:uid="{00000000-0005-0000-0000-0000D34C0000}"/>
    <cellStyle name="Normal 2 19 3 4 2 2" xfId="33452" xr:uid="{00000000-0005-0000-0000-0000D44C0000}"/>
    <cellStyle name="Normal 2 19 3 4 3" xfId="19684" xr:uid="{00000000-0005-0000-0000-0000D54C0000}"/>
    <cellStyle name="Normal 2 19 3 4 3 2" xfId="39604" xr:uid="{00000000-0005-0000-0000-0000D64C0000}"/>
    <cellStyle name="Normal 2 19 3 4 4" xfId="27299" xr:uid="{00000000-0005-0000-0000-0000D74C0000}"/>
    <cellStyle name="Normal 2 19 3 5" xfId="10466" xr:uid="{00000000-0005-0000-0000-0000D84C0000}"/>
    <cellStyle name="Normal 2 19 3 5 2" xfId="30386" xr:uid="{00000000-0005-0000-0000-0000D94C0000}"/>
    <cellStyle name="Normal 2 19 3 6" xfId="16618" xr:uid="{00000000-0005-0000-0000-0000DA4C0000}"/>
    <cellStyle name="Normal 2 19 3 6 2" xfId="36538" xr:uid="{00000000-0005-0000-0000-0000DB4C0000}"/>
    <cellStyle name="Normal 2 19 3 7" xfId="24233" xr:uid="{00000000-0005-0000-0000-0000DC4C0000}"/>
    <cellStyle name="Normal 2 2" xfId="23" xr:uid="{00000000-0005-0000-0000-0000DD4C0000}"/>
    <cellStyle name="Normal 2 2 10" xfId="210" xr:uid="{00000000-0005-0000-0000-0000DE4C0000}"/>
    <cellStyle name="Normal 2 2 10 2" xfId="4932" xr:uid="{00000000-0005-0000-0000-0000DF4C0000}"/>
    <cellStyle name="Normal 2 2 10 2 2" xfId="6557" xr:uid="{00000000-0005-0000-0000-0000E04C0000}"/>
    <cellStyle name="Normal 2 2 10 2 2 2" xfId="9643" xr:uid="{00000000-0005-0000-0000-0000E14C0000}"/>
    <cellStyle name="Normal 2 2 10 2 2 2 2" xfId="15836" xr:uid="{00000000-0005-0000-0000-0000E24C0000}"/>
    <cellStyle name="Normal 2 2 10 2 2 2 2 2" xfId="35756" xr:uid="{00000000-0005-0000-0000-0000E34C0000}"/>
    <cellStyle name="Normal 2 2 10 2 2 2 3" xfId="21988" xr:uid="{00000000-0005-0000-0000-0000E44C0000}"/>
    <cellStyle name="Normal 2 2 10 2 2 2 3 2" xfId="41908" xr:uid="{00000000-0005-0000-0000-0000E54C0000}"/>
    <cellStyle name="Normal 2 2 10 2 2 2 4" xfId="29603" xr:uid="{00000000-0005-0000-0000-0000E64C0000}"/>
    <cellStyle name="Normal 2 2 10 2 2 3" xfId="12770" xr:uid="{00000000-0005-0000-0000-0000E74C0000}"/>
    <cellStyle name="Normal 2 2 10 2 2 3 2" xfId="32690" xr:uid="{00000000-0005-0000-0000-0000E84C0000}"/>
    <cellStyle name="Normal 2 2 10 2 2 4" xfId="18922" xr:uid="{00000000-0005-0000-0000-0000E94C0000}"/>
    <cellStyle name="Normal 2 2 10 2 2 4 2" xfId="38842" xr:uid="{00000000-0005-0000-0000-0000EA4C0000}"/>
    <cellStyle name="Normal 2 2 10 2 2 5" xfId="26537" xr:uid="{00000000-0005-0000-0000-0000EB4C0000}"/>
    <cellStyle name="Normal 2 2 10 2 3" xfId="8108" xr:uid="{00000000-0005-0000-0000-0000EC4C0000}"/>
    <cellStyle name="Normal 2 2 10 2 3 2" xfId="14302" xr:uid="{00000000-0005-0000-0000-0000ED4C0000}"/>
    <cellStyle name="Normal 2 2 10 2 3 2 2" xfId="34222" xr:uid="{00000000-0005-0000-0000-0000EE4C0000}"/>
    <cellStyle name="Normal 2 2 10 2 3 3" xfId="20454" xr:uid="{00000000-0005-0000-0000-0000EF4C0000}"/>
    <cellStyle name="Normal 2 2 10 2 3 3 2" xfId="40374" xr:uid="{00000000-0005-0000-0000-0000F04C0000}"/>
    <cellStyle name="Normal 2 2 10 2 3 4" xfId="28069" xr:uid="{00000000-0005-0000-0000-0000F14C0000}"/>
    <cellStyle name="Normal 2 2 10 2 4" xfId="11236" xr:uid="{00000000-0005-0000-0000-0000F24C0000}"/>
    <cellStyle name="Normal 2 2 10 2 4 2" xfId="31156" xr:uid="{00000000-0005-0000-0000-0000F34C0000}"/>
    <cellStyle name="Normal 2 2 10 2 5" xfId="17388" xr:uid="{00000000-0005-0000-0000-0000F44C0000}"/>
    <cellStyle name="Normal 2 2 10 2 5 2" xfId="37308" xr:uid="{00000000-0005-0000-0000-0000F54C0000}"/>
    <cellStyle name="Normal 2 2 10 2 6" xfId="25003" xr:uid="{00000000-0005-0000-0000-0000F64C0000}"/>
    <cellStyle name="Normal 2 2 10 3" xfId="5774" xr:uid="{00000000-0005-0000-0000-0000F74C0000}"/>
    <cellStyle name="Normal 2 2 10 3 2" xfId="8874" xr:uid="{00000000-0005-0000-0000-0000F84C0000}"/>
    <cellStyle name="Normal 2 2 10 3 2 2" xfId="15067" xr:uid="{00000000-0005-0000-0000-0000F94C0000}"/>
    <cellStyle name="Normal 2 2 10 3 2 2 2" xfId="34987" xr:uid="{00000000-0005-0000-0000-0000FA4C0000}"/>
    <cellStyle name="Normal 2 2 10 3 2 3" xfId="21219" xr:uid="{00000000-0005-0000-0000-0000FB4C0000}"/>
    <cellStyle name="Normal 2 2 10 3 2 3 2" xfId="41139" xr:uid="{00000000-0005-0000-0000-0000FC4C0000}"/>
    <cellStyle name="Normal 2 2 10 3 2 4" xfId="28834" xr:uid="{00000000-0005-0000-0000-0000FD4C0000}"/>
    <cellStyle name="Normal 2 2 10 3 3" xfId="12001" xr:uid="{00000000-0005-0000-0000-0000FE4C0000}"/>
    <cellStyle name="Normal 2 2 10 3 3 2" xfId="31921" xr:uid="{00000000-0005-0000-0000-0000FF4C0000}"/>
    <cellStyle name="Normal 2 2 10 3 4" xfId="18153" xr:uid="{00000000-0005-0000-0000-0000004D0000}"/>
    <cellStyle name="Normal 2 2 10 3 4 2" xfId="38073" xr:uid="{00000000-0005-0000-0000-0000014D0000}"/>
    <cellStyle name="Normal 2 2 10 3 5" xfId="25768" xr:uid="{00000000-0005-0000-0000-0000024D0000}"/>
    <cellStyle name="Normal 2 2 10 4" xfId="7339" xr:uid="{00000000-0005-0000-0000-0000034D0000}"/>
    <cellStyle name="Normal 2 2 10 4 2" xfId="13533" xr:uid="{00000000-0005-0000-0000-0000044D0000}"/>
    <cellStyle name="Normal 2 2 10 4 2 2" xfId="33453" xr:uid="{00000000-0005-0000-0000-0000054D0000}"/>
    <cellStyle name="Normal 2 2 10 4 3" xfId="19685" xr:uid="{00000000-0005-0000-0000-0000064D0000}"/>
    <cellStyle name="Normal 2 2 10 4 3 2" xfId="39605" xr:uid="{00000000-0005-0000-0000-0000074D0000}"/>
    <cellStyle name="Normal 2 2 10 4 4" xfId="27300" xr:uid="{00000000-0005-0000-0000-0000084D0000}"/>
    <cellStyle name="Normal 2 2 10 5" xfId="10467" xr:uid="{00000000-0005-0000-0000-0000094D0000}"/>
    <cellStyle name="Normal 2 2 10 5 2" xfId="30387" xr:uid="{00000000-0005-0000-0000-00000A4D0000}"/>
    <cellStyle name="Normal 2 2 10 6" xfId="16619" xr:uid="{00000000-0005-0000-0000-00000B4D0000}"/>
    <cellStyle name="Normal 2 2 10 6 2" xfId="36539" xr:uid="{00000000-0005-0000-0000-00000C4D0000}"/>
    <cellStyle name="Normal 2 2 10 7" xfId="3418" xr:uid="{00000000-0005-0000-0000-00000D4D0000}"/>
    <cellStyle name="Normal 2 2 10 7 2" xfId="24234" xr:uid="{00000000-0005-0000-0000-00000E4D0000}"/>
    <cellStyle name="Normal 2 2 11" xfId="231" xr:uid="{00000000-0005-0000-0000-00000F4D0000}"/>
    <cellStyle name="Normal 2 2 11 2" xfId="4933" xr:uid="{00000000-0005-0000-0000-0000104D0000}"/>
    <cellStyle name="Normal 2 2 11 2 2" xfId="6558" xr:uid="{00000000-0005-0000-0000-0000114D0000}"/>
    <cellStyle name="Normal 2 2 11 2 2 2" xfId="9644" xr:uid="{00000000-0005-0000-0000-0000124D0000}"/>
    <cellStyle name="Normal 2 2 11 2 2 2 2" xfId="15837" xr:uid="{00000000-0005-0000-0000-0000134D0000}"/>
    <cellStyle name="Normal 2 2 11 2 2 2 2 2" xfId="35757" xr:uid="{00000000-0005-0000-0000-0000144D0000}"/>
    <cellStyle name="Normal 2 2 11 2 2 2 3" xfId="21989" xr:uid="{00000000-0005-0000-0000-0000154D0000}"/>
    <cellStyle name="Normal 2 2 11 2 2 2 3 2" xfId="41909" xr:uid="{00000000-0005-0000-0000-0000164D0000}"/>
    <cellStyle name="Normal 2 2 11 2 2 2 4" xfId="29604" xr:uid="{00000000-0005-0000-0000-0000174D0000}"/>
    <cellStyle name="Normal 2 2 11 2 2 3" xfId="12771" xr:uid="{00000000-0005-0000-0000-0000184D0000}"/>
    <cellStyle name="Normal 2 2 11 2 2 3 2" xfId="32691" xr:uid="{00000000-0005-0000-0000-0000194D0000}"/>
    <cellStyle name="Normal 2 2 11 2 2 4" xfId="18923" xr:uid="{00000000-0005-0000-0000-00001A4D0000}"/>
    <cellStyle name="Normal 2 2 11 2 2 4 2" xfId="38843" xr:uid="{00000000-0005-0000-0000-00001B4D0000}"/>
    <cellStyle name="Normal 2 2 11 2 2 5" xfId="26538" xr:uid="{00000000-0005-0000-0000-00001C4D0000}"/>
    <cellStyle name="Normal 2 2 11 2 3" xfId="8109" xr:uid="{00000000-0005-0000-0000-00001D4D0000}"/>
    <cellStyle name="Normal 2 2 11 2 3 2" xfId="14303" xr:uid="{00000000-0005-0000-0000-00001E4D0000}"/>
    <cellStyle name="Normal 2 2 11 2 3 2 2" xfId="34223" xr:uid="{00000000-0005-0000-0000-00001F4D0000}"/>
    <cellStyle name="Normal 2 2 11 2 3 3" xfId="20455" xr:uid="{00000000-0005-0000-0000-0000204D0000}"/>
    <cellStyle name="Normal 2 2 11 2 3 3 2" xfId="40375" xr:uid="{00000000-0005-0000-0000-0000214D0000}"/>
    <cellStyle name="Normal 2 2 11 2 3 4" xfId="28070" xr:uid="{00000000-0005-0000-0000-0000224D0000}"/>
    <cellStyle name="Normal 2 2 11 2 4" xfId="11237" xr:uid="{00000000-0005-0000-0000-0000234D0000}"/>
    <cellStyle name="Normal 2 2 11 2 4 2" xfId="31157" xr:uid="{00000000-0005-0000-0000-0000244D0000}"/>
    <cellStyle name="Normal 2 2 11 2 5" xfId="17389" xr:uid="{00000000-0005-0000-0000-0000254D0000}"/>
    <cellStyle name="Normal 2 2 11 2 5 2" xfId="37309" xr:uid="{00000000-0005-0000-0000-0000264D0000}"/>
    <cellStyle name="Normal 2 2 11 2 6" xfId="25004" xr:uid="{00000000-0005-0000-0000-0000274D0000}"/>
    <cellStyle name="Normal 2 2 11 3" xfId="5775" xr:uid="{00000000-0005-0000-0000-0000284D0000}"/>
    <cellStyle name="Normal 2 2 11 3 2" xfId="8875" xr:uid="{00000000-0005-0000-0000-0000294D0000}"/>
    <cellStyle name="Normal 2 2 11 3 2 2" xfId="15068" xr:uid="{00000000-0005-0000-0000-00002A4D0000}"/>
    <cellStyle name="Normal 2 2 11 3 2 2 2" xfId="34988" xr:uid="{00000000-0005-0000-0000-00002B4D0000}"/>
    <cellStyle name="Normal 2 2 11 3 2 3" xfId="21220" xr:uid="{00000000-0005-0000-0000-00002C4D0000}"/>
    <cellStyle name="Normal 2 2 11 3 2 3 2" xfId="41140" xr:uid="{00000000-0005-0000-0000-00002D4D0000}"/>
    <cellStyle name="Normal 2 2 11 3 2 4" xfId="28835" xr:uid="{00000000-0005-0000-0000-00002E4D0000}"/>
    <cellStyle name="Normal 2 2 11 3 3" xfId="12002" xr:uid="{00000000-0005-0000-0000-00002F4D0000}"/>
    <cellStyle name="Normal 2 2 11 3 3 2" xfId="31922" xr:uid="{00000000-0005-0000-0000-0000304D0000}"/>
    <cellStyle name="Normal 2 2 11 3 4" xfId="18154" xr:uid="{00000000-0005-0000-0000-0000314D0000}"/>
    <cellStyle name="Normal 2 2 11 3 4 2" xfId="38074" xr:uid="{00000000-0005-0000-0000-0000324D0000}"/>
    <cellStyle name="Normal 2 2 11 3 5" xfId="25769" xr:uid="{00000000-0005-0000-0000-0000334D0000}"/>
    <cellStyle name="Normal 2 2 11 4" xfId="7340" xr:uid="{00000000-0005-0000-0000-0000344D0000}"/>
    <cellStyle name="Normal 2 2 11 4 2" xfId="13534" xr:uid="{00000000-0005-0000-0000-0000354D0000}"/>
    <cellStyle name="Normal 2 2 11 4 2 2" xfId="33454" xr:uid="{00000000-0005-0000-0000-0000364D0000}"/>
    <cellStyle name="Normal 2 2 11 4 3" xfId="19686" xr:uid="{00000000-0005-0000-0000-0000374D0000}"/>
    <cellStyle name="Normal 2 2 11 4 3 2" xfId="39606" xr:uid="{00000000-0005-0000-0000-0000384D0000}"/>
    <cellStyle name="Normal 2 2 11 4 4" xfId="27301" xr:uid="{00000000-0005-0000-0000-0000394D0000}"/>
    <cellStyle name="Normal 2 2 11 5" xfId="10468" xr:uid="{00000000-0005-0000-0000-00003A4D0000}"/>
    <cellStyle name="Normal 2 2 11 5 2" xfId="30388" xr:uid="{00000000-0005-0000-0000-00003B4D0000}"/>
    <cellStyle name="Normal 2 2 11 6" xfId="16620" xr:uid="{00000000-0005-0000-0000-00003C4D0000}"/>
    <cellStyle name="Normal 2 2 11 6 2" xfId="36540" xr:uid="{00000000-0005-0000-0000-00003D4D0000}"/>
    <cellStyle name="Normal 2 2 11 7" xfId="3419" xr:uid="{00000000-0005-0000-0000-00003E4D0000}"/>
    <cellStyle name="Normal 2 2 11 7 2" xfId="24235" xr:uid="{00000000-0005-0000-0000-00003F4D0000}"/>
    <cellStyle name="Normal 2 2 12" xfId="195" xr:uid="{00000000-0005-0000-0000-0000404D0000}"/>
    <cellStyle name="Normal 2 2 12 2" xfId="4934" xr:uid="{00000000-0005-0000-0000-0000414D0000}"/>
    <cellStyle name="Normal 2 2 12 2 2" xfId="6559" xr:uid="{00000000-0005-0000-0000-0000424D0000}"/>
    <cellStyle name="Normal 2 2 12 2 2 2" xfId="9645" xr:uid="{00000000-0005-0000-0000-0000434D0000}"/>
    <cellStyle name="Normal 2 2 12 2 2 2 2" xfId="15838" xr:uid="{00000000-0005-0000-0000-0000444D0000}"/>
    <cellStyle name="Normal 2 2 12 2 2 2 2 2" xfId="35758" xr:uid="{00000000-0005-0000-0000-0000454D0000}"/>
    <cellStyle name="Normal 2 2 12 2 2 2 3" xfId="21990" xr:uid="{00000000-0005-0000-0000-0000464D0000}"/>
    <cellStyle name="Normal 2 2 12 2 2 2 3 2" xfId="41910" xr:uid="{00000000-0005-0000-0000-0000474D0000}"/>
    <cellStyle name="Normal 2 2 12 2 2 2 4" xfId="29605" xr:uid="{00000000-0005-0000-0000-0000484D0000}"/>
    <cellStyle name="Normal 2 2 12 2 2 3" xfId="12772" xr:uid="{00000000-0005-0000-0000-0000494D0000}"/>
    <cellStyle name="Normal 2 2 12 2 2 3 2" xfId="32692" xr:uid="{00000000-0005-0000-0000-00004A4D0000}"/>
    <cellStyle name="Normal 2 2 12 2 2 4" xfId="18924" xr:uid="{00000000-0005-0000-0000-00004B4D0000}"/>
    <cellStyle name="Normal 2 2 12 2 2 4 2" xfId="38844" xr:uid="{00000000-0005-0000-0000-00004C4D0000}"/>
    <cellStyle name="Normal 2 2 12 2 2 5" xfId="26539" xr:uid="{00000000-0005-0000-0000-00004D4D0000}"/>
    <cellStyle name="Normal 2 2 12 2 3" xfId="8110" xr:uid="{00000000-0005-0000-0000-00004E4D0000}"/>
    <cellStyle name="Normal 2 2 12 2 3 2" xfId="14304" xr:uid="{00000000-0005-0000-0000-00004F4D0000}"/>
    <cellStyle name="Normal 2 2 12 2 3 2 2" xfId="34224" xr:uid="{00000000-0005-0000-0000-0000504D0000}"/>
    <cellStyle name="Normal 2 2 12 2 3 3" xfId="20456" xr:uid="{00000000-0005-0000-0000-0000514D0000}"/>
    <cellStyle name="Normal 2 2 12 2 3 3 2" xfId="40376" xr:uid="{00000000-0005-0000-0000-0000524D0000}"/>
    <cellStyle name="Normal 2 2 12 2 3 4" xfId="28071" xr:uid="{00000000-0005-0000-0000-0000534D0000}"/>
    <cellStyle name="Normal 2 2 12 2 4" xfId="11238" xr:uid="{00000000-0005-0000-0000-0000544D0000}"/>
    <cellStyle name="Normal 2 2 12 2 4 2" xfId="31158" xr:uid="{00000000-0005-0000-0000-0000554D0000}"/>
    <cellStyle name="Normal 2 2 12 2 5" xfId="17390" xr:uid="{00000000-0005-0000-0000-0000564D0000}"/>
    <cellStyle name="Normal 2 2 12 2 5 2" xfId="37310" xr:uid="{00000000-0005-0000-0000-0000574D0000}"/>
    <cellStyle name="Normal 2 2 12 2 6" xfId="25005" xr:uid="{00000000-0005-0000-0000-0000584D0000}"/>
    <cellStyle name="Normal 2 2 12 3" xfId="5776" xr:uid="{00000000-0005-0000-0000-0000594D0000}"/>
    <cellStyle name="Normal 2 2 12 3 2" xfId="8876" xr:uid="{00000000-0005-0000-0000-00005A4D0000}"/>
    <cellStyle name="Normal 2 2 12 3 2 2" xfId="15069" xr:uid="{00000000-0005-0000-0000-00005B4D0000}"/>
    <cellStyle name="Normal 2 2 12 3 2 2 2" xfId="34989" xr:uid="{00000000-0005-0000-0000-00005C4D0000}"/>
    <cellStyle name="Normal 2 2 12 3 2 3" xfId="21221" xr:uid="{00000000-0005-0000-0000-00005D4D0000}"/>
    <cellStyle name="Normal 2 2 12 3 2 3 2" xfId="41141" xr:uid="{00000000-0005-0000-0000-00005E4D0000}"/>
    <cellStyle name="Normal 2 2 12 3 2 4" xfId="28836" xr:uid="{00000000-0005-0000-0000-00005F4D0000}"/>
    <cellStyle name="Normal 2 2 12 3 3" xfId="12003" xr:uid="{00000000-0005-0000-0000-0000604D0000}"/>
    <cellStyle name="Normal 2 2 12 3 3 2" xfId="31923" xr:uid="{00000000-0005-0000-0000-0000614D0000}"/>
    <cellStyle name="Normal 2 2 12 3 4" xfId="18155" xr:uid="{00000000-0005-0000-0000-0000624D0000}"/>
    <cellStyle name="Normal 2 2 12 3 4 2" xfId="38075" xr:uid="{00000000-0005-0000-0000-0000634D0000}"/>
    <cellStyle name="Normal 2 2 12 3 5" xfId="25770" xr:uid="{00000000-0005-0000-0000-0000644D0000}"/>
    <cellStyle name="Normal 2 2 12 4" xfId="7341" xr:uid="{00000000-0005-0000-0000-0000654D0000}"/>
    <cellStyle name="Normal 2 2 12 4 2" xfId="13535" xr:uid="{00000000-0005-0000-0000-0000664D0000}"/>
    <cellStyle name="Normal 2 2 12 4 2 2" xfId="33455" xr:uid="{00000000-0005-0000-0000-0000674D0000}"/>
    <cellStyle name="Normal 2 2 12 4 3" xfId="19687" xr:uid="{00000000-0005-0000-0000-0000684D0000}"/>
    <cellStyle name="Normal 2 2 12 4 3 2" xfId="39607" xr:uid="{00000000-0005-0000-0000-0000694D0000}"/>
    <cellStyle name="Normal 2 2 12 4 4" xfId="27302" xr:uid="{00000000-0005-0000-0000-00006A4D0000}"/>
    <cellStyle name="Normal 2 2 12 5" xfId="10469" xr:uid="{00000000-0005-0000-0000-00006B4D0000}"/>
    <cellStyle name="Normal 2 2 12 5 2" xfId="30389" xr:uid="{00000000-0005-0000-0000-00006C4D0000}"/>
    <cellStyle name="Normal 2 2 12 6" xfId="16621" xr:uid="{00000000-0005-0000-0000-00006D4D0000}"/>
    <cellStyle name="Normal 2 2 12 6 2" xfId="36541" xr:uid="{00000000-0005-0000-0000-00006E4D0000}"/>
    <cellStyle name="Normal 2 2 12 7" xfId="3420" xr:uid="{00000000-0005-0000-0000-00006F4D0000}"/>
    <cellStyle name="Normal 2 2 12 7 2" xfId="24236" xr:uid="{00000000-0005-0000-0000-0000704D0000}"/>
    <cellStyle name="Normal 2 2 13" xfId="234" xr:uid="{00000000-0005-0000-0000-0000714D0000}"/>
    <cellStyle name="Normal 2 2 13 2" xfId="4935" xr:uid="{00000000-0005-0000-0000-0000724D0000}"/>
    <cellStyle name="Normal 2 2 13 2 2" xfId="6560" xr:uid="{00000000-0005-0000-0000-0000734D0000}"/>
    <cellStyle name="Normal 2 2 13 2 2 2" xfId="9646" xr:uid="{00000000-0005-0000-0000-0000744D0000}"/>
    <cellStyle name="Normal 2 2 13 2 2 2 2" xfId="15839" xr:uid="{00000000-0005-0000-0000-0000754D0000}"/>
    <cellStyle name="Normal 2 2 13 2 2 2 2 2" xfId="35759" xr:uid="{00000000-0005-0000-0000-0000764D0000}"/>
    <cellStyle name="Normal 2 2 13 2 2 2 3" xfId="21991" xr:uid="{00000000-0005-0000-0000-0000774D0000}"/>
    <cellStyle name="Normal 2 2 13 2 2 2 3 2" xfId="41911" xr:uid="{00000000-0005-0000-0000-0000784D0000}"/>
    <cellStyle name="Normal 2 2 13 2 2 2 4" xfId="29606" xr:uid="{00000000-0005-0000-0000-0000794D0000}"/>
    <cellStyle name="Normal 2 2 13 2 2 3" xfId="12773" xr:uid="{00000000-0005-0000-0000-00007A4D0000}"/>
    <cellStyle name="Normal 2 2 13 2 2 3 2" xfId="32693" xr:uid="{00000000-0005-0000-0000-00007B4D0000}"/>
    <cellStyle name="Normal 2 2 13 2 2 4" xfId="18925" xr:uid="{00000000-0005-0000-0000-00007C4D0000}"/>
    <cellStyle name="Normal 2 2 13 2 2 4 2" xfId="38845" xr:uid="{00000000-0005-0000-0000-00007D4D0000}"/>
    <cellStyle name="Normal 2 2 13 2 2 5" xfId="26540" xr:uid="{00000000-0005-0000-0000-00007E4D0000}"/>
    <cellStyle name="Normal 2 2 13 2 3" xfId="8111" xr:uid="{00000000-0005-0000-0000-00007F4D0000}"/>
    <cellStyle name="Normal 2 2 13 2 3 2" xfId="14305" xr:uid="{00000000-0005-0000-0000-0000804D0000}"/>
    <cellStyle name="Normal 2 2 13 2 3 2 2" xfId="34225" xr:uid="{00000000-0005-0000-0000-0000814D0000}"/>
    <cellStyle name="Normal 2 2 13 2 3 3" xfId="20457" xr:uid="{00000000-0005-0000-0000-0000824D0000}"/>
    <cellStyle name="Normal 2 2 13 2 3 3 2" xfId="40377" xr:uid="{00000000-0005-0000-0000-0000834D0000}"/>
    <cellStyle name="Normal 2 2 13 2 3 4" xfId="28072" xr:uid="{00000000-0005-0000-0000-0000844D0000}"/>
    <cellStyle name="Normal 2 2 13 2 4" xfId="11239" xr:uid="{00000000-0005-0000-0000-0000854D0000}"/>
    <cellStyle name="Normal 2 2 13 2 4 2" xfId="31159" xr:uid="{00000000-0005-0000-0000-0000864D0000}"/>
    <cellStyle name="Normal 2 2 13 2 5" xfId="17391" xr:uid="{00000000-0005-0000-0000-0000874D0000}"/>
    <cellStyle name="Normal 2 2 13 2 5 2" xfId="37311" xr:uid="{00000000-0005-0000-0000-0000884D0000}"/>
    <cellStyle name="Normal 2 2 13 2 6" xfId="25006" xr:uid="{00000000-0005-0000-0000-0000894D0000}"/>
    <cellStyle name="Normal 2 2 13 3" xfId="5777" xr:uid="{00000000-0005-0000-0000-00008A4D0000}"/>
    <cellStyle name="Normal 2 2 13 3 2" xfId="8877" xr:uid="{00000000-0005-0000-0000-00008B4D0000}"/>
    <cellStyle name="Normal 2 2 13 3 2 2" xfId="15070" xr:uid="{00000000-0005-0000-0000-00008C4D0000}"/>
    <cellStyle name="Normal 2 2 13 3 2 2 2" xfId="34990" xr:uid="{00000000-0005-0000-0000-00008D4D0000}"/>
    <cellStyle name="Normal 2 2 13 3 2 3" xfId="21222" xr:uid="{00000000-0005-0000-0000-00008E4D0000}"/>
    <cellStyle name="Normal 2 2 13 3 2 3 2" xfId="41142" xr:uid="{00000000-0005-0000-0000-00008F4D0000}"/>
    <cellStyle name="Normal 2 2 13 3 2 4" xfId="28837" xr:uid="{00000000-0005-0000-0000-0000904D0000}"/>
    <cellStyle name="Normal 2 2 13 3 3" xfId="12004" xr:uid="{00000000-0005-0000-0000-0000914D0000}"/>
    <cellStyle name="Normal 2 2 13 3 3 2" xfId="31924" xr:uid="{00000000-0005-0000-0000-0000924D0000}"/>
    <cellStyle name="Normal 2 2 13 3 4" xfId="18156" xr:uid="{00000000-0005-0000-0000-0000934D0000}"/>
    <cellStyle name="Normal 2 2 13 3 4 2" xfId="38076" xr:uid="{00000000-0005-0000-0000-0000944D0000}"/>
    <cellStyle name="Normal 2 2 13 3 5" xfId="25771" xr:uid="{00000000-0005-0000-0000-0000954D0000}"/>
    <cellStyle name="Normal 2 2 13 4" xfId="7342" xr:uid="{00000000-0005-0000-0000-0000964D0000}"/>
    <cellStyle name="Normal 2 2 13 4 2" xfId="13536" xr:uid="{00000000-0005-0000-0000-0000974D0000}"/>
    <cellStyle name="Normal 2 2 13 4 2 2" xfId="33456" xr:uid="{00000000-0005-0000-0000-0000984D0000}"/>
    <cellStyle name="Normal 2 2 13 4 3" xfId="19688" xr:uid="{00000000-0005-0000-0000-0000994D0000}"/>
    <cellStyle name="Normal 2 2 13 4 3 2" xfId="39608" xr:uid="{00000000-0005-0000-0000-00009A4D0000}"/>
    <cellStyle name="Normal 2 2 13 4 4" xfId="27303" xr:uid="{00000000-0005-0000-0000-00009B4D0000}"/>
    <cellStyle name="Normal 2 2 13 5" xfId="10470" xr:uid="{00000000-0005-0000-0000-00009C4D0000}"/>
    <cellStyle name="Normal 2 2 13 5 2" xfId="30390" xr:uid="{00000000-0005-0000-0000-00009D4D0000}"/>
    <cellStyle name="Normal 2 2 13 6" xfId="16622" xr:uid="{00000000-0005-0000-0000-00009E4D0000}"/>
    <cellStyle name="Normal 2 2 13 6 2" xfId="36542" xr:uid="{00000000-0005-0000-0000-00009F4D0000}"/>
    <cellStyle name="Normal 2 2 13 7" xfId="3421" xr:uid="{00000000-0005-0000-0000-0000A04D0000}"/>
    <cellStyle name="Normal 2 2 13 7 2" xfId="24237" xr:uid="{00000000-0005-0000-0000-0000A14D0000}"/>
    <cellStyle name="Normal 2 2 14" xfId="249" xr:uid="{00000000-0005-0000-0000-0000A24D0000}"/>
    <cellStyle name="Normal 2 2 14 2" xfId="4936" xr:uid="{00000000-0005-0000-0000-0000A34D0000}"/>
    <cellStyle name="Normal 2 2 14 2 2" xfId="6561" xr:uid="{00000000-0005-0000-0000-0000A44D0000}"/>
    <cellStyle name="Normal 2 2 14 2 2 2" xfId="9647" xr:uid="{00000000-0005-0000-0000-0000A54D0000}"/>
    <cellStyle name="Normal 2 2 14 2 2 2 2" xfId="15840" xr:uid="{00000000-0005-0000-0000-0000A64D0000}"/>
    <cellStyle name="Normal 2 2 14 2 2 2 2 2" xfId="35760" xr:uid="{00000000-0005-0000-0000-0000A74D0000}"/>
    <cellStyle name="Normal 2 2 14 2 2 2 3" xfId="21992" xr:uid="{00000000-0005-0000-0000-0000A84D0000}"/>
    <cellStyle name="Normal 2 2 14 2 2 2 3 2" xfId="41912" xr:uid="{00000000-0005-0000-0000-0000A94D0000}"/>
    <cellStyle name="Normal 2 2 14 2 2 2 4" xfId="29607" xr:uid="{00000000-0005-0000-0000-0000AA4D0000}"/>
    <cellStyle name="Normal 2 2 14 2 2 3" xfId="12774" xr:uid="{00000000-0005-0000-0000-0000AB4D0000}"/>
    <cellStyle name="Normal 2 2 14 2 2 3 2" xfId="32694" xr:uid="{00000000-0005-0000-0000-0000AC4D0000}"/>
    <cellStyle name="Normal 2 2 14 2 2 4" xfId="18926" xr:uid="{00000000-0005-0000-0000-0000AD4D0000}"/>
    <cellStyle name="Normal 2 2 14 2 2 4 2" xfId="38846" xr:uid="{00000000-0005-0000-0000-0000AE4D0000}"/>
    <cellStyle name="Normal 2 2 14 2 2 5" xfId="26541" xr:uid="{00000000-0005-0000-0000-0000AF4D0000}"/>
    <cellStyle name="Normal 2 2 14 2 3" xfId="8112" xr:uid="{00000000-0005-0000-0000-0000B04D0000}"/>
    <cellStyle name="Normal 2 2 14 2 3 2" xfId="14306" xr:uid="{00000000-0005-0000-0000-0000B14D0000}"/>
    <cellStyle name="Normal 2 2 14 2 3 2 2" xfId="34226" xr:uid="{00000000-0005-0000-0000-0000B24D0000}"/>
    <cellStyle name="Normal 2 2 14 2 3 3" xfId="20458" xr:uid="{00000000-0005-0000-0000-0000B34D0000}"/>
    <cellStyle name="Normal 2 2 14 2 3 3 2" xfId="40378" xr:uid="{00000000-0005-0000-0000-0000B44D0000}"/>
    <cellStyle name="Normal 2 2 14 2 3 4" xfId="28073" xr:uid="{00000000-0005-0000-0000-0000B54D0000}"/>
    <cellStyle name="Normal 2 2 14 2 4" xfId="11240" xr:uid="{00000000-0005-0000-0000-0000B64D0000}"/>
    <cellStyle name="Normal 2 2 14 2 4 2" xfId="31160" xr:uid="{00000000-0005-0000-0000-0000B74D0000}"/>
    <cellStyle name="Normal 2 2 14 2 5" xfId="17392" xr:uid="{00000000-0005-0000-0000-0000B84D0000}"/>
    <cellStyle name="Normal 2 2 14 2 5 2" xfId="37312" xr:uid="{00000000-0005-0000-0000-0000B94D0000}"/>
    <cellStyle name="Normal 2 2 14 2 6" xfId="25007" xr:uid="{00000000-0005-0000-0000-0000BA4D0000}"/>
    <cellStyle name="Normal 2 2 14 3" xfId="5778" xr:uid="{00000000-0005-0000-0000-0000BB4D0000}"/>
    <cellStyle name="Normal 2 2 14 3 2" xfId="8878" xr:uid="{00000000-0005-0000-0000-0000BC4D0000}"/>
    <cellStyle name="Normal 2 2 14 3 2 2" xfId="15071" xr:uid="{00000000-0005-0000-0000-0000BD4D0000}"/>
    <cellStyle name="Normal 2 2 14 3 2 2 2" xfId="34991" xr:uid="{00000000-0005-0000-0000-0000BE4D0000}"/>
    <cellStyle name="Normal 2 2 14 3 2 3" xfId="21223" xr:uid="{00000000-0005-0000-0000-0000BF4D0000}"/>
    <cellStyle name="Normal 2 2 14 3 2 3 2" xfId="41143" xr:uid="{00000000-0005-0000-0000-0000C04D0000}"/>
    <cellStyle name="Normal 2 2 14 3 2 4" xfId="28838" xr:uid="{00000000-0005-0000-0000-0000C14D0000}"/>
    <cellStyle name="Normal 2 2 14 3 3" xfId="12005" xr:uid="{00000000-0005-0000-0000-0000C24D0000}"/>
    <cellStyle name="Normal 2 2 14 3 3 2" xfId="31925" xr:uid="{00000000-0005-0000-0000-0000C34D0000}"/>
    <cellStyle name="Normal 2 2 14 3 4" xfId="18157" xr:uid="{00000000-0005-0000-0000-0000C44D0000}"/>
    <cellStyle name="Normal 2 2 14 3 4 2" xfId="38077" xr:uid="{00000000-0005-0000-0000-0000C54D0000}"/>
    <cellStyle name="Normal 2 2 14 3 5" xfId="25772" xr:uid="{00000000-0005-0000-0000-0000C64D0000}"/>
    <cellStyle name="Normal 2 2 14 4" xfId="7343" xr:uid="{00000000-0005-0000-0000-0000C74D0000}"/>
    <cellStyle name="Normal 2 2 14 4 2" xfId="13537" xr:uid="{00000000-0005-0000-0000-0000C84D0000}"/>
    <cellStyle name="Normal 2 2 14 4 2 2" xfId="33457" xr:uid="{00000000-0005-0000-0000-0000C94D0000}"/>
    <cellStyle name="Normal 2 2 14 4 3" xfId="19689" xr:uid="{00000000-0005-0000-0000-0000CA4D0000}"/>
    <cellStyle name="Normal 2 2 14 4 3 2" xfId="39609" xr:uid="{00000000-0005-0000-0000-0000CB4D0000}"/>
    <cellStyle name="Normal 2 2 14 4 4" xfId="27304" xr:uid="{00000000-0005-0000-0000-0000CC4D0000}"/>
    <cellStyle name="Normal 2 2 14 5" xfId="10471" xr:uid="{00000000-0005-0000-0000-0000CD4D0000}"/>
    <cellStyle name="Normal 2 2 14 5 2" xfId="30391" xr:uid="{00000000-0005-0000-0000-0000CE4D0000}"/>
    <cellStyle name="Normal 2 2 14 6" xfId="16623" xr:uid="{00000000-0005-0000-0000-0000CF4D0000}"/>
    <cellStyle name="Normal 2 2 14 6 2" xfId="36543" xr:uid="{00000000-0005-0000-0000-0000D04D0000}"/>
    <cellStyle name="Normal 2 2 14 7" xfId="3422" xr:uid="{00000000-0005-0000-0000-0000D14D0000}"/>
    <cellStyle name="Normal 2 2 14 7 2" xfId="24238" xr:uid="{00000000-0005-0000-0000-0000D24D0000}"/>
    <cellStyle name="Normal 2 2 15" xfId="315" xr:uid="{00000000-0005-0000-0000-0000D34D0000}"/>
    <cellStyle name="Normal 2 2 15 2" xfId="4937" xr:uid="{00000000-0005-0000-0000-0000D44D0000}"/>
    <cellStyle name="Normal 2 2 15 2 2" xfId="6562" xr:uid="{00000000-0005-0000-0000-0000D54D0000}"/>
    <cellStyle name="Normal 2 2 15 2 2 2" xfId="9648" xr:uid="{00000000-0005-0000-0000-0000D64D0000}"/>
    <cellStyle name="Normal 2 2 15 2 2 2 2" xfId="15841" xr:uid="{00000000-0005-0000-0000-0000D74D0000}"/>
    <cellStyle name="Normal 2 2 15 2 2 2 2 2" xfId="35761" xr:uid="{00000000-0005-0000-0000-0000D84D0000}"/>
    <cellStyle name="Normal 2 2 15 2 2 2 3" xfId="21993" xr:uid="{00000000-0005-0000-0000-0000D94D0000}"/>
    <cellStyle name="Normal 2 2 15 2 2 2 3 2" xfId="41913" xr:uid="{00000000-0005-0000-0000-0000DA4D0000}"/>
    <cellStyle name="Normal 2 2 15 2 2 2 4" xfId="29608" xr:uid="{00000000-0005-0000-0000-0000DB4D0000}"/>
    <cellStyle name="Normal 2 2 15 2 2 3" xfId="12775" xr:uid="{00000000-0005-0000-0000-0000DC4D0000}"/>
    <cellStyle name="Normal 2 2 15 2 2 3 2" xfId="32695" xr:uid="{00000000-0005-0000-0000-0000DD4D0000}"/>
    <cellStyle name="Normal 2 2 15 2 2 4" xfId="18927" xr:uid="{00000000-0005-0000-0000-0000DE4D0000}"/>
    <cellStyle name="Normal 2 2 15 2 2 4 2" xfId="38847" xr:uid="{00000000-0005-0000-0000-0000DF4D0000}"/>
    <cellStyle name="Normal 2 2 15 2 2 5" xfId="26542" xr:uid="{00000000-0005-0000-0000-0000E04D0000}"/>
    <cellStyle name="Normal 2 2 15 2 3" xfId="8113" xr:uid="{00000000-0005-0000-0000-0000E14D0000}"/>
    <cellStyle name="Normal 2 2 15 2 3 2" xfId="14307" xr:uid="{00000000-0005-0000-0000-0000E24D0000}"/>
    <cellStyle name="Normal 2 2 15 2 3 2 2" xfId="34227" xr:uid="{00000000-0005-0000-0000-0000E34D0000}"/>
    <cellStyle name="Normal 2 2 15 2 3 3" xfId="20459" xr:uid="{00000000-0005-0000-0000-0000E44D0000}"/>
    <cellStyle name="Normal 2 2 15 2 3 3 2" xfId="40379" xr:uid="{00000000-0005-0000-0000-0000E54D0000}"/>
    <cellStyle name="Normal 2 2 15 2 3 4" xfId="28074" xr:uid="{00000000-0005-0000-0000-0000E64D0000}"/>
    <cellStyle name="Normal 2 2 15 2 4" xfId="11241" xr:uid="{00000000-0005-0000-0000-0000E74D0000}"/>
    <cellStyle name="Normal 2 2 15 2 4 2" xfId="31161" xr:uid="{00000000-0005-0000-0000-0000E84D0000}"/>
    <cellStyle name="Normal 2 2 15 2 5" xfId="17393" xr:uid="{00000000-0005-0000-0000-0000E94D0000}"/>
    <cellStyle name="Normal 2 2 15 2 5 2" xfId="37313" xr:uid="{00000000-0005-0000-0000-0000EA4D0000}"/>
    <cellStyle name="Normal 2 2 15 2 6" xfId="25008" xr:uid="{00000000-0005-0000-0000-0000EB4D0000}"/>
    <cellStyle name="Normal 2 2 15 3" xfId="5779" xr:uid="{00000000-0005-0000-0000-0000EC4D0000}"/>
    <cellStyle name="Normal 2 2 15 3 2" xfId="8879" xr:uid="{00000000-0005-0000-0000-0000ED4D0000}"/>
    <cellStyle name="Normal 2 2 15 3 2 2" xfId="15072" xr:uid="{00000000-0005-0000-0000-0000EE4D0000}"/>
    <cellStyle name="Normal 2 2 15 3 2 2 2" xfId="34992" xr:uid="{00000000-0005-0000-0000-0000EF4D0000}"/>
    <cellStyle name="Normal 2 2 15 3 2 3" xfId="21224" xr:uid="{00000000-0005-0000-0000-0000F04D0000}"/>
    <cellStyle name="Normal 2 2 15 3 2 3 2" xfId="41144" xr:uid="{00000000-0005-0000-0000-0000F14D0000}"/>
    <cellStyle name="Normal 2 2 15 3 2 4" xfId="28839" xr:uid="{00000000-0005-0000-0000-0000F24D0000}"/>
    <cellStyle name="Normal 2 2 15 3 3" xfId="12006" xr:uid="{00000000-0005-0000-0000-0000F34D0000}"/>
    <cellStyle name="Normal 2 2 15 3 3 2" xfId="31926" xr:uid="{00000000-0005-0000-0000-0000F44D0000}"/>
    <cellStyle name="Normal 2 2 15 3 4" xfId="18158" xr:uid="{00000000-0005-0000-0000-0000F54D0000}"/>
    <cellStyle name="Normal 2 2 15 3 4 2" xfId="38078" xr:uid="{00000000-0005-0000-0000-0000F64D0000}"/>
    <cellStyle name="Normal 2 2 15 3 5" xfId="25773" xr:uid="{00000000-0005-0000-0000-0000F74D0000}"/>
    <cellStyle name="Normal 2 2 15 4" xfId="7344" xr:uid="{00000000-0005-0000-0000-0000F84D0000}"/>
    <cellStyle name="Normal 2 2 15 4 2" xfId="13538" xr:uid="{00000000-0005-0000-0000-0000F94D0000}"/>
    <cellStyle name="Normal 2 2 15 4 2 2" xfId="33458" xr:uid="{00000000-0005-0000-0000-0000FA4D0000}"/>
    <cellStyle name="Normal 2 2 15 4 3" xfId="19690" xr:uid="{00000000-0005-0000-0000-0000FB4D0000}"/>
    <cellStyle name="Normal 2 2 15 4 3 2" xfId="39610" xr:uid="{00000000-0005-0000-0000-0000FC4D0000}"/>
    <cellStyle name="Normal 2 2 15 4 4" xfId="27305" xr:uid="{00000000-0005-0000-0000-0000FD4D0000}"/>
    <cellStyle name="Normal 2 2 15 5" xfId="10472" xr:uid="{00000000-0005-0000-0000-0000FE4D0000}"/>
    <cellStyle name="Normal 2 2 15 5 2" xfId="30392" xr:uid="{00000000-0005-0000-0000-0000FF4D0000}"/>
    <cellStyle name="Normal 2 2 15 6" xfId="16624" xr:uid="{00000000-0005-0000-0000-0000004E0000}"/>
    <cellStyle name="Normal 2 2 15 6 2" xfId="36544" xr:uid="{00000000-0005-0000-0000-0000014E0000}"/>
    <cellStyle name="Normal 2 2 15 7" xfId="3423" xr:uid="{00000000-0005-0000-0000-0000024E0000}"/>
    <cellStyle name="Normal 2 2 15 7 2" xfId="24239" xr:uid="{00000000-0005-0000-0000-0000034E0000}"/>
    <cellStyle name="Normal 2 2 16" xfId="335" xr:uid="{00000000-0005-0000-0000-0000044E0000}"/>
    <cellStyle name="Normal 2 2 16 2" xfId="4938" xr:uid="{00000000-0005-0000-0000-0000054E0000}"/>
    <cellStyle name="Normal 2 2 16 2 2" xfId="6563" xr:uid="{00000000-0005-0000-0000-0000064E0000}"/>
    <cellStyle name="Normal 2 2 16 2 2 2" xfId="9649" xr:uid="{00000000-0005-0000-0000-0000074E0000}"/>
    <cellStyle name="Normal 2 2 16 2 2 2 2" xfId="15842" xr:uid="{00000000-0005-0000-0000-0000084E0000}"/>
    <cellStyle name="Normal 2 2 16 2 2 2 2 2" xfId="35762" xr:uid="{00000000-0005-0000-0000-0000094E0000}"/>
    <cellStyle name="Normal 2 2 16 2 2 2 3" xfId="21994" xr:uid="{00000000-0005-0000-0000-00000A4E0000}"/>
    <cellStyle name="Normal 2 2 16 2 2 2 3 2" xfId="41914" xr:uid="{00000000-0005-0000-0000-00000B4E0000}"/>
    <cellStyle name="Normal 2 2 16 2 2 2 4" xfId="29609" xr:uid="{00000000-0005-0000-0000-00000C4E0000}"/>
    <cellStyle name="Normal 2 2 16 2 2 3" xfId="12776" xr:uid="{00000000-0005-0000-0000-00000D4E0000}"/>
    <cellStyle name="Normal 2 2 16 2 2 3 2" xfId="32696" xr:uid="{00000000-0005-0000-0000-00000E4E0000}"/>
    <cellStyle name="Normal 2 2 16 2 2 4" xfId="18928" xr:uid="{00000000-0005-0000-0000-00000F4E0000}"/>
    <cellStyle name="Normal 2 2 16 2 2 4 2" xfId="38848" xr:uid="{00000000-0005-0000-0000-0000104E0000}"/>
    <cellStyle name="Normal 2 2 16 2 2 5" xfId="26543" xr:uid="{00000000-0005-0000-0000-0000114E0000}"/>
    <cellStyle name="Normal 2 2 16 2 3" xfId="8114" xr:uid="{00000000-0005-0000-0000-0000124E0000}"/>
    <cellStyle name="Normal 2 2 16 2 3 2" xfId="14308" xr:uid="{00000000-0005-0000-0000-0000134E0000}"/>
    <cellStyle name="Normal 2 2 16 2 3 2 2" xfId="34228" xr:uid="{00000000-0005-0000-0000-0000144E0000}"/>
    <cellStyle name="Normal 2 2 16 2 3 3" xfId="20460" xr:uid="{00000000-0005-0000-0000-0000154E0000}"/>
    <cellStyle name="Normal 2 2 16 2 3 3 2" xfId="40380" xr:uid="{00000000-0005-0000-0000-0000164E0000}"/>
    <cellStyle name="Normal 2 2 16 2 3 4" xfId="28075" xr:uid="{00000000-0005-0000-0000-0000174E0000}"/>
    <cellStyle name="Normal 2 2 16 2 4" xfId="11242" xr:uid="{00000000-0005-0000-0000-0000184E0000}"/>
    <cellStyle name="Normal 2 2 16 2 4 2" xfId="31162" xr:uid="{00000000-0005-0000-0000-0000194E0000}"/>
    <cellStyle name="Normal 2 2 16 2 5" xfId="17394" xr:uid="{00000000-0005-0000-0000-00001A4E0000}"/>
    <cellStyle name="Normal 2 2 16 2 5 2" xfId="37314" xr:uid="{00000000-0005-0000-0000-00001B4E0000}"/>
    <cellStyle name="Normal 2 2 16 2 6" xfId="25009" xr:uid="{00000000-0005-0000-0000-00001C4E0000}"/>
    <cellStyle name="Normal 2 2 16 3" xfId="5780" xr:uid="{00000000-0005-0000-0000-00001D4E0000}"/>
    <cellStyle name="Normal 2 2 16 3 2" xfId="8880" xr:uid="{00000000-0005-0000-0000-00001E4E0000}"/>
    <cellStyle name="Normal 2 2 16 3 2 2" xfId="15073" xr:uid="{00000000-0005-0000-0000-00001F4E0000}"/>
    <cellStyle name="Normal 2 2 16 3 2 2 2" xfId="34993" xr:uid="{00000000-0005-0000-0000-0000204E0000}"/>
    <cellStyle name="Normal 2 2 16 3 2 3" xfId="21225" xr:uid="{00000000-0005-0000-0000-0000214E0000}"/>
    <cellStyle name="Normal 2 2 16 3 2 3 2" xfId="41145" xr:uid="{00000000-0005-0000-0000-0000224E0000}"/>
    <cellStyle name="Normal 2 2 16 3 2 4" xfId="28840" xr:uid="{00000000-0005-0000-0000-0000234E0000}"/>
    <cellStyle name="Normal 2 2 16 3 3" xfId="12007" xr:uid="{00000000-0005-0000-0000-0000244E0000}"/>
    <cellStyle name="Normal 2 2 16 3 3 2" xfId="31927" xr:uid="{00000000-0005-0000-0000-0000254E0000}"/>
    <cellStyle name="Normal 2 2 16 3 4" xfId="18159" xr:uid="{00000000-0005-0000-0000-0000264E0000}"/>
    <cellStyle name="Normal 2 2 16 3 4 2" xfId="38079" xr:uid="{00000000-0005-0000-0000-0000274E0000}"/>
    <cellStyle name="Normal 2 2 16 3 5" xfId="25774" xr:uid="{00000000-0005-0000-0000-0000284E0000}"/>
    <cellStyle name="Normal 2 2 16 4" xfId="7345" xr:uid="{00000000-0005-0000-0000-0000294E0000}"/>
    <cellStyle name="Normal 2 2 16 4 2" xfId="13539" xr:uid="{00000000-0005-0000-0000-00002A4E0000}"/>
    <cellStyle name="Normal 2 2 16 4 2 2" xfId="33459" xr:uid="{00000000-0005-0000-0000-00002B4E0000}"/>
    <cellStyle name="Normal 2 2 16 4 3" xfId="19691" xr:uid="{00000000-0005-0000-0000-00002C4E0000}"/>
    <cellStyle name="Normal 2 2 16 4 3 2" xfId="39611" xr:uid="{00000000-0005-0000-0000-00002D4E0000}"/>
    <cellStyle name="Normal 2 2 16 4 4" xfId="27306" xr:uid="{00000000-0005-0000-0000-00002E4E0000}"/>
    <cellStyle name="Normal 2 2 16 5" xfId="10473" xr:uid="{00000000-0005-0000-0000-00002F4E0000}"/>
    <cellStyle name="Normal 2 2 16 5 2" xfId="30393" xr:uid="{00000000-0005-0000-0000-0000304E0000}"/>
    <cellStyle name="Normal 2 2 16 6" xfId="16625" xr:uid="{00000000-0005-0000-0000-0000314E0000}"/>
    <cellStyle name="Normal 2 2 16 6 2" xfId="36545" xr:uid="{00000000-0005-0000-0000-0000324E0000}"/>
    <cellStyle name="Normal 2 2 16 7" xfId="3424" xr:uid="{00000000-0005-0000-0000-0000334E0000}"/>
    <cellStyle name="Normal 2 2 16 7 2" xfId="24240" xr:uid="{00000000-0005-0000-0000-0000344E0000}"/>
    <cellStyle name="Normal 2 2 17" xfId="358" xr:uid="{00000000-0005-0000-0000-0000354E0000}"/>
    <cellStyle name="Normal 2 2 17 2" xfId="4939" xr:uid="{00000000-0005-0000-0000-0000364E0000}"/>
    <cellStyle name="Normal 2 2 17 2 2" xfId="6564" xr:uid="{00000000-0005-0000-0000-0000374E0000}"/>
    <cellStyle name="Normal 2 2 17 2 2 2" xfId="9650" xr:uid="{00000000-0005-0000-0000-0000384E0000}"/>
    <cellStyle name="Normal 2 2 17 2 2 2 2" xfId="15843" xr:uid="{00000000-0005-0000-0000-0000394E0000}"/>
    <cellStyle name="Normal 2 2 17 2 2 2 2 2" xfId="35763" xr:uid="{00000000-0005-0000-0000-00003A4E0000}"/>
    <cellStyle name="Normal 2 2 17 2 2 2 3" xfId="21995" xr:uid="{00000000-0005-0000-0000-00003B4E0000}"/>
    <cellStyle name="Normal 2 2 17 2 2 2 3 2" xfId="41915" xr:uid="{00000000-0005-0000-0000-00003C4E0000}"/>
    <cellStyle name="Normal 2 2 17 2 2 2 4" xfId="29610" xr:uid="{00000000-0005-0000-0000-00003D4E0000}"/>
    <cellStyle name="Normal 2 2 17 2 2 3" xfId="12777" xr:uid="{00000000-0005-0000-0000-00003E4E0000}"/>
    <cellStyle name="Normal 2 2 17 2 2 3 2" xfId="32697" xr:uid="{00000000-0005-0000-0000-00003F4E0000}"/>
    <cellStyle name="Normal 2 2 17 2 2 4" xfId="18929" xr:uid="{00000000-0005-0000-0000-0000404E0000}"/>
    <cellStyle name="Normal 2 2 17 2 2 4 2" xfId="38849" xr:uid="{00000000-0005-0000-0000-0000414E0000}"/>
    <cellStyle name="Normal 2 2 17 2 2 5" xfId="26544" xr:uid="{00000000-0005-0000-0000-0000424E0000}"/>
    <cellStyle name="Normal 2 2 17 2 3" xfId="8115" xr:uid="{00000000-0005-0000-0000-0000434E0000}"/>
    <cellStyle name="Normal 2 2 17 2 3 2" xfId="14309" xr:uid="{00000000-0005-0000-0000-0000444E0000}"/>
    <cellStyle name="Normal 2 2 17 2 3 2 2" xfId="34229" xr:uid="{00000000-0005-0000-0000-0000454E0000}"/>
    <cellStyle name="Normal 2 2 17 2 3 3" xfId="20461" xr:uid="{00000000-0005-0000-0000-0000464E0000}"/>
    <cellStyle name="Normal 2 2 17 2 3 3 2" xfId="40381" xr:uid="{00000000-0005-0000-0000-0000474E0000}"/>
    <cellStyle name="Normal 2 2 17 2 3 4" xfId="28076" xr:uid="{00000000-0005-0000-0000-0000484E0000}"/>
    <cellStyle name="Normal 2 2 17 2 4" xfId="11243" xr:uid="{00000000-0005-0000-0000-0000494E0000}"/>
    <cellStyle name="Normal 2 2 17 2 4 2" xfId="31163" xr:uid="{00000000-0005-0000-0000-00004A4E0000}"/>
    <cellStyle name="Normal 2 2 17 2 5" xfId="17395" xr:uid="{00000000-0005-0000-0000-00004B4E0000}"/>
    <cellStyle name="Normal 2 2 17 2 5 2" xfId="37315" xr:uid="{00000000-0005-0000-0000-00004C4E0000}"/>
    <cellStyle name="Normal 2 2 17 2 6" xfId="25010" xr:uid="{00000000-0005-0000-0000-00004D4E0000}"/>
    <cellStyle name="Normal 2 2 17 3" xfId="5781" xr:uid="{00000000-0005-0000-0000-00004E4E0000}"/>
    <cellStyle name="Normal 2 2 17 3 2" xfId="8881" xr:uid="{00000000-0005-0000-0000-00004F4E0000}"/>
    <cellStyle name="Normal 2 2 17 3 2 2" xfId="15074" xr:uid="{00000000-0005-0000-0000-0000504E0000}"/>
    <cellStyle name="Normal 2 2 17 3 2 2 2" xfId="34994" xr:uid="{00000000-0005-0000-0000-0000514E0000}"/>
    <cellStyle name="Normal 2 2 17 3 2 3" xfId="21226" xr:uid="{00000000-0005-0000-0000-0000524E0000}"/>
    <cellStyle name="Normal 2 2 17 3 2 3 2" xfId="41146" xr:uid="{00000000-0005-0000-0000-0000534E0000}"/>
    <cellStyle name="Normal 2 2 17 3 2 4" xfId="28841" xr:uid="{00000000-0005-0000-0000-0000544E0000}"/>
    <cellStyle name="Normal 2 2 17 3 3" xfId="12008" xr:uid="{00000000-0005-0000-0000-0000554E0000}"/>
    <cellStyle name="Normal 2 2 17 3 3 2" xfId="31928" xr:uid="{00000000-0005-0000-0000-0000564E0000}"/>
    <cellStyle name="Normal 2 2 17 3 4" xfId="18160" xr:uid="{00000000-0005-0000-0000-0000574E0000}"/>
    <cellStyle name="Normal 2 2 17 3 4 2" xfId="38080" xr:uid="{00000000-0005-0000-0000-0000584E0000}"/>
    <cellStyle name="Normal 2 2 17 3 5" xfId="25775" xr:uid="{00000000-0005-0000-0000-0000594E0000}"/>
    <cellStyle name="Normal 2 2 17 4" xfId="7346" xr:uid="{00000000-0005-0000-0000-00005A4E0000}"/>
    <cellStyle name="Normal 2 2 17 4 2" xfId="13540" xr:uid="{00000000-0005-0000-0000-00005B4E0000}"/>
    <cellStyle name="Normal 2 2 17 4 2 2" xfId="33460" xr:uid="{00000000-0005-0000-0000-00005C4E0000}"/>
    <cellStyle name="Normal 2 2 17 4 3" xfId="19692" xr:uid="{00000000-0005-0000-0000-00005D4E0000}"/>
    <cellStyle name="Normal 2 2 17 4 3 2" xfId="39612" xr:uid="{00000000-0005-0000-0000-00005E4E0000}"/>
    <cellStyle name="Normal 2 2 17 4 4" xfId="27307" xr:uid="{00000000-0005-0000-0000-00005F4E0000}"/>
    <cellStyle name="Normal 2 2 17 5" xfId="10474" xr:uid="{00000000-0005-0000-0000-0000604E0000}"/>
    <cellStyle name="Normal 2 2 17 5 2" xfId="30394" xr:uid="{00000000-0005-0000-0000-0000614E0000}"/>
    <cellStyle name="Normal 2 2 17 6" xfId="16626" xr:uid="{00000000-0005-0000-0000-0000624E0000}"/>
    <cellStyle name="Normal 2 2 17 6 2" xfId="36546" xr:uid="{00000000-0005-0000-0000-0000634E0000}"/>
    <cellStyle name="Normal 2 2 17 7" xfId="3425" xr:uid="{00000000-0005-0000-0000-0000644E0000}"/>
    <cellStyle name="Normal 2 2 17 7 2" xfId="24241" xr:uid="{00000000-0005-0000-0000-0000654E0000}"/>
    <cellStyle name="Normal 2 2 18" xfId="393" xr:uid="{00000000-0005-0000-0000-0000664E0000}"/>
    <cellStyle name="Normal 2 2 18 2" xfId="4940" xr:uid="{00000000-0005-0000-0000-0000674E0000}"/>
    <cellStyle name="Normal 2 2 18 2 2" xfId="6565" xr:uid="{00000000-0005-0000-0000-0000684E0000}"/>
    <cellStyle name="Normal 2 2 18 2 2 2" xfId="9651" xr:uid="{00000000-0005-0000-0000-0000694E0000}"/>
    <cellStyle name="Normal 2 2 18 2 2 2 2" xfId="15844" xr:uid="{00000000-0005-0000-0000-00006A4E0000}"/>
    <cellStyle name="Normal 2 2 18 2 2 2 2 2" xfId="35764" xr:uid="{00000000-0005-0000-0000-00006B4E0000}"/>
    <cellStyle name="Normal 2 2 18 2 2 2 3" xfId="21996" xr:uid="{00000000-0005-0000-0000-00006C4E0000}"/>
    <cellStyle name="Normal 2 2 18 2 2 2 3 2" xfId="41916" xr:uid="{00000000-0005-0000-0000-00006D4E0000}"/>
    <cellStyle name="Normal 2 2 18 2 2 2 4" xfId="29611" xr:uid="{00000000-0005-0000-0000-00006E4E0000}"/>
    <cellStyle name="Normal 2 2 18 2 2 3" xfId="12778" xr:uid="{00000000-0005-0000-0000-00006F4E0000}"/>
    <cellStyle name="Normal 2 2 18 2 2 3 2" xfId="32698" xr:uid="{00000000-0005-0000-0000-0000704E0000}"/>
    <cellStyle name="Normal 2 2 18 2 2 4" xfId="18930" xr:uid="{00000000-0005-0000-0000-0000714E0000}"/>
    <cellStyle name="Normal 2 2 18 2 2 4 2" xfId="38850" xr:uid="{00000000-0005-0000-0000-0000724E0000}"/>
    <cellStyle name="Normal 2 2 18 2 2 5" xfId="26545" xr:uid="{00000000-0005-0000-0000-0000734E0000}"/>
    <cellStyle name="Normal 2 2 18 2 3" xfId="8116" xr:uid="{00000000-0005-0000-0000-0000744E0000}"/>
    <cellStyle name="Normal 2 2 18 2 3 2" xfId="14310" xr:uid="{00000000-0005-0000-0000-0000754E0000}"/>
    <cellStyle name="Normal 2 2 18 2 3 2 2" xfId="34230" xr:uid="{00000000-0005-0000-0000-0000764E0000}"/>
    <cellStyle name="Normal 2 2 18 2 3 3" xfId="20462" xr:uid="{00000000-0005-0000-0000-0000774E0000}"/>
    <cellStyle name="Normal 2 2 18 2 3 3 2" xfId="40382" xr:uid="{00000000-0005-0000-0000-0000784E0000}"/>
    <cellStyle name="Normal 2 2 18 2 3 4" xfId="28077" xr:uid="{00000000-0005-0000-0000-0000794E0000}"/>
    <cellStyle name="Normal 2 2 18 2 4" xfId="11244" xr:uid="{00000000-0005-0000-0000-00007A4E0000}"/>
    <cellStyle name="Normal 2 2 18 2 4 2" xfId="31164" xr:uid="{00000000-0005-0000-0000-00007B4E0000}"/>
    <cellStyle name="Normal 2 2 18 2 5" xfId="17396" xr:uid="{00000000-0005-0000-0000-00007C4E0000}"/>
    <cellStyle name="Normal 2 2 18 2 5 2" xfId="37316" xr:uid="{00000000-0005-0000-0000-00007D4E0000}"/>
    <cellStyle name="Normal 2 2 18 2 6" xfId="25011" xr:uid="{00000000-0005-0000-0000-00007E4E0000}"/>
    <cellStyle name="Normal 2 2 18 3" xfId="5782" xr:uid="{00000000-0005-0000-0000-00007F4E0000}"/>
    <cellStyle name="Normal 2 2 18 3 2" xfId="8882" xr:uid="{00000000-0005-0000-0000-0000804E0000}"/>
    <cellStyle name="Normal 2 2 18 3 2 2" xfId="15075" xr:uid="{00000000-0005-0000-0000-0000814E0000}"/>
    <cellStyle name="Normal 2 2 18 3 2 2 2" xfId="34995" xr:uid="{00000000-0005-0000-0000-0000824E0000}"/>
    <cellStyle name="Normal 2 2 18 3 2 3" xfId="21227" xr:uid="{00000000-0005-0000-0000-0000834E0000}"/>
    <cellStyle name="Normal 2 2 18 3 2 3 2" xfId="41147" xr:uid="{00000000-0005-0000-0000-0000844E0000}"/>
    <cellStyle name="Normal 2 2 18 3 2 4" xfId="28842" xr:uid="{00000000-0005-0000-0000-0000854E0000}"/>
    <cellStyle name="Normal 2 2 18 3 3" xfId="12009" xr:uid="{00000000-0005-0000-0000-0000864E0000}"/>
    <cellStyle name="Normal 2 2 18 3 3 2" xfId="31929" xr:uid="{00000000-0005-0000-0000-0000874E0000}"/>
    <cellStyle name="Normal 2 2 18 3 4" xfId="18161" xr:uid="{00000000-0005-0000-0000-0000884E0000}"/>
    <cellStyle name="Normal 2 2 18 3 4 2" xfId="38081" xr:uid="{00000000-0005-0000-0000-0000894E0000}"/>
    <cellStyle name="Normal 2 2 18 3 5" xfId="25776" xr:uid="{00000000-0005-0000-0000-00008A4E0000}"/>
    <cellStyle name="Normal 2 2 18 4" xfId="7347" xr:uid="{00000000-0005-0000-0000-00008B4E0000}"/>
    <cellStyle name="Normal 2 2 18 4 2" xfId="13541" xr:uid="{00000000-0005-0000-0000-00008C4E0000}"/>
    <cellStyle name="Normal 2 2 18 4 2 2" xfId="33461" xr:uid="{00000000-0005-0000-0000-00008D4E0000}"/>
    <cellStyle name="Normal 2 2 18 4 3" xfId="19693" xr:uid="{00000000-0005-0000-0000-00008E4E0000}"/>
    <cellStyle name="Normal 2 2 18 4 3 2" xfId="39613" xr:uid="{00000000-0005-0000-0000-00008F4E0000}"/>
    <cellStyle name="Normal 2 2 18 4 4" xfId="27308" xr:uid="{00000000-0005-0000-0000-0000904E0000}"/>
    <cellStyle name="Normal 2 2 18 5" xfId="10475" xr:uid="{00000000-0005-0000-0000-0000914E0000}"/>
    <cellStyle name="Normal 2 2 18 5 2" xfId="30395" xr:uid="{00000000-0005-0000-0000-0000924E0000}"/>
    <cellStyle name="Normal 2 2 18 6" xfId="16627" xr:uid="{00000000-0005-0000-0000-0000934E0000}"/>
    <cellStyle name="Normal 2 2 18 6 2" xfId="36547" xr:uid="{00000000-0005-0000-0000-0000944E0000}"/>
    <cellStyle name="Normal 2 2 18 7" xfId="3426" xr:uid="{00000000-0005-0000-0000-0000954E0000}"/>
    <cellStyle name="Normal 2 2 18 7 2" xfId="24242" xr:uid="{00000000-0005-0000-0000-0000964E0000}"/>
    <cellStyle name="Normal 2 2 19" xfId="406" xr:uid="{00000000-0005-0000-0000-0000974E0000}"/>
    <cellStyle name="Normal 2 2 19 2" xfId="4941" xr:uid="{00000000-0005-0000-0000-0000984E0000}"/>
    <cellStyle name="Normal 2 2 19 2 2" xfId="6566" xr:uid="{00000000-0005-0000-0000-0000994E0000}"/>
    <cellStyle name="Normal 2 2 19 2 2 2" xfId="9652" xr:uid="{00000000-0005-0000-0000-00009A4E0000}"/>
    <cellStyle name="Normal 2 2 19 2 2 2 2" xfId="15845" xr:uid="{00000000-0005-0000-0000-00009B4E0000}"/>
    <cellStyle name="Normal 2 2 19 2 2 2 2 2" xfId="35765" xr:uid="{00000000-0005-0000-0000-00009C4E0000}"/>
    <cellStyle name="Normal 2 2 19 2 2 2 3" xfId="21997" xr:uid="{00000000-0005-0000-0000-00009D4E0000}"/>
    <cellStyle name="Normal 2 2 19 2 2 2 3 2" xfId="41917" xr:uid="{00000000-0005-0000-0000-00009E4E0000}"/>
    <cellStyle name="Normal 2 2 19 2 2 2 4" xfId="29612" xr:uid="{00000000-0005-0000-0000-00009F4E0000}"/>
    <cellStyle name="Normal 2 2 19 2 2 3" xfId="12779" xr:uid="{00000000-0005-0000-0000-0000A04E0000}"/>
    <cellStyle name="Normal 2 2 19 2 2 3 2" xfId="32699" xr:uid="{00000000-0005-0000-0000-0000A14E0000}"/>
    <cellStyle name="Normal 2 2 19 2 2 4" xfId="18931" xr:uid="{00000000-0005-0000-0000-0000A24E0000}"/>
    <cellStyle name="Normal 2 2 19 2 2 4 2" xfId="38851" xr:uid="{00000000-0005-0000-0000-0000A34E0000}"/>
    <cellStyle name="Normal 2 2 19 2 2 5" xfId="26546" xr:uid="{00000000-0005-0000-0000-0000A44E0000}"/>
    <cellStyle name="Normal 2 2 19 2 3" xfId="8117" xr:uid="{00000000-0005-0000-0000-0000A54E0000}"/>
    <cellStyle name="Normal 2 2 19 2 3 2" xfId="14311" xr:uid="{00000000-0005-0000-0000-0000A64E0000}"/>
    <cellStyle name="Normal 2 2 19 2 3 2 2" xfId="34231" xr:uid="{00000000-0005-0000-0000-0000A74E0000}"/>
    <cellStyle name="Normal 2 2 19 2 3 3" xfId="20463" xr:uid="{00000000-0005-0000-0000-0000A84E0000}"/>
    <cellStyle name="Normal 2 2 19 2 3 3 2" xfId="40383" xr:uid="{00000000-0005-0000-0000-0000A94E0000}"/>
    <cellStyle name="Normal 2 2 19 2 3 4" xfId="28078" xr:uid="{00000000-0005-0000-0000-0000AA4E0000}"/>
    <cellStyle name="Normal 2 2 19 2 4" xfId="11245" xr:uid="{00000000-0005-0000-0000-0000AB4E0000}"/>
    <cellStyle name="Normal 2 2 19 2 4 2" xfId="31165" xr:uid="{00000000-0005-0000-0000-0000AC4E0000}"/>
    <cellStyle name="Normal 2 2 19 2 5" xfId="17397" xr:uid="{00000000-0005-0000-0000-0000AD4E0000}"/>
    <cellStyle name="Normal 2 2 19 2 5 2" xfId="37317" xr:uid="{00000000-0005-0000-0000-0000AE4E0000}"/>
    <cellStyle name="Normal 2 2 19 2 6" xfId="25012" xr:uid="{00000000-0005-0000-0000-0000AF4E0000}"/>
    <cellStyle name="Normal 2 2 19 3" xfId="5783" xr:uid="{00000000-0005-0000-0000-0000B04E0000}"/>
    <cellStyle name="Normal 2 2 19 3 2" xfId="8883" xr:uid="{00000000-0005-0000-0000-0000B14E0000}"/>
    <cellStyle name="Normal 2 2 19 3 2 2" xfId="15076" xr:uid="{00000000-0005-0000-0000-0000B24E0000}"/>
    <cellStyle name="Normal 2 2 19 3 2 2 2" xfId="34996" xr:uid="{00000000-0005-0000-0000-0000B34E0000}"/>
    <cellStyle name="Normal 2 2 19 3 2 3" xfId="21228" xr:uid="{00000000-0005-0000-0000-0000B44E0000}"/>
    <cellStyle name="Normal 2 2 19 3 2 3 2" xfId="41148" xr:uid="{00000000-0005-0000-0000-0000B54E0000}"/>
    <cellStyle name="Normal 2 2 19 3 2 4" xfId="28843" xr:uid="{00000000-0005-0000-0000-0000B64E0000}"/>
    <cellStyle name="Normal 2 2 19 3 3" xfId="12010" xr:uid="{00000000-0005-0000-0000-0000B74E0000}"/>
    <cellStyle name="Normal 2 2 19 3 3 2" xfId="31930" xr:uid="{00000000-0005-0000-0000-0000B84E0000}"/>
    <cellStyle name="Normal 2 2 19 3 4" xfId="18162" xr:uid="{00000000-0005-0000-0000-0000B94E0000}"/>
    <cellStyle name="Normal 2 2 19 3 4 2" xfId="38082" xr:uid="{00000000-0005-0000-0000-0000BA4E0000}"/>
    <cellStyle name="Normal 2 2 19 3 5" xfId="25777" xr:uid="{00000000-0005-0000-0000-0000BB4E0000}"/>
    <cellStyle name="Normal 2 2 19 4" xfId="7348" xr:uid="{00000000-0005-0000-0000-0000BC4E0000}"/>
    <cellStyle name="Normal 2 2 19 4 2" xfId="13542" xr:uid="{00000000-0005-0000-0000-0000BD4E0000}"/>
    <cellStyle name="Normal 2 2 19 4 2 2" xfId="33462" xr:uid="{00000000-0005-0000-0000-0000BE4E0000}"/>
    <cellStyle name="Normal 2 2 19 4 3" xfId="19694" xr:uid="{00000000-0005-0000-0000-0000BF4E0000}"/>
    <cellStyle name="Normal 2 2 19 4 3 2" xfId="39614" xr:uid="{00000000-0005-0000-0000-0000C04E0000}"/>
    <cellStyle name="Normal 2 2 19 4 4" xfId="27309" xr:uid="{00000000-0005-0000-0000-0000C14E0000}"/>
    <cellStyle name="Normal 2 2 19 5" xfId="10476" xr:uid="{00000000-0005-0000-0000-0000C24E0000}"/>
    <cellStyle name="Normal 2 2 19 5 2" xfId="30396" xr:uid="{00000000-0005-0000-0000-0000C34E0000}"/>
    <cellStyle name="Normal 2 2 19 6" xfId="16628" xr:uid="{00000000-0005-0000-0000-0000C44E0000}"/>
    <cellStyle name="Normal 2 2 19 6 2" xfId="36548" xr:uid="{00000000-0005-0000-0000-0000C54E0000}"/>
    <cellStyle name="Normal 2 2 19 7" xfId="3427" xr:uid="{00000000-0005-0000-0000-0000C64E0000}"/>
    <cellStyle name="Normal 2 2 19 7 2" xfId="24243" xr:uid="{00000000-0005-0000-0000-0000C74E0000}"/>
    <cellStyle name="Normal 2 2 2" xfId="89" xr:uid="{00000000-0005-0000-0000-0000C84E0000}"/>
    <cellStyle name="Normal 2 2 2 2" xfId="100" xr:uid="{00000000-0005-0000-0000-0000C94E0000}"/>
    <cellStyle name="Normal 2 2 2 2 10" xfId="16629" xr:uid="{00000000-0005-0000-0000-0000CA4E0000}"/>
    <cellStyle name="Normal 2 2 2 2 10 2" xfId="36549" xr:uid="{00000000-0005-0000-0000-0000CB4E0000}"/>
    <cellStyle name="Normal 2 2 2 2 11" xfId="3429" xr:uid="{00000000-0005-0000-0000-0000CC4E0000}"/>
    <cellStyle name="Normal 2 2 2 2 11 2" xfId="24244" xr:uid="{00000000-0005-0000-0000-0000CD4E0000}"/>
    <cellStyle name="Normal 2 2 2 2 2" xfId="3430" xr:uid="{00000000-0005-0000-0000-0000CE4E0000}"/>
    <cellStyle name="Normal 2 2 2 2 2 2" xfId="3431" xr:uid="{00000000-0005-0000-0000-0000CF4E0000}"/>
    <cellStyle name="Normal 2 2 2 2 2 2 2" xfId="4944" xr:uid="{00000000-0005-0000-0000-0000D04E0000}"/>
    <cellStyle name="Normal 2 2 2 2 2 2 2 2" xfId="6569" xr:uid="{00000000-0005-0000-0000-0000D14E0000}"/>
    <cellStyle name="Normal 2 2 2 2 2 2 2 2 2" xfId="9655" xr:uid="{00000000-0005-0000-0000-0000D24E0000}"/>
    <cellStyle name="Normal 2 2 2 2 2 2 2 2 2 2" xfId="15848" xr:uid="{00000000-0005-0000-0000-0000D34E0000}"/>
    <cellStyle name="Normal 2 2 2 2 2 2 2 2 2 2 2" xfId="35768" xr:uid="{00000000-0005-0000-0000-0000D44E0000}"/>
    <cellStyle name="Normal 2 2 2 2 2 2 2 2 2 3" xfId="22000" xr:uid="{00000000-0005-0000-0000-0000D54E0000}"/>
    <cellStyle name="Normal 2 2 2 2 2 2 2 2 2 3 2" xfId="41920" xr:uid="{00000000-0005-0000-0000-0000D64E0000}"/>
    <cellStyle name="Normal 2 2 2 2 2 2 2 2 2 4" xfId="29615" xr:uid="{00000000-0005-0000-0000-0000D74E0000}"/>
    <cellStyle name="Normal 2 2 2 2 2 2 2 2 3" xfId="12782" xr:uid="{00000000-0005-0000-0000-0000D84E0000}"/>
    <cellStyle name="Normal 2 2 2 2 2 2 2 2 3 2" xfId="32702" xr:uid="{00000000-0005-0000-0000-0000D94E0000}"/>
    <cellStyle name="Normal 2 2 2 2 2 2 2 2 4" xfId="18934" xr:uid="{00000000-0005-0000-0000-0000DA4E0000}"/>
    <cellStyle name="Normal 2 2 2 2 2 2 2 2 4 2" xfId="38854" xr:uid="{00000000-0005-0000-0000-0000DB4E0000}"/>
    <cellStyle name="Normal 2 2 2 2 2 2 2 2 5" xfId="26549" xr:uid="{00000000-0005-0000-0000-0000DC4E0000}"/>
    <cellStyle name="Normal 2 2 2 2 2 2 2 3" xfId="8120" xr:uid="{00000000-0005-0000-0000-0000DD4E0000}"/>
    <cellStyle name="Normal 2 2 2 2 2 2 2 3 2" xfId="14314" xr:uid="{00000000-0005-0000-0000-0000DE4E0000}"/>
    <cellStyle name="Normal 2 2 2 2 2 2 2 3 2 2" xfId="34234" xr:uid="{00000000-0005-0000-0000-0000DF4E0000}"/>
    <cellStyle name="Normal 2 2 2 2 2 2 2 3 3" xfId="20466" xr:uid="{00000000-0005-0000-0000-0000E04E0000}"/>
    <cellStyle name="Normal 2 2 2 2 2 2 2 3 3 2" xfId="40386" xr:uid="{00000000-0005-0000-0000-0000E14E0000}"/>
    <cellStyle name="Normal 2 2 2 2 2 2 2 3 4" xfId="28081" xr:uid="{00000000-0005-0000-0000-0000E24E0000}"/>
    <cellStyle name="Normal 2 2 2 2 2 2 2 4" xfId="11248" xr:uid="{00000000-0005-0000-0000-0000E34E0000}"/>
    <cellStyle name="Normal 2 2 2 2 2 2 2 4 2" xfId="31168" xr:uid="{00000000-0005-0000-0000-0000E44E0000}"/>
    <cellStyle name="Normal 2 2 2 2 2 2 2 5" xfId="17400" xr:uid="{00000000-0005-0000-0000-0000E54E0000}"/>
    <cellStyle name="Normal 2 2 2 2 2 2 2 5 2" xfId="37320" xr:uid="{00000000-0005-0000-0000-0000E64E0000}"/>
    <cellStyle name="Normal 2 2 2 2 2 2 2 6" xfId="25015" xr:uid="{00000000-0005-0000-0000-0000E74E0000}"/>
    <cellStyle name="Normal 2 2 2 2 2 2 3" xfId="5786" xr:uid="{00000000-0005-0000-0000-0000E84E0000}"/>
    <cellStyle name="Normal 2 2 2 2 2 2 3 2" xfId="8886" xr:uid="{00000000-0005-0000-0000-0000E94E0000}"/>
    <cellStyle name="Normal 2 2 2 2 2 2 3 2 2" xfId="15079" xr:uid="{00000000-0005-0000-0000-0000EA4E0000}"/>
    <cellStyle name="Normal 2 2 2 2 2 2 3 2 2 2" xfId="34999" xr:uid="{00000000-0005-0000-0000-0000EB4E0000}"/>
    <cellStyle name="Normal 2 2 2 2 2 2 3 2 3" xfId="21231" xr:uid="{00000000-0005-0000-0000-0000EC4E0000}"/>
    <cellStyle name="Normal 2 2 2 2 2 2 3 2 3 2" xfId="41151" xr:uid="{00000000-0005-0000-0000-0000ED4E0000}"/>
    <cellStyle name="Normal 2 2 2 2 2 2 3 2 4" xfId="28846" xr:uid="{00000000-0005-0000-0000-0000EE4E0000}"/>
    <cellStyle name="Normal 2 2 2 2 2 2 3 3" xfId="12013" xr:uid="{00000000-0005-0000-0000-0000EF4E0000}"/>
    <cellStyle name="Normal 2 2 2 2 2 2 3 3 2" xfId="31933" xr:uid="{00000000-0005-0000-0000-0000F04E0000}"/>
    <cellStyle name="Normal 2 2 2 2 2 2 3 4" xfId="18165" xr:uid="{00000000-0005-0000-0000-0000F14E0000}"/>
    <cellStyle name="Normal 2 2 2 2 2 2 3 4 2" xfId="38085" xr:uid="{00000000-0005-0000-0000-0000F24E0000}"/>
    <cellStyle name="Normal 2 2 2 2 2 2 3 5" xfId="25780" xr:uid="{00000000-0005-0000-0000-0000F34E0000}"/>
    <cellStyle name="Normal 2 2 2 2 2 2 4" xfId="7351" xr:uid="{00000000-0005-0000-0000-0000F44E0000}"/>
    <cellStyle name="Normal 2 2 2 2 2 2 4 2" xfId="13545" xr:uid="{00000000-0005-0000-0000-0000F54E0000}"/>
    <cellStyle name="Normal 2 2 2 2 2 2 4 2 2" xfId="33465" xr:uid="{00000000-0005-0000-0000-0000F64E0000}"/>
    <cellStyle name="Normal 2 2 2 2 2 2 4 3" xfId="19697" xr:uid="{00000000-0005-0000-0000-0000F74E0000}"/>
    <cellStyle name="Normal 2 2 2 2 2 2 4 3 2" xfId="39617" xr:uid="{00000000-0005-0000-0000-0000F84E0000}"/>
    <cellStyle name="Normal 2 2 2 2 2 2 4 4" xfId="27312" xr:uid="{00000000-0005-0000-0000-0000F94E0000}"/>
    <cellStyle name="Normal 2 2 2 2 2 2 5" xfId="10479" xr:uid="{00000000-0005-0000-0000-0000FA4E0000}"/>
    <cellStyle name="Normal 2 2 2 2 2 2 5 2" xfId="30399" xr:uid="{00000000-0005-0000-0000-0000FB4E0000}"/>
    <cellStyle name="Normal 2 2 2 2 2 2 6" xfId="16631" xr:uid="{00000000-0005-0000-0000-0000FC4E0000}"/>
    <cellStyle name="Normal 2 2 2 2 2 2 6 2" xfId="36551" xr:uid="{00000000-0005-0000-0000-0000FD4E0000}"/>
    <cellStyle name="Normal 2 2 2 2 2 2 7" xfId="24246" xr:uid="{00000000-0005-0000-0000-0000FE4E0000}"/>
    <cellStyle name="Normal 2 2 2 2 2 3" xfId="4943" xr:uid="{00000000-0005-0000-0000-0000FF4E0000}"/>
    <cellStyle name="Normal 2 2 2 2 2 3 2" xfId="6568" xr:uid="{00000000-0005-0000-0000-0000004F0000}"/>
    <cellStyle name="Normal 2 2 2 2 2 3 2 2" xfId="9654" xr:uid="{00000000-0005-0000-0000-0000014F0000}"/>
    <cellStyle name="Normal 2 2 2 2 2 3 2 2 2" xfId="15847" xr:uid="{00000000-0005-0000-0000-0000024F0000}"/>
    <cellStyle name="Normal 2 2 2 2 2 3 2 2 2 2" xfId="35767" xr:uid="{00000000-0005-0000-0000-0000034F0000}"/>
    <cellStyle name="Normal 2 2 2 2 2 3 2 2 3" xfId="21999" xr:uid="{00000000-0005-0000-0000-0000044F0000}"/>
    <cellStyle name="Normal 2 2 2 2 2 3 2 2 3 2" xfId="41919" xr:uid="{00000000-0005-0000-0000-0000054F0000}"/>
    <cellStyle name="Normal 2 2 2 2 2 3 2 2 4" xfId="29614" xr:uid="{00000000-0005-0000-0000-0000064F0000}"/>
    <cellStyle name="Normal 2 2 2 2 2 3 2 3" xfId="12781" xr:uid="{00000000-0005-0000-0000-0000074F0000}"/>
    <cellStyle name="Normal 2 2 2 2 2 3 2 3 2" xfId="32701" xr:uid="{00000000-0005-0000-0000-0000084F0000}"/>
    <cellStyle name="Normal 2 2 2 2 2 3 2 4" xfId="18933" xr:uid="{00000000-0005-0000-0000-0000094F0000}"/>
    <cellStyle name="Normal 2 2 2 2 2 3 2 4 2" xfId="38853" xr:uid="{00000000-0005-0000-0000-00000A4F0000}"/>
    <cellStyle name="Normal 2 2 2 2 2 3 2 5" xfId="26548" xr:uid="{00000000-0005-0000-0000-00000B4F0000}"/>
    <cellStyle name="Normal 2 2 2 2 2 3 3" xfId="8119" xr:uid="{00000000-0005-0000-0000-00000C4F0000}"/>
    <cellStyle name="Normal 2 2 2 2 2 3 3 2" xfId="14313" xr:uid="{00000000-0005-0000-0000-00000D4F0000}"/>
    <cellStyle name="Normal 2 2 2 2 2 3 3 2 2" xfId="34233" xr:uid="{00000000-0005-0000-0000-00000E4F0000}"/>
    <cellStyle name="Normal 2 2 2 2 2 3 3 3" xfId="20465" xr:uid="{00000000-0005-0000-0000-00000F4F0000}"/>
    <cellStyle name="Normal 2 2 2 2 2 3 3 3 2" xfId="40385" xr:uid="{00000000-0005-0000-0000-0000104F0000}"/>
    <cellStyle name="Normal 2 2 2 2 2 3 3 4" xfId="28080" xr:uid="{00000000-0005-0000-0000-0000114F0000}"/>
    <cellStyle name="Normal 2 2 2 2 2 3 4" xfId="11247" xr:uid="{00000000-0005-0000-0000-0000124F0000}"/>
    <cellStyle name="Normal 2 2 2 2 2 3 4 2" xfId="31167" xr:uid="{00000000-0005-0000-0000-0000134F0000}"/>
    <cellStyle name="Normal 2 2 2 2 2 3 5" xfId="17399" xr:uid="{00000000-0005-0000-0000-0000144F0000}"/>
    <cellStyle name="Normal 2 2 2 2 2 3 5 2" xfId="37319" xr:uid="{00000000-0005-0000-0000-0000154F0000}"/>
    <cellStyle name="Normal 2 2 2 2 2 3 6" xfId="25014" xr:uid="{00000000-0005-0000-0000-0000164F0000}"/>
    <cellStyle name="Normal 2 2 2 2 2 4" xfId="5785" xr:uid="{00000000-0005-0000-0000-0000174F0000}"/>
    <cellStyle name="Normal 2 2 2 2 2 4 2" xfId="8885" xr:uid="{00000000-0005-0000-0000-0000184F0000}"/>
    <cellStyle name="Normal 2 2 2 2 2 4 2 2" xfId="15078" xr:uid="{00000000-0005-0000-0000-0000194F0000}"/>
    <cellStyle name="Normal 2 2 2 2 2 4 2 2 2" xfId="34998" xr:uid="{00000000-0005-0000-0000-00001A4F0000}"/>
    <cellStyle name="Normal 2 2 2 2 2 4 2 3" xfId="21230" xr:uid="{00000000-0005-0000-0000-00001B4F0000}"/>
    <cellStyle name="Normal 2 2 2 2 2 4 2 3 2" xfId="41150" xr:uid="{00000000-0005-0000-0000-00001C4F0000}"/>
    <cellStyle name="Normal 2 2 2 2 2 4 2 4" xfId="28845" xr:uid="{00000000-0005-0000-0000-00001D4F0000}"/>
    <cellStyle name="Normal 2 2 2 2 2 4 3" xfId="12012" xr:uid="{00000000-0005-0000-0000-00001E4F0000}"/>
    <cellStyle name="Normal 2 2 2 2 2 4 3 2" xfId="31932" xr:uid="{00000000-0005-0000-0000-00001F4F0000}"/>
    <cellStyle name="Normal 2 2 2 2 2 4 4" xfId="18164" xr:uid="{00000000-0005-0000-0000-0000204F0000}"/>
    <cellStyle name="Normal 2 2 2 2 2 4 4 2" xfId="38084" xr:uid="{00000000-0005-0000-0000-0000214F0000}"/>
    <cellStyle name="Normal 2 2 2 2 2 4 5" xfId="25779" xr:uid="{00000000-0005-0000-0000-0000224F0000}"/>
    <cellStyle name="Normal 2 2 2 2 2 5" xfId="7350" xr:uid="{00000000-0005-0000-0000-0000234F0000}"/>
    <cellStyle name="Normal 2 2 2 2 2 5 2" xfId="13544" xr:uid="{00000000-0005-0000-0000-0000244F0000}"/>
    <cellStyle name="Normal 2 2 2 2 2 5 2 2" xfId="33464" xr:uid="{00000000-0005-0000-0000-0000254F0000}"/>
    <cellStyle name="Normal 2 2 2 2 2 5 3" xfId="19696" xr:uid="{00000000-0005-0000-0000-0000264F0000}"/>
    <cellStyle name="Normal 2 2 2 2 2 5 3 2" xfId="39616" xr:uid="{00000000-0005-0000-0000-0000274F0000}"/>
    <cellStyle name="Normal 2 2 2 2 2 5 4" xfId="27311" xr:uid="{00000000-0005-0000-0000-0000284F0000}"/>
    <cellStyle name="Normal 2 2 2 2 2 6" xfId="10478" xr:uid="{00000000-0005-0000-0000-0000294F0000}"/>
    <cellStyle name="Normal 2 2 2 2 2 6 2" xfId="30398" xr:uid="{00000000-0005-0000-0000-00002A4F0000}"/>
    <cellStyle name="Normal 2 2 2 2 2 7" xfId="16630" xr:uid="{00000000-0005-0000-0000-00002B4F0000}"/>
    <cellStyle name="Normal 2 2 2 2 2 7 2" xfId="36550" xr:uid="{00000000-0005-0000-0000-00002C4F0000}"/>
    <cellStyle name="Normal 2 2 2 2 2 8" xfId="24245" xr:uid="{00000000-0005-0000-0000-00002D4F0000}"/>
    <cellStyle name="Normal 2 2 2 2 3" xfId="3432" xr:uid="{00000000-0005-0000-0000-00002E4F0000}"/>
    <cellStyle name="Normal 2 2 2 2 3 2" xfId="4945" xr:uid="{00000000-0005-0000-0000-00002F4F0000}"/>
    <cellStyle name="Normal 2 2 2 2 3 2 2" xfId="6570" xr:uid="{00000000-0005-0000-0000-0000304F0000}"/>
    <cellStyle name="Normal 2 2 2 2 3 2 2 2" xfId="9656" xr:uid="{00000000-0005-0000-0000-0000314F0000}"/>
    <cellStyle name="Normal 2 2 2 2 3 2 2 2 2" xfId="15849" xr:uid="{00000000-0005-0000-0000-0000324F0000}"/>
    <cellStyle name="Normal 2 2 2 2 3 2 2 2 2 2" xfId="35769" xr:uid="{00000000-0005-0000-0000-0000334F0000}"/>
    <cellStyle name="Normal 2 2 2 2 3 2 2 2 3" xfId="22001" xr:uid="{00000000-0005-0000-0000-0000344F0000}"/>
    <cellStyle name="Normal 2 2 2 2 3 2 2 2 3 2" xfId="41921" xr:uid="{00000000-0005-0000-0000-0000354F0000}"/>
    <cellStyle name="Normal 2 2 2 2 3 2 2 2 4" xfId="29616" xr:uid="{00000000-0005-0000-0000-0000364F0000}"/>
    <cellStyle name="Normal 2 2 2 2 3 2 2 3" xfId="12783" xr:uid="{00000000-0005-0000-0000-0000374F0000}"/>
    <cellStyle name="Normal 2 2 2 2 3 2 2 3 2" xfId="32703" xr:uid="{00000000-0005-0000-0000-0000384F0000}"/>
    <cellStyle name="Normal 2 2 2 2 3 2 2 4" xfId="18935" xr:uid="{00000000-0005-0000-0000-0000394F0000}"/>
    <cellStyle name="Normal 2 2 2 2 3 2 2 4 2" xfId="38855" xr:uid="{00000000-0005-0000-0000-00003A4F0000}"/>
    <cellStyle name="Normal 2 2 2 2 3 2 2 5" xfId="26550" xr:uid="{00000000-0005-0000-0000-00003B4F0000}"/>
    <cellStyle name="Normal 2 2 2 2 3 2 3" xfId="8121" xr:uid="{00000000-0005-0000-0000-00003C4F0000}"/>
    <cellStyle name="Normal 2 2 2 2 3 2 3 2" xfId="14315" xr:uid="{00000000-0005-0000-0000-00003D4F0000}"/>
    <cellStyle name="Normal 2 2 2 2 3 2 3 2 2" xfId="34235" xr:uid="{00000000-0005-0000-0000-00003E4F0000}"/>
    <cellStyle name="Normal 2 2 2 2 3 2 3 3" xfId="20467" xr:uid="{00000000-0005-0000-0000-00003F4F0000}"/>
    <cellStyle name="Normal 2 2 2 2 3 2 3 3 2" xfId="40387" xr:uid="{00000000-0005-0000-0000-0000404F0000}"/>
    <cellStyle name="Normal 2 2 2 2 3 2 3 4" xfId="28082" xr:uid="{00000000-0005-0000-0000-0000414F0000}"/>
    <cellStyle name="Normal 2 2 2 2 3 2 4" xfId="11249" xr:uid="{00000000-0005-0000-0000-0000424F0000}"/>
    <cellStyle name="Normal 2 2 2 2 3 2 4 2" xfId="31169" xr:uid="{00000000-0005-0000-0000-0000434F0000}"/>
    <cellStyle name="Normal 2 2 2 2 3 2 5" xfId="17401" xr:uid="{00000000-0005-0000-0000-0000444F0000}"/>
    <cellStyle name="Normal 2 2 2 2 3 2 5 2" xfId="37321" xr:uid="{00000000-0005-0000-0000-0000454F0000}"/>
    <cellStyle name="Normal 2 2 2 2 3 2 6" xfId="25016" xr:uid="{00000000-0005-0000-0000-0000464F0000}"/>
    <cellStyle name="Normal 2 2 2 2 3 3" xfId="5787" xr:uid="{00000000-0005-0000-0000-0000474F0000}"/>
    <cellStyle name="Normal 2 2 2 2 3 3 2" xfId="8887" xr:uid="{00000000-0005-0000-0000-0000484F0000}"/>
    <cellStyle name="Normal 2 2 2 2 3 3 2 2" xfId="15080" xr:uid="{00000000-0005-0000-0000-0000494F0000}"/>
    <cellStyle name="Normal 2 2 2 2 3 3 2 2 2" xfId="35000" xr:uid="{00000000-0005-0000-0000-00004A4F0000}"/>
    <cellStyle name="Normal 2 2 2 2 3 3 2 3" xfId="21232" xr:uid="{00000000-0005-0000-0000-00004B4F0000}"/>
    <cellStyle name="Normal 2 2 2 2 3 3 2 3 2" xfId="41152" xr:uid="{00000000-0005-0000-0000-00004C4F0000}"/>
    <cellStyle name="Normal 2 2 2 2 3 3 2 4" xfId="28847" xr:uid="{00000000-0005-0000-0000-00004D4F0000}"/>
    <cellStyle name="Normal 2 2 2 2 3 3 3" xfId="12014" xr:uid="{00000000-0005-0000-0000-00004E4F0000}"/>
    <cellStyle name="Normal 2 2 2 2 3 3 3 2" xfId="31934" xr:uid="{00000000-0005-0000-0000-00004F4F0000}"/>
    <cellStyle name="Normal 2 2 2 2 3 3 4" xfId="18166" xr:uid="{00000000-0005-0000-0000-0000504F0000}"/>
    <cellStyle name="Normal 2 2 2 2 3 3 4 2" xfId="38086" xr:uid="{00000000-0005-0000-0000-0000514F0000}"/>
    <cellStyle name="Normal 2 2 2 2 3 3 5" xfId="25781" xr:uid="{00000000-0005-0000-0000-0000524F0000}"/>
    <cellStyle name="Normal 2 2 2 2 3 4" xfId="7352" xr:uid="{00000000-0005-0000-0000-0000534F0000}"/>
    <cellStyle name="Normal 2 2 2 2 3 4 2" xfId="13546" xr:uid="{00000000-0005-0000-0000-0000544F0000}"/>
    <cellStyle name="Normal 2 2 2 2 3 4 2 2" xfId="33466" xr:uid="{00000000-0005-0000-0000-0000554F0000}"/>
    <cellStyle name="Normal 2 2 2 2 3 4 3" xfId="19698" xr:uid="{00000000-0005-0000-0000-0000564F0000}"/>
    <cellStyle name="Normal 2 2 2 2 3 4 3 2" xfId="39618" xr:uid="{00000000-0005-0000-0000-0000574F0000}"/>
    <cellStyle name="Normal 2 2 2 2 3 4 4" xfId="27313" xr:uid="{00000000-0005-0000-0000-0000584F0000}"/>
    <cellStyle name="Normal 2 2 2 2 3 5" xfId="10480" xr:uid="{00000000-0005-0000-0000-0000594F0000}"/>
    <cellStyle name="Normal 2 2 2 2 3 5 2" xfId="30400" xr:uid="{00000000-0005-0000-0000-00005A4F0000}"/>
    <cellStyle name="Normal 2 2 2 2 3 6" xfId="16632" xr:uid="{00000000-0005-0000-0000-00005B4F0000}"/>
    <cellStyle name="Normal 2 2 2 2 3 6 2" xfId="36552" xr:uid="{00000000-0005-0000-0000-00005C4F0000}"/>
    <cellStyle name="Normal 2 2 2 2 3 7" xfId="24247" xr:uid="{00000000-0005-0000-0000-00005D4F0000}"/>
    <cellStyle name="Normal 2 2 2 2 4" xfId="3433" xr:uid="{00000000-0005-0000-0000-00005E4F0000}"/>
    <cellStyle name="Normal 2 2 2 2 4 2" xfId="4946" xr:uid="{00000000-0005-0000-0000-00005F4F0000}"/>
    <cellStyle name="Normal 2 2 2 2 4 2 2" xfId="6571" xr:uid="{00000000-0005-0000-0000-0000604F0000}"/>
    <cellStyle name="Normal 2 2 2 2 4 2 2 2" xfId="9657" xr:uid="{00000000-0005-0000-0000-0000614F0000}"/>
    <cellStyle name="Normal 2 2 2 2 4 2 2 2 2" xfId="15850" xr:uid="{00000000-0005-0000-0000-0000624F0000}"/>
    <cellStyle name="Normal 2 2 2 2 4 2 2 2 2 2" xfId="35770" xr:uid="{00000000-0005-0000-0000-0000634F0000}"/>
    <cellStyle name="Normal 2 2 2 2 4 2 2 2 3" xfId="22002" xr:uid="{00000000-0005-0000-0000-0000644F0000}"/>
    <cellStyle name="Normal 2 2 2 2 4 2 2 2 3 2" xfId="41922" xr:uid="{00000000-0005-0000-0000-0000654F0000}"/>
    <cellStyle name="Normal 2 2 2 2 4 2 2 2 4" xfId="29617" xr:uid="{00000000-0005-0000-0000-0000664F0000}"/>
    <cellStyle name="Normal 2 2 2 2 4 2 2 3" xfId="12784" xr:uid="{00000000-0005-0000-0000-0000674F0000}"/>
    <cellStyle name="Normal 2 2 2 2 4 2 2 3 2" xfId="32704" xr:uid="{00000000-0005-0000-0000-0000684F0000}"/>
    <cellStyle name="Normal 2 2 2 2 4 2 2 4" xfId="18936" xr:uid="{00000000-0005-0000-0000-0000694F0000}"/>
    <cellStyle name="Normal 2 2 2 2 4 2 2 4 2" xfId="38856" xr:uid="{00000000-0005-0000-0000-00006A4F0000}"/>
    <cellStyle name="Normal 2 2 2 2 4 2 2 5" xfId="26551" xr:uid="{00000000-0005-0000-0000-00006B4F0000}"/>
    <cellStyle name="Normal 2 2 2 2 4 2 3" xfId="8122" xr:uid="{00000000-0005-0000-0000-00006C4F0000}"/>
    <cellStyle name="Normal 2 2 2 2 4 2 3 2" xfId="14316" xr:uid="{00000000-0005-0000-0000-00006D4F0000}"/>
    <cellStyle name="Normal 2 2 2 2 4 2 3 2 2" xfId="34236" xr:uid="{00000000-0005-0000-0000-00006E4F0000}"/>
    <cellStyle name="Normal 2 2 2 2 4 2 3 3" xfId="20468" xr:uid="{00000000-0005-0000-0000-00006F4F0000}"/>
    <cellStyle name="Normal 2 2 2 2 4 2 3 3 2" xfId="40388" xr:uid="{00000000-0005-0000-0000-0000704F0000}"/>
    <cellStyle name="Normal 2 2 2 2 4 2 3 4" xfId="28083" xr:uid="{00000000-0005-0000-0000-0000714F0000}"/>
    <cellStyle name="Normal 2 2 2 2 4 2 4" xfId="11250" xr:uid="{00000000-0005-0000-0000-0000724F0000}"/>
    <cellStyle name="Normal 2 2 2 2 4 2 4 2" xfId="31170" xr:uid="{00000000-0005-0000-0000-0000734F0000}"/>
    <cellStyle name="Normal 2 2 2 2 4 2 5" xfId="17402" xr:uid="{00000000-0005-0000-0000-0000744F0000}"/>
    <cellStyle name="Normal 2 2 2 2 4 2 5 2" xfId="37322" xr:uid="{00000000-0005-0000-0000-0000754F0000}"/>
    <cellStyle name="Normal 2 2 2 2 4 2 6" xfId="25017" xr:uid="{00000000-0005-0000-0000-0000764F0000}"/>
    <cellStyle name="Normal 2 2 2 2 4 3" xfId="5788" xr:uid="{00000000-0005-0000-0000-0000774F0000}"/>
    <cellStyle name="Normal 2 2 2 2 4 3 2" xfId="8888" xr:uid="{00000000-0005-0000-0000-0000784F0000}"/>
    <cellStyle name="Normal 2 2 2 2 4 3 2 2" xfId="15081" xr:uid="{00000000-0005-0000-0000-0000794F0000}"/>
    <cellStyle name="Normal 2 2 2 2 4 3 2 2 2" xfId="35001" xr:uid="{00000000-0005-0000-0000-00007A4F0000}"/>
    <cellStyle name="Normal 2 2 2 2 4 3 2 3" xfId="21233" xr:uid="{00000000-0005-0000-0000-00007B4F0000}"/>
    <cellStyle name="Normal 2 2 2 2 4 3 2 3 2" xfId="41153" xr:uid="{00000000-0005-0000-0000-00007C4F0000}"/>
    <cellStyle name="Normal 2 2 2 2 4 3 2 4" xfId="28848" xr:uid="{00000000-0005-0000-0000-00007D4F0000}"/>
    <cellStyle name="Normal 2 2 2 2 4 3 3" xfId="12015" xr:uid="{00000000-0005-0000-0000-00007E4F0000}"/>
    <cellStyle name="Normal 2 2 2 2 4 3 3 2" xfId="31935" xr:uid="{00000000-0005-0000-0000-00007F4F0000}"/>
    <cellStyle name="Normal 2 2 2 2 4 3 4" xfId="18167" xr:uid="{00000000-0005-0000-0000-0000804F0000}"/>
    <cellStyle name="Normal 2 2 2 2 4 3 4 2" xfId="38087" xr:uid="{00000000-0005-0000-0000-0000814F0000}"/>
    <cellStyle name="Normal 2 2 2 2 4 3 5" xfId="25782" xr:uid="{00000000-0005-0000-0000-0000824F0000}"/>
    <cellStyle name="Normal 2 2 2 2 4 4" xfId="7353" xr:uid="{00000000-0005-0000-0000-0000834F0000}"/>
    <cellStyle name="Normal 2 2 2 2 4 4 2" xfId="13547" xr:uid="{00000000-0005-0000-0000-0000844F0000}"/>
    <cellStyle name="Normal 2 2 2 2 4 4 2 2" xfId="33467" xr:uid="{00000000-0005-0000-0000-0000854F0000}"/>
    <cellStyle name="Normal 2 2 2 2 4 4 3" xfId="19699" xr:uid="{00000000-0005-0000-0000-0000864F0000}"/>
    <cellStyle name="Normal 2 2 2 2 4 4 3 2" xfId="39619" xr:uid="{00000000-0005-0000-0000-0000874F0000}"/>
    <cellStyle name="Normal 2 2 2 2 4 4 4" xfId="27314" xr:uid="{00000000-0005-0000-0000-0000884F0000}"/>
    <cellStyle name="Normal 2 2 2 2 4 5" xfId="10481" xr:uid="{00000000-0005-0000-0000-0000894F0000}"/>
    <cellStyle name="Normal 2 2 2 2 4 5 2" xfId="30401" xr:uid="{00000000-0005-0000-0000-00008A4F0000}"/>
    <cellStyle name="Normal 2 2 2 2 4 6" xfId="16633" xr:uid="{00000000-0005-0000-0000-00008B4F0000}"/>
    <cellStyle name="Normal 2 2 2 2 4 6 2" xfId="36553" xr:uid="{00000000-0005-0000-0000-00008C4F0000}"/>
    <cellStyle name="Normal 2 2 2 2 4 7" xfId="24248" xr:uid="{00000000-0005-0000-0000-00008D4F0000}"/>
    <cellStyle name="Normal 2 2 2 2 5" xfId="3434" xr:uid="{00000000-0005-0000-0000-00008E4F0000}"/>
    <cellStyle name="Normal 2 2 2 2 5 2" xfId="4947" xr:uid="{00000000-0005-0000-0000-00008F4F0000}"/>
    <cellStyle name="Normal 2 2 2 2 5 2 2" xfId="6572" xr:uid="{00000000-0005-0000-0000-0000904F0000}"/>
    <cellStyle name="Normal 2 2 2 2 5 2 2 2" xfId="9658" xr:uid="{00000000-0005-0000-0000-0000914F0000}"/>
    <cellStyle name="Normal 2 2 2 2 5 2 2 2 2" xfId="15851" xr:uid="{00000000-0005-0000-0000-0000924F0000}"/>
    <cellStyle name="Normal 2 2 2 2 5 2 2 2 2 2" xfId="35771" xr:uid="{00000000-0005-0000-0000-0000934F0000}"/>
    <cellStyle name="Normal 2 2 2 2 5 2 2 2 3" xfId="22003" xr:uid="{00000000-0005-0000-0000-0000944F0000}"/>
    <cellStyle name="Normal 2 2 2 2 5 2 2 2 3 2" xfId="41923" xr:uid="{00000000-0005-0000-0000-0000954F0000}"/>
    <cellStyle name="Normal 2 2 2 2 5 2 2 2 4" xfId="29618" xr:uid="{00000000-0005-0000-0000-0000964F0000}"/>
    <cellStyle name="Normal 2 2 2 2 5 2 2 3" xfId="12785" xr:uid="{00000000-0005-0000-0000-0000974F0000}"/>
    <cellStyle name="Normal 2 2 2 2 5 2 2 3 2" xfId="32705" xr:uid="{00000000-0005-0000-0000-0000984F0000}"/>
    <cellStyle name="Normal 2 2 2 2 5 2 2 4" xfId="18937" xr:uid="{00000000-0005-0000-0000-0000994F0000}"/>
    <cellStyle name="Normal 2 2 2 2 5 2 2 4 2" xfId="38857" xr:uid="{00000000-0005-0000-0000-00009A4F0000}"/>
    <cellStyle name="Normal 2 2 2 2 5 2 2 5" xfId="26552" xr:uid="{00000000-0005-0000-0000-00009B4F0000}"/>
    <cellStyle name="Normal 2 2 2 2 5 2 3" xfId="8123" xr:uid="{00000000-0005-0000-0000-00009C4F0000}"/>
    <cellStyle name="Normal 2 2 2 2 5 2 3 2" xfId="14317" xr:uid="{00000000-0005-0000-0000-00009D4F0000}"/>
    <cellStyle name="Normal 2 2 2 2 5 2 3 2 2" xfId="34237" xr:uid="{00000000-0005-0000-0000-00009E4F0000}"/>
    <cellStyle name="Normal 2 2 2 2 5 2 3 3" xfId="20469" xr:uid="{00000000-0005-0000-0000-00009F4F0000}"/>
    <cellStyle name="Normal 2 2 2 2 5 2 3 3 2" xfId="40389" xr:uid="{00000000-0005-0000-0000-0000A04F0000}"/>
    <cellStyle name="Normal 2 2 2 2 5 2 3 4" xfId="28084" xr:uid="{00000000-0005-0000-0000-0000A14F0000}"/>
    <cellStyle name="Normal 2 2 2 2 5 2 4" xfId="11251" xr:uid="{00000000-0005-0000-0000-0000A24F0000}"/>
    <cellStyle name="Normal 2 2 2 2 5 2 4 2" xfId="31171" xr:uid="{00000000-0005-0000-0000-0000A34F0000}"/>
    <cellStyle name="Normal 2 2 2 2 5 2 5" xfId="17403" xr:uid="{00000000-0005-0000-0000-0000A44F0000}"/>
    <cellStyle name="Normal 2 2 2 2 5 2 5 2" xfId="37323" xr:uid="{00000000-0005-0000-0000-0000A54F0000}"/>
    <cellStyle name="Normal 2 2 2 2 5 2 6" xfId="25018" xr:uid="{00000000-0005-0000-0000-0000A64F0000}"/>
    <cellStyle name="Normal 2 2 2 2 5 3" xfId="5789" xr:uid="{00000000-0005-0000-0000-0000A74F0000}"/>
    <cellStyle name="Normal 2 2 2 2 5 3 2" xfId="8889" xr:uid="{00000000-0005-0000-0000-0000A84F0000}"/>
    <cellStyle name="Normal 2 2 2 2 5 3 2 2" xfId="15082" xr:uid="{00000000-0005-0000-0000-0000A94F0000}"/>
    <cellStyle name="Normal 2 2 2 2 5 3 2 2 2" xfId="35002" xr:uid="{00000000-0005-0000-0000-0000AA4F0000}"/>
    <cellStyle name="Normal 2 2 2 2 5 3 2 3" xfId="21234" xr:uid="{00000000-0005-0000-0000-0000AB4F0000}"/>
    <cellStyle name="Normal 2 2 2 2 5 3 2 3 2" xfId="41154" xr:uid="{00000000-0005-0000-0000-0000AC4F0000}"/>
    <cellStyle name="Normal 2 2 2 2 5 3 2 4" xfId="28849" xr:uid="{00000000-0005-0000-0000-0000AD4F0000}"/>
    <cellStyle name="Normal 2 2 2 2 5 3 3" xfId="12016" xr:uid="{00000000-0005-0000-0000-0000AE4F0000}"/>
    <cellStyle name="Normal 2 2 2 2 5 3 3 2" xfId="31936" xr:uid="{00000000-0005-0000-0000-0000AF4F0000}"/>
    <cellStyle name="Normal 2 2 2 2 5 3 4" xfId="18168" xr:uid="{00000000-0005-0000-0000-0000B04F0000}"/>
    <cellStyle name="Normal 2 2 2 2 5 3 4 2" xfId="38088" xr:uid="{00000000-0005-0000-0000-0000B14F0000}"/>
    <cellStyle name="Normal 2 2 2 2 5 3 5" xfId="25783" xr:uid="{00000000-0005-0000-0000-0000B24F0000}"/>
    <cellStyle name="Normal 2 2 2 2 5 4" xfId="7354" xr:uid="{00000000-0005-0000-0000-0000B34F0000}"/>
    <cellStyle name="Normal 2 2 2 2 5 4 2" xfId="13548" xr:uid="{00000000-0005-0000-0000-0000B44F0000}"/>
    <cellStyle name="Normal 2 2 2 2 5 4 2 2" xfId="33468" xr:uid="{00000000-0005-0000-0000-0000B54F0000}"/>
    <cellStyle name="Normal 2 2 2 2 5 4 3" xfId="19700" xr:uid="{00000000-0005-0000-0000-0000B64F0000}"/>
    <cellStyle name="Normal 2 2 2 2 5 4 3 2" xfId="39620" xr:uid="{00000000-0005-0000-0000-0000B74F0000}"/>
    <cellStyle name="Normal 2 2 2 2 5 4 4" xfId="27315" xr:uid="{00000000-0005-0000-0000-0000B84F0000}"/>
    <cellStyle name="Normal 2 2 2 2 5 5" xfId="10482" xr:uid="{00000000-0005-0000-0000-0000B94F0000}"/>
    <cellStyle name="Normal 2 2 2 2 5 5 2" xfId="30402" xr:uid="{00000000-0005-0000-0000-0000BA4F0000}"/>
    <cellStyle name="Normal 2 2 2 2 5 6" xfId="16634" xr:uid="{00000000-0005-0000-0000-0000BB4F0000}"/>
    <cellStyle name="Normal 2 2 2 2 5 6 2" xfId="36554" xr:uid="{00000000-0005-0000-0000-0000BC4F0000}"/>
    <cellStyle name="Normal 2 2 2 2 5 7" xfId="24249" xr:uid="{00000000-0005-0000-0000-0000BD4F0000}"/>
    <cellStyle name="Normal 2 2 2 2 6" xfId="4942" xr:uid="{00000000-0005-0000-0000-0000BE4F0000}"/>
    <cellStyle name="Normal 2 2 2 2 6 2" xfId="6567" xr:uid="{00000000-0005-0000-0000-0000BF4F0000}"/>
    <cellStyle name="Normal 2 2 2 2 6 2 2" xfId="9653" xr:uid="{00000000-0005-0000-0000-0000C04F0000}"/>
    <cellStyle name="Normal 2 2 2 2 6 2 2 2" xfId="15846" xr:uid="{00000000-0005-0000-0000-0000C14F0000}"/>
    <cellStyle name="Normal 2 2 2 2 6 2 2 2 2" xfId="35766" xr:uid="{00000000-0005-0000-0000-0000C24F0000}"/>
    <cellStyle name="Normal 2 2 2 2 6 2 2 3" xfId="21998" xr:uid="{00000000-0005-0000-0000-0000C34F0000}"/>
    <cellStyle name="Normal 2 2 2 2 6 2 2 3 2" xfId="41918" xr:uid="{00000000-0005-0000-0000-0000C44F0000}"/>
    <cellStyle name="Normal 2 2 2 2 6 2 2 4" xfId="29613" xr:uid="{00000000-0005-0000-0000-0000C54F0000}"/>
    <cellStyle name="Normal 2 2 2 2 6 2 3" xfId="12780" xr:uid="{00000000-0005-0000-0000-0000C64F0000}"/>
    <cellStyle name="Normal 2 2 2 2 6 2 3 2" xfId="32700" xr:uid="{00000000-0005-0000-0000-0000C74F0000}"/>
    <cellStyle name="Normal 2 2 2 2 6 2 4" xfId="18932" xr:uid="{00000000-0005-0000-0000-0000C84F0000}"/>
    <cellStyle name="Normal 2 2 2 2 6 2 4 2" xfId="38852" xr:uid="{00000000-0005-0000-0000-0000C94F0000}"/>
    <cellStyle name="Normal 2 2 2 2 6 2 5" xfId="26547" xr:uid="{00000000-0005-0000-0000-0000CA4F0000}"/>
    <cellStyle name="Normal 2 2 2 2 6 3" xfId="8118" xr:uid="{00000000-0005-0000-0000-0000CB4F0000}"/>
    <cellStyle name="Normal 2 2 2 2 6 3 2" xfId="14312" xr:uid="{00000000-0005-0000-0000-0000CC4F0000}"/>
    <cellStyle name="Normal 2 2 2 2 6 3 2 2" xfId="34232" xr:uid="{00000000-0005-0000-0000-0000CD4F0000}"/>
    <cellStyle name="Normal 2 2 2 2 6 3 3" xfId="20464" xr:uid="{00000000-0005-0000-0000-0000CE4F0000}"/>
    <cellStyle name="Normal 2 2 2 2 6 3 3 2" xfId="40384" xr:uid="{00000000-0005-0000-0000-0000CF4F0000}"/>
    <cellStyle name="Normal 2 2 2 2 6 3 4" xfId="28079" xr:uid="{00000000-0005-0000-0000-0000D04F0000}"/>
    <cellStyle name="Normal 2 2 2 2 6 4" xfId="11246" xr:uid="{00000000-0005-0000-0000-0000D14F0000}"/>
    <cellStyle name="Normal 2 2 2 2 6 4 2" xfId="31166" xr:uid="{00000000-0005-0000-0000-0000D24F0000}"/>
    <cellStyle name="Normal 2 2 2 2 6 5" xfId="17398" xr:uid="{00000000-0005-0000-0000-0000D34F0000}"/>
    <cellStyle name="Normal 2 2 2 2 6 5 2" xfId="37318" xr:uid="{00000000-0005-0000-0000-0000D44F0000}"/>
    <cellStyle name="Normal 2 2 2 2 6 6" xfId="25013" xr:uid="{00000000-0005-0000-0000-0000D54F0000}"/>
    <cellStyle name="Normal 2 2 2 2 7" xfId="5784" xr:uid="{00000000-0005-0000-0000-0000D64F0000}"/>
    <cellStyle name="Normal 2 2 2 2 7 2" xfId="8884" xr:uid="{00000000-0005-0000-0000-0000D74F0000}"/>
    <cellStyle name="Normal 2 2 2 2 7 2 2" xfId="15077" xr:uid="{00000000-0005-0000-0000-0000D84F0000}"/>
    <cellStyle name="Normal 2 2 2 2 7 2 2 2" xfId="34997" xr:uid="{00000000-0005-0000-0000-0000D94F0000}"/>
    <cellStyle name="Normal 2 2 2 2 7 2 3" xfId="21229" xr:uid="{00000000-0005-0000-0000-0000DA4F0000}"/>
    <cellStyle name="Normal 2 2 2 2 7 2 3 2" xfId="41149" xr:uid="{00000000-0005-0000-0000-0000DB4F0000}"/>
    <cellStyle name="Normal 2 2 2 2 7 2 4" xfId="28844" xr:uid="{00000000-0005-0000-0000-0000DC4F0000}"/>
    <cellStyle name="Normal 2 2 2 2 7 3" xfId="12011" xr:uid="{00000000-0005-0000-0000-0000DD4F0000}"/>
    <cellStyle name="Normal 2 2 2 2 7 3 2" xfId="31931" xr:uid="{00000000-0005-0000-0000-0000DE4F0000}"/>
    <cellStyle name="Normal 2 2 2 2 7 4" xfId="18163" xr:uid="{00000000-0005-0000-0000-0000DF4F0000}"/>
    <cellStyle name="Normal 2 2 2 2 7 4 2" xfId="38083" xr:uid="{00000000-0005-0000-0000-0000E04F0000}"/>
    <cellStyle name="Normal 2 2 2 2 7 5" xfId="25778" xr:uid="{00000000-0005-0000-0000-0000E14F0000}"/>
    <cellStyle name="Normal 2 2 2 2 8" xfId="7349" xr:uid="{00000000-0005-0000-0000-0000E24F0000}"/>
    <cellStyle name="Normal 2 2 2 2 8 2" xfId="13543" xr:uid="{00000000-0005-0000-0000-0000E34F0000}"/>
    <cellStyle name="Normal 2 2 2 2 8 2 2" xfId="33463" xr:uid="{00000000-0005-0000-0000-0000E44F0000}"/>
    <cellStyle name="Normal 2 2 2 2 8 3" xfId="19695" xr:uid="{00000000-0005-0000-0000-0000E54F0000}"/>
    <cellStyle name="Normal 2 2 2 2 8 3 2" xfId="39615" xr:uid="{00000000-0005-0000-0000-0000E64F0000}"/>
    <cellStyle name="Normal 2 2 2 2 8 4" xfId="27310" xr:uid="{00000000-0005-0000-0000-0000E74F0000}"/>
    <cellStyle name="Normal 2 2 2 2 9" xfId="10477" xr:uid="{00000000-0005-0000-0000-0000E84F0000}"/>
    <cellStyle name="Normal 2 2 2 2 9 2" xfId="30397" xr:uid="{00000000-0005-0000-0000-0000E94F0000}"/>
    <cellStyle name="Normal 2 2 2 3" xfId="3435" xr:uid="{00000000-0005-0000-0000-0000EA4F0000}"/>
    <cellStyle name="Normal 2 2 2 4" xfId="3436" xr:uid="{00000000-0005-0000-0000-0000EB4F0000}"/>
    <cellStyle name="Normal 2 2 2 4 2" xfId="3437" xr:uid="{00000000-0005-0000-0000-0000EC4F0000}"/>
    <cellStyle name="Normal 2 2 2 5" xfId="3438" xr:uid="{00000000-0005-0000-0000-0000ED4F0000}"/>
    <cellStyle name="Normal 2 2 2 5 2" xfId="3439" xr:uid="{00000000-0005-0000-0000-0000EE4F0000}"/>
    <cellStyle name="Normal 2 2 2 6" xfId="3428" xr:uid="{00000000-0005-0000-0000-0000EF4F0000}"/>
    <cellStyle name="Normal 2 2 2 7" xfId="1050" xr:uid="{00000000-0005-0000-0000-0000F04F0000}"/>
    <cellStyle name="Normal 2 2 20" xfId="433" xr:uid="{00000000-0005-0000-0000-0000F14F0000}"/>
    <cellStyle name="Normal 2 2 20 2" xfId="4948" xr:uid="{00000000-0005-0000-0000-0000F24F0000}"/>
    <cellStyle name="Normal 2 2 20 2 2" xfId="6573" xr:uid="{00000000-0005-0000-0000-0000F34F0000}"/>
    <cellStyle name="Normal 2 2 20 2 2 2" xfId="9659" xr:uid="{00000000-0005-0000-0000-0000F44F0000}"/>
    <cellStyle name="Normal 2 2 20 2 2 2 2" xfId="15852" xr:uid="{00000000-0005-0000-0000-0000F54F0000}"/>
    <cellStyle name="Normal 2 2 20 2 2 2 2 2" xfId="35772" xr:uid="{00000000-0005-0000-0000-0000F64F0000}"/>
    <cellStyle name="Normal 2 2 20 2 2 2 3" xfId="22004" xr:uid="{00000000-0005-0000-0000-0000F74F0000}"/>
    <cellStyle name="Normal 2 2 20 2 2 2 3 2" xfId="41924" xr:uid="{00000000-0005-0000-0000-0000F84F0000}"/>
    <cellStyle name="Normal 2 2 20 2 2 2 4" xfId="29619" xr:uid="{00000000-0005-0000-0000-0000F94F0000}"/>
    <cellStyle name="Normal 2 2 20 2 2 3" xfId="12786" xr:uid="{00000000-0005-0000-0000-0000FA4F0000}"/>
    <cellStyle name="Normal 2 2 20 2 2 3 2" xfId="32706" xr:uid="{00000000-0005-0000-0000-0000FB4F0000}"/>
    <cellStyle name="Normal 2 2 20 2 2 4" xfId="18938" xr:uid="{00000000-0005-0000-0000-0000FC4F0000}"/>
    <cellStyle name="Normal 2 2 20 2 2 4 2" xfId="38858" xr:uid="{00000000-0005-0000-0000-0000FD4F0000}"/>
    <cellStyle name="Normal 2 2 20 2 2 5" xfId="26553" xr:uid="{00000000-0005-0000-0000-0000FE4F0000}"/>
    <cellStyle name="Normal 2 2 20 2 3" xfId="8124" xr:uid="{00000000-0005-0000-0000-0000FF4F0000}"/>
    <cellStyle name="Normal 2 2 20 2 3 2" xfId="14318" xr:uid="{00000000-0005-0000-0000-000000500000}"/>
    <cellStyle name="Normal 2 2 20 2 3 2 2" xfId="34238" xr:uid="{00000000-0005-0000-0000-000001500000}"/>
    <cellStyle name="Normal 2 2 20 2 3 3" xfId="20470" xr:uid="{00000000-0005-0000-0000-000002500000}"/>
    <cellStyle name="Normal 2 2 20 2 3 3 2" xfId="40390" xr:uid="{00000000-0005-0000-0000-000003500000}"/>
    <cellStyle name="Normal 2 2 20 2 3 4" xfId="28085" xr:uid="{00000000-0005-0000-0000-000004500000}"/>
    <cellStyle name="Normal 2 2 20 2 4" xfId="11252" xr:uid="{00000000-0005-0000-0000-000005500000}"/>
    <cellStyle name="Normal 2 2 20 2 4 2" xfId="31172" xr:uid="{00000000-0005-0000-0000-000006500000}"/>
    <cellStyle name="Normal 2 2 20 2 5" xfId="17404" xr:uid="{00000000-0005-0000-0000-000007500000}"/>
    <cellStyle name="Normal 2 2 20 2 5 2" xfId="37324" xr:uid="{00000000-0005-0000-0000-000008500000}"/>
    <cellStyle name="Normal 2 2 20 2 6" xfId="25019" xr:uid="{00000000-0005-0000-0000-000009500000}"/>
    <cellStyle name="Normal 2 2 20 3" xfId="5790" xr:uid="{00000000-0005-0000-0000-00000A500000}"/>
    <cellStyle name="Normal 2 2 20 3 2" xfId="8890" xr:uid="{00000000-0005-0000-0000-00000B500000}"/>
    <cellStyle name="Normal 2 2 20 3 2 2" xfId="15083" xr:uid="{00000000-0005-0000-0000-00000C500000}"/>
    <cellStyle name="Normal 2 2 20 3 2 2 2" xfId="35003" xr:uid="{00000000-0005-0000-0000-00000D500000}"/>
    <cellStyle name="Normal 2 2 20 3 2 3" xfId="21235" xr:uid="{00000000-0005-0000-0000-00000E500000}"/>
    <cellStyle name="Normal 2 2 20 3 2 3 2" xfId="41155" xr:uid="{00000000-0005-0000-0000-00000F500000}"/>
    <cellStyle name="Normal 2 2 20 3 2 4" xfId="28850" xr:uid="{00000000-0005-0000-0000-000010500000}"/>
    <cellStyle name="Normal 2 2 20 3 3" xfId="12017" xr:uid="{00000000-0005-0000-0000-000011500000}"/>
    <cellStyle name="Normal 2 2 20 3 3 2" xfId="31937" xr:uid="{00000000-0005-0000-0000-000012500000}"/>
    <cellStyle name="Normal 2 2 20 3 4" xfId="18169" xr:uid="{00000000-0005-0000-0000-000013500000}"/>
    <cellStyle name="Normal 2 2 20 3 4 2" xfId="38089" xr:uid="{00000000-0005-0000-0000-000014500000}"/>
    <cellStyle name="Normal 2 2 20 3 5" xfId="25784" xr:uid="{00000000-0005-0000-0000-000015500000}"/>
    <cellStyle name="Normal 2 2 20 4" xfId="7355" xr:uid="{00000000-0005-0000-0000-000016500000}"/>
    <cellStyle name="Normal 2 2 20 4 2" xfId="13549" xr:uid="{00000000-0005-0000-0000-000017500000}"/>
    <cellStyle name="Normal 2 2 20 4 2 2" xfId="33469" xr:uid="{00000000-0005-0000-0000-000018500000}"/>
    <cellStyle name="Normal 2 2 20 4 3" xfId="19701" xr:uid="{00000000-0005-0000-0000-000019500000}"/>
    <cellStyle name="Normal 2 2 20 4 3 2" xfId="39621" xr:uid="{00000000-0005-0000-0000-00001A500000}"/>
    <cellStyle name="Normal 2 2 20 4 4" xfId="27316" xr:uid="{00000000-0005-0000-0000-00001B500000}"/>
    <cellStyle name="Normal 2 2 20 5" xfId="10483" xr:uid="{00000000-0005-0000-0000-00001C500000}"/>
    <cellStyle name="Normal 2 2 20 5 2" xfId="30403" xr:uid="{00000000-0005-0000-0000-00001D500000}"/>
    <cellStyle name="Normal 2 2 20 6" xfId="16635" xr:uid="{00000000-0005-0000-0000-00001E500000}"/>
    <cellStyle name="Normal 2 2 20 6 2" xfId="36555" xr:uid="{00000000-0005-0000-0000-00001F500000}"/>
    <cellStyle name="Normal 2 2 20 7" xfId="3440" xr:uid="{00000000-0005-0000-0000-000020500000}"/>
    <cellStyle name="Normal 2 2 20 7 2" xfId="24250" xr:uid="{00000000-0005-0000-0000-000021500000}"/>
    <cellStyle name="Normal 2 2 21" xfId="461" xr:uid="{00000000-0005-0000-0000-000022500000}"/>
    <cellStyle name="Normal 2 2 21 2" xfId="4949" xr:uid="{00000000-0005-0000-0000-000023500000}"/>
    <cellStyle name="Normal 2 2 21 2 2" xfId="6574" xr:uid="{00000000-0005-0000-0000-000024500000}"/>
    <cellStyle name="Normal 2 2 21 2 2 2" xfId="9660" xr:uid="{00000000-0005-0000-0000-000025500000}"/>
    <cellStyle name="Normal 2 2 21 2 2 2 2" xfId="15853" xr:uid="{00000000-0005-0000-0000-000026500000}"/>
    <cellStyle name="Normal 2 2 21 2 2 2 2 2" xfId="35773" xr:uid="{00000000-0005-0000-0000-000027500000}"/>
    <cellStyle name="Normal 2 2 21 2 2 2 3" xfId="22005" xr:uid="{00000000-0005-0000-0000-000028500000}"/>
    <cellStyle name="Normal 2 2 21 2 2 2 3 2" xfId="41925" xr:uid="{00000000-0005-0000-0000-000029500000}"/>
    <cellStyle name="Normal 2 2 21 2 2 2 4" xfId="29620" xr:uid="{00000000-0005-0000-0000-00002A500000}"/>
    <cellStyle name="Normal 2 2 21 2 2 3" xfId="12787" xr:uid="{00000000-0005-0000-0000-00002B500000}"/>
    <cellStyle name="Normal 2 2 21 2 2 3 2" xfId="32707" xr:uid="{00000000-0005-0000-0000-00002C500000}"/>
    <cellStyle name="Normal 2 2 21 2 2 4" xfId="18939" xr:uid="{00000000-0005-0000-0000-00002D500000}"/>
    <cellStyle name="Normal 2 2 21 2 2 4 2" xfId="38859" xr:uid="{00000000-0005-0000-0000-00002E500000}"/>
    <cellStyle name="Normal 2 2 21 2 2 5" xfId="26554" xr:uid="{00000000-0005-0000-0000-00002F500000}"/>
    <cellStyle name="Normal 2 2 21 2 3" xfId="8125" xr:uid="{00000000-0005-0000-0000-000030500000}"/>
    <cellStyle name="Normal 2 2 21 2 3 2" xfId="14319" xr:uid="{00000000-0005-0000-0000-000031500000}"/>
    <cellStyle name="Normal 2 2 21 2 3 2 2" xfId="34239" xr:uid="{00000000-0005-0000-0000-000032500000}"/>
    <cellStyle name="Normal 2 2 21 2 3 3" xfId="20471" xr:uid="{00000000-0005-0000-0000-000033500000}"/>
    <cellStyle name="Normal 2 2 21 2 3 3 2" xfId="40391" xr:uid="{00000000-0005-0000-0000-000034500000}"/>
    <cellStyle name="Normal 2 2 21 2 3 4" xfId="28086" xr:uid="{00000000-0005-0000-0000-000035500000}"/>
    <cellStyle name="Normal 2 2 21 2 4" xfId="11253" xr:uid="{00000000-0005-0000-0000-000036500000}"/>
    <cellStyle name="Normal 2 2 21 2 4 2" xfId="31173" xr:uid="{00000000-0005-0000-0000-000037500000}"/>
    <cellStyle name="Normal 2 2 21 2 5" xfId="17405" xr:uid="{00000000-0005-0000-0000-000038500000}"/>
    <cellStyle name="Normal 2 2 21 2 5 2" xfId="37325" xr:uid="{00000000-0005-0000-0000-000039500000}"/>
    <cellStyle name="Normal 2 2 21 2 6" xfId="25020" xr:uid="{00000000-0005-0000-0000-00003A500000}"/>
    <cellStyle name="Normal 2 2 21 3" xfId="5791" xr:uid="{00000000-0005-0000-0000-00003B500000}"/>
    <cellStyle name="Normal 2 2 21 3 2" xfId="8891" xr:uid="{00000000-0005-0000-0000-00003C500000}"/>
    <cellStyle name="Normal 2 2 21 3 2 2" xfId="15084" xr:uid="{00000000-0005-0000-0000-00003D500000}"/>
    <cellStyle name="Normal 2 2 21 3 2 2 2" xfId="35004" xr:uid="{00000000-0005-0000-0000-00003E500000}"/>
    <cellStyle name="Normal 2 2 21 3 2 3" xfId="21236" xr:uid="{00000000-0005-0000-0000-00003F500000}"/>
    <cellStyle name="Normal 2 2 21 3 2 3 2" xfId="41156" xr:uid="{00000000-0005-0000-0000-000040500000}"/>
    <cellStyle name="Normal 2 2 21 3 2 4" xfId="28851" xr:uid="{00000000-0005-0000-0000-000041500000}"/>
    <cellStyle name="Normal 2 2 21 3 3" xfId="12018" xr:uid="{00000000-0005-0000-0000-000042500000}"/>
    <cellStyle name="Normal 2 2 21 3 3 2" xfId="31938" xr:uid="{00000000-0005-0000-0000-000043500000}"/>
    <cellStyle name="Normal 2 2 21 3 4" xfId="18170" xr:uid="{00000000-0005-0000-0000-000044500000}"/>
    <cellStyle name="Normal 2 2 21 3 4 2" xfId="38090" xr:uid="{00000000-0005-0000-0000-000045500000}"/>
    <cellStyle name="Normal 2 2 21 3 5" xfId="25785" xr:uid="{00000000-0005-0000-0000-000046500000}"/>
    <cellStyle name="Normal 2 2 21 4" xfId="7356" xr:uid="{00000000-0005-0000-0000-000047500000}"/>
    <cellStyle name="Normal 2 2 21 4 2" xfId="13550" xr:uid="{00000000-0005-0000-0000-000048500000}"/>
    <cellStyle name="Normal 2 2 21 4 2 2" xfId="33470" xr:uid="{00000000-0005-0000-0000-000049500000}"/>
    <cellStyle name="Normal 2 2 21 4 3" xfId="19702" xr:uid="{00000000-0005-0000-0000-00004A500000}"/>
    <cellStyle name="Normal 2 2 21 4 3 2" xfId="39622" xr:uid="{00000000-0005-0000-0000-00004B500000}"/>
    <cellStyle name="Normal 2 2 21 4 4" xfId="27317" xr:uid="{00000000-0005-0000-0000-00004C500000}"/>
    <cellStyle name="Normal 2 2 21 5" xfId="10484" xr:uid="{00000000-0005-0000-0000-00004D500000}"/>
    <cellStyle name="Normal 2 2 21 5 2" xfId="30404" xr:uid="{00000000-0005-0000-0000-00004E500000}"/>
    <cellStyle name="Normal 2 2 21 6" xfId="16636" xr:uid="{00000000-0005-0000-0000-00004F500000}"/>
    <cellStyle name="Normal 2 2 21 6 2" xfId="36556" xr:uid="{00000000-0005-0000-0000-000050500000}"/>
    <cellStyle name="Normal 2 2 21 7" xfId="3441" xr:uid="{00000000-0005-0000-0000-000051500000}"/>
    <cellStyle name="Normal 2 2 21 7 2" xfId="24251" xr:uid="{00000000-0005-0000-0000-000052500000}"/>
    <cellStyle name="Normal 2 2 22" xfId="478" xr:uid="{00000000-0005-0000-0000-000053500000}"/>
    <cellStyle name="Normal 2 2 22 2" xfId="4950" xr:uid="{00000000-0005-0000-0000-000054500000}"/>
    <cellStyle name="Normal 2 2 22 2 2" xfId="6575" xr:uid="{00000000-0005-0000-0000-000055500000}"/>
    <cellStyle name="Normal 2 2 22 2 2 2" xfId="9661" xr:uid="{00000000-0005-0000-0000-000056500000}"/>
    <cellStyle name="Normal 2 2 22 2 2 2 2" xfId="15854" xr:uid="{00000000-0005-0000-0000-000057500000}"/>
    <cellStyle name="Normal 2 2 22 2 2 2 2 2" xfId="35774" xr:uid="{00000000-0005-0000-0000-000058500000}"/>
    <cellStyle name="Normal 2 2 22 2 2 2 3" xfId="22006" xr:uid="{00000000-0005-0000-0000-000059500000}"/>
    <cellStyle name="Normal 2 2 22 2 2 2 3 2" xfId="41926" xr:uid="{00000000-0005-0000-0000-00005A500000}"/>
    <cellStyle name="Normal 2 2 22 2 2 2 4" xfId="29621" xr:uid="{00000000-0005-0000-0000-00005B500000}"/>
    <cellStyle name="Normal 2 2 22 2 2 3" xfId="12788" xr:uid="{00000000-0005-0000-0000-00005C500000}"/>
    <cellStyle name="Normal 2 2 22 2 2 3 2" xfId="32708" xr:uid="{00000000-0005-0000-0000-00005D500000}"/>
    <cellStyle name="Normal 2 2 22 2 2 4" xfId="18940" xr:uid="{00000000-0005-0000-0000-00005E500000}"/>
    <cellStyle name="Normal 2 2 22 2 2 4 2" xfId="38860" xr:uid="{00000000-0005-0000-0000-00005F500000}"/>
    <cellStyle name="Normal 2 2 22 2 2 5" xfId="26555" xr:uid="{00000000-0005-0000-0000-000060500000}"/>
    <cellStyle name="Normal 2 2 22 2 3" xfId="8126" xr:uid="{00000000-0005-0000-0000-000061500000}"/>
    <cellStyle name="Normal 2 2 22 2 3 2" xfId="14320" xr:uid="{00000000-0005-0000-0000-000062500000}"/>
    <cellStyle name="Normal 2 2 22 2 3 2 2" xfId="34240" xr:uid="{00000000-0005-0000-0000-000063500000}"/>
    <cellStyle name="Normal 2 2 22 2 3 3" xfId="20472" xr:uid="{00000000-0005-0000-0000-000064500000}"/>
    <cellStyle name="Normal 2 2 22 2 3 3 2" xfId="40392" xr:uid="{00000000-0005-0000-0000-000065500000}"/>
    <cellStyle name="Normal 2 2 22 2 3 4" xfId="28087" xr:uid="{00000000-0005-0000-0000-000066500000}"/>
    <cellStyle name="Normal 2 2 22 2 4" xfId="11254" xr:uid="{00000000-0005-0000-0000-000067500000}"/>
    <cellStyle name="Normal 2 2 22 2 4 2" xfId="31174" xr:uid="{00000000-0005-0000-0000-000068500000}"/>
    <cellStyle name="Normal 2 2 22 2 5" xfId="17406" xr:uid="{00000000-0005-0000-0000-000069500000}"/>
    <cellStyle name="Normal 2 2 22 2 5 2" xfId="37326" xr:uid="{00000000-0005-0000-0000-00006A500000}"/>
    <cellStyle name="Normal 2 2 22 2 6" xfId="25021" xr:uid="{00000000-0005-0000-0000-00006B500000}"/>
    <cellStyle name="Normal 2 2 22 3" xfId="5792" xr:uid="{00000000-0005-0000-0000-00006C500000}"/>
    <cellStyle name="Normal 2 2 22 3 2" xfId="8892" xr:uid="{00000000-0005-0000-0000-00006D500000}"/>
    <cellStyle name="Normal 2 2 22 3 2 2" xfId="15085" xr:uid="{00000000-0005-0000-0000-00006E500000}"/>
    <cellStyle name="Normal 2 2 22 3 2 2 2" xfId="35005" xr:uid="{00000000-0005-0000-0000-00006F500000}"/>
    <cellStyle name="Normal 2 2 22 3 2 3" xfId="21237" xr:uid="{00000000-0005-0000-0000-000070500000}"/>
    <cellStyle name="Normal 2 2 22 3 2 3 2" xfId="41157" xr:uid="{00000000-0005-0000-0000-000071500000}"/>
    <cellStyle name="Normal 2 2 22 3 2 4" xfId="28852" xr:uid="{00000000-0005-0000-0000-000072500000}"/>
    <cellStyle name="Normal 2 2 22 3 3" xfId="12019" xr:uid="{00000000-0005-0000-0000-000073500000}"/>
    <cellStyle name="Normal 2 2 22 3 3 2" xfId="31939" xr:uid="{00000000-0005-0000-0000-000074500000}"/>
    <cellStyle name="Normal 2 2 22 3 4" xfId="18171" xr:uid="{00000000-0005-0000-0000-000075500000}"/>
    <cellStyle name="Normal 2 2 22 3 4 2" xfId="38091" xr:uid="{00000000-0005-0000-0000-000076500000}"/>
    <cellStyle name="Normal 2 2 22 3 5" xfId="25786" xr:uid="{00000000-0005-0000-0000-000077500000}"/>
    <cellStyle name="Normal 2 2 22 4" xfId="7357" xr:uid="{00000000-0005-0000-0000-000078500000}"/>
    <cellStyle name="Normal 2 2 22 4 2" xfId="13551" xr:uid="{00000000-0005-0000-0000-000079500000}"/>
    <cellStyle name="Normal 2 2 22 4 2 2" xfId="33471" xr:uid="{00000000-0005-0000-0000-00007A500000}"/>
    <cellStyle name="Normal 2 2 22 4 3" xfId="19703" xr:uid="{00000000-0005-0000-0000-00007B500000}"/>
    <cellStyle name="Normal 2 2 22 4 3 2" xfId="39623" xr:uid="{00000000-0005-0000-0000-00007C500000}"/>
    <cellStyle name="Normal 2 2 22 4 4" xfId="27318" xr:uid="{00000000-0005-0000-0000-00007D500000}"/>
    <cellStyle name="Normal 2 2 22 5" xfId="10485" xr:uid="{00000000-0005-0000-0000-00007E500000}"/>
    <cellStyle name="Normal 2 2 22 5 2" xfId="30405" xr:uid="{00000000-0005-0000-0000-00007F500000}"/>
    <cellStyle name="Normal 2 2 22 6" xfId="16637" xr:uid="{00000000-0005-0000-0000-000080500000}"/>
    <cellStyle name="Normal 2 2 22 6 2" xfId="36557" xr:uid="{00000000-0005-0000-0000-000081500000}"/>
    <cellStyle name="Normal 2 2 22 7" xfId="3442" xr:uid="{00000000-0005-0000-0000-000082500000}"/>
    <cellStyle name="Normal 2 2 22 7 2" xfId="24252" xr:uid="{00000000-0005-0000-0000-000083500000}"/>
    <cellStyle name="Normal 2 2 23" xfId="502" xr:uid="{00000000-0005-0000-0000-000084500000}"/>
    <cellStyle name="Normal 2 2 23 2" xfId="3444" xr:uid="{00000000-0005-0000-0000-000085500000}"/>
    <cellStyle name="Normal 2 2 23 3" xfId="3443" xr:uid="{00000000-0005-0000-0000-000086500000}"/>
    <cellStyle name="Normal 2 2 24" xfId="543" xr:uid="{00000000-0005-0000-0000-000087500000}"/>
    <cellStyle name="Normal 2 2 24 2" xfId="3446" xr:uid="{00000000-0005-0000-0000-000088500000}"/>
    <cellStyle name="Normal 2 2 24 3" xfId="3445" xr:uid="{00000000-0005-0000-0000-000089500000}"/>
    <cellStyle name="Normal 2 2 25" xfId="571" xr:uid="{00000000-0005-0000-0000-00008A500000}"/>
    <cellStyle name="Normal 2 2 25 2" xfId="10124" xr:uid="{00000000-0005-0000-0000-00008B500000}"/>
    <cellStyle name="Normal 2 2 26" xfId="603" xr:uid="{00000000-0005-0000-0000-00008C500000}"/>
    <cellStyle name="Normal 2 2 27" xfId="630" xr:uid="{00000000-0005-0000-0000-00008D500000}"/>
    <cellStyle name="Normal 2 2 28" xfId="656" xr:uid="{00000000-0005-0000-0000-00008E500000}"/>
    <cellStyle name="Normal 2 2 29" xfId="680" xr:uid="{00000000-0005-0000-0000-00008F500000}"/>
    <cellStyle name="Normal 2 2 3" xfId="126" xr:uid="{00000000-0005-0000-0000-000090500000}"/>
    <cellStyle name="Normal 2 2 3 10" xfId="5793" xr:uid="{00000000-0005-0000-0000-000091500000}"/>
    <cellStyle name="Normal 2 2 3 10 2" xfId="8893" xr:uid="{00000000-0005-0000-0000-000092500000}"/>
    <cellStyle name="Normal 2 2 3 10 2 2" xfId="15086" xr:uid="{00000000-0005-0000-0000-000093500000}"/>
    <cellStyle name="Normal 2 2 3 10 2 2 2" xfId="35006" xr:uid="{00000000-0005-0000-0000-000094500000}"/>
    <cellStyle name="Normal 2 2 3 10 2 3" xfId="21238" xr:uid="{00000000-0005-0000-0000-000095500000}"/>
    <cellStyle name="Normal 2 2 3 10 2 3 2" xfId="41158" xr:uid="{00000000-0005-0000-0000-000096500000}"/>
    <cellStyle name="Normal 2 2 3 10 2 4" xfId="28853" xr:uid="{00000000-0005-0000-0000-000097500000}"/>
    <cellStyle name="Normal 2 2 3 10 3" xfId="12020" xr:uid="{00000000-0005-0000-0000-000098500000}"/>
    <cellStyle name="Normal 2 2 3 10 3 2" xfId="31940" xr:uid="{00000000-0005-0000-0000-000099500000}"/>
    <cellStyle name="Normal 2 2 3 10 4" xfId="18172" xr:uid="{00000000-0005-0000-0000-00009A500000}"/>
    <cellStyle name="Normal 2 2 3 10 4 2" xfId="38092" xr:uid="{00000000-0005-0000-0000-00009B500000}"/>
    <cellStyle name="Normal 2 2 3 10 5" xfId="25787" xr:uid="{00000000-0005-0000-0000-00009C500000}"/>
    <cellStyle name="Normal 2 2 3 11" xfId="7358" xr:uid="{00000000-0005-0000-0000-00009D500000}"/>
    <cellStyle name="Normal 2 2 3 11 2" xfId="13552" xr:uid="{00000000-0005-0000-0000-00009E500000}"/>
    <cellStyle name="Normal 2 2 3 11 2 2" xfId="33472" xr:uid="{00000000-0005-0000-0000-00009F500000}"/>
    <cellStyle name="Normal 2 2 3 11 3" xfId="19704" xr:uid="{00000000-0005-0000-0000-0000A0500000}"/>
    <cellStyle name="Normal 2 2 3 11 3 2" xfId="39624" xr:uid="{00000000-0005-0000-0000-0000A1500000}"/>
    <cellStyle name="Normal 2 2 3 11 4" xfId="27319" xr:uid="{00000000-0005-0000-0000-0000A2500000}"/>
    <cellStyle name="Normal 2 2 3 12" xfId="10486" xr:uid="{00000000-0005-0000-0000-0000A3500000}"/>
    <cellStyle name="Normal 2 2 3 12 2" xfId="30406" xr:uid="{00000000-0005-0000-0000-0000A4500000}"/>
    <cellStyle name="Normal 2 2 3 13" xfId="16638" xr:uid="{00000000-0005-0000-0000-0000A5500000}"/>
    <cellStyle name="Normal 2 2 3 13 2" xfId="36558" xr:uid="{00000000-0005-0000-0000-0000A6500000}"/>
    <cellStyle name="Normal 2 2 3 14" xfId="3447" xr:uid="{00000000-0005-0000-0000-0000A7500000}"/>
    <cellStyle name="Normal 2 2 3 14 2" xfId="24253" xr:uid="{00000000-0005-0000-0000-0000A8500000}"/>
    <cellStyle name="Normal 2 2 3 2" xfId="3448" xr:uid="{00000000-0005-0000-0000-0000A9500000}"/>
    <cellStyle name="Normal 2 2 3 2 2" xfId="4952" xr:uid="{00000000-0005-0000-0000-0000AA500000}"/>
    <cellStyle name="Normal 2 2 3 2 2 2" xfId="6577" xr:uid="{00000000-0005-0000-0000-0000AB500000}"/>
    <cellStyle name="Normal 2 2 3 2 2 2 2" xfId="9663" xr:uid="{00000000-0005-0000-0000-0000AC500000}"/>
    <cellStyle name="Normal 2 2 3 2 2 2 2 2" xfId="15856" xr:uid="{00000000-0005-0000-0000-0000AD500000}"/>
    <cellStyle name="Normal 2 2 3 2 2 2 2 2 2" xfId="35776" xr:uid="{00000000-0005-0000-0000-0000AE500000}"/>
    <cellStyle name="Normal 2 2 3 2 2 2 2 3" xfId="22008" xr:uid="{00000000-0005-0000-0000-0000AF500000}"/>
    <cellStyle name="Normal 2 2 3 2 2 2 2 3 2" xfId="41928" xr:uid="{00000000-0005-0000-0000-0000B0500000}"/>
    <cellStyle name="Normal 2 2 3 2 2 2 2 4" xfId="29623" xr:uid="{00000000-0005-0000-0000-0000B1500000}"/>
    <cellStyle name="Normal 2 2 3 2 2 2 3" xfId="12790" xr:uid="{00000000-0005-0000-0000-0000B2500000}"/>
    <cellStyle name="Normal 2 2 3 2 2 2 3 2" xfId="32710" xr:uid="{00000000-0005-0000-0000-0000B3500000}"/>
    <cellStyle name="Normal 2 2 3 2 2 2 4" xfId="18942" xr:uid="{00000000-0005-0000-0000-0000B4500000}"/>
    <cellStyle name="Normal 2 2 3 2 2 2 4 2" xfId="38862" xr:uid="{00000000-0005-0000-0000-0000B5500000}"/>
    <cellStyle name="Normal 2 2 3 2 2 2 5" xfId="26557" xr:uid="{00000000-0005-0000-0000-0000B6500000}"/>
    <cellStyle name="Normal 2 2 3 2 2 3" xfId="8128" xr:uid="{00000000-0005-0000-0000-0000B7500000}"/>
    <cellStyle name="Normal 2 2 3 2 2 3 2" xfId="14322" xr:uid="{00000000-0005-0000-0000-0000B8500000}"/>
    <cellStyle name="Normal 2 2 3 2 2 3 2 2" xfId="34242" xr:uid="{00000000-0005-0000-0000-0000B9500000}"/>
    <cellStyle name="Normal 2 2 3 2 2 3 3" xfId="20474" xr:uid="{00000000-0005-0000-0000-0000BA500000}"/>
    <cellStyle name="Normal 2 2 3 2 2 3 3 2" xfId="40394" xr:uid="{00000000-0005-0000-0000-0000BB500000}"/>
    <cellStyle name="Normal 2 2 3 2 2 3 4" xfId="28089" xr:uid="{00000000-0005-0000-0000-0000BC500000}"/>
    <cellStyle name="Normal 2 2 3 2 2 4" xfId="11256" xr:uid="{00000000-0005-0000-0000-0000BD500000}"/>
    <cellStyle name="Normal 2 2 3 2 2 4 2" xfId="31176" xr:uid="{00000000-0005-0000-0000-0000BE500000}"/>
    <cellStyle name="Normal 2 2 3 2 2 5" xfId="17408" xr:uid="{00000000-0005-0000-0000-0000BF500000}"/>
    <cellStyle name="Normal 2 2 3 2 2 5 2" xfId="37328" xr:uid="{00000000-0005-0000-0000-0000C0500000}"/>
    <cellStyle name="Normal 2 2 3 2 2 6" xfId="25023" xr:uid="{00000000-0005-0000-0000-0000C1500000}"/>
    <cellStyle name="Normal 2 2 3 2 3" xfId="5794" xr:uid="{00000000-0005-0000-0000-0000C2500000}"/>
    <cellStyle name="Normal 2 2 3 2 3 2" xfId="8894" xr:uid="{00000000-0005-0000-0000-0000C3500000}"/>
    <cellStyle name="Normal 2 2 3 2 3 2 2" xfId="15087" xr:uid="{00000000-0005-0000-0000-0000C4500000}"/>
    <cellStyle name="Normal 2 2 3 2 3 2 2 2" xfId="35007" xr:uid="{00000000-0005-0000-0000-0000C5500000}"/>
    <cellStyle name="Normal 2 2 3 2 3 2 3" xfId="21239" xr:uid="{00000000-0005-0000-0000-0000C6500000}"/>
    <cellStyle name="Normal 2 2 3 2 3 2 3 2" xfId="41159" xr:uid="{00000000-0005-0000-0000-0000C7500000}"/>
    <cellStyle name="Normal 2 2 3 2 3 2 4" xfId="28854" xr:uid="{00000000-0005-0000-0000-0000C8500000}"/>
    <cellStyle name="Normal 2 2 3 2 3 3" xfId="12021" xr:uid="{00000000-0005-0000-0000-0000C9500000}"/>
    <cellStyle name="Normal 2 2 3 2 3 3 2" xfId="31941" xr:uid="{00000000-0005-0000-0000-0000CA500000}"/>
    <cellStyle name="Normal 2 2 3 2 3 4" xfId="18173" xr:uid="{00000000-0005-0000-0000-0000CB500000}"/>
    <cellStyle name="Normal 2 2 3 2 3 4 2" xfId="38093" xr:uid="{00000000-0005-0000-0000-0000CC500000}"/>
    <cellStyle name="Normal 2 2 3 2 3 5" xfId="25788" xr:uid="{00000000-0005-0000-0000-0000CD500000}"/>
    <cellStyle name="Normal 2 2 3 2 4" xfId="7359" xr:uid="{00000000-0005-0000-0000-0000CE500000}"/>
    <cellStyle name="Normal 2 2 3 2 4 2" xfId="13553" xr:uid="{00000000-0005-0000-0000-0000CF500000}"/>
    <cellStyle name="Normal 2 2 3 2 4 2 2" xfId="33473" xr:uid="{00000000-0005-0000-0000-0000D0500000}"/>
    <cellStyle name="Normal 2 2 3 2 4 3" xfId="19705" xr:uid="{00000000-0005-0000-0000-0000D1500000}"/>
    <cellStyle name="Normal 2 2 3 2 4 3 2" xfId="39625" xr:uid="{00000000-0005-0000-0000-0000D2500000}"/>
    <cellStyle name="Normal 2 2 3 2 4 4" xfId="27320" xr:uid="{00000000-0005-0000-0000-0000D3500000}"/>
    <cellStyle name="Normal 2 2 3 2 5" xfId="10487" xr:uid="{00000000-0005-0000-0000-0000D4500000}"/>
    <cellStyle name="Normal 2 2 3 2 5 2" xfId="30407" xr:uid="{00000000-0005-0000-0000-0000D5500000}"/>
    <cellStyle name="Normal 2 2 3 2 6" xfId="16639" xr:uid="{00000000-0005-0000-0000-0000D6500000}"/>
    <cellStyle name="Normal 2 2 3 2 6 2" xfId="36559" xr:uid="{00000000-0005-0000-0000-0000D7500000}"/>
    <cellStyle name="Normal 2 2 3 2 7" xfId="24254" xr:uid="{00000000-0005-0000-0000-0000D8500000}"/>
    <cellStyle name="Normal 2 2 3 3" xfId="3449" xr:uid="{00000000-0005-0000-0000-0000D9500000}"/>
    <cellStyle name="Normal 2 2 3 3 2" xfId="4953" xr:uid="{00000000-0005-0000-0000-0000DA500000}"/>
    <cellStyle name="Normal 2 2 3 3 2 2" xfId="6578" xr:uid="{00000000-0005-0000-0000-0000DB500000}"/>
    <cellStyle name="Normal 2 2 3 3 2 2 2" xfId="9664" xr:uid="{00000000-0005-0000-0000-0000DC500000}"/>
    <cellStyle name="Normal 2 2 3 3 2 2 2 2" xfId="15857" xr:uid="{00000000-0005-0000-0000-0000DD500000}"/>
    <cellStyle name="Normal 2 2 3 3 2 2 2 2 2" xfId="35777" xr:uid="{00000000-0005-0000-0000-0000DE500000}"/>
    <cellStyle name="Normal 2 2 3 3 2 2 2 3" xfId="22009" xr:uid="{00000000-0005-0000-0000-0000DF500000}"/>
    <cellStyle name="Normal 2 2 3 3 2 2 2 3 2" xfId="41929" xr:uid="{00000000-0005-0000-0000-0000E0500000}"/>
    <cellStyle name="Normal 2 2 3 3 2 2 2 4" xfId="29624" xr:uid="{00000000-0005-0000-0000-0000E1500000}"/>
    <cellStyle name="Normal 2 2 3 3 2 2 3" xfId="12791" xr:uid="{00000000-0005-0000-0000-0000E2500000}"/>
    <cellStyle name="Normal 2 2 3 3 2 2 3 2" xfId="32711" xr:uid="{00000000-0005-0000-0000-0000E3500000}"/>
    <cellStyle name="Normal 2 2 3 3 2 2 4" xfId="18943" xr:uid="{00000000-0005-0000-0000-0000E4500000}"/>
    <cellStyle name="Normal 2 2 3 3 2 2 4 2" xfId="38863" xr:uid="{00000000-0005-0000-0000-0000E5500000}"/>
    <cellStyle name="Normal 2 2 3 3 2 2 5" xfId="26558" xr:uid="{00000000-0005-0000-0000-0000E6500000}"/>
    <cellStyle name="Normal 2 2 3 3 2 3" xfId="8129" xr:uid="{00000000-0005-0000-0000-0000E7500000}"/>
    <cellStyle name="Normal 2 2 3 3 2 3 2" xfId="14323" xr:uid="{00000000-0005-0000-0000-0000E8500000}"/>
    <cellStyle name="Normal 2 2 3 3 2 3 2 2" xfId="34243" xr:uid="{00000000-0005-0000-0000-0000E9500000}"/>
    <cellStyle name="Normal 2 2 3 3 2 3 3" xfId="20475" xr:uid="{00000000-0005-0000-0000-0000EA500000}"/>
    <cellStyle name="Normal 2 2 3 3 2 3 3 2" xfId="40395" xr:uid="{00000000-0005-0000-0000-0000EB500000}"/>
    <cellStyle name="Normal 2 2 3 3 2 3 4" xfId="28090" xr:uid="{00000000-0005-0000-0000-0000EC500000}"/>
    <cellStyle name="Normal 2 2 3 3 2 4" xfId="11257" xr:uid="{00000000-0005-0000-0000-0000ED500000}"/>
    <cellStyle name="Normal 2 2 3 3 2 4 2" xfId="31177" xr:uid="{00000000-0005-0000-0000-0000EE500000}"/>
    <cellStyle name="Normal 2 2 3 3 2 5" xfId="17409" xr:uid="{00000000-0005-0000-0000-0000EF500000}"/>
    <cellStyle name="Normal 2 2 3 3 2 5 2" xfId="37329" xr:uid="{00000000-0005-0000-0000-0000F0500000}"/>
    <cellStyle name="Normal 2 2 3 3 2 6" xfId="25024" xr:uid="{00000000-0005-0000-0000-0000F1500000}"/>
    <cellStyle name="Normal 2 2 3 3 3" xfId="5795" xr:uid="{00000000-0005-0000-0000-0000F2500000}"/>
    <cellStyle name="Normal 2 2 3 3 3 2" xfId="8895" xr:uid="{00000000-0005-0000-0000-0000F3500000}"/>
    <cellStyle name="Normal 2 2 3 3 3 2 2" xfId="15088" xr:uid="{00000000-0005-0000-0000-0000F4500000}"/>
    <cellStyle name="Normal 2 2 3 3 3 2 2 2" xfId="35008" xr:uid="{00000000-0005-0000-0000-0000F5500000}"/>
    <cellStyle name="Normal 2 2 3 3 3 2 3" xfId="21240" xr:uid="{00000000-0005-0000-0000-0000F6500000}"/>
    <cellStyle name="Normal 2 2 3 3 3 2 3 2" xfId="41160" xr:uid="{00000000-0005-0000-0000-0000F7500000}"/>
    <cellStyle name="Normal 2 2 3 3 3 2 4" xfId="28855" xr:uid="{00000000-0005-0000-0000-0000F8500000}"/>
    <cellStyle name="Normal 2 2 3 3 3 3" xfId="12022" xr:uid="{00000000-0005-0000-0000-0000F9500000}"/>
    <cellStyle name="Normal 2 2 3 3 3 3 2" xfId="31942" xr:uid="{00000000-0005-0000-0000-0000FA500000}"/>
    <cellStyle name="Normal 2 2 3 3 3 4" xfId="18174" xr:uid="{00000000-0005-0000-0000-0000FB500000}"/>
    <cellStyle name="Normal 2 2 3 3 3 4 2" xfId="38094" xr:uid="{00000000-0005-0000-0000-0000FC500000}"/>
    <cellStyle name="Normal 2 2 3 3 3 5" xfId="25789" xr:uid="{00000000-0005-0000-0000-0000FD500000}"/>
    <cellStyle name="Normal 2 2 3 3 4" xfId="7360" xr:uid="{00000000-0005-0000-0000-0000FE500000}"/>
    <cellStyle name="Normal 2 2 3 3 4 2" xfId="13554" xr:uid="{00000000-0005-0000-0000-0000FF500000}"/>
    <cellStyle name="Normal 2 2 3 3 4 2 2" xfId="33474" xr:uid="{00000000-0005-0000-0000-000000510000}"/>
    <cellStyle name="Normal 2 2 3 3 4 3" xfId="19706" xr:uid="{00000000-0005-0000-0000-000001510000}"/>
    <cellStyle name="Normal 2 2 3 3 4 3 2" xfId="39626" xr:uid="{00000000-0005-0000-0000-000002510000}"/>
    <cellStyle name="Normal 2 2 3 3 4 4" xfId="27321" xr:uid="{00000000-0005-0000-0000-000003510000}"/>
    <cellStyle name="Normal 2 2 3 3 5" xfId="10488" xr:uid="{00000000-0005-0000-0000-000004510000}"/>
    <cellStyle name="Normal 2 2 3 3 5 2" xfId="30408" xr:uid="{00000000-0005-0000-0000-000005510000}"/>
    <cellStyle name="Normal 2 2 3 3 6" xfId="16640" xr:uid="{00000000-0005-0000-0000-000006510000}"/>
    <cellStyle name="Normal 2 2 3 3 6 2" xfId="36560" xr:uid="{00000000-0005-0000-0000-000007510000}"/>
    <cellStyle name="Normal 2 2 3 3 7" xfId="24255" xr:uid="{00000000-0005-0000-0000-000008510000}"/>
    <cellStyle name="Normal 2 2 3 4" xfId="3450" xr:uid="{00000000-0005-0000-0000-000009510000}"/>
    <cellStyle name="Normal 2 2 3 4 2" xfId="4954" xr:uid="{00000000-0005-0000-0000-00000A510000}"/>
    <cellStyle name="Normal 2 2 3 4 2 2" xfId="6579" xr:uid="{00000000-0005-0000-0000-00000B510000}"/>
    <cellStyle name="Normal 2 2 3 4 2 2 2" xfId="9665" xr:uid="{00000000-0005-0000-0000-00000C510000}"/>
    <cellStyle name="Normal 2 2 3 4 2 2 2 2" xfId="15858" xr:uid="{00000000-0005-0000-0000-00000D510000}"/>
    <cellStyle name="Normal 2 2 3 4 2 2 2 2 2" xfId="35778" xr:uid="{00000000-0005-0000-0000-00000E510000}"/>
    <cellStyle name="Normal 2 2 3 4 2 2 2 3" xfId="22010" xr:uid="{00000000-0005-0000-0000-00000F510000}"/>
    <cellStyle name="Normal 2 2 3 4 2 2 2 3 2" xfId="41930" xr:uid="{00000000-0005-0000-0000-000010510000}"/>
    <cellStyle name="Normal 2 2 3 4 2 2 2 4" xfId="29625" xr:uid="{00000000-0005-0000-0000-000011510000}"/>
    <cellStyle name="Normal 2 2 3 4 2 2 3" xfId="12792" xr:uid="{00000000-0005-0000-0000-000012510000}"/>
    <cellStyle name="Normal 2 2 3 4 2 2 3 2" xfId="32712" xr:uid="{00000000-0005-0000-0000-000013510000}"/>
    <cellStyle name="Normal 2 2 3 4 2 2 4" xfId="18944" xr:uid="{00000000-0005-0000-0000-000014510000}"/>
    <cellStyle name="Normal 2 2 3 4 2 2 4 2" xfId="38864" xr:uid="{00000000-0005-0000-0000-000015510000}"/>
    <cellStyle name="Normal 2 2 3 4 2 2 5" xfId="26559" xr:uid="{00000000-0005-0000-0000-000016510000}"/>
    <cellStyle name="Normal 2 2 3 4 2 3" xfId="8130" xr:uid="{00000000-0005-0000-0000-000017510000}"/>
    <cellStyle name="Normal 2 2 3 4 2 3 2" xfId="14324" xr:uid="{00000000-0005-0000-0000-000018510000}"/>
    <cellStyle name="Normal 2 2 3 4 2 3 2 2" xfId="34244" xr:uid="{00000000-0005-0000-0000-000019510000}"/>
    <cellStyle name="Normal 2 2 3 4 2 3 3" xfId="20476" xr:uid="{00000000-0005-0000-0000-00001A510000}"/>
    <cellStyle name="Normal 2 2 3 4 2 3 3 2" xfId="40396" xr:uid="{00000000-0005-0000-0000-00001B510000}"/>
    <cellStyle name="Normal 2 2 3 4 2 3 4" xfId="28091" xr:uid="{00000000-0005-0000-0000-00001C510000}"/>
    <cellStyle name="Normal 2 2 3 4 2 4" xfId="11258" xr:uid="{00000000-0005-0000-0000-00001D510000}"/>
    <cellStyle name="Normal 2 2 3 4 2 4 2" xfId="31178" xr:uid="{00000000-0005-0000-0000-00001E510000}"/>
    <cellStyle name="Normal 2 2 3 4 2 5" xfId="17410" xr:uid="{00000000-0005-0000-0000-00001F510000}"/>
    <cellStyle name="Normal 2 2 3 4 2 5 2" xfId="37330" xr:uid="{00000000-0005-0000-0000-000020510000}"/>
    <cellStyle name="Normal 2 2 3 4 2 6" xfId="25025" xr:uid="{00000000-0005-0000-0000-000021510000}"/>
    <cellStyle name="Normal 2 2 3 4 3" xfId="5796" xr:uid="{00000000-0005-0000-0000-000022510000}"/>
    <cellStyle name="Normal 2 2 3 4 3 2" xfId="8896" xr:uid="{00000000-0005-0000-0000-000023510000}"/>
    <cellStyle name="Normal 2 2 3 4 3 2 2" xfId="15089" xr:uid="{00000000-0005-0000-0000-000024510000}"/>
    <cellStyle name="Normal 2 2 3 4 3 2 2 2" xfId="35009" xr:uid="{00000000-0005-0000-0000-000025510000}"/>
    <cellStyle name="Normal 2 2 3 4 3 2 3" xfId="21241" xr:uid="{00000000-0005-0000-0000-000026510000}"/>
    <cellStyle name="Normal 2 2 3 4 3 2 3 2" xfId="41161" xr:uid="{00000000-0005-0000-0000-000027510000}"/>
    <cellStyle name="Normal 2 2 3 4 3 2 4" xfId="28856" xr:uid="{00000000-0005-0000-0000-000028510000}"/>
    <cellStyle name="Normal 2 2 3 4 3 3" xfId="12023" xr:uid="{00000000-0005-0000-0000-000029510000}"/>
    <cellStyle name="Normal 2 2 3 4 3 3 2" xfId="31943" xr:uid="{00000000-0005-0000-0000-00002A510000}"/>
    <cellStyle name="Normal 2 2 3 4 3 4" xfId="18175" xr:uid="{00000000-0005-0000-0000-00002B510000}"/>
    <cellStyle name="Normal 2 2 3 4 3 4 2" xfId="38095" xr:uid="{00000000-0005-0000-0000-00002C510000}"/>
    <cellStyle name="Normal 2 2 3 4 3 5" xfId="25790" xr:uid="{00000000-0005-0000-0000-00002D510000}"/>
    <cellStyle name="Normal 2 2 3 4 4" xfId="7361" xr:uid="{00000000-0005-0000-0000-00002E510000}"/>
    <cellStyle name="Normal 2 2 3 4 4 2" xfId="13555" xr:uid="{00000000-0005-0000-0000-00002F510000}"/>
    <cellStyle name="Normal 2 2 3 4 4 2 2" xfId="33475" xr:uid="{00000000-0005-0000-0000-000030510000}"/>
    <cellStyle name="Normal 2 2 3 4 4 3" xfId="19707" xr:uid="{00000000-0005-0000-0000-000031510000}"/>
    <cellStyle name="Normal 2 2 3 4 4 3 2" xfId="39627" xr:uid="{00000000-0005-0000-0000-000032510000}"/>
    <cellStyle name="Normal 2 2 3 4 4 4" xfId="27322" xr:uid="{00000000-0005-0000-0000-000033510000}"/>
    <cellStyle name="Normal 2 2 3 4 5" xfId="10489" xr:uid="{00000000-0005-0000-0000-000034510000}"/>
    <cellStyle name="Normal 2 2 3 4 5 2" xfId="30409" xr:uid="{00000000-0005-0000-0000-000035510000}"/>
    <cellStyle name="Normal 2 2 3 4 6" xfId="16641" xr:uid="{00000000-0005-0000-0000-000036510000}"/>
    <cellStyle name="Normal 2 2 3 4 6 2" xfId="36561" xr:uid="{00000000-0005-0000-0000-000037510000}"/>
    <cellStyle name="Normal 2 2 3 4 7" xfId="24256" xr:uid="{00000000-0005-0000-0000-000038510000}"/>
    <cellStyle name="Normal 2 2 3 5" xfId="3451" xr:uid="{00000000-0005-0000-0000-000039510000}"/>
    <cellStyle name="Normal 2 2 3 5 2" xfId="4955" xr:uid="{00000000-0005-0000-0000-00003A510000}"/>
    <cellStyle name="Normal 2 2 3 5 2 2" xfId="6580" xr:uid="{00000000-0005-0000-0000-00003B510000}"/>
    <cellStyle name="Normal 2 2 3 5 2 2 2" xfId="9666" xr:uid="{00000000-0005-0000-0000-00003C510000}"/>
    <cellStyle name="Normal 2 2 3 5 2 2 2 2" xfId="15859" xr:uid="{00000000-0005-0000-0000-00003D510000}"/>
    <cellStyle name="Normal 2 2 3 5 2 2 2 2 2" xfId="35779" xr:uid="{00000000-0005-0000-0000-00003E510000}"/>
    <cellStyle name="Normal 2 2 3 5 2 2 2 3" xfId="22011" xr:uid="{00000000-0005-0000-0000-00003F510000}"/>
    <cellStyle name="Normal 2 2 3 5 2 2 2 3 2" xfId="41931" xr:uid="{00000000-0005-0000-0000-000040510000}"/>
    <cellStyle name="Normal 2 2 3 5 2 2 2 4" xfId="29626" xr:uid="{00000000-0005-0000-0000-000041510000}"/>
    <cellStyle name="Normal 2 2 3 5 2 2 3" xfId="12793" xr:uid="{00000000-0005-0000-0000-000042510000}"/>
    <cellStyle name="Normal 2 2 3 5 2 2 3 2" xfId="32713" xr:uid="{00000000-0005-0000-0000-000043510000}"/>
    <cellStyle name="Normal 2 2 3 5 2 2 4" xfId="18945" xr:uid="{00000000-0005-0000-0000-000044510000}"/>
    <cellStyle name="Normal 2 2 3 5 2 2 4 2" xfId="38865" xr:uid="{00000000-0005-0000-0000-000045510000}"/>
    <cellStyle name="Normal 2 2 3 5 2 2 5" xfId="26560" xr:uid="{00000000-0005-0000-0000-000046510000}"/>
    <cellStyle name="Normal 2 2 3 5 2 3" xfId="8131" xr:uid="{00000000-0005-0000-0000-000047510000}"/>
    <cellStyle name="Normal 2 2 3 5 2 3 2" xfId="14325" xr:uid="{00000000-0005-0000-0000-000048510000}"/>
    <cellStyle name="Normal 2 2 3 5 2 3 2 2" xfId="34245" xr:uid="{00000000-0005-0000-0000-000049510000}"/>
    <cellStyle name="Normal 2 2 3 5 2 3 3" xfId="20477" xr:uid="{00000000-0005-0000-0000-00004A510000}"/>
    <cellStyle name="Normal 2 2 3 5 2 3 3 2" xfId="40397" xr:uid="{00000000-0005-0000-0000-00004B510000}"/>
    <cellStyle name="Normal 2 2 3 5 2 3 4" xfId="28092" xr:uid="{00000000-0005-0000-0000-00004C510000}"/>
    <cellStyle name="Normal 2 2 3 5 2 4" xfId="11259" xr:uid="{00000000-0005-0000-0000-00004D510000}"/>
    <cellStyle name="Normal 2 2 3 5 2 4 2" xfId="31179" xr:uid="{00000000-0005-0000-0000-00004E510000}"/>
    <cellStyle name="Normal 2 2 3 5 2 5" xfId="17411" xr:uid="{00000000-0005-0000-0000-00004F510000}"/>
    <cellStyle name="Normal 2 2 3 5 2 5 2" xfId="37331" xr:uid="{00000000-0005-0000-0000-000050510000}"/>
    <cellStyle name="Normal 2 2 3 5 2 6" xfId="25026" xr:uid="{00000000-0005-0000-0000-000051510000}"/>
    <cellStyle name="Normal 2 2 3 5 3" xfId="5797" xr:uid="{00000000-0005-0000-0000-000052510000}"/>
    <cellStyle name="Normal 2 2 3 5 3 2" xfId="8897" xr:uid="{00000000-0005-0000-0000-000053510000}"/>
    <cellStyle name="Normal 2 2 3 5 3 2 2" xfId="15090" xr:uid="{00000000-0005-0000-0000-000054510000}"/>
    <cellStyle name="Normal 2 2 3 5 3 2 2 2" xfId="35010" xr:uid="{00000000-0005-0000-0000-000055510000}"/>
    <cellStyle name="Normal 2 2 3 5 3 2 3" xfId="21242" xr:uid="{00000000-0005-0000-0000-000056510000}"/>
    <cellStyle name="Normal 2 2 3 5 3 2 3 2" xfId="41162" xr:uid="{00000000-0005-0000-0000-000057510000}"/>
    <cellStyle name="Normal 2 2 3 5 3 2 4" xfId="28857" xr:uid="{00000000-0005-0000-0000-000058510000}"/>
    <cellStyle name="Normal 2 2 3 5 3 3" xfId="12024" xr:uid="{00000000-0005-0000-0000-000059510000}"/>
    <cellStyle name="Normal 2 2 3 5 3 3 2" xfId="31944" xr:uid="{00000000-0005-0000-0000-00005A510000}"/>
    <cellStyle name="Normal 2 2 3 5 3 4" xfId="18176" xr:uid="{00000000-0005-0000-0000-00005B510000}"/>
    <cellStyle name="Normal 2 2 3 5 3 4 2" xfId="38096" xr:uid="{00000000-0005-0000-0000-00005C510000}"/>
    <cellStyle name="Normal 2 2 3 5 3 5" xfId="25791" xr:uid="{00000000-0005-0000-0000-00005D510000}"/>
    <cellStyle name="Normal 2 2 3 5 4" xfId="7362" xr:uid="{00000000-0005-0000-0000-00005E510000}"/>
    <cellStyle name="Normal 2 2 3 5 4 2" xfId="13556" xr:uid="{00000000-0005-0000-0000-00005F510000}"/>
    <cellStyle name="Normal 2 2 3 5 4 2 2" xfId="33476" xr:uid="{00000000-0005-0000-0000-000060510000}"/>
    <cellStyle name="Normal 2 2 3 5 4 3" xfId="19708" xr:uid="{00000000-0005-0000-0000-000061510000}"/>
    <cellStyle name="Normal 2 2 3 5 4 3 2" xfId="39628" xr:uid="{00000000-0005-0000-0000-000062510000}"/>
    <cellStyle name="Normal 2 2 3 5 4 4" xfId="27323" xr:uid="{00000000-0005-0000-0000-000063510000}"/>
    <cellStyle name="Normal 2 2 3 5 5" xfId="10490" xr:uid="{00000000-0005-0000-0000-000064510000}"/>
    <cellStyle name="Normal 2 2 3 5 5 2" xfId="30410" xr:uid="{00000000-0005-0000-0000-000065510000}"/>
    <cellStyle name="Normal 2 2 3 5 6" xfId="16642" xr:uid="{00000000-0005-0000-0000-000066510000}"/>
    <cellStyle name="Normal 2 2 3 5 6 2" xfId="36562" xr:uid="{00000000-0005-0000-0000-000067510000}"/>
    <cellStyle name="Normal 2 2 3 5 7" xfId="24257" xr:uid="{00000000-0005-0000-0000-000068510000}"/>
    <cellStyle name="Normal 2 2 3 6" xfId="3452" xr:uid="{00000000-0005-0000-0000-000069510000}"/>
    <cellStyle name="Normal 2 2 3 6 2" xfId="4956" xr:uid="{00000000-0005-0000-0000-00006A510000}"/>
    <cellStyle name="Normal 2 2 3 6 2 2" xfId="6581" xr:uid="{00000000-0005-0000-0000-00006B510000}"/>
    <cellStyle name="Normal 2 2 3 6 2 2 2" xfId="9667" xr:uid="{00000000-0005-0000-0000-00006C510000}"/>
    <cellStyle name="Normal 2 2 3 6 2 2 2 2" xfId="15860" xr:uid="{00000000-0005-0000-0000-00006D510000}"/>
    <cellStyle name="Normal 2 2 3 6 2 2 2 2 2" xfId="35780" xr:uid="{00000000-0005-0000-0000-00006E510000}"/>
    <cellStyle name="Normal 2 2 3 6 2 2 2 3" xfId="22012" xr:uid="{00000000-0005-0000-0000-00006F510000}"/>
    <cellStyle name="Normal 2 2 3 6 2 2 2 3 2" xfId="41932" xr:uid="{00000000-0005-0000-0000-000070510000}"/>
    <cellStyle name="Normal 2 2 3 6 2 2 2 4" xfId="29627" xr:uid="{00000000-0005-0000-0000-000071510000}"/>
    <cellStyle name="Normal 2 2 3 6 2 2 3" xfId="12794" xr:uid="{00000000-0005-0000-0000-000072510000}"/>
    <cellStyle name="Normal 2 2 3 6 2 2 3 2" xfId="32714" xr:uid="{00000000-0005-0000-0000-000073510000}"/>
    <cellStyle name="Normal 2 2 3 6 2 2 4" xfId="18946" xr:uid="{00000000-0005-0000-0000-000074510000}"/>
    <cellStyle name="Normal 2 2 3 6 2 2 4 2" xfId="38866" xr:uid="{00000000-0005-0000-0000-000075510000}"/>
    <cellStyle name="Normal 2 2 3 6 2 2 5" xfId="26561" xr:uid="{00000000-0005-0000-0000-000076510000}"/>
    <cellStyle name="Normal 2 2 3 6 2 3" xfId="8132" xr:uid="{00000000-0005-0000-0000-000077510000}"/>
    <cellStyle name="Normal 2 2 3 6 2 3 2" xfId="14326" xr:uid="{00000000-0005-0000-0000-000078510000}"/>
    <cellStyle name="Normal 2 2 3 6 2 3 2 2" xfId="34246" xr:uid="{00000000-0005-0000-0000-000079510000}"/>
    <cellStyle name="Normal 2 2 3 6 2 3 3" xfId="20478" xr:uid="{00000000-0005-0000-0000-00007A510000}"/>
    <cellStyle name="Normal 2 2 3 6 2 3 3 2" xfId="40398" xr:uid="{00000000-0005-0000-0000-00007B510000}"/>
    <cellStyle name="Normal 2 2 3 6 2 3 4" xfId="28093" xr:uid="{00000000-0005-0000-0000-00007C510000}"/>
    <cellStyle name="Normal 2 2 3 6 2 4" xfId="11260" xr:uid="{00000000-0005-0000-0000-00007D510000}"/>
    <cellStyle name="Normal 2 2 3 6 2 4 2" xfId="31180" xr:uid="{00000000-0005-0000-0000-00007E510000}"/>
    <cellStyle name="Normal 2 2 3 6 2 5" xfId="17412" xr:uid="{00000000-0005-0000-0000-00007F510000}"/>
    <cellStyle name="Normal 2 2 3 6 2 5 2" xfId="37332" xr:uid="{00000000-0005-0000-0000-000080510000}"/>
    <cellStyle name="Normal 2 2 3 6 2 6" xfId="25027" xr:uid="{00000000-0005-0000-0000-000081510000}"/>
    <cellStyle name="Normal 2 2 3 6 3" xfId="5798" xr:uid="{00000000-0005-0000-0000-000082510000}"/>
    <cellStyle name="Normal 2 2 3 6 3 2" xfId="8898" xr:uid="{00000000-0005-0000-0000-000083510000}"/>
    <cellStyle name="Normal 2 2 3 6 3 2 2" xfId="15091" xr:uid="{00000000-0005-0000-0000-000084510000}"/>
    <cellStyle name="Normal 2 2 3 6 3 2 2 2" xfId="35011" xr:uid="{00000000-0005-0000-0000-000085510000}"/>
    <cellStyle name="Normal 2 2 3 6 3 2 3" xfId="21243" xr:uid="{00000000-0005-0000-0000-000086510000}"/>
    <cellStyle name="Normal 2 2 3 6 3 2 3 2" xfId="41163" xr:uid="{00000000-0005-0000-0000-000087510000}"/>
    <cellStyle name="Normal 2 2 3 6 3 2 4" xfId="28858" xr:uid="{00000000-0005-0000-0000-000088510000}"/>
    <cellStyle name="Normal 2 2 3 6 3 3" xfId="12025" xr:uid="{00000000-0005-0000-0000-000089510000}"/>
    <cellStyle name="Normal 2 2 3 6 3 3 2" xfId="31945" xr:uid="{00000000-0005-0000-0000-00008A510000}"/>
    <cellStyle name="Normal 2 2 3 6 3 4" xfId="18177" xr:uid="{00000000-0005-0000-0000-00008B510000}"/>
    <cellStyle name="Normal 2 2 3 6 3 4 2" xfId="38097" xr:uid="{00000000-0005-0000-0000-00008C510000}"/>
    <cellStyle name="Normal 2 2 3 6 3 5" xfId="25792" xr:uid="{00000000-0005-0000-0000-00008D510000}"/>
    <cellStyle name="Normal 2 2 3 6 4" xfId="7363" xr:uid="{00000000-0005-0000-0000-00008E510000}"/>
    <cellStyle name="Normal 2 2 3 6 4 2" xfId="13557" xr:uid="{00000000-0005-0000-0000-00008F510000}"/>
    <cellStyle name="Normal 2 2 3 6 4 2 2" xfId="33477" xr:uid="{00000000-0005-0000-0000-000090510000}"/>
    <cellStyle name="Normal 2 2 3 6 4 3" xfId="19709" xr:uid="{00000000-0005-0000-0000-000091510000}"/>
    <cellStyle name="Normal 2 2 3 6 4 3 2" xfId="39629" xr:uid="{00000000-0005-0000-0000-000092510000}"/>
    <cellStyle name="Normal 2 2 3 6 4 4" xfId="27324" xr:uid="{00000000-0005-0000-0000-000093510000}"/>
    <cellStyle name="Normal 2 2 3 6 5" xfId="10491" xr:uid="{00000000-0005-0000-0000-000094510000}"/>
    <cellStyle name="Normal 2 2 3 6 5 2" xfId="30411" xr:uid="{00000000-0005-0000-0000-000095510000}"/>
    <cellStyle name="Normal 2 2 3 6 6" xfId="16643" xr:uid="{00000000-0005-0000-0000-000096510000}"/>
    <cellStyle name="Normal 2 2 3 6 6 2" xfId="36563" xr:uid="{00000000-0005-0000-0000-000097510000}"/>
    <cellStyle name="Normal 2 2 3 6 7" xfId="24258" xr:uid="{00000000-0005-0000-0000-000098510000}"/>
    <cellStyle name="Normal 2 2 3 7" xfId="3453" xr:uid="{00000000-0005-0000-0000-000099510000}"/>
    <cellStyle name="Normal 2 2 3 7 2" xfId="3454" xr:uid="{00000000-0005-0000-0000-00009A510000}"/>
    <cellStyle name="Normal 2 2 3 8" xfId="3455" xr:uid="{00000000-0005-0000-0000-00009B510000}"/>
    <cellStyle name="Normal 2 2 3 8 2" xfId="3456" xr:uid="{00000000-0005-0000-0000-00009C510000}"/>
    <cellStyle name="Normal 2 2 3 9" xfId="4951" xr:uid="{00000000-0005-0000-0000-00009D510000}"/>
    <cellStyle name="Normal 2 2 3 9 2" xfId="6576" xr:uid="{00000000-0005-0000-0000-00009E510000}"/>
    <cellStyle name="Normal 2 2 3 9 2 2" xfId="9662" xr:uid="{00000000-0005-0000-0000-00009F510000}"/>
    <cellStyle name="Normal 2 2 3 9 2 2 2" xfId="15855" xr:uid="{00000000-0005-0000-0000-0000A0510000}"/>
    <cellStyle name="Normal 2 2 3 9 2 2 2 2" xfId="35775" xr:uid="{00000000-0005-0000-0000-0000A1510000}"/>
    <cellStyle name="Normal 2 2 3 9 2 2 3" xfId="22007" xr:uid="{00000000-0005-0000-0000-0000A2510000}"/>
    <cellStyle name="Normal 2 2 3 9 2 2 3 2" xfId="41927" xr:uid="{00000000-0005-0000-0000-0000A3510000}"/>
    <cellStyle name="Normal 2 2 3 9 2 2 4" xfId="29622" xr:uid="{00000000-0005-0000-0000-0000A4510000}"/>
    <cellStyle name="Normal 2 2 3 9 2 3" xfId="12789" xr:uid="{00000000-0005-0000-0000-0000A5510000}"/>
    <cellStyle name="Normal 2 2 3 9 2 3 2" xfId="32709" xr:uid="{00000000-0005-0000-0000-0000A6510000}"/>
    <cellStyle name="Normal 2 2 3 9 2 4" xfId="18941" xr:uid="{00000000-0005-0000-0000-0000A7510000}"/>
    <cellStyle name="Normal 2 2 3 9 2 4 2" xfId="38861" xr:uid="{00000000-0005-0000-0000-0000A8510000}"/>
    <cellStyle name="Normal 2 2 3 9 2 5" xfId="26556" xr:uid="{00000000-0005-0000-0000-0000A9510000}"/>
    <cellStyle name="Normal 2 2 3 9 3" xfId="8127" xr:uid="{00000000-0005-0000-0000-0000AA510000}"/>
    <cellStyle name="Normal 2 2 3 9 3 2" xfId="14321" xr:uid="{00000000-0005-0000-0000-0000AB510000}"/>
    <cellStyle name="Normal 2 2 3 9 3 2 2" xfId="34241" xr:uid="{00000000-0005-0000-0000-0000AC510000}"/>
    <cellStyle name="Normal 2 2 3 9 3 3" xfId="20473" xr:uid="{00000000-0005-0000-0000-0000AD510000}"/>
    <cellStyle name="Normal 2 2 3 9 3 3 2" xfId="40393" xr:uid="{00000000-0005-0000-0000-0000AE510000}"/>
    <cellStyle name="Normal 2 2 3 9 3 4" xfId="28088" xr:uid="{00000000-0005-0000-0000-0000AF510000}"/>
    <cellStyle name="Normal 2 2 3 9 4" xfId="11255" xr:uid="{00000000-0005-0000-0000-0000B0510000}"/>
    <cellStyle name="Normal 2 2 3 9 4 2" xfId="31175" xr:uid="{00000000-0005-0000-0000-0000B1510000}"/>
    <cellStyle name="Normal 2 2 3 9 5" xfId="17407" xr:uid="{00000000-0005-0000-0000-0000B2510000}"/>
    <cellStyle name="Normal 2 2 3 9 5 2" xfId="37327" xr:uid="{00000000-0005-0000-0000-0000B3510000}"/>
    <cellStyle name="Normal 2 2 3 9 6" xfId="25022" xr:uid="{00000000-0005-0000-0000-0000B4510000}"/>
    <cellStyle name="Normal 2 2 30" xfId="1039" xr:uid="{00000000-0005-0000-0000-0000B5510000}"/>
    <cellStyle name="Normal 2 2 30 2" xfId="23920" xr:uid="{00000000-0005-0000-0000-0000B6510000}"/>
    <cellStyle name="Normal 2 2 4" xfId="145" xr:uid="{00000000-0005-0000-0000-0000B7510000}"/>
    <cellStyle name="Normal 2 2 4 10" xfId="3457" xr:uid="{00000000-0005-0000-0000-0000B8510000}"/>
    <cellStyle name="Normal 2 2 4 10 2" xfId="24259" xr:uid="{00000000-0005-0000-0000-0000B9510000}"/>
    <cellStyle name="Normal 2 2 4 2" xfId="3458" xr:uid="{00000000-0005-0000-0000-0000BA510000}"/>
    <cellStyle name="Normal 2 2 4 2 2" xfId="4958" xr:uid="{00000000-0005-0000-0000-0000BB510000}"/>
    <cellStyle name="Normal 2 2 4 2 2 2" xfId="6583" xr:uid="{00000000-0005-0000-0000-0000BC510000}"/>
    <cellStyle name="Normal 2 2 4 2 2 2 2" xfId="9669" xr:uid="{00000000-0005-0000-0000-0000BD510000}"/>
    <cellStyle name="Normal 2 2 4 2 2 2 2 2" xfId="15862" xr:uid="{00000000-0005-0000-0000-0000BE510000}"/>
    <cellStyle name="Normal 2 2 4 2 2 2 2 2 2" xfId="35782" xr:uid="{00000000-0005-0000-0000-0000BF510000}"/>
    <cellStyle name="Normal 2 2 4 2 2 2 2 3" xfId="22014" xr:uid="{00000000-0005-0000-0000-0000C0510000}"/>
    <cellStyle name="Normal 2 2 4 2 2 2 2 3 2" xfId="41934" xr:uid="{00000000-0005-0000-0000-0000C1510000}"/>
    <cellStyle name="Normal 2 2 4 2 2 2 2 4" xfId="29629" xr:uid="{00000000-0005-0000-0000-0000C2510000}"/>
    <cellStyle name="Normal 2 2 4 2 2 2 3" xfId="12796" xr:uid="{00000000-0005-0000-0000-0000C3510000}"/>
    <cellStyle name="Normal 2 2 4 2 2 2 3 2" xfId="32716" xr:uid="{00000000-0005-0000-0000-0000C4510000}"/>
    <cellStyle name="Normal 2 2 4 2 2 2 4" xfId="18948" xr:uid="{00000000-0005-0000-0000-0000C5510000}"/>
    <cellStyle name="Normal 2 2 4 2 2 2 4 2" xfId="38868" xr:uid="{00000000-0005-0000-0000-0000C6510000}"/>
    <cellStyle name="Normal 2 2 4 2 2 2 5" xfId="26563" xr:uid="{00000000-0005-0000-0000-0000C7510000}"/>
    <cellStyle name="Normal 2 2 4 2 2 3" xfId="8134" xr:uid="{00000000-0005-0000-0000-0000C8510000}"/>
    <cellStyle name="Normal 2 2 4 2 2 3 2" xfId="14328" xr:uid="{00000000-0005-0000-0000-0000C9510000}"/>
    <cellStyle name="Normal 2 2 4 2 2 3 2 2" xfId="34248" xr:uid="{00000000-0005-0000-0000-0000CA510000}"/>
    <cellStyle name="Normal 2 2 4 2 2 3 3" xfId="20480" xr:uid="{00000000-0005-0000-0000-0000CB510000}"/>
    <cellStyle name="Normal 2 2 4 2 2 3 3 2" xfId="40400" xr:uid="{00000000-0005-0000-0000-0000CC510000}"/>
    <cellStyle name="Normal 2 2 4 2 2 3 4" xfId="28095" xr:uid="{00000000-0005-0000-0000-0000CD510000}"/>
    <cellStyle name="Normal 2 2 4 2 2 4" xfId="11262" xr:uid="{00000000-0005-0000-0000-0000CE510000}"/>
    <cellStyle name="Normal 2 2 4 2 2 4 2" xfId="31182" xr:uid="{00000000-0005-0000-0000-0000CF510000}"/>
    <cellStyle name="Normal 2 2 4 2 2 5" xfId="17414" xr:uid="{00000000-0005-0000-0000-0000D0510000}"/>
    <cellStyle name="Normal 2 2 4 2 2 5 2" xfId="37334" xr:uid="{00000000-0005-0000-0000-0000D1510000}"/>
    <cellStyle name="Normal 2 2 4 2 2 6" xfId="25029" xr:uid="{00000000-0005-0000-0000-0000D2510000}"/>
    <cellStyle name="Normal 2 2 4 2 3" xfId="5800" xr:uid="{00000000-0005-0000-0000-0000D3510000}"/>
    <cellStyle name="Normal 2 2 4 2 3 2" xfId="8900" xr:uid="{00000000-0005-0000-0000-0000D4510000}"/>
    <cellStyle name="Normal 2 2 4 2 3 2 2" xfId="15093" xr:uid="{00000000-0005-0000-0000-0000D5510000}"/>
    <cellStyle name="Normal 2 2 4 2 3 2 2 2" xfId="35013" xr:uid="{00000000-0005-0000-0000-0000D6510000}"/>
    <cellStyle name="Normal 2 2 4 2 3 2 3" xfId="21245" xr:uid="{00000000-0005-0000-0000-0000D7510000}"/>
    <cellStyle name="Normal 2 2 4 2 3 2 3 2" xfId="41165" xr:uid="{00000000-0005-0000-0000-0000D8510000}"/>
    <cellStyle name="Normal 2 2 4 2 3 2 4" xfId="28860" xr:uid="{00000000-0005-0000-0000-0000D9510000}"/>
    <cellStyle name="Normal 2 2 4 2 3 3" xfId="12027" xr:uid="{00000000-0005-0000-0000-0000DA510000}"/>
    <cellStyle name="Normal 2 2 4 2 3 3 2" xfId="31947" xr:uid="{00000000-0005-0000-0000-0000DB510000}"/>
    <cellStyle name="Normal 2 2 4 2 3 4" xfId="18179" xr:uid="{00000000-0005-0000-0000-0000DC510000}"/>
    <cellStyle name="Normal 2 2 4 2 3 4 2" xfId="38099" xr:uid="{00000000-0005-0000-0000-0000DD510000}"/>
    <cellStyle name="Normal 2 2 4 2 3 5" xfId="25794" xr:uid="{00000000-0005-0000-0000-0000DE510000}"/>
    <cellStyle name="Normal 2 2 4 2 4" xfId="7365" xr:uid="{00000000-0005-0000-0000-0000DF510000}"/>
    <cellStyle name="Normal 2 2 4 2 4 2" xfId="13559" xr:uid="{00000000-0005-0000-0000-0000E0510000}"/>
    <cellStyle name="Normal 2 2 4 2 4 2 2" xfId="33479" xr:uid="{00000000-0005-0000-0000-0000E1510000}"/>
    <cellStyle name="Normal 2 2 4 2 4 3" xfId="19711" xr:uid="{00000000-0005-0000-0000-0000E2510000}"/>
    <cellStyle name="Normal 2 2 4 2 4 3 2" xfId="39631" xr:uid="{00000000-0005-0000-0000-0000E3510000}"/>
    <cellStyle name="Normal 2 2 4 2 4 4" xfId="27326" xr:uid="{00000000-0005-0000-0000-0000E4510000}"/>
    <cellStyle name="Normal 2 2 4 2 5" xfId="10493" xr:uid="{00000000-0005-0000-0000-0000E5510000}"/>
    <cellStyle name="Normal 2 2 4 2 5 2" xfId="30413" xr:uid="{00000000-0005-0000-0000-0000E6510000}"/>
    <cellStyle name="Normal 2 2 4 2 6" xfId="16645" xr:uid="{00000000-0005-0000-0000-0000E7510000}"/>
    <cellStyle name="Normal 2 2 4 2 6 2" xfId="36565" xr:uid="{00000000-0005-0000-0000-0000E8510000}"/>
    <cellStyle name="Normal 2 2 4 2 7" xfId="24260" xr:uid="{00000000-0005-0000-0000-0000E9510000}"/>
    <cellStyle name="Normal 2 2 4 3" xfId="3459" xr:uid="{00000000-0005-0000-0000-0000EA510000}"/>
    <cellStyle name="Normal 2 2 4 3 2" xfId="3460" xr:uid="{00000000-0005-0000-0000-0000EB510000}"/>
    <cellStyle name="Normal 2 2 4 4" xfId="3461" xr:uid="{00000000-0005-0000-0000-0000EC510000}"/>
    <cellStyle name="Normal 2 2 4 4 2" xfId="3462" xr:uid="{00000000-0005-0000-0000-0000ED510000}"/>
    <cellStyle name="Normal 2 2 4 5" xfId="4957" xr:uid="{00000000-0005-0000-0000-0000EE510000}"/>
    <cellStyle name="Normal 2 2 4 5 2" xfId="6582" xr:uid="{00000000-0005-0000-0000-0000EF510000}"/>
    <cellStyle name="Normal 2 2 4 5 2 2" xfId="9668" xr:uid="{00000000-0005-0000-0000-0000F0510000}"/>
    <cellStyle name="Normal 2 2 4 5 2 2 2" xfId="15861" xr:uid="{00000000-0005-0000-0000-0000F1510000}"/>
    <cellStyle name="Normal 2 2 4 5 2 2 2 2" xfId="35781" xr:uid="{00000000-0005-0000-0000-0000F2510000}"/>
    <cellStyle name="Normal 2 2 4 5 2 2 3" xfId="22013" xr:uid="{00000000-0005-0000-0000-0000F3510000}"/>
    <cellStyle name="Normal 2 2 4 5 2 2 3 2" xfId="41933" xr:uid="{00000000-0005-0000-0000-0000F4510000}"/>
    <cellStyle name="Normal 2 2 4 5 2 2 4" xfId="29628" xr:uid="{00000000-0005-0000-0000-0000F5510000}"/>
    <cellStyle name="Normal 2 2 4 5 2 3" xfId="12795" xr:uid="{00000000-0005-0000-0000-0000F6510000}"/>
    <cellStyle name="Normal 2 2 4 5 2 3 2" xfId="32715" xr:uid="{00000000-0005-0000-0000-0000F7510000}"/>
    <cellStyle name="Normal 2 2 4 5 2 4" xfId="18947" xr:uid="{00000000-0005-0000-0000-0000F8510000}"/>
    <cellStyle name="Normal 2 2 4 5 2 4 2" xfId="38867" xr:uid="{00000000-0005-0000-0000-0000F9510000}"/>
    <cellStyle name="Normal 2 2 4 5 2 5" xfId="26562" xr:uid="{00000000-0005-0000-0000-0000FA510000}"/>
    <cellStyle name="Normal 2 2 4 5 3" xfId="8133" xr:uid="{00000000-0005-0000-0000-0000FB510000}"/>
    <cellStyle name="Normal 2 2 4 5 3 2" xfId="14327" xr:uid="{00000000-0005-0000-0000-0000FC510000}"/>
    <cellStyle name="Normal 2 2 4 5 3 2 2" xfId="34247" xr:uid="{00000000-0005-0000-0000-0000FD510000}"/>
    <cellStyle name="Normal 2 2 4 5 3 3" xfId="20479" xr:uid="{00000000-0005-0000-0000-0000FE510000}"/>
    <cellStyle name="Normal 2 2 4 5 3 3 2" xfId="40399" xr:uid="{00000000-0005-0000-0000-0000FF510000}"/>
    <cellStyle name="Normal 2 2 4 5 3 4" xfId="28094" xr:uid="{00000000-0005-0000-0000-000000520000}"/>
    <cellStyle name="Normal 2 2 4 5 4" xfId="11261" xr:uid="{00000000-0005-0000-0000-000001520000}"/>
    <cellStyle name="Normal 2 2 4 5 4 2" xfId="31181" xr:uid="{00000000-0005-0000-0000-000002520000}"/>
    <cellStyle name="Normal 2 2 4 5 5" xfId="17413" xr:uid="{00000000-0005-0000-0000-000003520000}"/>
    <cellStyle name="Normal 2 2 4 5 5 2" xfId="37333" xr:uid="{00000000-0005-0000-0000-000004520000}"/>
    <cellStyle name="Normal 2 2 4 5 6" xfId="25028" xr:uid="{00000000-0005-0000-0000-000005520000}"/>
    <cellStyle name="Normal 2 2 4 6" xfId="5799" xr:uid="{00000000-0005-0000-0000-000006520000}"/>
    <cellStyle name="Normal 2 2 4 6 2" xfId="8899" xr:uid="{00000000-0005-0000-0000-000007520000}"/>
    <cellStyle name="Normal 2 2 4 6 2 2" xfId="15092" xr:uid="{00000000-0005-0000-0000-000008520000}"/>
    <cellStyle name="Normal 2 2 4 6 2 2 2" xfId="35012" xr:uid="{00000000-0005-0000-0000-000009520000}"/>
    <cellStyle name="Normal 2 2 4 6 2 3" xfId="21244" xr:uid="{00000000-0005-0000-0000-00000A520000}"/>
    <cellStyle name="Normal 2 2 4 6 2 3 2" xfId="41164" xr:uid="{00000000-0005-0000-0000-00000B520000}"/>
    <cellStyle name="Normal 2 2 4 6 2 4" xfId="28859" xr:uid="{00000000-0005-0000-0000-00000C520000}"/>
    <cellStyle name="Normal 2 2 4 6 3" xfId="12026" xr:uid="{00000000-0005-0000-0000-00000D520000}"/>
    <cellStyle name="Normal 2 2 4 6 3 2" xfId="31946" xr:uid="{00000000-0005-0000-0000-00000E520000}"/>
    <cellStyle name="Normal 2 2 4 6 4" xfId="18178" xr:uid="{00000000-0005-0000-0000-00000F520000}"/>
    <cellStyle name="Normal 2 2 4 6 4 2" xfId="38098" xr:uid="{00000000-0005-0000-0000-000010520000}"/>
    <cellStyle name="Normal 2 2 4 6 5" xfId="25793" xr:uid="{00000000-0005-0000-0000-000011520000}"/>
    <cellStyle name="Normal 2 2 4 7" xfId="7364" xr:uid="{00000000-0005-0000-0000-000012520000}"/>
    <cellStyle name="Normal 2 2 4 7 2" xfId="13558" xr:uid="{00000000-0005-0000-0000-000013520000}"/>
    <cellStyle name="Normal 2 2 4 7 2 2" xfId="33478" xr:uid="{00000000-0005-0000-0000-000014520000}"/>
    <cellStyle name="Normal 2 2 4 7 3" xfId="19710" xr:uid="{00000000-0005-0000-0000-000015520000}"/>
    <cellStyle name="Normal 2 2 4 7 3 2" xfId="39630" xr:uid="{00000000-0005-0000-0000-000016520000}"/>
    <cellStyle name="Normal 2 2 4 7 4" xfId="27325" xr:uid="{00000000-0005-0000-0000-000017520000}"/>
    <cellStyle name="Normal 2 2 4 8" xfId="10492" xr:uid="{00000000-0005-0000-0000-000018520000}"/>
    <cellStyle name="Normal 2 2 4 8 2" xfId="30412" xr:uid="{00000000-0005-0000-0000-000019520000}"/>
    <cellStyle name="Normal 2 2 4 9" xfId="16644" xr:uid="{00000000-0005-0000-0000-00001A520000}"/>
    <cellStyle name="Normal 2 2 4 9 2" xfId="36564" xr:uid="{00000000-0005-0000-0000-00001B520000}"/>
    <cellStyle name="Normal 2 2 5" xfId="170" xr:uid="{00000000-0005-0000-0000-00001C520000}"/>
    <cellStyle name="Normal 2 2 5 2" xfId="3464" xr:uid="{00000000-0005-0000-0000-00001D520000}"/>
    <cellStyle name="Normal 2 2 5 2 2" xfId="4960" xr:uid="{00000000-0005-0000-0000-00001E520000}"/>
    <cellStyle name="Normal 2 2 5 2 2 2" xfId="6585" xr:uid="{00000000-0005-0000-0000-00001F520000}"/>
    <cellStyle name="Normal 2 2 5 2 2 2 2" xfId="9671" xr:uid="{00000000-0005-0000-0000-000020520000}"/>
    <cellStyle name="Normal 2 2 5 2 2 2 2 2" xfId="15864" xr:uid="{00000000-0005-0000-0000-000021520000}"/>
    <cellStyle name="Normal 2 2 5 2 2 2 2 2 2" xfId="35784" xr:uid="{00000000-0005-0000-0000-000022520000}"/>
    <cellStyle name="Normal 2 2 5 2 2 2 2 3" xfId="22016" xr:uid="{00000000-0005-0000-0000-000023520000}"/>
    <cellStyle name="Normal 2 2 5 2 2 2 2 3 2" xfId="41936" xr:uid="{00000000-0005-0000-0000-000024520000}"/>
    <cellStyle name="Normal 2 2 5 2 2 2 2 4" xfId="29631" xr:uid="{00000000-0005-0000-0000-000025520000}"/>
    <cellStyle name="Normal 2 2 5 2 2 2 3" xfId="12798" xr:uid="{00000000-0005-0000-0000-000026520000}"/>
    <cellStyle name="Normal 2 2 5 2 2 2 3 2" xfId="32718" xr:uid="{00000000-0005-0000-0000-000027520000}"/>
    <cellStyle name="Normal 2 2 5 2 2 2 4" xfId="18950" xr:uid="{00000000-0005-0000-0000-000028520000}"/>
    <cellStyle name="Normal 2 2 5 2 2 2 4 2" xfId="38870" xr:uid="{00000000-0005-0000-0000-000029520000}"/>
    <cellStyle name="Normal 2 2 5 2 2 2 5" xfId="26565" xr:uid="{00000000-0005-0000-0000-00002A520000}"/>
    <cellStyle name="Normal 2 2 5 2 2 3" xfId="8136" xr:uid="{00000000-0005-0000-0000-00002B520000}"/>
    <cellStyle name="Normal 2 2 5 2 2 3 2" xfId="14330" xr:uid="{00000000-0005-0000-0000-00002C520000}"/>
    <cellStyle name="Normal 2 2 5 2 2 3 2 2" xfId="34250" xr:uid="{00000000-0005-0000-0000-00002D520000}"/>
    <cellStyle name="Normal 2 2 5 2 2 3 3" xfId="20482" xr:uid="{00000000-0005-0000-0000-00002E520000}"/>
    <cellStyle name="Normal 2 2 5 2 2 3 3 2" xfId="40402" xr:uid="{00000000-0005-0000-0000-00002F520000}"/>
    <cellStyle name="Normal 2 2 5 2 2 3 4" xfId="28097" xr:uid="{00000000-0005-0000-0000-000030520000}"/>
    <cellStyle name="Normal 2 2 5 2 2 4" xfId="11264" xr:uid="{00000000-0005-0000-0000-000031520000}"/>
    <cellStyle name="Normal 2 2 5 2 2 4 2" xfId="31184" xr:uid="{00000000-0005-0000-0000-000032520000}"/>
    <cellStyle name="Normal 2 2 5 2 2 5" xfId="17416" xr:uid="{00000000-0005-0000-0000-000033520000}"/>
    <cellStyle name="Normal 2 2 5 2 2 5 2" xfId="37336" xr:uid="{00000000-0005-0000-0000-000034520000}"/>
    <cellStyle name="Normal 2 2 5 2 2 6" xfId="25031" xr:uid="{00000000-0005-0000-0000-000035520000}"/>
    <cellStyle name="Normal 2 2 5 2 3" xfId="5802" xr:uid="{00000000-0005-0000-0000-000036520000}"/>
    <cellStyle name="Normal 2 2 5 2 3 2" xfId="8902" xr:uid="{00000000-0005-0000-0000-000037520000}"/>
    <cellStyle name="Normal 2 2 5 2 3 2 2" xfId="15095" xr:uid="{00000000-0005-0000-0000-000038520000}"/>
    <cellStyle name="Normal 2 2 5 2 3 2 2 2" xfId="35015" xr:uid="{00000000-0005-0000-0000-000039520000}"/>
    <cellStyle name="Normal 2 2 5 2 3 2 3" xfId="21247" xr:uid="{00000000-0005-0000-0000-00003A520000}"/>
    <cellStyle name="Normal 2 2 5 2 3 2 3 2" xfId="41167" xr:uid="{00000000-0005-0000-0000-00003B520000}"/>
    <cellStyle name="Normal 2 2 5 2 3 2 4" xfId="28862" xr:uid="{00000000-0005-0000-0000-00003C520000}"/>
    <cellStyle name="Normal 2 2 5 2 3 3" xfId="12029" xr:uid="{00000000-0005-0000-0000-00003D520000}"/>
    <cellStyle name="Normal 2 2 5 2 3 3 2" xfId="31949" xr:uid="{00000000-0005-0000-0000-00003E520000}"/>
    <cellStyle name="Normal 2 2 5 2 3 4" xfId="18181" xr:uid="{00000000-0005-0000-0000-00003F520000}"/>
    <cellStyle name="Normal 2 2 5 2 3 4 2" xfId="38101" xr:uid="{00000000-0005-0000-0000-000040520000}"/>
    <cellStyle name="Normal 2 2 5 2 3 5" xfId="25796" xr:uid="{00000000-0005-0000-0000-000041520000}"/>
    <cellStyle name="Normal 2 2 5 2 4" xfId="7367" xr:uid="{00000000-0005-0000-0000-000042520000}"/>
    <cellStyle name="Normal 2 2 5 2 4 2" xfId="13561" xr:uid="{00000000-0005-0000-0000-000043520000}"/>
    <cellStyle name="Normal 2 2 5 2 4 2 2" xfId="33481" xr:uid="{00000000-0005-0000-0000-000044520000}"/>
    <cellStyle name="Normal 2 2 5 2 4 3" xfId="19713" xr:uid="{00000000-0005-0000-0000-000045520000}"/>
    <cellStyle name="Normal 2 2 5 2 4 3 2" xfId="39633" xr:uid="{00000000-0005-0000-0000-000046520000}"/>
    <cellStyle name="Normal 2 2 5 2 4 4" xfId="27328" xr:uid="{00000000-0005-0000-0000-000047520000}"/>
    <cellStyle name="Normal 2 2 5 2 5" xfId="10495" xr:uid="{00000000-0005-0000-0000-000048520000}"/>
    <cellStyle name="Normal 2 2 5 2 5 2" xfId="30415" xr:uid="{00000000-0005-0000-0000-000049520000}"/>
    <cellStyle name="Normal 2 2 5 2 6" xfId="16647" xr:uid="{00000000-0005-0000-0000-00004A520000}"/>
    <cellStyle name="Normal 2 2 5 2 6 2" xfId="36567" xr:uid="{00000000-0005-0000-0000-00004B520000}"/>
    <cellStyle name="Normal 2 2 5 2 7" xfId="24262" xr:uid="{00000000-0005-0000-0000-00004C520000}"/>
    <cellStyle name="Normal 2 2 5 3" xfId="3465" xr:uid="{00000000-0005-0000-0000-00004D520000}"/>
    <cellStyle name="Normal 2 2 5 4" xfId="4959" xr:uid="{00000000-0005-0000-0000-00004E520000}"/>
    <cellStyle name="Normal 2 2 5 4 2" xfId="6584" xr:uid="{00000000-0005-0000-0000-00004F520000}"/>
    <cellStyle name="Normal 2 2 5 4 2 2" xfId="9670" xr:uid="{00000000-0005-0000-0000-000050520000}"/>
    <cellStyle name="Normal 2 2 5 4 2 2 2" xfId="15863" xr:uid="{00000000-0005-0000-0000-000051520000}"/>
    <cellStyle name="Normal 2 2 5 4 2 2 2 2" xfId="35783" xr:uid="{00000000-0005-0000-0000-000052520000}"/>
    <cellStyle name="Normal 2 2 5 4 2 2 3" xfId="22015" xr:uid="{00000000-0005-0000-0000-000053520000}"/>
    <cellStyle name="Normal 2 2 5 4 2 2 3 2" xfId="41935" xr:uid="{00000000-0005-0000-0000-000054520000}"/>
    <cellStyle name="Normal 2 2 5 4 2 2 4" xfId="29630" xr:uid="{00000000-0005-0000-0000-000055520000}"/>
    <cellStyle name="Normal 2 2 5 4 2 3" xfId="12797" xr:uid="{00000000-0005-0000-0000-000056520000}"/>
    <cellStyle name="Normal 2 2 5 4 2 3 2" xfId="32717" xr:uid="{00000000-0005-0000-0000-000057520000}"/>
    <cellStyle name="Normal 2 2 5 4 2 4" xfId="18949" xr:uid="{00000000-0005-0000-0000-000058520000}"/>
    <cellStyle name="Normal 2 2 5 4 2 4 2" xfId="38869" xr:uid="{00000000-0005-0000-0000-000059520000}"/>
    <cellStyle name="Normal 2 2 5 4 2 5" xfId="26564" xr:uid="{00000000-0005-0000-0000-00005A520000}"/>
    <cellStyle name="Normal 2 2 5 4 3" xfId="8135" xr:uid="{00000000-0005-0000-0000-00005B520000}"/>
    <cellStyle name="Normal 2 2 5 4 3 2" xfId="14329" xr:uid="{00000000-0005-0000-0000-00005C520000}"/>
    <cellStyle name="Normal 2 2 5 4 3 2 2" xfId="34249" xr:uid="{00000000-0005-0000-0000-00005D520000}"/>
    <cellStyle name="Normal 2 2 5 4 3 3" xfId="20481" xr:uid="{00000000-0005-0000-0000-00005E520000}"/>
    <cellStyle name="Normal 2 2 5 4 3 3 2" xfId="40401" xr:uid="{00000000-0005-0000-0000-00005F520000}"/>
    <cellStyle name="Normal 2 2 5 4 3 4" xfId="28096" xr:uid="{00000000-0005-0000-0000-000060520000}"/>
    <cellStyle name="Normal 2 2 5 4 4" xfId="11263" xr:uid="{00000000-0005-0000-0000-000061520000}"/>
    <cellStyle name="Normal 2 2 5 4 4 2" xfId="31183" xr:uid="{00000000-0005-0000-0000-000062520000}"/>
    <cellStyle name="Normal 2 2 5 4 5" xfId="17415" xr:uid="{00000000-0005-0000-0000-000063520000}"/>
    <cellStyle name="Normal 2 2 5 4 5 2" xfId="37335" xr:uid="{00000000-0005-0000-0000-000064520000}"/>
    <cellStyle name="Normal 2 2 5 4 6" xfId="25030" xr:uid="{00000000-0005-0000-0000-000065520000}"/>
    <cellStyle name="Normal 2 2 5 5" xfId="5801" xr:uid="{00000000-0005-0000-0000-000066520000}"/>
    <cellStyle name="Normal 2 2 5 5 2" xfId="8901" xr:uid="{00000000-0005-0000-0000-000067520000}"/>
    <cellStyle name="Normal 2 2 5 5 2 2" xfId="15094" xr:uid="{00000000-0005-0000-0000-000068520000}"/>
    <cellStyle name="Normal 2 2 5 5 2 2 2" xfId="35014" xr:uid="{00000000-0005-0000-0000-000069520000}"/>
    <cellStyle name="Normal 2 2 5 5 2 3" xfId="21246" xr:uid="{00000000-0005-0000-0000-00006A520000}"/>
    <cellStyle name="Normal 2 2 5 5 2 3 2" xfId="41166" xr:uid="{00000000-0005-0000-0000-00006B520000}"/>
    <cellStyle name="Normal 2 2 5 5 2 4" xfId="28861" xr:uid="{00000000-0005-0000-0000-00006C520000}"/>
    <cellStyle name="Normal 2 2 5 5 3" xfId="12028" xr:uid="{00000000-0005-0000-0000-00006D520000}"/>
    <cellStyle name="Normal 2 2 5 5 3 2" xfId="31948" xr:uid="{00000000-0005-0000-0000-00006E520000}"/>
    <cellStyle name="Normal 2 2 5 5 4" xfId="18180" xr:uid="{00000000-0005-0000-0000-00006F520000}"/>
    <cellStyle name="Normal 2 2 5 5 4 2" xfId="38100" xr:uid="{00000000-0005-0000-0000-000070520000}"/>
    <cellStyle name="Normal 2 2 5 5 5" xfId="25795" xr:uid="{00000000-0005-0000-0000-000071520000}"/>
    <cellStyle name="Normal 2 2 5 6" xfId="7366" xr:uid="{00000000-0005-0000-0000-000072520000}"/>
    <cellStyle name="Normal 2 2 5 6 2" xfId="13560" xr:uid="{00000000-0005-0000-0000-000073520000}"/>
    <cellStyle name="Normal 2 2 5 6 2 2" xfId="33480" xr:uid="{00000000-0005-0000-0000-000074520000}"/>
    <cellStyle name="Normal 2 2 5 6 3" xfId="19712" xr:uid="{00000000-0005-0000-0000-000075520000}"/>
    <cellStyle name="Normal 2 2 5 6 3 2" xfId="39632" xr:uid="{00000000-0005-0000-0000-000076520000}"/>
    <cellStyle name="Normal 2 2 5 6 4" xfId="27327" xr:uid="{00000000-0005-0000-0000-000077520000}"/>
    <cellStyle name="Normal 2 2 5 7" xfId="10494" xr:uid="{00000000-0005-0000-0000-000078520000}"/>
    <cellStyle name="Normal 2 2 5 7 2" xfId="30414" xr:uid="{00000000-0005-0000-0000-000079520000}"/>
    <cellStyle name="Normal 2 2 5 8" xfId="16646" xr:uid="{00000000-0005-0000-0000-00007A520000}"/>
    <cellStyle name="Normal 2 2 5 8 2" xfId="36566" xr:uid="{00000000-0005-0000-0000-00007B520000}"/>
    <cellStyle name="Normal 2 2 5 9" xfId="3463" xr:uid="{00000000-0005-0000-0000-00007C520000}"/>
    <cellStyle name="Normal 2 2 5 9 2" xfId="24261" xr:uid="{00000000-0005-0000-0000-00007D520000}"/>
    <cellStyle name="Normal 2 2 6" xfId="150" xr:uid="{00000000-0005-0000-0000-00007E520000}"/>
    <cellStyle name="Normal 2 2 6 2" xfId="4961" xr:uid="{00000000-0005-0000-0000-00007F520000}"/>
    <cellStyle name="Normal 2 2 6 2 2" xfId="6586" xr:uid="{00000000-0005-0000-0000-000080520000}"/>
    <cellStyle name="Normal 2 2 6 2 2 2" xfId="9672" xr:uid="{00000000-0005-0000-0000-000081520000}"/>
    <cellStyle name="Normal 2 2 6 2 2 2 2" xfId="15865" xr:uid="{00000000-0005-0000-0000-000082520000}"/>
    <cellStyle name="Normal 2 2 6 2 2 2 2 2" xfId="35785" xr:uid="{00000000-0005-0000-0000-000083520000}"/>
    <cellStyle name="Normal 2 2 6 2 2 2 3" xfId="22017" xr:uid="{00000000-0005-0000-0000-000084520000}"/>
    <cellStyle name="Normal 2 2 6 2 2 2 3 2" xfId="41937" xr:uid="{00000000-0005-0000-0000-000085520000}"/>
    <cellStyle name="Normal 2 2 6 2 2 2 4" xfId="29632" xr:uid="{00000000-0005-0000-0000-000086520000}"/>
    <cellStyle name="Normal 2 2 6 2 2 3" xfId="12799" xr:uid="{00000000-0005-0000-0000-000087520000}"/>
    <cellStyle name="Normal 2 2 6 2 2 3 2" xfId="32719" xr:uid="{00000000-0005-0000-0000-000088520000}"/>
    <cellStyle name="Normal 2 2 6 2 2 4" xfId="18951" xr:uid="{00000000-0005-0000-0000-000089520000}"/>
    <cellStyle name="Normal 2 2 6 2 2 4 2" xfId="38871" xr:uid="{00000000-0005-0000-0000-00008A520000}"/>
    <cellStyle name="Normal 2 2 6 2 2 5" xfId="26566" xr:uid="{00000000-0005-0000-0000-00008B520000}"/>
    <cellStyle name="Normal 2 2 6 2 3" xfId="8137" xr:uid="{00000000-0005-0000-0000-00008C520000}"/>
    <cellStyle name="Normal 2 2 6 2 3 2" xfId="14331" xr:uid="{00000000-0005-0000-0000-00008D520000}"/>
    <cellStyle name="Normal 2 2 6 2 3 2 2" xfId="34251" xr:uid="{00000000-0005-0000-0000-00008E520000}"/>
    <cellStyle name="Normal 2 2 6 2 3 3" xfId="20483" xr:uid="{00000000-0005-0000-0000-00008F520000}"/>
    <cellStyle name="Normal 2 2 6 2 3 3 2" xfId="40403" xr:uid="{00000000-0005-0000-0000-000090520000}"/>
    <cellStyle name="Normal 2 2 6 2 3 4" xfId="28098" xr:uid="{00000000-0005-0000-0000-000091520000}"/>
    <cellStyle name="Normal 2 2 6 2 4" xfId="11265" xr:uid="{00000000-0005-0000-0000-000092520000}"/>
    <cellStyle name="Normal 2 2 6 2 4 2" xfId="31185" xr:uid="{00000000-0005-0000-0000-000093520000}"/>
    <cellStyle name="Normal 2 2 6 2 5" xfId="17417" xr:uid="{00000000-0005-0000-0000-000094520000}"/>
    <cellStyle name="Normal 2 2 6 2 5 2" xfId="37337" xr:uid="{00000000-0005-0000-0000-000095520000}"/>
    <cellStyle name="Normal 2 2 6 2 6" xfId="25032" xr:uid="{00000000-0005-0000-0000-000096520000}"/>
    <cellStyle name="Normal 2 2 6 3" xfId="5803" xr:uid="{00000000-0005-0000-0000-000097520000}"/>
    <cellStyle name="Normal 2 2 6 3 2" xfId="8903" xr:uid="{00000000-0005-0000-0000-000098520000}"/>
    <cellStyle name="Normal 2 2 6 3 2 2" xfId="15096" xr:uid="{00000000-0005-0000-0000-000099520000}"/>
    <cellStyle name="Normal 2 2 6 3 2 2 2" xfId="35016" xr:uid="{00000000-0005-0000-0000-00009A520000}"/>
    <cellStyle name="Normal 2 2 6 3 2 3" xfId="21248" xr:uid="{00000000-0005-0000-0000-00009B520000}"/>
    <cellStyle name="Normal 2 2 6 3 2 3 2" xfId="41168" xr:uid="{00000000-0005-0000-0000-00009C520000}"/>
    <cellStyle name="Normal 2 2 6 3 2 4" xfId="28863" xr:uid="{00000000-0005-0000-0000-00009D520000}"/>
    <cellStyle name="Normal 2 2 6 3 3" xfId="12030" xr:uid="{00000000-0005-0000-0000-00009E520000}"/>
    <cellStyle name="Normal 2 2 6 3 3 2" xfId="31950" xr:uid="{00000000-0005-0000-0000-00009F520000}"/>
    <cellStyle name="Normal 2 2 6 3 4" xfId="18182" xr:uid="{00000000-0005-0000-0000-0000A0520000}"/>
    <cellStyle name="Normal 2 2 6 3 4 2" xfId="38102" xr:uid="{00000000-0005-0000-0000-0000A1520000}"/>
    <cellStyle name="Normal 2 2 6 3 5" xfId="25797" xr:uid="{00000000-0005-0000-0000-0000A2520000}"/>
    <cellStyle name="Normal 2 2 6 4" xfId="7368" xr:uid="{00000000-0005-0000-0000-0000A3520000}"/>
    <cellStyle name="Normal 2 2 6 4 2" xfId="13562" xr:uid="{00000000-0005-0000-0000-0000A4520000}"/>
    <cellStyle name="Normal 2 2 6 4 2 2" xfId="33482" xr:uid="{00000000-0005-0000-0000-0000A5520000}"/>
    <cellStyle name="Normal 2 2 6 4 3" xfId="19714" xr:uid="{00000000-0005-0000-0000-0000A6520000}"/>
    <cellStyle name="Normal 2 2 6 4 3 2" xfId="39634" xr:uid="{00000000-0005-0000-0000-0000A7520000}"/>
    <cellStyle name="Normal 2 2 6 4 4" xfId="27329" xr:uid="{00000000-0005-0000-0000-0000A8520000}"/>
    <cellStyle name="Normal 2 2 6 5" xfId="10496" xr:uid="{00000000-0005-0000-0000-0000A9520000}"/>
    <cellStyle name="Normal 2 2 6 5 2" xfId="30416" xr:uid="{00000000-0005-0000-0000-0000AA520000}"/>
    <cellStyle name="Normal 2 2 6 6" xfId="16648" xr:uid="{00000000-0005-0000-0000-0000AB520000}"/>
    <cellStyle name="Normal 2 2 6 6 2" xfId="36568" xr:uid="{00000000-0005-0000-0000-0000AC520000}"/>
    <cellStyle name="Normal 2 2 6 7" xfId="3466" xr:uid="{00000000-0005-0000-0000-0000AD520000}"/>
    <cellStyle name="Normal 2 2 6 7 2" xfId="24263" xr:uid="{00000000-0005-0000-0000-0000AE520000}"/>
    <cellStyle name="Normal 2 2 7" xfId="208" xr:uid="{00000000-0005-0000-0000-0000AF520000}"/>
    <cellStyle name="Normal 2 2 7 2" xfId="4962" xr:uid="{00000000-0005-0000-0000-0000B0520000}"/>
    <cellStyle name="Normal 2 2 7 2 2" xfId="6587" xr:uid="{00000000-0005-0000-0000-0000B1520000}"/>
    <cellStyle name="Normal 2 2 7 2 2 2" xfId="9673" xr:uid="{00000000-0005-0000-0000-0000B2520000}"/>
    <cellStyle name="Normal 2 2 7 2 2 2 2" xfId="15866" xr:uid="{00000000-0005-0000-0000-0000B3520000}"/>
    <cellStyle name="Normal 2 2 7 2 2 2 2 2" xfId="35786" xr:uid="{00000000-0005-0000-0000-0000B4520000}"/>
    <cellStyle name="Normal 2 2 7 2 2 2 3" xfId="22018" xr:uid="{00000000-0005-0000-0000-0000B5520000}"/>
    <cellStyle name="Normal 2 2 7 2 2 2 3 2" xfId="41938" xr:uid="{00000000-0005-0000-0000-0000B6520000}"/>
    <cellStyle name="Normal 2 2 7 2 2 2 4" xfId="29633" xr:uid="{00000000-0005-0000-0000-0000B7520000}"/>
    <cellStyle name="Normal 2 2 7 2 2 3" xfId="12800" xr:uid="{00000000-0005-0000-0000-0000B8520000}"/>
    <cellStyle name="Normal 2 2 7 2 2 3 2" xfId="32720" xr:uid="{00000000-0005-0000-0000-0000B9520000}"/>
    <cellStyle name="Normal 2 2 7 2 2 4" xfId="18952" xr:uid="{00000000-0005-0000-0000-0000BA520000}"/>
    <cellStyle name="Normal 2 2 7 2 2 4 2" xfId="38872" xr:uid="{00000000-0005-0000-0000-0000BB520000}"/>
    <cellStyle name="Normal 2 2 7 2 2 5" xfId="26567" xr:uid="{00000000-0005-0000-0000-0000BC520000}"/>
    <cellStyle name="Normal 2 2 7 2 3" xfId="8138" xr:uid="{00000000-0005-0000-0000-0000BD520000}"/>
    <cellStyle name="Normal 2 2 7 2 3 2" xfId="14332" xr:uid="{00000000-0005-0000-0000-0000BE520000}"/>
    <cellStyle name="Normal 2 2 7 2 3 2 2" xfId="34252" xr:uid="{00000000-0005-0000-0000-0000BF520000}"/>
    <cellStyle name="Normal 2 2 7 2 3 3" xfId="20484" xr:uid="{00000000-0005-0000-0000-0000C0520000}"/>
    <cellStyle name="Normal 2 2 7 2 3 3 2" xfId="40404" xr:uid="{00000000-0005-0000-0000-0000C1520000}"/>
    <cellStyle name="Normal 2 2 7 2 3 4" xfId="28099" xr:uid="{00000000-0005-0000-0000-0000C2520000}"/>
    <cellStyle name="Normal 2 2 7 2 4" xfId="11266" xr:uid="{00000000-0005-0000-0000-0000C3520000}"/>
    <cellStyle name="Normal 2 2 7 2 4 2" xfId="31186" xr:uid="{00000000-0005-0000-0000-0000C4520000}"/>
    <cellStyle name="Normal 2 2 7 2 5" xfId="17418" xr:uid="{00000000-0005-0000-0000-0000C5520000}"/>
    <cellStyle name="Normal 2 2 7 2 5 2" xfId="37338" xr:uid="{00000000-0005-0000-0000-0000C6520000}"/>
    <cellStyle name="Normal 2 2 7 2 6" xfId="25033" xr:uid="{00000000-0005-0000-0000-0000C7520000}"/>
    <cellStyle name="Normal 2 2 7 3" xfId="5804" xr:uid="{00000000-0005-0000-0000-0000C8520000}"/>
    <cellStyle name="Normal 2 2 7 3 2" xfId="8904" xr:uid="{00000000-0005-0000-0000-0000C9520000}"/>
    <cellStyle name="Normal 2 2 7 3 2 2" xfId="15097" xr:uid="{00000000-0005-0000-0000-0000CA520000}"/>
    <cellStyle name="Normal 2 2 7 3 2 2 2" xfId="35017" xr:uid="{00000000-0005-0000-0000-0000CB520000}"/>
    <cellStyle name="Normal 2 2 7 3 2 3" xfId="21249" xr:uid="{00000000-0005-0000-0000-0000CC520000}"/>
    <cellStyle name="Normal 2 2 7 3 2 3 2" xfId="41169" xr:uid="{00000000-0005-0000-0000-0000CD520000}"/>
    <cellStyle name="Normal 2 2 7 3 2 4" xfId="28864" xr:uid="{00000000-0005-0000-0000-0000CE520000}"/>
    <cellStyle name="Normal 2 2 7 3 3" xfId="12031" xr:uid="{00000000-0005-0000-0000-0000CF520000}"/>
    <cellStyle name="Normal 2 2 7 3 3 2" xfId="31951" xr:uid="{00000000-0005-0000-0000-0000D0520000}"/>
    <cellStyle name="Normal 2 2 7 3 4" xfId="18183" xr:uid="{00000000-0005-0000-0000-0000D1520000}"/>
    <cellStyle name="Normal 2 2 7 3 4 2" xfId="38103" xr:uid="{00000000-0005-0000-0000-0000D2520000}"/>
    <cellStyle name="Normal 2 2 7 3 5" xfId="25798" xr:uid="{00000000-0005-0000-0000-0000D3520000}"/>
    <cellStyle name="Normal 2 2 7 4" xfId="7369" xr:uid="{00000000-0005-0000-0000-0000D4520000}"/>
    <cellStyle name="Normal 2 2 7 4 2" xfId="13563" xr:uid="{00000000-0005-0000-0000-0000D5520000}"/>
    <cellStyle name="Normal 2 2 7 4 2 2" xfId="33483" xr:uid="{00000000-0005-0000-0000-0000D6520000}"/>
    <cellStyle name="Normal 2 2 7 4 3" xfId="19715" xr:uid="{00000000-0005-0000-0000-0000D7520000}"/>
    <cellStyle name="Normal 2 2 7 4 3 2" xfId="39635" xr:uid="{00000000-0005-0000-0000-0000D8520000}"/>
    <cellStyle name="Normal 2 2 7 4 4" xfId="27330" xr:uid="{00000000-0005-0000-0000-0000D9520000}"/>
    <cellStyle name="Normal 2 2 7 5" xfId="10497" xr:uid="{00000000-0005-0000-0000-0000DA520000}"/>
    <cellStyle name="Normal 2 2 7 5 2" xfId="30417" xr:uid="{00000000-0005-0000-0000-0000DB520000}"/>
    <cellStyle name="Normal 2 2 7 6" xfId="16649" xr:uid="{00000000-0005-0000-0000-0000DC520000}"/>
    <cellStyle name="Normal 2 2 7 6 2" xfId="36569" xr:uid="{00000000-0005-0000-0000-0000DD520000}"/>
    <cellStyle name="Normal 2 2 7 7" xfId="3467" xr:uid="{00000000-0005-0000-0000-0000DE520000}"/>
    <cellStyle name="Normal 2 2 7 7 2" xfId="24264" xr:uid="{00000000-0005-0000-0000-0000DF520000}"/>
    <cellStyle name="Normal 2 2 8" xfId="211" xr:uid="{00000000-0005-0000-0000-0000E0520000}"/>
    <cellStyle name="Normal 2 2 8 2" xfId="4963" xr:uid="{00000000-0005-0000-0000-0000E1520000}"/>
    <cellStyle name="Normal 2 2 8 2 2" xfId="6588" xr:uid="{00000000-0005-0000-0000-0000E2520000}"/>
    <cellStyle name="Normal 2 2 8 2 2 2" xfId="9674" xr:uid="{00000000-0005-0000-0000-0000E3520000}"/>
    <cellStyle name="Normal 2 2 8 2 2 2 2" xfId="15867" xr:uid="{00000000-0005-0000-0000-0000E4520000}"/>
    <cellStyle name="Normal 2 2 8 2 2 2 2 2" xfId="35787" xr:uid="{00000000-0005-0000-0000-0000E5520000}"/>
    <cellStyle name="Normal 2 2 8 2 2 2 3" xfId="22019" xr:uid="{00000000-0005-0000-0000-0000E6520000}"/>
    <cellStyle name="Normal 2 2 8 2 2 2 3 2" xfId="41939" xr:uid="{00000000-0005-0000-0000-0000E7520000}"/>
    <cellStyle name="Normal 2 2 8 2 2 2 4" xfId="29634" xr:uid="{00000000-0005-0000-0000-0000E8520000}"/>
    <cellStyle name="Normal 2 2 8 2 2 3" xfId="12801" xr:uid="{00000000-0005-0000-0000-0000E9520000}"/>
    <cellStyle name="Normal 2 2 8 2 2 3 2" xfId="32721" xr:uid="{00000000-0005-0000-0000-0000EA520000}"/>
    <cellStyle name="Normal 2 2 8 2 2 4" xfId="18953" xr:uid="{00000000-0005-0000-0000-0000EB520000}"/>
    <cellStyle name="Normal 2 2 8 2 2 4 2" xfId="38873" xr:uid="{00000000-0005-0000-0000-0000EC520000}"/>
    <cellStyle name="Normal 2 2 8 2 2 5" xfId="26568" xr:uid="{00000000-0005-0000-0000-0000ED520000}"/>
    <cellStyle name="Normal 2 2 8 2 3" xfId="8139" xr:uid="{00000000-0005-0000-0000-0000EE520000}"/>
    <cellStyle name="Normal 2 2 8 2 3 2" xfId="14333" xr:uid="{00000000-0005-0000-0000-0000EF520000}"/>
    <cellStyle name="Normal 2 2 8 2 3 2 2" xfId="34253" xr:uid="{00000000-0005-0000-0000-0000F0520000}"/>
    <cellStyle name="Normal 2 2 8 2 3 3" xfId="20485" xr:uid="{00000000-0005-0000-0000-0000F1520000}"/>
    <cellStyle name="Normal 2 2 8 2 3 3 2" xfId="40405" xr:uid="{00000000-0005-0000-0000-0000F2520000}"/>
    <cellStyle name="Normal 2 2 8 2 3 4" xfId="28100" xr:uid="{00000000-0005-0000-0000-0000F3520000}"/>
    <cellStyle name="Normal 2 2 8 2 4" xfId="11267" xr:uid="{00000000-0005-0000-0000-0000F4520000}"/>
    <cellStyle name="Normal 2 2 8 2 4 2" xfId="31187" xr:uid="{00000000-0005-0000-0000-0000F5520000}"/>
    <cellStyle name="Normal 2 2 8 2 5" xfId="17419" xr:uid="{00000000-0005-0000-0000-0000F6520000}"/>
    <cellStyle name="Normal 2 2 8 2 5 2" xfId="37339" xr:uid="{00000000-0005-0000-0000-0000F7520000}"/>
    <cellStyle name="Normal 2 2 8 2 6" xfId="25034" xr:uid="{00000000-0005-0000-0000-0000F8520000}"/>
    <cellStyle name="Normal 2 2 8 3" xfId="5805" xr:uid="{00000000-0005-0000-0000-0000F9520000}"/>
    <cellStyle name="Normal 2 2 8 3 2" xfId="8905" xr:uid="{00000000-0005-0000-0000-0000FA520000}"/>
    <cellStyle name="Normal 2 2 8 3 2 2" xfId="15098" xr:uid="{00000000-0005-0000-0000-0000FB520000}"/>
    <cellStyle name="Normal 2 2 8 3 2 2 2" xfId="35018" xr:uid="{00000000-0005-0000-0000-0000FC520000}"/>
    <cellStyle name="Normal 2 2 8 3 2 3" xfId="21250" xr:uid="{00000000-0005-0000-0000-0000FD520000}"/>
    <cellStyle name="Normal 2 2 8 3 2 3 2" xfId="41170" xr:uid="{00000000-0005-0000-0000-0000FE520000}"/>
    <cellStyle name="Normal 2 2 8 3 2 4" xfId="28865" xr:uid="{00000000-0005-0000-0000-0000FF520000}"/>
    <cellStyle name="Normal 2 2 8 3 3" xfId="12032" xr:uid="{00000000-0005-0000-0000-000000530000}"/>
    <cellStyle name="Normal 2 2 8 3 3 2" xfId="31952" xr:uid="{00000000-0005-0000-0000-000001530000}"/>
    <cellStyle name="Normal 2 2 8 3 4" xfId="18184" xr:uid="{00000000-0005-0000-0000-000002530000}"/>
    <cellStyle name="Normal 2 2 8 3 4 2" xfId="38104" xr:uid="{00000000-0005-0000-0000-000003530000}"/>
    <cellStyle name="Normal 2 2 8 3 5" xfId="25799" xr:uid="{00000000-0005-0000-0000-000004530000}"/>
    <cellStyle name="Normal 2 2 8 4" xfId="7370" xr:uid="{00000000-0005-0000-0000-000005530000}"/>
    <cellStyle name="Normal 2 2 8 4 2" xfId="13564" xr:uid="{00000000-0005-0000-0000-000006530000}"/>
    <cellStyle name="Normal 2 2 8 4 2 2" xfId="33484" xr:uid="{00000000-0005-0000-0000-000007530000}"/>
    <cellStyle name="Normal 2 2 8 4 3" xfId="19716" xr:uid="{00000000-0005-0000-0000-000008530000}"/>
    <cellStyle name="Normal 2 2 8 4 3 2" xfId="39636" xr:uid="{00000000-0005-0000-0000-000009530000}"/>
    <cellStyle name="Normal 2 2 8 4 4" xfId="27331" xr:uid="{00000000-0005-0000-0000-00000A530000}"/>
    <cellStyle name="Normal 2 2 8 5" xfId="10498" xr:uid="{00000000-0005-0000-0000-00000B530000}"/>
    <cellStyle name="Normal 2 2 8 5 2" xfId="30418" xr:uid="{00000000-0005-0000-0000-00000C530000}"/>
    <cellStyle name="Normal 2 2 8 6" xfId="16650" xr:uid="{00000000-0005-0000-0000-00000D530000}"/>
    <cellStyle name="Normal 2 2 8 6 2" xfId="36570" xr:uid="{00000000-0005-0000-0000-00000E530000}"/>
    <cellStyle name="Normal 2 2 8 7" xfId="3468" xr:uid="{00000000-0005-0000-0000-00000F530000}"/>
    <cellStyle name="Normal 2 2 8 7 2" xfId="24265" xr:uid="{00000000-0005-0000-0000-000010530000}"/>
    <cellStyle name="Normal 2 2 9" xfId="224" xr:uid="{00000000-0005-0000-0000-000011530000}"/>
    <cellStyle name="Normal 2 2 9 2" xfId="4964" xr:uid="{00000000-0005-0000-0000-000012530000}"/>
    <cellStyle name="Normal 2 2 9 2 2" xfId="6589" xr:uid="{00000000-0005-0000-0000-000013530000}"/>
    <cellStyle name="Normal 2 2 9 2 2 2" xfId="9675" xr:uid="{00000000-0005-0000-0000-000014530000}"/>
    <cellStyle name="Normal 2 2 9 2 2 2 2" xfId="15868" xr:uid="{00000000-0005-0000-0000-000015530000}"/>
    <cellStyle name="Normal 2 2 9 2 2 2 2 2" xfId="35788" xr:uid="{00000000-0005-0000-0000-000016530000}"/>
    <cellStyle name="Normal 2 2 9 2 2 2 3" xfId="22020" xr:uid="{00000000-0005-0000-0000-000017530000}"/>
    <cellStyle name="Normal 2 2 9 2 2 2 3 2" xfId="41940" xr:uid="{00000000-0005-0000-0000-000018530000}"/>
    <cellStyle name="Normal 2 2 9 2 2 2 4" xfId="29635" xr:uid="{00000000-0005-0000-0000-000019530000}"/>
    <cellStyle name="Normal 2 2 9 2 2 3" xfId="12802" xr:uid="{00000000-0005-0000-0000-00001A530000}"/>
    <cellStyle name="Normal 2 2 9 2 2 3 2" xfId="32722" xr:uid="{00000000-0005-0000-0000-00001B530000}"/>
    <cellStyle name="Normal 2 2 9 2 2 4" xfId="18954" xr:uid="{00000000-0005-0000-0000-00001C530000}"/>
    <cellStyle name="Normal 2 2 9 2 2 4 2" xfId="38874" xr:uid="{00000000-0005-0000-0000-00001D530000}"/>
    <cellStyle name="Normal 2 2 9 2 2 5" xfId="26569" xr:uid="{00000000-0005-0000-0000-00001E530000}"/>
    <cellStyle name="Normal 2 2 9 2 3" xfId="8140" xr:uid="{00000000-0005-0000-0000-00001F530000}"/>
    <cellStyle name="Normal 2 2 9 2 3 2" xfId="14334" xr:uid="{00000000-0005-0000-0000-000020530000}"/>
    <cellStyle name="Normal 2 2 9 2 3 2 2" xfId="34254" xr:uid="{00000000-0005-0000-0000-000021530000}"/>
    <cellStyle name="Normal 2 2 9 2 3 3" xfId="20486" xr:uid="{00000000-0005-0000-0000-000022530000}"/>
    <cellStyle name="Normal 2 2 9 2 3 3 2" xfId="40406" xr:uid="{00000000-0005-0000-0000-000023530000}"/>
    <cellStyle name="Normal 2 2 9 2 3 4" xfId="28101" xr:uid="{00000000-0005-0000-0000-000024530000}"/>
    <cellStyle name="Normal 2 2 9 2 4" xfId="11268" xr:uid="{00000000-0005-0000-0000-000025530000}"/>
    <cellStyle name="Normal 2 2 9 2 4 2" xfId="31188" xr:uid="{00000000-0005-0000-0000-000026530000}"/>
    <cellStyle name="Normal 2 2 9 2 5" xfId="17420" xr:uid="{00000000-0005-0000-0000-000027530000}"/>
    <cellStyle name="Normal 2 2 9 2 5 2" xfId="37340" xr:uid="{00000000-0005-0000-0000-000028530000}"/>
    <cellStyle name="Normal 2 2 9 2 6" xfId="25035" xr:uid="{00000000-0005-0000-0000-000029530000}"/>
    <cellStyle name="Normal 2 2 9 3" xfId="5806" xr:uid="{00000000-0005-0000-0000-00002A530000}"/>
    <cellStyle name="Normal 2 2 9 3 2" xfId="8906" xr:uid="{00000000-0005-0000-0000-00002B530000}"/>
    <cellStyle name="Normal 2 2 9 3 2 2" xfId="15099" xr:uid="{00000000-0005-0000-0000-00002C530000}"/>
    <cellStyle name="Normal 2 2 9 3 2 2 2" xfId="35019" xr:uid="{00000000-0005-0000-0000-00002D530000}"/>
    <cellStyle name="Normal 2 2 9 3 2 3" xfId="21251" xr:uid="{00000000-0005-0000-0000-00002E530000}"/>
    <cellStyle name="Normal 2 2 9 3 2 3 2" xfId="41171" xr:uid="{00000000-0005-0000-0000-00002F530000}"/>
    <cellStyle name="Normal 2 2 9 3 2 4" xfId="28866" xr:uid="{00000000-0005-0000-0000-000030530000}"/>
    <cellStyle name="Normal 2 2 9 3 3" xfId="12033" xr:uid="{00000000-0005-0000-0000-000031530000}"/>
    <cellStyle name="Normal 2 2 9 3 3 2" xfId="31953" xr:uid="{00000000-0005-0000-0000-000032530000}"/>
    <cellStyle name="Normal 2 2 9 3 4" xfId="18185" xr:uid="{00000000-0005-0000-0000-000033530000}"/>
    <cellStyle name="Normal 2 2 9 3 4 2" xfId="38105" xr:uid="{00000000-0005-0000-0000-000034530000}"/>
    <cellStyle name="Normal 2 2 9 3 5" xfId="25800" xr:uid="{00000000-0005-0000-0000-000035530000}"/>
    <cellStyle name="Normal 2 2 9 4" xfId="7371" xr:uid="{00000000-0005-0000-0000-000036530000}"/>
    <cellStyle name="Normal 2 2 9 4 2" xfId="13565" xr:uid="{00000000-0005-0000-0000-000037530000}"/>
    <cellStyle name="Normal 2 2 9 4 2 2" xfId="33485" xr:uid="{00000000-0005-0000-0000-000038530000}"/>
    <cellStyle name="Normal 2 2 9 4 3" xfId="19717" xr:uid="{00000000-0005-0000-0000-000039530000}"/>
    <cellStyle name="Normal 2 2 9 4 3 2" xfId="39637" xr:uid="{00000000-0005-0000-0000-00003A530000}"/>
    <cellStyle name="Normal 2 2 9 4 4" xfId="27332" xr:uid="{00000000-0005-0000-0000-00003B530000}"/>
    <cellStyle name="Normal 2 2 9 5" xfId="10499" xr:uid="{00000000-0005-0000-0000-00003C530000}"/>
    <cellStyle name="Normal 2 2 9 5 2" xfId="30419" xr:uid="{00000000-0005-0000-0000-00003D530000}"/>
    <cellStyle name="Normal 2 2 9 6" xfId="16651" xr:uid="{00000000-0005-0000-0000-00003E530000}"/>
    <cellStyle name="Normal 2 2 9 6 2" xfId="36571" xr:uid="{00000000-0005-0000-0000-00003F530000}"/>
    <cellStyle name="Normal 2 2 9 7" xfId="3469" xr:uid="{00000000-0005-0000-0000-000040530000}"/>
    <cellStyle name="Normal 2 2 9 7 2" xfId="24266" xr:uid="{00000000-0005-0000-0000-000041530000}"/>
    <cellStyle name="Normal 2 20" xfId="3470" xr:uid="{00000000-0005-0000-0000-000042530000}"/>
    <cellStyle name="Normal 2 20 2" xfId="4965" xr:uid="{00000000-0005-0000-0000-000043530000}"/>
    <cellStyle name="Normal 2 20 2 2" xfId="6590" xr:uid="{00000000-0005-0000-0000-000044530000}"/>
    <cellStyle name="Normal 2 20 2 2 2" xfId="9676" xr:uid="{00000000-0005-0000-0000-000045530000}"/>
    <cellStyle name="Normal 2 20 2 2 2 2" xfId="15869" xr:uid="{00000000-0005-0000-0000-000046530000}"/>
    <cellStyle name="Normal 2 20 2 2 2 2 2" xfId="35789" xr:uid="{00000000-0005-0000-0000-000047530000}"/>
    <cellStyle name="Normal 2 20 2 2 2 3" xfId="22021" xr:uid="{00000000-0005-0000-0000-000048530000}"/>
    <cellStyle name="Normal 2 20 2 2 2 3 2" xfId="41941" xr:uid="{00000000-0005-0000-0000-000049530000}"/>
    <cellStyle name="Normal 2 20 2 2 2 4" xfId="29636" xr:uid="{00000000-0005-0000-0000-00004A530000}"/>
    <cellStyle name="Normal 2 20 2 2 3" xfId="12803" xr:uid="{00000000-0005-0000-0000-00004B530000}"/>
    <cellStyle name="Normal 2 20 2 2 3 2" xfId="32723" xr:uid="{00000000-0005-0000-0000-00004C530000}"/>
    <cellStyle name="Normal 2 20 2 2 4" xfId="18955" xr:uid="{00000000-0005-0000-0000-00004D530000}"/>
    <cellStyle name="Normal 2 20 2 2 4 2" xfId="38875" xr:uid="{00000000-0005-0000-0000-00004E530000}"/>
    <cellStyle name="Normal 2 20 2 2 5" xfId="26570" xr:uid="{00000000-0005-0000-0000-00004F530000}"/>
    <cellStyle name="Normal 2 20 2 3" xfId="8141" xr:uid="{00000000-0005-0000-0000-000050530000}"/>
    <cellStyle name="Normal 2 20 2 3 2" xfId="14335" xr:uid="{00000000-0005-0000-0000-000051530000}"/>
    <cellStyle name="Normal 2 20 2 3 2 2" xfId="34255" xr:uid="{00000000-0005-0000-0000-000052530000}"/>
    <cellStyle name="Normal 2 20 2 3 3" xfId="20487" xr:uid="{00000000-0005-0000-0000-000053530000}"/>
    <cellStyle name="Normal 2 20 2 3 3 2" xfId="40407" xr:uid="{00000000-0005-0000-0000-000054530000}"/>
    <cellStyle name="Normal 2 20 2 3 4" xfId="28102" xr:uid="{00000000-0005-0000-0000-000055530000}"/>
    <cellStyle name="Normal 2 20 2 4" xfId="11269" xr:uid="{00000000-0005-0000-0000-000056530000}"/>
    <cellStyle name="Normal 2 20 2 4 2" xfId="31189" xr:uid="{00000000-0005-0000-0000-000057530000}"/>
    <cellStyle name="Normal 2 20 2 5" xfId="17421" xr:uid="{00000000-0005-0000-0000-000058530000}"/>
    <cellStyle name="Normal 2 20 2 5 2" xfId="37341" xr:uid="{00000000-0005-0000-0000-000059530000}"/>
    <cellStyle name="Normal 2 20 2 6" xfId="25036" xr:uid="{00000000-0005-0000-0000-00005A530000}"/>
    <cellStyle name="Normal 2 20 3" xfId="5807" xr:uid="{00000000-0005-0000-0000-00005B530000}"/>
    <cellStyle name="Normal 2 20 3 2" xfId="8907" xr:uid="{00000000-0005-0000-0000-00005C530000}"/>
    <cellStyle name="Normal 2 20 3 2 2" xfId="15100" xr:uid="{00000000-0005-0000-0000-00005D530000}"/>
    <cellStyle name="Normal 2 20 3 2 2 2" xfId="35020" xr:uid="{00000000-0005-0000-0000-00005E530000}"/>
    <cellStyle name="Normal 2 20 3 2 3" xfId="21252" xr:uid="{00000000-0005-0000-0000-00005F530000}"/>
    <cellStyle name="Normal 2 20 3 2 3 2" xfId="41172" xr:uid="{00000000-0005-0000-0000-000060530000}"/>
    <cellStyle name="Normal 2 20 3 2 4" xfId="28867" xr:uid="{00000000-0005-0000-0000-000061530000}"/>
    <cellStyle name="Normal 2 20 3 3" xfId="12034" xr:uid="{00000000-0005-0000-0000-000062530000}"/>
    <cellStyle name="Normal 2 20 3 3 2" xfId="31954" xr:uid="{00000000-0005-0000-0000-000063530000}"/>
    <cellStyle name="Normal 2 20 3 4" xfId="18186" xr:uid="{00000000-0005-0000-0000-000064530000}"/>
    <cellStyle name="Normal 2 20 3 4 2" xfId="38106" xr:uid="{00000000-0005-0000-0000-000065530000}"/>
    <cellStyle name="Normal 2 20 3 5" xfId="25801" xr:uid="{00000000-0005-0000-0000-000066530000}"/>
    <cellStyle name="Normal 2 20 4" xfId="7372" xr:uid="{00000000-0005-0000-0000-000067530000}"/>
    <cellStyle name="Normal 2 20 4 2" xfId="13566" xr:uid="{00000000-0005-0000-0000-000068530000}"/>
    <cellStyle name="Normal 2 20 4 2 2" xfId="33486" xr:uid="{00000000-0005-0000-0000-000069530000}"/>
    <cellStyle name="Normal 2 20 4 3" xfId="19718" xr:uid="{00000000-0005-0000-0000-00006A530000}"/>
    <cellStyle name="Normal 2 20 4 3 2" xfId="39638" xr:uid="{00000000-0005-0000-0000-00006B530000}"/>
    <cellStyle name="Normal 2 20 4 4" xfId="27333" xr:uid="{00000000-0005-0000-0000-00006C530000}"/>
    <cellStyle name="Normal 2 20 5" xfId="10500" xr:uid="{00000000-0005-0000-0000-00006D530000}"/>
    <cellStyle name="Normal 2 20 5 2" xfId="30420" xr:uid="{00000000-0005-0000-0000-00006E530000}"/>
    <cellStyle name="Normal 2 20 6" xfId="16652" xr:uid="{00000000-0005-0000-0000-00006F530000}"/>
    <cellStyle name="Normal 2 20 6 2" xfId="36572" xr:uid="{00000000-0005-0000-0000-000070530000}"/>
    <cellStyle name="Normal 2 20 7" xfId="24267" xr:uid="{00000000-0005-0000-0000-000071530000}"/>
    <cellStyle name="Normal 2 21" xfId="3471" xr:uid="{00000000-0005-0000-0000-000072530000}"/>
    <cellStyle name="Normal 2 22" xfId="1158" xr:uid="{00000000-0005-0000-0000-000073530000}"/>
    <cellStyle name="Normal 2 22 2" xfId="4580" xr:uid="{00000000-0005-0000-0000-000074530000}"/>
    <cellStyle name="Normal 2 22 3" xfId="3472" xr:uid="{00000000-0005-0000-0000-000075530000}"/>
    <cellStyle name="Normal 2 23" xfId="4497" xr:uid="{00000000-0005-0000-0000-000076530000}"/>
    <cellStyle name="Normal 2 24" xfId="1206" xr:uid="{00000000-0005-0000-0000-000077530000}"/>
    <cellStyle name="Normal 2 24 2" xfId="4648" xr:uid="{00000000-0005-0000-0000-000078530000}"/>
    <cellStyle name="Normal 2 24 2 2" xfId="6273" xr:uid="{00000000-0005-0000-0000-000079530000}"/>
    <cellStyle name="Normal 2 24 2 2 2" xfId="9359" xr:uid="{00000000-0005-0000-0000-00007A530000}"/>
    <cellStyle name="Normal 2 24 2 2 2 2" xfId="15552" xr:uid="{00000000-0005-0000-0000-00007B530000}"/>
    <cellStyle name="Normal 2 24 2 2 2 2 2" xfId="35472" xr:uid="{00000000-0005-0000-0000-00007C530000}"/>
    <cellStyle name="Normal 2 24 2 2 2 3" xfId="21704" xr:uid="{00000000-0005-0000-0000-00007D530000}"/>
    <cellStyle name="Normal 2 24 2 2 2 3 2" xfId="41624" xr:uid="{00000000-0005-0000-0000-00007E530000}"/>
    <cellStyle name="Normal 2 24 2 2 2 4" xfId="29319" xr:uid="{00000000-0005-0000-0000-00007F530000}"/>
    <cellStyle name="Normal 2 24 2 2 3" xfId="12486" xr:uid="{00000000-0005-0000-0000-000080530000}"/>
    <cellStyle name="Normal 2 24 2 2 3 2" xfId="32406" xr:uid="{00000000-0005-0000-0000-000081530000}"/>
    <cellStyle name="Normal 2 24 2 2 4" xfId="18638" xr:uid="{00000000-0005-0000-0000-000082530000}"/>
    <cellStyle name="Normal 2 24 2 2 4 2" xfId="38558" xr:uid="{00000000-0005-0000-0000-000083530000}"/>
    <cellStyle name="Normal 2 24 2 2 5" xfId="26253" xr:uid="{00000000-0005-0000-0000-000084530000}"/>
    <cellStyle name="Normal 2 24 2 3" xfId="7824" xr:uid="{00000000-0005-0000-0000-000085530000}"/>
    <cellStyle name="Normal 2 24 2 3 2" xfId="14018" xr:uid="{00000000-0005-0000-0000-000086530000}"/>
    <cellStyle name="Normal 2 24 2 3 2 2" xfId="33938" xr:uid="{00000000-0005-0000-0000-000087530000}"/>
    <cellStyle name="Normal 2 24 2 3 3" xfId="20170" xr:uid="{00000000-0005-0000-0000-000088530000}"/>
    <cellStyle name="Normal 2 24 2 3 3 2" xfId="40090" xr:uid="{00000000-0005-0000-0000-000089530000}"/>
    <cellStyle name="Normal 2 24 2 3 4" xfId="27785" xr:uid="{00000000-0005-0000-0000-00008A530000}"/>
    <cellStyle name="Normal 2 24 2 4" xfId="10952" xr:uid="{00000000-0005-0000-0000-00008B530000}"/>
    <cellStyle name="Normal 2 24 2 4 2" xfId="30872" xr:uid="{00000000-0005-0000-0000-00008C530000}"/>
    <cellStyle name="Normal 2 24 2 5" xfId="17104" xr:uid="{00000000-0005-0000-0000-00008D530000}"/>
    <cellStyle name="Normal 2 24 2 5 2" xfId="37024" xr:uid="{00000000-0005-0000-0000-00008E530000}"/>
    <cellStyle name="Normal 2 24 2 6" xfId="24719" xr:uid="{00000000-0005-0000-0000-00008F530000}"/>
    <cellStyle name="Normal 2 24 3" xfId="5487" xr:uid="{00000000-0005-0000-0000-000090530000}"/>
    <cellStyle name="Normal 2 24 3 2" xfId="8590" xr:uid="{00000000-0005-0000-0000-000091530000}"/>
    <cellStyle name="Normal 2 24 3 2 2" xfId="14783" xr:uid="{00000000-0005-0000-0000-000092530000}"/>
    <cellStyle name="Normal 2 24 3 2 2 2" xfId="34703" xr:uid="{00000000-0005-0000-0000-000093530000}"/>
    <cellStyle name="Normal 2 24 3 2 3" xfId="20935" xr:uid="{00000000-0005-0000-0000-000094530000}"/>
    <cellStyle name="Normal 2 24 3 2 3 2" xfId="40855" xr:uid="{00000000-0005-0000-0000-000095530000}"/>
    <cellStyle name="Normal 2 24 3 2 4" xfId="28550" xr:uid="{00000000-0005-0000-0000-000096530000}"/>
    <cellStyle name="Normal 2 24 3 3" xfId="11717" xr:uid="{00000000-0005-0000-0000-000097530000}"/>
    <cellStyle name="Normal 2 24 3 3 2" xfId="31637" xr:uid="{00000000-0005-0000-0000-000098530000}"/>
    <cellStyle name="Normal 2 24 3 4" xfId="17869" xr:uid="{00000000-0005-0000-0000-000099530000}"/>
    <cellStyle name="Normal 2 24 3 4 2" xfId="37789" xr:uid="{00000000-0005-0000-0000-00009A530000}"/>
    <cellStyle name="Normal 2 24 3 5" xfId="25484" xr:uid="{00000000-0005-0000-0000-00009B530000}"/>
    <cellStyle name="Normal 2 24 4" xfId="7055" xr:uid="{00000000-0005-0000-0000-00009C530000}"/>
    <cellStyle name="Normal 2 24 4 2" xfId="13249" xr:uid="{00000000-0005-0000-0000-00009D530000}"/>
    <cellStyle name="Normal 2 24 4 2 2" xfId="33169" xr:uid="{00000000-0005-0000-0000-00009E530000}"/>
    <cellStyle name="Normal 2 24 4 3" xfId="19401" xr:uid="{00000000-0005-0000-0000-00009F530000}"/>
    <cellStyle name="Normal 2 24 4 3 2" xfId="39321" xr:uid="{00000000-0005-0000-0000-0000A0530000}"/>
    <cellStyle name="Normal 2 24 4 4" xfId="27016" xr:uid="{00000000-0005-0000-0000-0000A1530000}"/>
    <cellStyle name="Normal 2 24 5" xfId="10183" xr:uid="{00000000-0005-0000-0000-0000A2530000}"/>
    <cellStyle name="Normal 2 24 5 2" xfId="30103" xr:uid="{00000000-0005-0000-0000-0000A3530000}"/>
    <cellStyle name="Normal 2 24 6" xfId="16335" xr:uid="{00000000-0005-0000-0000-0000A4530000}"/>
    <cellStyle name="Normal 2 24 6 2" xfId="36255" xr:uid="{00000000-0005-0000-0000-0000A5530000}"/>
    <cellStyle name="Normal 2 24 7" xfId="23950" xr:uid="{00000000-0005-0000-0000-0000A6530000}"/>
    <cellStyle name="Normal 2 25" xfId="5459" xr:uid="{00000000-0005-0000-0000-0000A7530000}"/>
    <cellStyle name="Normal 2 25 2" xfId="8563" xr:uid="{00000000-0005-0000-0000-0000A8530000}"/>
    <cellStyle name="Normal 2 26" xfId="10103" xr:uid="{00000000-0005-0000-0000-0000A9530000}"/>
    <cellStyle name="Normal 2 27" xfId="1056" xr:uid="{00000000-0005-0000-0000-0000AA530000}"/>
    <cellStyle name="Normal 2 3" xfId="98" xr:uid="{00000000-0005-0000-0000-0000AB530000}"/>
    <cellStyle name="Normal 2 3 10" xfId="10139" xr:uid="{00000000-0005-0000-0000-0000AC530000}"/>
    <cellStyle name="Normal 2 3 2" xfId="3474" xr:uid="{00000000-0005-0000-0000-0000AD530000}"/>
    <cellStyle name="Normal 2 3 2 2" xfId="3475" xr:uid="{00000000-0005-0000-0000-0000AE530000}"/>
    <cellStyle name="Normal 2 3 2 3" xfId="4966" xr:uid="{00000000-0005-0000-0000-0000AF530000}"/>
    <cellStyle name="Normal 2 3 2 3 2" xfId="6591" xr:uid="{00000000-0005-0000-0000-0000B0530000}"/>
    <cellStyle name="Normal 2 3 2 3 2 2" xfId="9677" xr:uid="{00000000-0005-0000-0000-0000B1530000}"/>
    <cellStyle name="Normal 2 3 2 3 2 2 2" xfId="15870" xr:uid="{00000000-0005-0000-0000-0000B2530000}"/>
    <cellStyle name="Normal 2 3 2 3 2 2 2 2" xfId="35790" xr:uid="{00000000-0005-0000-0000-0000B3530000}"/>
    <cellStyle name="Normal 2 3 2 3 2 2 3" xfId="22022" xr:uid="{00000000-0005-0000-0000-0000B4530000}"/>
    <cellStyle name="Normal 2 3 2 3 2 2 3 2" xfId="41942" xr:uid="{00000000-0005-0000-0000-0000B5530000}"/>
    <cellStyle name="Normal 2 3 2 3 2 2 4" xfId="29637" xr:uid="{00000000-0005-0000-0000-0000B6530000}"/>
    <cellStyle name="Normal 2 3 2 3 2 3" xfId="12804" xr:uid="{00000000-0005-0000-0000-0000B7530000}"/>
    <cellStyle name="Normal 2 3 2 3 2 3 2" xfId="32724" xr:uid="{00000000-0005-0000-0000-0000B8530000}"/>
    <cellStyle name="Normal 2 3 2 3 2 4" xfId="18956" xr:uid="{00000000-0005-0000-0000-0000B9530000}"/>
    <cellStyle name="Normal 2 3 2 3 2 4 2" xfId="38876" xr:uid="{00000000-0005-0000-0000-0000BA530000}"/>
    <cellStyle name="Normal 2 3 2 3 2 5" xfId="26571" xr:uid="{00000000-0005-0000-0000-0000BB530000}"/>
    <cellStyle name="Normal 2 3 2 3 3" xfId="8142" xr:uid="{00000000-0005-0000-0000-0000BC530000}"/>
    <cellStyle name="Normal 2 3 2 3 3 2" xfId="14336" xr:uid="{00000000-0005-0000-0000-0000BD530000}"/>
    <cellStyle name="Normal 2 3 2 3 3 2 2" xfId="34256" xr:uid="{00000000-0005-0000-0000-0000BE530000}"/>
    <cellStyle name="Normal 2 3 2 3 3 3" xfId="20488" xr:uid="{00000000-0005-0000-0000-0000BF530000}"/>
    <cellStyle name="Normal 2 3 2 3 3 3 2" xfId="40408" xr:uid="{00000000-0005-0000-0000-0000C0530000}"/>
    <cellStyle name="Normal 2 3 2 3 3 4" xfId="28103" xr:uid="{00000000-0005-0000-0000-0000C1530000}"/>
    <cellStyle name="Normal 2 3 2 3 4" xfId="11270" xr:uid="{00000000-0005-0000-0000-0000C2530000}"/>
    <cellStyle name="Normal 2 3 2 3 4 2" xfId="31190" xr:uid="{00000000-0005-0000-0000-0000C3530000}"/>
    <cellStyle name="Normal 2 3 2 3 5" xfId="17422" xr:uid="{00000000-0005-0000-0000-0000C4530000}"/>
    <cellStyle name="Normal 2 3 2 3 5 2" xfId="37342" xr:uid="{00000000-0005-0000-0000-0000C5530000}"/>
    <cellStyle name="Normal 2 3 2 3 6" xfId="25037" xr:uid="{00000000-0005-0000-0000-0000C6530000}"/>
    <cellStyle name="Normal 2 3 2 4" xfId="5808" xr:uid="{00000000-0005-0000-0000-0000C7530000}"/>
    <cellStyle name="Normal 2 3 2 4 2" xfId="8908" xr:uid="{00000000-0005-0000-0000-0000C8530000}"/>
    <cellStyle name="Normal 2 3 2 4 2 2" xfId="15101" xr:uid="{00000000-0005-0000-0000-0000C9530000}"/>
    <cellStyle name="Normal 2 3 2 4 2 2 2" xfId="35021" xr:uid="{00000000-0005-0000-0000-0000CA530000}"/>
    <cellStyle name="Normal 2 3 2 4 2 3" xfId="21253" xr:uid="{00000000-0005-0000-0000-0000CB530000}"/>
    <cellStyle name="Normal 2 3 2 4 2 3 2" xfId="41173" xr:uid="{00000000-0005-0000-0000-0000CC530000}"/>
    <cellStyle name="Normal 2 3 2 4 2 4" xfId="28868" xr:uid="{00000000-0005-0000-0000-0000CD530000}"/>
    <cellStyle name="Normal 2 3 2 4 3" xfId="12035" xr:uid="{00000000-0005-0000-0000-0000CE530000}"/>
    <cellStyle name="Normal 2 3 2 4 3 2" xfId="31955" xr:uid="{00000000-0005-0000-0000-0000CF530000}"/>
    <cellStyle name="Normal 2 3 2 4 4" xfId="18187" xr:uid="{00000000-0005-0000-0000-0000D0530000}"/>
    <cellStyle name="Normal 2 3 2 4 4 2" xfId="38107" xr:uid="{00000000-0005-0000-0000-0000D1530000}"/>
    <cellStyle name="Normal 2 3 2 4 5" xfId="25802" xr:uid="{00000000-0005-0000-0000-0000D2530000}"/>
    <cellStyle name="Normal 2 3 2 5" xfId="7373" xr:uid="{00000000-0005-0000-0000-0000D3530000}"/>
    <cellStyle name="Normal 2 3 2 5 2" xfId="13567" xr:uid="{00000000-0005-0000-0000-0000D4530000}"/>
    <cellStyle name="Normal 2 3 2 5 2 2" xfId="33487" xr:uid="{00000000-0005-0000-0000-0000D5530000}"/>
    <cellStyle name="Normal 2 3 2 5 3" xfId="19719" xr:uid="{00000000-0005-0000-0000-0000D6530000}"/>
    <cellStyle name="Normal 2 3 2 5 3 2" xfId="39639" xr:uid="{00000000-0005-0000-0000-0000D7530000}"/>
    <cellStyle name="Normal 2 3 2 5 4" xfId="27334" xr:uid="{00000000-0005-0000-0000-0000D8530000}"/>
    <cellStyle name="Normal 2 3 2 6" xfId="10501" xr:uid="{00000000-0005-0000-0000-0000D9530000}"/>
    <cellStyle name="Normal 2 3 2 6 2" xfId="30421" xr:uid="{00000000-0005-0000-0000-0000DA530000}"/>
    <cellStyle name="Normal 2 3 2 7" xfId="16653" xr:uid="{00000000-0005-0000-0000-0000DB530000}"/>
    <cellStyle name="Normal 2 3 2 7 2" xfId="36573" xr:uid="{00000000-0005-0000-0000-0000DC530000}"/>
    <cellStyle name="Normal 2 3 2 8" xfId="24268" xr:uid="{00000000-0005-0000-0000-0000DD530000}"/>
    <cellStyle name="Normal 2 3 3" xfId="3476" xr:uid="{00000000-0005-0000-0000-0000DE530000}"/>
    <cellStyle name="Normal 2 3 3 2" xfId="4967" xr:uid="{00000000-0005-0000-0000-0000DF530000}"/>
    <cellStyle name="Normal 2 3 3 2 2" xfId="6592" xr:uid="{00000000-0005-0000-0000-0000E0530000}"/>
    <cellStyle name="Normal 2 3 3 2 2 2" xfId="9678" xr:uid="{00000000-0005-0000-0000-0000E1530000}"/>
    <cellStyle name="Normal 2 3 3 2 2 2 2" xfId="15871" xr:uid="{00000000-0005-0000-0000-0000E2530000}"/>
    <cellStyle name="Normal 2 3 3 2 2 2 2 2" xfId="35791" xr:uid="{00000000-0005-0000-0000-0000E3530000}"/>
    <cellStyle name="Normal 2 3 3 2 2 2 3" xfId="22023" xr:uid="{00000000-0005-0000-0000-0000E4530000}"/>
    <cellStyle name="Normal 2 3 3 2 2 2 3 2" xfId="41943" xr:uid="{00000000-0005-0000-0000-0000E5530000}"/>
    <cellStyle name="Normal 2 3 3 2 2 2 4" xfId="29638" xr:uid="{00000000-0005-0000-0000-0000E6530000}"/>
    <cellStyle name="Normal 2 3 3 2 2 3" xfId="12805" xr:uid="{00000000-0005-0000-0000-0000E7530000}"/>
    <cellStyle name="Normal 2 3 3 2 2 3 2" xfId="32725" xr:uid="{00000000-0005-0000-0000-0000E8530000}"/>
    <cellStyle name="Normal 2 3 3 2 2 4" xfId="18957" xr:uid="{00000000-0005-0000-0000-0000E9530000}"/>
    <cellStyle name="Normal 2 3 3 2 2 4 2" xfId="38877" xr:uid="{00000000-0005-0000-0000-0000EA530000}"/>
    <cellStyle name="Normal 2 3 3 2 2 5" xfId="26572" xr:uid="{00000000-0005-0000-0000-0000EB530000}"/>
    <cellStyle name="Normal 2 3 3 2 3" xfId="8143" xr:uid="{00000000-0005-0000-0000-0000EC530000}"/>
    <cellStyle name="Normal 2 3 3 2 3 2" xfId="14337" xr:uid="{00000000-0005-0000-0000-0000ED530000}"/>
    <cellStyle name="Normal 2 3 3 2 3 2 2" xfId="34257" xr:uid="{00000000-0005-0000-0000-0000EE530000}"/>
    <cellStyle name="Normal 2 3 3 2 3 3" xfId="20489" xr:uid="{00000000-0005-0000-0000-0000EF530000}"/>
    <cellStyle name="Normal 2 3 3 2 3 3 2" xfId="40409" xr:uid="{00000000-0005-0000-0000-0000F0530000}"/>
    <cellStyle name="Normal 2 3 3 2 3 4" xfId="28104" xr:uid="{00000000-0005-0000-0000-0000F1530000}"/>
    <cellStyle name="Normal 2 3 3 2 4" xfId="11271" xr:uid="{00000000-0005-0000-0000-0000F2530000}"/>
    <cellStyle name="Normal 2 3 3 2 4 2" xfId="31191" xr:uid="{00000000-0005-0000-0000-0000F3530000}"/>
    <cellStyle name="Normal 2 3 3 2 5" xfId="17423" xr:uid="{00000000-0005-0000-0000-0000F4530000}"/>
    <cellStyle name="Normal 2 3 3 2 5 2" xfId="37343" xr:uid="{00000000-0005-0000-0000-0000F5530000}"/>
    <cellStyle name="Normal 2 3 3 2 6" xfId="25038" xr:uid="{00000000-0005-0000-0000-0000F6530000}"/>
    <cellStyle name="Normal 2 3 3 3" xfId="5809" xr:uid="{00000000-0005-0000-0000-0000F7530000}"/>
    <cellStyle name="Normal 2 3 3 3 2" xfId="8909" xr:uid="{00000000-0005-0000-0000-0000F8530000}"/>
    <cellStyle name="Normal 2 3 3 3 2 2" xfId="15102" xr:uid="{00000000-0005-0000-0000-0000F9530000}"/>
    <cellStyle name="Normal 2 3 3 3 2 2 2" xfId="35022" xr:uid="{00000000-0005-0000-0000-0000FA530000}"/>
    <cellStyle name="Normal 2 3 3 3 2 3" xfId="21254" xr:uid="{00000000-0005-0000-0000-0000FB530000}"/>
    <cellStyle name="Normal 2 3 3 3 2 3 2" xfId="41174" xr:uid="{00000000-0005-0000-0000-0000FC530000}"/>
    <cellStyle name="Normal 2 3 3 3 2 4" xfId="28869" xr:uid="{00000000-0005-0000-0000-0000FD530000}"/>
    <cellStyle name="Normal 2 3 3 3 3" xfId="12036" xr:uid="{00000000-0005-0000-0000-0000FE530000}"/>
    <cellStyle name="Normal 2 3 3 3 3 2" xfId="31956" xr:uid="{00000000-0005-0000-0000-0000FF530000}"/>
    <cellStyle name="Normal 2 3 3 3 4" xfId="18188" xr:uid="{00000000-0005-0000-0000-000000540000}"/>
    <cellStyle name="Normal 2 3 3 3 4 2" xfId="38108" xr:uid="{00000000-0005-0000-0000-000001540000}"/>
    <cellStyle name="Normal 2 3 3 3 5" xfId="25803" xr:uid="{00000000-0005-0000-0000-000002540000}"/>
    <cellStyle name="Normal 2 3 3 4" xfId="7374" xr:uid="{00000000-0005-0000-0000-000003540000}"/>
    <cellStyle name="Normal 2 3 3 4 2" xfId="13568" xr:uid="{00000000-0005-0000-0000-000004540000}"/>
    <cellStyle name="Normal 2 3 3 4 2 2" xfId="33488" xr:uid="{00000000-0005-0000-0000-000005540000}"/>
    <cellStyle name="Normal 2 3 3 4 3" xfId="19720" xr:uid="{00000000-0005-0000-0000-000006540000}"/>
    <cellStyle name="Normal 2 3 3 4 3 2" xfId="39640" xr:uid="{00000000-0005-0000-0000-000007540000}"/>
    <cellStyle name="Normal 2 3 3 4 4" xfId="27335" xr:uid="{00000000-0005-0000-0000-000008540000}"/>
    <cellStyle name="Normal 2 3 3 5" xfId="10502" xr:uid="{00000000-0005-0000-0000-000009540000}"/>
    <cellStyle name="Normal 2 3 3 5 2" xfId="30422" xr:uid="{00000000-0005-0000-0000-00000A540000}"/>
    <cellStyle name="Normal 2 3 3 6" xfId="16654" xr:uid="{00000000-0005-0000-0000-00000B540000}"/>
    <cellStyle name="Normal 2 3 3 6 2" xfId="36574" xr:uid="{00000000-0005-0000-0000-00000C540000}"/>
    <cellStyle name="Normal 2 3 3 7" xfId="24269" xr:uid="{00000000-0005-0000-0000-00000D540000}"/>
    <cellStyle name="Normal 2 3 4" xfId="3477" xr:uid="{00000000-0005-0000-0000-00000E540000}"/>
    <cellStyle name="Normal 2 3 4 2" xfId="4968" xr:uid="{00000000-0005-0000-0000-00000F540000}"/>
    <cellStyle name="Normal 2 3 4 2 2" xfId="6593" xr:uid="{00000000-0005-0000-0000-000010540000}"/>
    <cellStyle name="Normal 2 3 4 2 2 2" xfId="9679" xr:uid="{00000000-0005-0000-0000-000011540000}"/>
    <cellStyle name="Normal 2 3 4 2 2 2 2" xfId="15872" xr:uid="{00000000-0005-0000-0000-000012540000}"/>
    <cellStyle name="Normal 2 3 4 2 2 2 2 2" xfId="35792" xr:uid="{00000000-0005-0000-0000-000013540000}"/>
    <cellStyle name="Normal 2 3 4 2 2 2 3" xfId="22024" xr:uid="{00000000-0005-0000-0000-000014540000}"/>
    <cellStyle name="Normal 2 3 4 2 2 2 3 2" xfId="41944" xr:uid="{00000000-0005-0000-0000-000015540000}"/>
    <cellStyle name="Normal 2 3 4 2 2 2 4" xfId="29639" xr:uid="{00000000-0005-0000-0000-000016540000}"/>
    <cellStyle name="Normal 2 3 4 2 2 3" xfId="12806" xr:uid="{00000000-0005-0000-0000-000017540000}"/>
    <cellStyle name="Normal 2 3 4 2 2 3 2" xfId="32726" xr:uid="{00000000-0005-0000-0000-000018540000}"/>
    <cellStyle name="Normal 2 3 4 2 2 4" xfId="18958" xr:uid="{00000000-0005-0000-0000-000019540000}"/>
    <cellStyle name="Normal 2 3 4 2 2 4 2" xfId="38878" xr:uid="{00000000-0005-0000-0000-00001A540000}"/>
    <cellStyle name="Normal 2 3 4 2 2 5" xfId="26573" xr:uid="{00000000-0005-0000-0000-00001B540000}"/>
    <cellStyle name="Normal 2 3 4 2 3" xfId="8144" xr:uid="{00000000-0005-0000-0000-00001C540000}"/>
    <cellStyle name="Normal 2 3 4 2 3 2" xfId="14338" xr:uid="{00000000-0005-0000-0000-00001D540000}"/>
    <cellStyle name="Normal 2 3 4 2 3 2 2" xfId="34258" xr:uid="{00000000-0005-0000-0000-00001E540000}"/>
    <cellStyle name="Normal 2 3 4 2 3 3" xfId="20490" xr:uid="{00000000-0005-0000-0000-00001F540000}"/>
    <cellStyle name="Normal 2 3 4 2 3 3 2" xfId="40410" xr:uid="{00000000-0005-0000-0000-000020540000}"/>
    <cellStyle name="Normal 2 3 4 2 3 4" xfId="28105" xr:uid="{00000000-0005-0000-0000-000021540000}"/>
    <cellStyle name="Normal 2 3 4 2 4" xfId="11272" xr:uid="{00000000-0005-0000-0000-000022540000}"/>
    <cellStyle name="Normal 2 3 4 2 4 2" xfId="31192" xr:uid="{00000000-0005-0000-0000-000023540000}"/>
    <cellStyle name="Normal 2 3 4 2 5" xfId="17424" xr:uid="{00000000-0005-0000-0000-000024540000}"/>
    <cellStyle name="Normal 2 3 4 2 5 2" xfId="37344" xr:uid="{00000000-0005-0000-0000-000025540000}"/>
    <cellStyle name="Normal 2 3 4 2 6" xfId="25039" xr:uid="{00000000-0005-0000-0000-000026540000}"/>
    <cellStyle name="Normal 2 3 4 3" xfId="5810" xr:uid="{00000000-0005-0000-0000-000027540000}"/>
    <cellStyle name="Normal 2 3 4 3 2" xfId="8910" xr:uid="{00000000-0005-0000-0000-000028540000}"/>
    <cellStyle name="Normal 2 3 4 3 2 2" xfId="15103" xr:uid="{00000000-0005-0000-0000-000029540000}"/>
    <cellStyle name="Normal 2 3 4 3 2 2 2" xfId="35023" xr:uid="{00000000-0005-0000-0000-00002A540000}"/>
    <cellStyle name="Normal 2 3 4 3 2 3" xfId="21255" xr:uid="{00000000-0005-0000-0000-00002B540000}"/>
    <cellStyle name="Normal 2 3 4 3 2 3 2" xfId="41175" xr:uid="{00000000-0005-0000-0000-00002C540000}"/>
    <cellStyle name="Normal 2 3 4 3 2 4" xfId="28870" xr:uid="{00000000-0005-0000-0000-00002D540000}"/>
    <cellStyle name="Normal 2 3 4 3 3" xfId="12037" xr:uid="{00000000-0005-0000-0000-00002E540000}"/>
    <cellStyle name="Normal 2 3 4 3 3 2" xfId="31957" xr:uid="{00000000-0005-0000-0000-00002F540000}"/>
    <cellStyle name="Normal 2 3 4 3 4" xfId="18189" xr:uid="{00000000-0005-0000-0000-000030540000}"/>
    <cellStyle name="Normal 2 3 4 3 4 2" xfId="38109" xr:uid="{00000000-0005-0000-0000-000031540000}"/>
    <cellStyle name="Normal 2 3 4 3 5" xfId="25804" xr:uid="{00000000-0005-0000-0000-000032540000}"/>
    <cellStyle name="Normal 2 3 4 4" xfId="7375" xr:uid="{00000000-0005-0000-0000-000033540000}"/>
    <cellStyle name="Normal 2 3 4 4 2" xfId="13569" xr:uid="{00000000-0005-0000-0000-000034540000}"/>
    <cellStyle name="Normal 2 3 4 4 2 2" xfId="33489" xr:uid="{00000000-0005-0000-0000-000035540000}"/>
    <cellStyle name="Normal 2 3 4 4 3" xfId="19721" xr:uid="{00000000-0005-0000-0000-000036540000}"/>
    <cellStyle name="Normal 2 3 4 4 3 2" xfId="39641" xr:uid="{00000000-0005-0000-0000-000037540000}"/>
    <cellStyle name="Normal 2 3 4 4 4" xfId="27336" xr:uid="{00000000-0005-0000-0000-000038540000}"/>
    <cellStyle name="Normal 2 3 4 5" xfId="10503" xr:uid="{00000000-0005-0000-0000-000039540000}"/>
    <cellStyle name="Normal 2 3 4 5 2" xfId="30423" xr:uid="{00000000-0005-0000-0000-00003A540000}"/>
    <cellStyle name="Normal 2 3 4 6" xfId="16655" xr:uid="{00000000-0005-0000-0000-00003B540000}"/>
    <cellStyle name="Normal 2 3 4 6 2" xfId="36575" xr:uid="{00000000-0005-0000-0000-00003C540000}"/>
    <cellStyle name="Normal 2 3 4 7" xfId="24270" xr:uid="{00000000-0005-0000-0000-00003D540000}"/>
    <cellStyle name="Normal 2 3 5" xfId="3478" xr:uid="{00000000-0005-0000-0000-00003E540000}"/>
    <cellStyle name="Normal 2 3 5 2" xfId="4969" xr:uid="{00000000-0005-0000-0000-00003F540000}"/>
    <cellStyle name="Normal 2 3 5 2 2" xfId="6594" xr:uid="{00000000-0005-0000-0000-000040540000}"/>
    <cellStyle name="Normal 2 3 5 2 2 2" xfId="9680" xr:uid="{00000000-0005-0000-0000-000041540000}"/>
    <cellStyle name="Normal 2 3 5 2 2 2 2" xfId="15873" xr:uid="{00000000-0005-0000-0000-000042540000}"/>
    <cellStyle name="Normal 2 3 5 2 2 2 2 2" xfId="35793" xr:uid="{00000000-0005-0000-0000-000043540000}"/>
    <cellStyle name="Normal 2 3 5 2 2 2 3" xfId="22025" xr:uid="{00000000-0005-0000-0000-000044540000}"/>
    <cellStyle name="Normal 2 3 5 2 2 2 3 2" xfId="41945" xr:uid="{00000000-0005-0000-0000-000045540000}"/>
    <cellStyle name="Normal 2 3 5 2 2 2 4" xfId="29640" xr:uid="{00000000-0005-0000-0000-000046540000}"/>
    <cellStyle name="Normal 2 3 5 2 2 3" xfId="12807" xr:uid="{00000000-0005-0000-0000-000047540000}"/>
    <cellStyle name="Normal 2 3 5 2 2 3 2" xfId="32727" xr:uid="{00000000-0005-0000-0000-000048540000}"/>
    <cellStyle name="Normal 2 3 5 2 2 4" xfId="18959" xr:uid="{00000000-0005-0000-0000-000049540000}"/>
    <cellStyle name="Normal 2 3 5 2 2 4 2" xfId="38879" xr:uid="{00000000-0005-0000-0000-00004A540000}"/>
    <cellStyle name="Normal 2 3 5 2 2 5" xfId="26574" xr:uid="{00000000-0005-0000-0000-00004B540000}"/>
    <cellStyle name="Normal 2 3 5 2 3" xfId="8145" xr:uid="{00000000-0005-0000-0000-00004C540000}"/>
    <cellStyle name="Normal 2 3 5 2 3 2" xfId="14339" xr:uid="{00000000-0005-0000-0000-00004D540000}"/>
    <cellStyle name="Normal 2 3 5 2 3 2 2" xfId="34259" xr:uid="{00000000-0005-0000-0000-00004E540000}"/>
    <cellStyle name="Normal 2 3 5 2 3 3" xfId="20491" xr:uid="{00000000-0005-0000-0000-00004F540000}"/>
    <cellStyle name="Normal 2 3 5 2 3 3 2" xfId="40411" xr:uid="{00000000-0005-0000-0000-000050540000}"/>
    <cellStyle name="Normal 2 3 5 2 3 4" xfId="28106" xr:uid="{00000000-0005-0000-0000-000051540000}"/>
    <cellStyle name="Normal 2 3 5 2 4" xfId="11273" xr:uid="{00000000-0005-0000-0000-000052540000}"/>
    <cellStyle name="Normal 2 3 5 2 4 2" xfId="31193" xr:uid="{00000000-0005-0000-0000-000053540000}"/>
    <cellStyle name="Normal 2 3 5 2 5" xfId="17425" xr:uid="{00000000-0005-0000-0000-000054540000}"/>
    <cellStyle name="Normal 2 3 5 2 5 2" xfId="37345" xr:uid="{00000000-0005-0000-0000-000055540000}"/>
    <cellStyle name="Normal 2 3 5 2 6" xfId="25040" xr:uid="{00000000-0005-0000-0000-000056540000}"/>
    <cellStyle name="Normal 2 3 5 3" xfId="5811" xr:uid="{00000000-0005-0000-0000-000057540000}"/>
    <cellStyle name="Normal 2 3 5 3 2" xfId="8911" xr:uid="{00000000-0005-0000-0000-000058540000}"/>
    <cellStyle name="Normal 2 3 5 3 2 2" xfId="15104" xr:uid="{00000000-0005-0000-0000-000059540000}"/>
    <cellStyle name="Normal 2 3 5 3 2 2 2" xfId="35024" xr:uid="{00000000-0005-0000-0000-00005A540000}"/>
    <cellStyle name="Normal 2 3 5 3 2 3" xfId="21256" xr:uid="{00000000-0005-0000-0000-00005B540000}"/>
    <cellStyle name="Normal 2 3 5 3 2 3 2" xfId="41176" xr:uid="{00000000-0005-0000-0000-00005C540000}"/>
    <cellStyle name="Normal 2 3 5 3 2 4" xfId="28871" xr:uid="{00000000-0005-0000-0000-00005D540000}"/>
    <cellStyle name="Normal 2 3 5 3 3" xfId="12038" xr:uid="{00000000-0005-0000-0000-00005E540000}"/>
    <cellStyle name="Normal 2 3 5 3 3 2" xfId="31958" xr:uid="{00000000-0005-0000-0000-00005F540000}"/>
    <cellStyle name="Normal 2 3 5 3 4" xfId="18190" xr:uid="{00000000-0005-0000-0000-000060540000}"/>
    <cellStyle name="Normal 2 3 5 3 4 2" xfId="38110" xr:uid="{00000000-0005-0000-0000-000061540000}"/>
    <cellStyle name="Normal 2 3 5 3 5" xfId="25805" xr:uid="{00000000-0005-0000-0000-000062540000}"/>
    <cellStyle name="Normal 2 3 5 4" xfId="7376" xr:uid="{00000000-0005-0000-0000-000063540000}"/>
    <cellStyle name="Normal 2 3 5 4 2" xfId="13570" xr:uid="{00000000-0005-0000-0000-000064540000}"/>
    <cellStyle name="Normal 2 3 5 4 2 2" xfId="33490" xr:uid="{00000000-0005-0000-0000-000065540000}"/>
    <cellStyle name="Normal 2 3 5 4 3" xfId="19722" xr:uid="{00000000-0005-0000-0000-000066540000}"/>
    <cellStyle name="Normal 2 3 5 4 3 2" xfId="39642" xr:uid="{00000000-0005-0000-0000-000067540000}"/>
    <cellStyle name="Normal 2 3 5 4 4" xfId="27337" xr:uid="{00000000-0005-0000-0000-000068540000}"/>
    <cellStyle name="Normal 2 3 5 5" xfId="10504" xr:uid="{00000000-0005-0000-0000-000069540000}"/>
    <cellStyle name="Normal 2 3 5 5 2" xfId="30424" xr:uid="{00000000-0005-0000-0000-00006A540000}"/>
    <cellStyle name="Normal 2 3 5 6" xfId="16656" xr:uid="{00000000-0005-0000-0000-00006B540000}"/>
    <cellStyle name="Normal 2 3 5 6 2" xfId="36576" xr:uid="{00000000-0005-0000-0000-00006C540000}"/>
    <cellStyle name="Normal 2 3 5 7" xfId="24271" xr:uid="{00000000-0005-0000-0000-00006D540000}"/>
    <cellStyle name="Normal 2 3 6" xfId="3479" xr:uid="{00000000-0005-0000-0000-00006E540000}"/>
    <cellStyle name="Normal 2 3 6 2" xfId="4970" xr:uid="{00000000-0005-0000-0000-00006F540000}"/>
    <cellStyle name="Normal 2 3 6 2 2" xfId="6595" xr:uid="{00000000-0005-0000-0000-000070540000}"/>
    <cellStyle name="Normal 2 3 6 2 2 2" xfId="9681" xr:uid="{00000000-0005-0000-0000-000071540000}"/>
    <cellStyle name="Normal 2 3 6 2 2 2 2" xfId="15874" xr:uid="{00000000-0005-0000-0000-000072540000}"/>
    <cellStyle name="Normal 2 3 6 2 2 2 2 2" xfId="35794" xr:uid="{00000000-0005-0000-0000-000073540000}"/>
    <cellStyle name="Normal 2 3 6 2 2 2 3" xfId="22026" xr:uid="{00000000-0005-0000-0000-000074540000}"/>
    <cellStyle name="Normal 2 3 6 2 2 2 3 2" xfId="41946" xr:uid="{00000000-0005-0000-0000-000075540000}"/>
    <cellStyle name="Normal 2 3 6 2 2 2 4" xfId="29641" xr:uid="{00000000-0005-0000-0000-000076540000}"/>
    <cellStyle name="Normal 2 3 6 2 2 3" xfId="12808" xr:uid="{00000000-0005-0000-0000-000077540000}"/>
    <cellStyle name="Normal 2 3 6 2 2 3 2" xfId="32728" xr:uid="{00000000-0005-0000-0000-000078540000}"/>
    <cellStyle name="Normal 2 3 6 2 2 4" xfId="18960" xr:uid="{00000000-0005-0000-0000-000079540000}"/>
    <cellStyle name="Normal 2 3 6 2 2 4 2" xfId="38880" xr:uid="{00000000-0005-0000-0000-00007A540000}"/>
    <cellStyle name="Normal 2 3 6 2 2 5" xfId="26575" xr:uid="{00000000-0005-0000-0000-00007B540000}"/>
    <cellStyle name="Normal 2 3 6 2 3" xfId="8146" xr:uid="{00000000-0005-0000-0000-00007C540000}"/>
    <cellStyle name="Normal 2 3 6 2 3 2" xfId="14340" xr:uid="{00000000-0005-0000-0000-00007D540000}"/>
    <cellStyle name="Normal 2 3 6 2 3 2 2" xfId="34260" xr:uid="{00000000-0005-0000-0000-00007E540000}"/>
    <cellStyle name="Normal 2 3 6 2 3 3" xfId="20492" xr:uid="{00000000-0005-0000-0000-00007F540000}"/>
    <cellStyle name="Normal 2 3 6 2 3 3 2" xfId="40412" xr:uid="{00000000-0005-0000-0000-000080540000}"/>
    <cellStyle name="Normal 2 3 6 2 3 4" xfId="28107" xr:uid="{00000000-0005-0000-0000-000081540000}"/>
    <cellStyle name="Normal 2 3 6 2 4" xfId="11274" xr:uid="{00000000-0005-0000-0000-000082540000}"/>
    <cellStyle name="Normal 2 3 6 2 4 2" xfId="31194" xr:uid="{00000000-0005-0000-0000-000083540000}"/>
    <cellStyle name="Normal 2 3 6 2 5" xfId="17426" xr:uid="{00000000-0005-0000-0000-000084540000}"/>
    <cellStyle name="Normal 2 3 6 2 5 2" xfId="37346" xr:uid="{00000000-0005-0000-0000-000085540000}"/>
    <cellStyle name="Normal 2 3 6 2 6" xfId="25041" xr:uid="{00000000-0005-0000-0000-000086540000}"/>
    <cellStyle name="Normal 2 3 6 3" xfId="5812" xr:uid="{00000000-0005-0000-0000-000087540000}"/>
    <cellStyle name="Normal 2 3 6 3 2" xfId="8912" xr:uid="{00000000-0005-0000-0000-000088540000}"/>
    <cellStyle name="Normal 2 3 6 3 2 2" xfId="15105" xr:uid="{00000000-0005-0000-0000-000089540000}"/>
    <cellStyle name="Normal 2 3 6 3 2 2 2" xfId="35025" xr:uid="{00000000-0005-0000-0000-00008A540000}"/>
    <cellStyle name="Normal 2 3 6 3 2 3" xfId="21257" xr:uid="{00000000-0005-0000-0000-00008B540000}"/>
    <cellStyle name="Normal 2 3 6 3 2 3 2" xfId="41177" xr:uid="{00000000-0005-0000-0000-00008C540000}"/>
    <cellStyle name="Normal 2 3 6 3 2 4" xfId="28872" xr:uid="{00000000-0005-0000-0000-00008D540000}"/>
    <cellStyle name="Normal 2 3 6 3 3" xfId="12039" xr:uid="{00000000-0005-0000-0000-00008E540000}"/>
    <cellStyle name="Normal 2 3 6 3 3 2" xfId="31959" xr:uid="{00000000-0005-0000-0000-00008F540000}"/>
    <cellStyle name="Normal 2 3 6 3 4" xfId="18191" xr:uid="{00000000-0005-0000-0000-000090540000}"/>
    <cellStyle name="Normal 2 3 6 3 4 2" xfId="38111" xr:uid="{00000000-0005-0000-0000-000091540000}"/>
    <cellStyle name="Normal 2 3 6 3 5" xfId="25806" xr:uid="{00000000-0005-0000-0000-000092540000}"/>
    <cellStyle name="Normal 2 3 6 4" xfId="7377" xr:uid="{00000000-0005-0000-0000-000093540000}"/>
    <cellStyle name="Normal 2 3 6 4 2" xfId="13571" xr:uid="{00000000-0005-0000-0000-000094540000}"/>
    <cellStyle name="Normal 2 3 6 4 2 2" xfId="33491" xr:uid="{00000000-0005-0000-0000-000095540000}"/>
    <cellStyle name="Normal 2 3 6 4 3" xfId="19723" xr:uid="{00000000-0005-0000-0000-000096540000}"/>
    <cellStyle name="Normal 2 3 6 4 3 2" xfId="39643" xr:uid="{00000000-0005-0000-0000-000097540000}"/>
    <cellStyle name="Normal 2 3 6 4 4" xfId="27338" xr:uid="{00000000-0005-0000-0000-000098540000}"/>
    <cellStyle name="Normal 2 3 6 5" xfId="10505" xr:uid="{00000000-0005-0000-0000-000099540000}"/>
    <cellStyle name="Normal 2 3 6 5 2" xfId="30425" xr:uid="{00000000-0005-0000-0000-00009A540000}"/>
    <cellStyle name="Normal 2 3 6 6" xfId="16657" xr:uid="{00000000-0005-0000-0000-00009B540000}"/>
    <cellStyle name="Normal 2 3 6 6 2" xfId="36577" xr:uid="{00000000-0005-0000-0000-00009C540000}"/>
    <cellStyle name="Normal 2 3 6 7" xfId="24272" xr:uid="{00000000-0005-0000-0000-00009D540000}"/>
    <cellStyle name="Normal 2 3 7" xfId="3480" xr:uid="{00000000-0005-0000-0000-00009E540000}"/>
    <cellStyle name="Normal 2 3 8" xfId="3481" xr:uid="{00000000-0005-0000-0000-00009F540000}"/>
    <cellStyle name="Normal 2 3 9" xfId="3473" xr:uid="{00000000-0005-0000-0000-0000A0540000}"/>
    <cellStyle name="Normal 2 4" xfId="1118" xr:uid="{00000000-0005-0000-0000-0000A1540000}"/>
    <cellStyle name="Normal 2 4 2" xfId="3483" xr:uid="{00000000-0005-0000-0000-0000A2540000}"/>
    <cellStyle name="Normal 2 4 2 2" xfId="4972" xr:uid="{00000000-0005-0000-0000-0000A3540000}"/>
    <cellStyle name="Normal 2 4 2 2 2" xfId="6597" xr:uid="{00000000-0005-0000-0000-0000A4540000}"/>
    <cellStyle name="Normal 2 4 2 2 2 2" xfId="9683" xr:uid="{00000000-0005-0000-0000-0000A5540000}"/>
    <cellStyle name="Normal 2 4 2 2 2 2 2" xfId="15876" xr:uid="{00000000-0005-0000-0000-0000A6540000}"/>
    <cellStyle name="Normal 2 4 2 2 2 2 2 2" xfId="35796" xr:uid="{00000000-0005-0000-0000-0000A7540000}"/>
    <cellStyle name="Normal 2 4 2 2 2 2 3" xfId="22028" xr:uid="{00000000-0005-0000-0000-0000A8540000}"/>
    <cellStyle name="Normal 2 4 2 2 2 2 3 2" xfId="41948" xr:uid="{00000000-0005-0000-0000-0000A9540000}"/>
    <cellStyle name="Normal 2 4 2 2 2 2 4" xfId="29643" xr:uid="{00000000-0005-0000-0000-0000AA540000}"/>
    <cellStyle name="Normal 2 4 2 2 2 3" xfId="12810" xr:uid="{00000000-0005-0000-0000-0000AB540000}"/>
    <cellStyle name="Normal 2 4 2 2 2 3 2" xfId="32730" xr:uid="{00000000-0005-0000-0000-0000AC540000}"/>
    <cellStyle name="Normal 2 4 2 2 2 4" xfId="18962" xr:uid="{00000000-0005-0000-0000-0000AD540000}"/>
    <cellStyle name="Normal 2 4 2 2 2 4 2" xfId="38882" xr:uid="{00000000-0005-0000-0000-0000AE540000}"/>
    <cellStyle name="Normal 2 4 2 2 2 5" xfId="26577" xr:uid="{00000000-0005-0000-0000-0000AF540000}"/>
    <cellStyle name="Normal 2 4 2 2 3" xfId="8148" xr:uid="{00000000-0005-0000-0000-0000B0540000}"/>
    <cellStyle name="Normal 2 4 2 2 3 2" xfId="14342" xr:uid="{00000000-0005-0000-0000-0000B1540000}"/>
    <cellStyle name="Normal 2 4 2 2 3 2 2" xfId="34262" xr:uid="{00000000-0005-0000-0000-0000B2540000}"/>
    <cellStyle name="Normal 2 4 2 2 3 3" xfId="20494" xr:uid="{00000000-0005-0000-0000-0000B3540000}"/>
    <cellStyle name="Normal 2 4 2 2 3 3 2" xfId="40414" xr:uid="{00000000-0005-0000-0000-0000B4540000}"/>
    <cellStyle name="Normal 2 4 2 2 3 4" xfId="28109" xr:uid="{00000000-0005-0000-0000-0000B5540000}"/>
    <cellStyle name="Normal 2 4 2 2 4" xfId="11276" xr:uid="{00000000-0005-0000-0000-0000B6540000}"/>
    <cellStyle name="Normal 2 4 2 2 4 2" xfId="31196" xr:uid="{00000000-0005-0000-0000-0000B7540000}"/>
    <cellStyle name="Normal 2 4 2 2 5" xfId="17428" xr:uid="{00000000-0005-0000-0000-0000B8540000}"/>
    <cellStyle name="Normal 2 4 2 2 5 2" xfId="37348" xr:uid="{00000000-0005-0000-0000-0000B9540000}"/>
    <cellStyle name="Normal 2 4 2 2 6" xfId="25043" xr:uid="{00000000-0005-0000-0000-0000BA540000}"/>
    <cellStyle name="Normal 2 4 2 3" xfId="5814" xr:uid="{00000000-0005-0000-0000-0000BB540000}"/>
    <cellStyle name="Normal 2 4 2 3 2" xfId="8914" xr:uid="{00000000-0005-0000-0000-0000BC540000}"/>
    <cellStyle name="Normal 2 4 2 3 2 2" xfId="15107" xr:uid="{00000000-0005-0000-0000-0000BD540000}"/>
    <cellStyle name="Normal 2 4 2 3 2 2 2" xfId="35027" xr:uid="{00000000-0005-0000-0000-0000BE540000}"/>
    <cellStyle name="Normal 2 4 2 3 2 3" xfId="21259" xr:uid="{00000000-0005-0000-0000-0000BF540000}"/>
    <cellStyle name="Normal 2 4 2 3 2 3 2" xfId="41179" xr:uid="{00000000-0005-0000-0000-0000C0540000}"/>
    <cellStyle name="Normal 2 4 2 3 2 4" xfId="28874" xr:uid="{00000000-0005-0000-0000-0000C1540000}"/>
    <cellStyle name="Normal 2 4 2 3 3" xfId="12041" xr:uid="{00000000-0005-0000-0000-0000C2540000}"/>
    <cellStyle name="Normal 2 4 2 3 3 2" xfId="31961" xr:uid="{00000000-0005-0000-0000-0000C3540000}"/>
    <cellStyle name="Normal 2 4 2 3 4" xfId="18193" xr:uid="{00000000-0005-0000-0000-0000C4540000}"/>
    <cellStyle name="Normal 2 4 2 3 4 2" xfId="38113" xr:uid="{00000000-0005-0000-0000-0000C5540000}"/>
    <cellStyle name="Normal 2 4 2 3 5" xfId="25808" xr:uid="{00000000-0005-0000-0000-0000C6540000}"/>
    <cellStyle name="Normal 2 4 2 4" xfId="7379" xr:uid="{00000000-0005-0000-0000-0000C7540000}"/>
    <cellStyle name="Normal 2 4 2 4 2" xfId="13573" xr:uid="{00000000-0005-0000-0000-0000C8540000}"/>
    <cellStyle name="Normal 2 4 2 4 2 2" xfId="33493" xr:uid="{00000000-0005-0000-0000-0000C9540000}"/>
    <cellStyle name="Normal 2 4 2 4 3" xfId="19725" xr:uid="{00000000-0005-0000-0000-0000CA540000}"/>
    <cellStyle name="Normal 2 4 2 4 3 2" xfId="39645" xr:uid="{00000000-0005-0000-0000-0000CB540000}"/>
    <cellStyle name="Normal 2 4 2 4 4" xfId="27340" xr:uid="{00000000-0005-0000-0000-0000CC540000}"/>
    <cellStyle name="Normal 2 4 2 5" xfId="10507" xr:uid="{00000000-0005-0000-0000-0000CD540000}"/>
    <cellStyle name="Normal 2 4 2 5 2" xfId="30427" xr:uid="{00000000-0005-0000-0000-0000CE540000}"/>
    <cellStyle name="Normal 2 4 2 6" xfId="16659" xr:uid="{00000000-0005-0000-0000-0000CF540000}"/>
    <cellStyle name="Normal 2 4 2 6 2" xfId="36579" xr:uid="{00000000-0005-0000-0000-0000D0540000}"/>
    <cellStyle name="Normal 2 4 2 7" xfId="24274" xr:uid="{00000000-0005-0000-0000-0000D1540000}"/>
    <cellStyle name="Normal 2 4 3" xfId="3484" xr:uid="{00000000-0005-0000-0000-0000D2540000}"/>
    <cellStyle name="Normal 2 4 4" xfId="4556" xr:uid="{00000000-0005-0000-0000-0000D3540000}"/>
    <cellStyle name="Normal 2 4 5" xfId="3482" xr:uid="{00000000-0005-0000-0000-0000D4540000}"/>
    <cellStyle name="Normal 2 4 5 2" xfId="4971" xr:uid="{00000000-0005-0000-0000-0000D5540000}"/>
    <cellStyle name="Normal 2 4 5 2 2" xfId="6596" xr:uid="{00000000-0005-0000-0000-0000D6540000}"/>
    <cellStyle name="Normal 2 4 5 2 2 2" xfId="9682" xr:uid="{00000000-0005-0000-0000-0000D7540000}"/>
    <cellStyle name="Normal 2 4 5 2 2 2 2" xfId="15875" xr:uid="{00000000-0005-0000-0000-0000D8540000}"/>
    <cellStyle name="Normal 2 4 5 2 2 2 2 2" xfId="35795" xr:uid="{00000000-0005-0000-0000-0000D9540000}"/>
    <cellStyle name="Normal 2 4 5 2 2 2 3" xfId="22027" xr:uid="{00000000-0005-0000-0000-0000DA540000}"/>
    <cellStyle name="Normal 2 4 5 2 2 2 3 2" xfId="41947" xr:uid="{00000000-0005-0000-0000-0000DB540000}"/>
    <cellStyle name="Normal 2 4 5 2 2 2 4" xfId="29642" xr:uid="{00000000-0005-0000-0000-0000DC540000}"/>
    <cellStyle name="Normal 2 4 5 2 2 3" xfId="12809" xr:uid="{00000000-0005-0000-0000-0000DD540000}"/>
    <cellStyle name="Normal 2 4 5 2 2 3 2" xfId="32729" xr:uid="{00000000-0005-0000-0000-0000DE540000}"/>
    <cellStyle name="Normal 2 4 5 2 2 4" xfId="18961" xr:uid="{00000000-0005-0000-0000-0000DF540000}"/>
    <cellStyle name="Normal 2 4 5 2 2 4 2" xfId="38881" xr:uid="{00000000-0005-0000-0000-0000E0540000}"/>
    <cellStyle name="Normal 2 4 5 2 2 5" xfId="26576" xr:uid="{00000000-0005-0000-0000-0000E1540000}"/>
    <cellStyle name="Normal 2 4 5 2 3" xfId="8147" xr:uid="{00000000-0005-0000-0000-0000E2540000}"/>
    <cellStyle name="Normal 2 4 5 2 3 2" xfId="14341" xr:uid="{00000000-0005-0000-0000-0000E3540000}"/>
    <cellStyle name="Normal 2 4 5 2 3 2 2" xfId="34261" xr:uid="{00000000-0005-0000-0000-0000E4540000}"/>
    <cellStyle name="Normal 2 4 5 2 3 3" xfId="20493" xr:uid="{00000000-0005-0000-0000-0000E5540000}"/>
    <cellStyle name="Normal 2 4 5 2 3 3 2" xfId="40413" xr:uid="{00000000-0005-0000-0000-0000E6540000}"/>
    <cellStyle name="Normal 2 4 5 2 3 4" xfId="28108" xr:uid="{00000000-0005-0000-0000-0000E7540000}"/>
    <cellStyle name="Normal 2 4 5 2 4" xfId="11275" xr:uid="{00000000-0005-0000-0000-0000E8540000}"/>
    <cellStyle name="Normal 2 4 5 2 4 2" xfId="31195" xr:uid="{00000000-0005-0000-0000-0000E9540000}"/>
    <cellStyle name="Normal 2 4 5 2 5" xfId="17427" xr:uid="{00000000-0005-0000-0000-0000EA540000}"/>
    <cellStyle name="Normal 2 4 5 2 5 2" xfId="37347" xr:uid="{00000000-0005-0000-0000-0000EB540000}"/>
    <cellStyle name="Normal 2 4 5 2 6" xfId="25042" xr:uid="{00000000-0005-0000-0000-0000EC540000}"/>
    <cellStyle name="Normal 2 4 5 3" xfId="5813" xr:uid="{00000000-0005-0000-0000-0000ED540000}"/>
    <cellStyle name="Normal 2 4 5 3 2" xfId="8913" xr:uid="{00000000-0005-0000-0000-0000EE540000}"/>
    <cellStyle name="Normal 2 4 5 3 2 2" xfId="15106" xr:uid="{00000000-0005-0000-0000-0000EF540000}"/>
    <cellStyle name="Normal 2 4 5 3 2 2 2" xfId="35026" xr:uid="{00000000-0005-0000-0000-0000F0540000}"/>
    <cellStyle name="Normal 2 4 5 3 2 3" xfId="21258" xr:uid="{00000000-0005-0000-0000-0000F1540000}"/>
    <cellStyle name="Normal 2 4 5 3 2 3 2" xfId="41178" xr:uid="{00000000-0005-0000-0000-0000F2540000}"/>
    <cellStyle name="Normal 2 4 5 3 2 4" xfId="28873" xr:uid="{00000000-0005-0000-0000-0000F3540000}"/>
    <cellStyle name="Normal 2 4 5 3 3" xfId="12040" xr:uid="{00000000-0005-0000-0000-0000F4540000}"/>
    <cellStyle name="Normal 2 4 5 3 3 2" xfId="31960" xr:uid="{00000000-0005-0000-0000-0000F5540000}"/>
    <cellStyle name="Normal 2 4 5 3 4" xfId="18192" xr:uid="{00000000-0005-0000-0000-0000F6540000}"/>
    <cellStyle name="Normal 2 4 5 3 4 2" xfId="38112" xr:uid="{00000000-0005-0000-0000-0000F7540000}"/>
    <cellStyle name="Normal 2 4 5 3 5" xfId="25807" xr:uid="{00000000-0005-0000-0000-0000F8540000}"/>
    <cellStyle name="Normal 2 4 5 4" xfId="7378" xr:uid="{00000000-0005-0000-0000-0000F9540000}"/>
    <cellStyle name="Normal 2 4 5 4 2" xfId="13572" xr:uid="{00000000-0005-0000-0000-0000FA540000}"/>
    <cellStyle name="Normal 2 4 5 4 2 2" xfId="33492" xr:uid="{00000000-0005-0000-0000-0000FB540000}"/>
    <cellStyle name="Normal 2 4 5 4 3" xfId="19724" xr:uid="{00000000-0005-0000-0000-0000FC540000}"/>
    <cellStyle name="Normal 2 4 5 4 3 2" xfId="39644" xr:uid="{00000000-0005-0000-0000-0000FD540000}"/>
    <cellStyle name="Normal 2 4 5 4 4" xfId="27339" xr:uid="{00000000-0005-0000-0000-0000FE540000}"/>
    <cellStyle name="Normal 2 4 5 5" xfId="10506" xr:uid="{00000000-0005-0000-0000-0000FF540000}"/>
    <cellStyle name="Normal 2 4 5 5 2" xfId="30426" xr:uid="{00000000-0005-0000-0000-000000550000}"/>
    <cellStyle name="Normal 2 4 5 6" xfId="16658" xr:uid="{00000000-0005-0000-0000-000001550000}"/>
    <cellStyle name="Normal 2 4 5 6 2" xfId="36578" xr:uid="{00000000-0005-0000-0000-000002550000}"/>
    <cellStyle name="Normal 2 4 5 7" xfId="24273" xr:uid="{00000000-0005-0000-0000-000003550000}"/>
    <cellStyle name="Normal 2 5" xfId="1119" xr:uid="{00000000-0005-0000-0000-000004550000}"/>
    <cellStyle name="Normal 2 5 2" xfId="4557" xr:uid="{00000000-0005-0000-0000-000005550000}"/>
    <cellStyle name="Normal 2 5 3" xfId="3485" xr:uid="{00000000-0005-0000-0000-000006550000}"/>
    <cellStyle name="Normal 2 5 3 2" xfId="4973" xr:uid="{00000000-0005-0000-0000-000007550000}"/>
    <cellStyle name="Normal 2 5 3 2 2" xfId="6598" xr:uid="{00000000-0005-0000-0000-000008550000}"/>
    <cellStyle name="Normal 2 5 3 2 2 2" xfId="9684" xr:uid="{00000000-0005-0000-0000-000009550000}"/>
    <cellStyle name="Normal 2 5 3 2 2 2 2" xfId="15877" xr:uid="{00000000-0005-0000-0000-00000A550000}"/>
    <cellStyle name="Normal 2 5 3 2 2 2 2 2" xfId="35797" xr:uid="{00000000-0005-0000-0000-00000B550000}"/>
    <cellStyle name="Normal 2 5 3 2 2 2 3" xfId="22029" xr:uid="{00000000-0005-0000-0000-00000C550000}"/>
    <cellStyle name="Normal 2 5 3 2 2 2 3 2" xfId="41949" xr:uid="{00000000-0005-0000-0000-00000D550000}"/>
    <cellStyle name="Normal 2 5 3 2 2 2 4" xfId="29644" xr:uid="{00000000-0005-0000-0000-00000E550000}"/>
    <cellStyle name="Normal 2 5 3 2 2 3" xfId="12811" xr:uid="{00000000-0005-0000-0000-00000F550000}"/>
    <cellStyle name="Normal 2 5 3 2 2 3 2" xfId="32731" xr:uid="{00000000-0005-0000-0000-000010550000}"/>
    <cellStyle name="Normal 2 5 3 2 2 4" xfId="18963" xr:uid="{00000000-0005-0000-0000-000011550000}"/>
    <cellStyle name="Normal 2 5 3 2 2 4 2" xfId="38883" xr:uid="{00000000-0005-0000-0000-000012550000}"/>
    <cellStyle name="Normal 2 5 3 2 2 5" xfId="26578" xr:uid="{00000000-0005-0000-0000-000013550000}"/>
    <cellStyle name="Normal 2 5 3 2 3" xfId="8149" xr:uid="{00000000-0005-0000-0000-000014550000}"/>
    <cellStyle name="Normal 2 5 3 2 3 2" xfId="14343" xr:uid="{00000000-0005-0000-0000-000015550000}"/>
    <cellStyle name="Normal 2 5 3 2 3 2 2" xfId="34263" xr:uid="{00000000-0005-0000-0000-000016550000}"/>
    <cellStyle name="Normal 2 5 3 2 3 3" xfId="20495" xr:uid="{00000000-0005-0000-0000-000017550000}"/>
    <cellStyle name="Normal 2 5 3 2 3 3 2" xfId="40415" xr:uid="{00000000-0005-0000-0000-000018550000}"/>
    <cellStyle name="Normal 2 5 3 2 3 4" xfId="28110" xr:uid="{00000000-0005-0000-0000-000019550000}"/>
    <cellStyle name="Normal 2 5 3 2 4" xfId="11277" xr:uid="{00000000-0005-0000-0000-00001A550000}"/>
    <cellStyle name="Normal 2 5 3 2 4 2" xfId="31197" xr:uid="{00000000-0005-0000-0000-00001B550000}"/>
    <cellStyle name="Normal 2 5 3 2 5" xfId="17429" xr:uid="{00000000-0005-0000-0000-00001C550000}"/>
    <cellStyle name="Normal 2 5 3 2 5 2" xfId="37349" xr:uid="{00000000-0005-0000-0000-00001D550000}"/>
    <cellStyle name="Normal 2 5 3 2 6" xfId="25044" xr:uid="{00000000-0005-0000-0000-00001E550000}"/>
    <cellStyle name="Normal 2 5 3 3" xfId="5815" xr:uid="{00000000-0005-0000-0000-00001F550000}"/>
    <cellStyle name="Normal 2 5 3 3 2" xfId="8915" xr:uid="{00000000-0005-0000-0000-000020550000}"/>
    <cellStyle name="Normal 2 5 3 3 2 2" xfId="15108" xr:uid="{00000000-0005-0000-0000-000021550000}"/>
    <cellStyle name="Normal 2 5 3 3 2 2 2" xfId="35028" xr:uid="{00000000-0005-0000-0000-000022550000}"/>
    <cellStyle name="Normal 2 5 3 3 2 3" xfId="21260" xr:uid="{00000000-0005-0000-0000-000023550000}"/>
    <cellStyle name="Normal 2 5 3 3 2 3 2" xfId="41180" xr:uid="{00000000-0005-0000-0000-000024550000}"/>
    <cellStyle name="Normal 2 5 3 3 2 4" xfId="28875" xr:uid="{00000000-0005-0000-0000-000025550000}"/>
    <cellStyle name="Normal 2 5 3 3 3" xfId="12042" xr:uid="{00000000-0005-0000-0000-000026550000}"/>
    <cellStyle name="Normal 2 5 3 3 3 2" xfId="31962" xr:uid="{00000000-0005-0000-0000-000027550000}"/>
    <cellStyle name="Normal 2 5 3 3 4" xfId="18194" xr:uid="{00000000-0005-0000-0000-000028550000}"/>
    <cellStyle name="Normal 2 5 3 3 4 2" xfId="38114" xr:uid="{00000000-0005-0000-0000-000029550000}"/>
    <cellStyle name="Normal 2 5 3 3 5" xfId="25809" xr:uid="{00000000-0005-0000-0000-00002A550000}"/>
    <cellStyle name="Normal 2 5 3 4" xfId="7380" xr:uid="{00000000-0005-0000-0000-00002B550000}"/>
    <cellStyle name="Normal 2 5 3 4 2" xfId="13574" xr:uid="{00000000-0005-0000-0000-00002C550000}"/>
    <cellStyle name="Normal 2 5 3 4 2 2" xfId="33494" xr:uid="{00000000-0005-0000-0000-00002D550000}"/>
    <cellStyle name="Normal 2 5 3 4 3" xfId="19726" xr:uid="{00000000-0005-0000-0000-00002E550000}"/>
    <cellStyle name="Normal 2 5 3 4 3 2" xfId="39646" xr:uid="{00000000-0005-0000-0000-00002F550000}"/>
    <cellStyle name="Normal 2 5 3 4 4" xfId="27341" xr:uid="{00000000-0005-0000-0000-000030550000}"/>
    <cellStyle name="Normal 2 5 3 5" xfId="10508" xr:uid="{00000000-0005-0000-0000-000031550000}"/>
    <cellStyle name="Normal 2 5 3 5 2" xfId="30428" xr:uid="{00000000-0005-0000-0000-000032550000}"/>
    <cellStyle name="Normal 2 5 3 6" xfId="16660" xr:uid="{00000000-0005-0000-0000-000033550000}"/>
    <cellStyle name="Normal 2 5 3 6 2" xfId="36580" xr:uid="{00000000-0005-0000-0000-000034550000}"/>
    <cellStyle name="Normal 2 5 3 7" xfId="24275" xr:uid="{00000000-0005-0000-0000-000035550000}"/>
    <cellStyle name="Normal 2 6" xfId="1120" xr:uid="{00000000-0005-0000-0000-000036550000}"/>
    <cellStyle name="Normal 2 6 2" xfId="4558" xr:uid="{00000000-0005-0000-0000-000037550000}"/>
    <cellStyle name="Normal 2 6 3" xfId="3486" xr:uid="{00000000-0005-0000-0000-000038550000}"/>
    <cellStyle name="Normal 2 6 3 2" xfId="4974" xr:uid="{00000000-0005-0000-0000-000039550000}"/>
    <cellStyle name="Normal 2 6 3 2 2" xfId="6599" xr:uid="{00000000-0005-0000-0000-00003A550000}"/>
    <cellStyle name="Normal 2 6 3 2 2 2" xfId="9685" xr:uid="{00000000-0005-0000-0000-00003B550000}"/>
    <cellStyle name="Normal 2 6 3 2 2 2 2" xfId="15878" xr:uid="{00000000-0005-0000-0000-00003C550000}"/>
    <cellStyle name="Normal 2 6 3 2 2 2 2 2" xfId="35798" xr:uid="{00000000-0005-0000-0000-00003D550000}"/>
    <cellStyle name="Normal 2 6 3 2 2 2 3" xfId="22030" xr:uid="{00000000-0005-0000-0000-00003E550000}"/>
    <cellStyle name="Normal 2 6 3 2 2 2 3 2" xfId="41950" xr:uid="{00000000-0005-0000-0000-00003F550000}"/>
    <cellStyle name="Normal 2 6 3 2 2 2 4" xfId="29645" xr:uid="{00000000-0005-0000-0000-000040550000}"/>
    <cellStyle name="Normal 2 6 3 2 2 3" xfId="12812" xr:uid="{00000000-0005-0000-0000-000041550000}"/>
    <cellStyle name="Normal 2 6 3 2 2 3 2" xfId="32732" xr:uid="{00000000-0005-0000-0000-000042550000}"/>
    <cellStyle name="Normal 2 6 3 2 2 4" xfId="18964" xr:uid="{00000000-0005-0000-0000-000043550000}"/>
    <cellStyle name="Normal 2 6 3 2 2 4 2" xfId="38884" xr:uid="{00000000-0005-0000-0000-000044550000}"/>
    <cellStyle name="Normal 2 6 3 2 2 5" xfId="26579" xr:uid="{00000000-0005-0000-0000-000045550000}"/>
    <cellStyle name="Normal 2 6 3 2 3" xfId="8150" xr:uid="{00000000-0005-0000-0000-000046550000}"/>
    <cellStyle name="Normal 2 6 3 2 3 2" xfId="14344" xr:uid="{00000000-0005-0000-0000-000047550000}"/>
    <cellStyle name="Normal 2 6 3 2 3 2 2" xfId="34264" xr:uid="{00000000-0005-0000-0000-000048550000}"/>
    <cellStyle name="Normal 2 6 3 2 3 3" xfId="20496" xr:uid="{00000000-0005-0000-0000-000049550000}"/>
    <cellStyle name="Normal 2 6 3 2 3 3 2" xfId="40416" xr:uid="{00000000-0005-0000-0000-00004A550000}"/>
    <cellStyle name="Normal 2 6 3 2 3 4" xfId="28111" xr:uid="{00000000-0005-0000-0000-00004B550000}"/>
    <cellStyle name="Normal 2 6 3 2 4" xfId="11278" xr:uid="{00000000-0005-0000-0000-00004C550000}"/>
    <cellStyle name="Normal 2 6 3 2 4 2" xfId="31198" xr:uid="{00000000-0005-0000-0000-00004D550000}"/>
    <cellStyle name="Normal 2 6 3 2 5" xfId="17430" xr:uid="{00000000-0005-0000-0000-00004E550000}"/>
    <cellStyle name="Normal 2 6 3 2 5 2" xfId="37350" xr:uid="{00000000-0005-0000-0000-00004F550000}"/>
    <cellStyle name="Normal 2 6 3 2 6" xfId="25045" xr:uid="{00000000-0005-0000-0000-000050550000}"/>
    <cellStyle name="Normal 2 6 3 3" xfId="5816" xr:uid="{00000000-0005-0000-0000-000051550000}"/>
    <cellStyle name="Normal 2 6 3 3 2" xfId="8916" xr:uid="{00000000-0005-0000-0000-000052550000}"/>
    <cellStyle name="Normal 2 6 3 3 2 2" xfId="15109" xr:uid="{00000000-0005-0000-0000-000053550000}"/>
    <cellStyle name="Normal 2 6 3 3 2 2 2" xfId="35029" xr:uid="{00000000-0005-0000-0000-000054550000}"/>
    <cellStyle name="Normal 2 6 3 3 2 3" xfId="21261" xr:uid="{00000000-0005-0000-0000-000055550000}"/>
    <cellStyle name="Normal 2 6 3 3 2 3 2" xfId="41181" xr:uid="{00000000-0005-0000-0000-000056550000}"/>
    <cellStyle name="Normal 2 6 3 3 2 4" xfId="28876" xr:uid="{00000000-0005-0000-0000-000057550000}"/>
    <cellStyle name="Normal 2 6 3 3 3" xfId="12043" xr:uid="{00000000-0005-0000-0000-000058550000}"/>
    <cellStyle name="Normal 2 6 3 3 3 2" xfId="31963" xr:uid="{00000000-0005-0000-0000-000059550000}"/>
    <cellStyle name="Normal 2 6 3 3 4" xfId="18195" xr:uid="{00000000-0005-0000-0000-00005A550000}"/>
    <cellStyle name="Normal 2 6 3 3 4 2" xfId="38115" xr:uid="{00000000-0005-0000-0000-00005B550000}"/>
    <cellStyle name="Normal 2 6 3 3 5" xfId="25810" xr:uid="{00000000-0005-0000-0000-00005C550000}"/>
    <cellStyle name="Normal 2 6 3 4" xfId="7381" xr:uid="{00000000-0005-0000-0000-00005D550000}"/>
    <cellStyle name="Normal 2 6 3 4 2" xfId="13575" xr:uid="{00000000-0005-0000-0000-00005E550000}"/>
    <cellStyle name="Normal 2 6 3 4 2 2" xfId="33495" xr:uid="{00000000-0005-0000-0000-00005F550000}"/>
    <cellStyle name="Normal 2 6 3 4 3" xfId="19727" xr:uid="{00000000-0005-0000-0000-000060550000}"/>
    <cellStyle name="Normal 2 6 3 4 3 2" xfId="39647" xr:uid="{00000000-0005-0000-0000-000061550000}"/>
    <cellStyle name="Normal 2 6 3 4 4" xfId="27342" xr:uid="{00000000-0005-0000-0000-000062550000}"/>
    <cellStyle name="Normal 2 6 3 5" xfId="10509" xr:uid="{00000000-0005-0000-0000-000063550000}"/>
    <cellStyle name="Normal 2 6 3 5 2" xfId="30429" xr:uid="{00000000-0005-0000-0000-000064550000}"/>
    <cellStyle name="Normal 2 6 3 6" xfId="16661" xr:uid="{00000000-0005-0000-0000-000065550000}"/>
    <cellStyle name="Normal 2 6 3 6 2" xfId="36581" xr:uid="{00000000-0005-0000-0000-000066550000}"/>
    <cellStyle name="Normal 2 6 3 7" xfId="24276" xr:uid="{00000000-0005-0000-0000-000067550000}"/>
    <cellStyle name="Normal 2 7" xfId="1121" xr:uid="{00000000-0005-0000-0000-000068550000}"/>
    <cellStyle name="Normal 2 7 2" xfId="4559" xr:uid="{00000000-0005-0000-0000-000069550000}"/>
    <cellStyle name="Normal 2 7 3" xfId="3487" xr:uid="{00000000-0005-0000-0000-00006A550000}"/>
    <cellStyle name="Normal 2 7 3 2" xfId="4975" xr:uid="{00000000-0005-0000-0000-00006B550000}"/>
    <cellStyle name="Normal 2 7 3 2 2" xfId="6600" xr:uid="{00000000-0005-0000-0000-00006C550000}"/>
    <cellStyle name="Normal 2 7 3 2 2 2" xfId="9686" xr:uid="{00000000-0005-0000-0000-00006D550000}"/>
    <cellStyle name="Normal 2 7 3 2 2 2 2" xfId="15879" xr:uid="{00000000-0005-0000-0000-00006E550000}"/>
    <cellStyle name="Normal 2 7 3 2 2 2 2 2" xfId="35799" xr:uid="{00000000-0005-0000-0000-00006F550000}"/>
    <cellStyle name="Normal 2 7 3 2 2 2 3" xfId="22031" xr:uid="{00000000-0005-0000-0000-000070550000}"/>
    <cellStyle name="Normal 2 7 3 2 2 2 3 2" xfId="41951" xr:uid="{00000000-0005-0000-0000-000071550000}"/>
    <cellStyle name="Normal 2 7 3 2 2 2 4" xfId="29646" xr:uid="{00000000-0005-0000-0000-000072550000}"/>
    <cellStyle name="Normal 2 7 3 2 2 3" xfId="12813" xr:uid="{00000000-0005-0000-0000-000073550000}"/>
    <cellStyle name="Normal 2 7 3 2 2 3 2" xfId="32733" xr:uid="{00000000-0005-0000-0000-000074550000}"/>
    <cellStyle name="Normal 2 7 3 2 2 4" xfId="18965" xr:uid="{00000000-0005-0000-0000-000075550000}"/>
    <cellStyle name="Normal 2 7 3 2 2 4 2" xfId="38885" xr:uid="{00000000-0005-0000-0000-000076550000}"/>
    <cellStyle name="Normal 2 7 3 2 2 5" xfId="26580" xr:uid="{00000000-0005-0000-0000-000077550000}"/>
    <cellStyle name="Normal 2 7 3 2 3" xfId="8151" xr:uid="{00000000-0005-0000-0000-000078550000}"/>
    <cellStyle name="Normal 2 7 3 2 3 2" xfId="14345" xr:uid="{00000000-0005-0000-0000-000079550000}"/>
    <cellStyle name="Normal 2 7 3 2 3 2 2" xfId="34265" xr:uid="{00000000-0005-0000-0000-00007A550000}"/>
    <cellStyle name="Normal 2 7 3 2 3 3" xfId="20497" xr:uid="{00000000-0005-0000-0000-00007B550000}"/>
    <cellStyle name="Normal 2 7 3 2 3 3 2" xfId="40417" xr:uid="{00000000-0005-0000-0000-00007C550000}"/>
    <cellStyle name="Normal 2 7 3 2 3 4" xfId="28112" xr:uid="{00000000-0005-0000-0000-00007D550000}"/>
    <cellStyle name="Normal 2 7 3 2 4" xfId="11279" xr:uid="{00000000-0005-0000-0000-00007E550000}"/>
    <cellStyle name="Normal 2 7 3 2 4 2" xfId="31199" xr:uid="{00000000-0005-0000-0000-00007F550000}"/>
    <cellStyle name="Normal 2 7 3 2 5" xfId="17431" xr:uid="{00000000-0005-0000-0000-000080550000}"/>
    <cellStyle name="Normal 2 7 3 2 5 2" xfId="37351" xr:uid="{00000000-0005-0000-0000-000081550000}"/>
    <cellStyle name="Normal 2 7 3 2 6" xfId="25046" xr:uid="{00000000-0005-0000-0000-000082550000}"/>
    <cellStyle name="Normal 2 7 3 3" xfId="5817" xr:uid="{00000000-0005-0000-0000-000083550000}"/>
    <cellStyle name="Normal 2 7 3 3 2" xfId="8917" xr:uid="{00000000-0005-0000-0000-000084550000}"/>
    <cellStyle name="Normal 2 7 3 3 2 2" xfId="15110" xr:uid="{00000000-0005-0000-0000-000085550000}"/>
    <cellStyle name="Normal 2 7 3 3 2 2 2" xfId="35030" xr:uid="{00000000-0005-0000-0000-000086550000}"/>
    <cellStyle name="Normal 2 7 3 3 2 3" xfId="21262" xr:uid="{00000000-0005-0000-0000-000087550000}"/>
    <cellStyle name="Normal 2 7 3 3 2 3 2" xfId="41182" xr:uid="{00000000-0005-0000-0000-000088550000}"/>
    <cellStyle name="Normal 2 7 3 3 2 4" xfId="28877" xr:uid="{00000000-0005-0000-0000-000089550000}"/>
    <cellStyle name="Normal 2 7 3 3 3" xfId="12044" xr:uid="{00000000-0005-0000-0000-00008A550000}"/>
    <cellStyle name="Normal 2 7 3 3 3 2" xfId="31964" xr:uid="{00000000-0005-0000-0000-00008B550000}"/>
    <cellStyle name="Normal 2 7 3 3 4" xfId="18196" xr:uid="{00000000-0005-0000-0000-00008C550000}"/>
    <cellStyle name="Normal 2 7 3 3 4 2" xfId="38116" xr:uid="{00000000-0005-0000-0000-00008D550000}"/>
    <cellStyle name="Normal 2 7 3 3 5" xfId="25811" xr:uid="{00000000-0005-0000-0000-00008E550000}"/>
    <cellStyle name="Normal 2 7 3 4" xfId="7382" xr:uid="{00000000-0005-0000-0000-00008F550000}"/>
    <cellStyle name="Normal 2 7 3 4 2" xfId="13576" xr:uid="{00000000-0005-0000-0000-000090550000}"/>
    <cellStyle name="Normal 2 7 3 4 2 2" xfId="33496" xr:uid="{00000000-0005-0000-0000-000091550000}"/>
    <cellStyle name="Normal 2 7 3 4 3" xfId="19728" xr:uid="{00000000-0005-0000-0000-000092550000}"/>
    <cellStyle name="Normal 2 7 3 4 3 2" xfId="39648" xr:uid="{00000000-0005-0000-0000-000093550000}"/>
    <cellStyle name="Normal 2 7 3 4 4" xfId="27343" xr:uid="{00000000-0005-0000-0000-000094550000}"/>
    <cellStyle name="Normal 2 7 3 5" xfId="10510" xr:uid="{00000000-0005-0000-0000-000095550000}"/>
    <cellStyle name="Normal 2 7 3 5 2" xfId="30430" xr:uid="{00000000-0005-0000-0000-000096550000}"/>
    <cellStyle name="Normal 2 7 3 6" xfId="16662" xr:uid="{00000000-0005-0000-0000-000097550000}"/>
    <cellStyle name="Normal 2 7 3 6 2" xfId="36582" xr:uid="{00000000-0005-0000-0000-000098550000}"/>
    <cellStyle name="Normal 2 7 3 7" xfId="24277" xr:uid="{00000000-0005-0000-0000-000099550000}"/>
    <cellStyle name="Normal 2 8" xfId="1122" xr:uid="{00000000-0005-0000-0000-00009A550000}"/>
    <cellStyle name="Normal 2 8 2" xfId="4560" xr:uid="{00000000-0005-0000-0000-00009B550000}"/>
    <cellStyle name="Normal 2 8 3" xfId="3488" xr:uid="{00000000-0005-0000-0000-00009C550000}"/>
    <cellStyle name="Normal 2 8 3 2" xfId="4976" xr:uid="{00000000-0005-0000-0000-00009D550000}"/>
    <cellStyle name="Normal 2 8 3 2 2" xfId="6601" xr:uid="{00000000-0005-0000-0000-00009E550000}"/>
    <cellStyle name="Normal 2 8 3 2 2 2" xfId="9687" xr:uid="{00000000-0005-0000-0000-00009F550000}"/>
    <cellStyle name="Normal 2 8 3 2 2 2 2" xfId="15880" xr:uid="{00000000-0005-0000-0000-0000A0550000}"/>
    <cellStyle name="Normal 2 8 3 2 2 2 2 2" xfId="35800" xr:uid="{00000000-0005-0000-0000-0000A1550000}"/>
    <cellStyle name="Normal 2 8 3 2 2 2 3" xfId="22032" xr:uid="{00000000-0005-0000-0000-0000A2550000}"/>
    <cellStyle name="Normal 2 8 3 2 2 2 3 2" xfId="41952" xr:uid="{00000000-0005-0000-0000-0000A3550000}"/>
    <cellStyle name="Normal 2 8 3 2 2 2 4" xfId="29647" xr:uid="{00000000-0005-0000-0000-0000A4550000}"/>
    <cellStyle name="Normal 2 8 3 2 2 3" xfId="12814" xr:uid="{00000000-0005-0000-0000-0000A5550000}"/>
    <cellStyle name="Normal 2 8 3 2 2 3 2" xfId="32734" xr:uid="{00000000-0005-0000-0000-0000A6550000}"/>
    <cellStyle name="Normal 2 8 3 2 2 4" xfId="18966" xr:uid="{00000000-0005-0000-0000-0000A7550000}"/>
    <cellStyle name="Normal 2 8 3 2 2 4 2" xfId="38886" xr:uid="{00000000-0005-0000-0000-0000A8550000}"/>
    <cellStyle name="Normal 2 8 3 2 2 5" xfId="26581" xr:uid="{00000000-0005-0000-0000-0000A9550000}"/>
    <cellStyle name="Normal 2 8 3 2 3" xfId="8152" xr:uid="{00000000-0005-0000-0000-0000AA550000}"/>
    <cellStyle name="Normal 2 8 3 2 3 2" xfId="14346" xr:uid="{00000000-0005-0000-0000-0000AB550000}"/>
    <cellStyle name="Normal 2 8 3 2 3 2 2" xfId="34266" xr:uid="{00000000-0005-0000-0000-0000AC550000}"/>
    <cellStyle name="Normal 2 8 3 2 3 3" xfId="20498" xr:uid="{00000000-0005-0000-0000-0000AD550000}"/>
    <cellStyle name="Normal 2 8 3 2 3 3 2" xfId="40418" xr:uid="{00000000-0005-0000-0000-0000AE550000}"/>
    <cellStyle name="Normal 2 8 3 2 3 4" xfId="28113" xr:uid="{00000000-0005-0000-0000-0000AF550000}"/>
    <cellStyle name="Normal 2 8 3 2 4" xfId="11280" xr:uid="{00000000-0005-0000-0000-0000B0550000}"/>
    <cellStyle name="Normal 2 8 3 2 4 2" xfId="31200" xr:uid="{00000000-0005-0000-0000-0000B1550000}"/>
    <cellStyle name="Normal 2 8 3 2 5" xfId="17432" xr:uid="{00000000-0005-0000-0000-0000B2550000}"/>
    <cellStyle name="Normal 2 8 3 2 5 2" xfId="37352" xr:uid="{00000000-0005-0000-0000-0000B3550000}"/>
    <cellStyle name="Normal 2 8 3 2 6" xfId="25047" xr:uid="{00000000-0005-0000-0000-0000B4550000}"/>
    <cellStyle name="Normal 2 8 3 3" xfId="5818" xr:uid="{00000000-0005-0000-0000-0000B5550000}"/>
    <cellStyle name="Normal 2 8 3 3 2" xfId="8918" xr:uid="{00000000-0005-0000-0000-0000B6550000}"/>
    <cellStyle name="Normal 2 8 3 3 2 2" xfId="15111" xr:uid="{00000000-0005-0000-0000-0000B7550000}"/>
    <cellStyle name="Normal 2 8 3 3 2 2 2" xfId="35031" xr:uid="{00000000-0005-0000-0000-0000B8550000}"/>
    <cellStyle name="Normal 2 8 3 3 2 3" xfId="21263" xr:uid="{00000000-0005-0000-0000-0000B9550000}"/>
    <cellStyle name="Normal 2 8 3 3 2 3 2" xfId="41183" xr:uid="{00000000-0005-0000-0000-0000BA550000}"/>
    <cellStyle name="Normal 2 8 3 3 2 4" xfId="28878" xr:uid="{00000000-0005-0000-0000-0000BB550000}"/>
    <cellStyle name="Normal 2 8 3 3 3" xfId="12045" xr:uid="{00000000-0005-0000-0000-0000BC550000}"/>
    <cellStyle name="Normal 2 8 3 3 3 2" xfId="31965" xr:uid="{00000000-0005-0000-0000-0000BD550000}"/>
    <cellStyle name="Normal 2 8 3 3 4" xfId="18197" xr:uid="{00000000-0005-0000-0000-0000BE550000}"/>
    <cellStyle name="Normal 2 8 3 3 4 2" xfId="38117" xr:uid="{00000000-0005-0000-0000-0000BF550000}"/>
    <cellStyle name="Normal 2 8 3 3 5" xfId="25812" xr:uid="{00000000-0005-0000-0000-0000C0550000}"/>
    <cellStyle name="Normal 2 8 3 4" xfId="7383" xr:uid="{00000000-0005-0000-0000-0000C1550000}"/>
    <cellStyle name="Normal 2 8 3 4 2" xfId="13577" xr:uid="{00000000-0005-0000-0000-0000C2550000}"/>
    <cellStyle name="Normal 2 8 3 4 2 2" xfId="33497" xr:uid="{00000000-0005-0000-0000-0000C3550000}"/>
    <cellStyle name="Normal 2 8 3 4 3" xfId="19729" xr:uid="{00000000-0005-0000-0000-0000C4550000}"/>
    <cellStyle name="Normal 2 8 3 4 3 2" xfId="39649" xr:uid="{00000000-0005-0000-0000-0000C5550000}"/>
    <cellStyle name="Normal 2 8 3 4 4" xfId="27344" xr:uid="{00000000-0005-0000-0000-0000C6550000}"/>
    <cellStyle name="Normal 2 8 3 5" xfId="10511" xr:uid="{00000000-0005-0000-0000-0000C7550000}"/>
    <cellStyle name="Normal 2 8 3 5 2" xfId="30431" xr:uid="{00000000-0005-0000-0000-0000C8550000}"/>
    <cellStyle name="Normal 2 8 3 6" xfId="16663" xr:uid="{00000000-0005-0000-0000-0000C9550000}"/>
    <cellStyle name="Normal 2 8 3 6 2" xfId="36583" xr:uid="{00000000-0005-0000-0000-0000CA550000}"/>
    <cellStyle name="Normal 2 8 3 7" xfId="24278" xr:uid="{00000000-0005-0000-0000-0000CB550000}"/>
    <cellStyle name="Normal 2 9" xfId="1123" xr:uid="{00000000-0005-0000-0000-0000CC550000}"/>
    <cellStyle name="Normal 2 9 2" xfId="4561" xr:uid="{00000000-0005-0000-0000-0000CD550000}"/>
    <cellStyle name="Normal 2 9 3" xfId="3489" xr:uid="{00000000-0005-0000-0000-0000CE550000}"/>
    <cellStyle name="Normal 2 9 3 2" xfId="4977" xr:uid="{00000000-0005-0000-0000-0000CF550000}"/>
    <cellStyle name="Normal 2 9 3 2 2" xfId="6602" xr:uid="{00000000-0005-0000-0000-0000D0550000}"/>
    <cellStyle name="Normal 2 9 3 2 2 2" xfId="9688" xr:uid="{00000000-0005-0000-0000-0000D1550000}"/>
    <cellStyle name="Normal 2 9 3 2 2 2 2" xfId="15881" xr:uid="{00000000-0005-0000-0000-0000D2550000}"/>
    <cellStyle name="Normal 2 9 3 2 2 2 2 2" xfId="35801" xr:uid="{00000000-0005-0000-0000-0000D3550000}"/>
    <cellStyle name="Normal 2 9 3 2 2 2 3" xfId="22033" xr:uid="{00000000-0005-0000-0000-0000D4550000}"/>
    <cellStyle name="Normal 2 9 3 2 2 2 3 2" xfId="41953" xr:uid="{00000000-0005-0000-0000-0000D5550000}"/>
    <cellStyle name="Normal 2 9 3 2 2 2 4" xfId="29648" xr:uid="{00000000-0005-0000-0000-0000D6550000}"/>
    <cellStyle name="Normal 2 9 3 2 2 3" xfId="12815" xr:uid="{00000000-0005-0000-0000-0000D7550000}"/>
    <cellStyle name="Normal 2 9 3 2 2 3 2" xfId="32735" xr:uid="{00000000-0005-0000-0000-0000D8550000}"/>
    <cellStyle name="Normal 2 9 3 2 2 4" xfId="18967" xr:uid="{00000000-0005-0000-0000-0000D9550000}"/>
    <cellStyle name="Normal 2 9 3 2 2 4 2" xfId="38887" xr:uid="{00000000-0005-0000-0000-0000DA550000}"/>
    <cellStyle name="Normal 2 9 3 2 2 5" xfId="26582" xr:uid="{00000000-0005-0000-0000-0000DB550000}"/>
    <cellStyle name="Normal 2 9 3 2 3" xfId="8153" xr:uid="{00000000-0005-0000-0000-0000DC550000}"/>
    <cellStyle name="Normal 2 9 3 2 3 2" xfId="14347" xr:uid="{00000000-0005-0000-0000-0000DD550000}"/>
    <cellStyle name="Normal 2 9 3 2 3 2 2" xfId="34267" xr:uid="{00000000-0005-0000-0000-0000DE550000}"/>
    <cellStyle name="Normal 2 9 3 2 3 3" xfId="20499" xr:uid="{00000000-0005-0000-0000-0000DF550000}"/>
    <cellStyle name="Normal 2 9 3 2 3 3 2" xfId="40419" xr:uid="{00000000-0005-0000-0000-0000E0550000}"/>
    <cellStyle name="Normal 2 9 3 2 3 4" xfId="28114" xr:uid="{00000000-0005-0000-0000-0000E1550000}"/>
    <cellStyle name="Normal 2 9 3 2 4" xfId="11281" xr:uid="{00000000-0005-0000-0000-0000E2550000}"/>
    <cellStyle name="Normal 2 9 3 2 4 2" xfId="31201" xr:uid="{00000000-0005-0000-0000-0000E3550000}"/>
    <cellStyle name="Normal 2 9 3 2 5" xfId="17433" xr:uid="{00000000-0005-0000-0000-0000E4550000}"/>
    <cellStyle name="Normal 2 9 3 2 5 2" xfId="37353" xr:uid="{00000000-0005-0000-0000-0000E5550000}"/>
    <cellStyle name="Normal 2 9 3 2 6" xfId="25048" xr:uid="{00000000-0005-0000-0000-0000E6550000}"/>
    <cellStyle name="Normal 2 9 3 3" xfId="5819" xr:uid="{00000000-0005-0000-0000-0000E7550000}"/>
    <cellStyle name="Normal 2 9 3 3 2" xfId="8919" xr:uid="{00000000-0005-0000-0000-0000E8550000}"/>
    <cellStyle name="Normal 2 9 3 3 2 2" xfId="15112" xr:uid="{00000000-0005-0000-0000-0000E9550000}"/>
    <cellStyle name="Normal 2 9 3 3 2 2 2" xfId="35032" xr:uid="{00000000-0005-0000-0000-0000EA550000}"/>
    <cellStyle name="Normal 2 9 3 3 2 3" xfId="21264" xr:uid="{00000000-0005-0000-0000-0000EB550000}"/>
    <cellStyle name="Normal 2 9 3 3 2 3 2" xfId="41184" xr:uid="{00000000-0005-0000-0000-0000EC550000}"/>
    <cellStyle name="Normal 2 9 3 3 2 4" xfId="28879" xr:uid="{00000000-0005-0000-0000-0000ED550000}"/>
    <cellStyle name="Normal 2 9 3 3 3" xfId="12046" xr:uid="{00000000-0005-0000-0000-0000EE550000}"/>
    <cellStyle name="Normal 2 9 3 3 3 2" xfId="31966" xr:uid="{00000000-0005-0000-0000-0000EF550000}"/>
    <cellStyle name="Normal 2 9 3 3 4" xfId="18198" xr:uid="{00000000-0005-0000-0000-0000F0550000}"/>
    <cellStyle name="Normal 2 9 3 3 4 2" xfId="38118" xr:uid="{00000000-0005-0000-0000-0000F1550000}"/>
    <cellStyle name="Normal 2 9 3 3 5" xfId="25813" xr:uid="{00000000-0005-0000-0000-0000F2550000}"/>
    <cellStyle name="Normal 2 9 3 4" xfId="7384" xr:uid="{00000000-0005-0000-0000-0000F3550000}"/>
    <cellStyle name="Normal 2 9 3 4 2" xfId="13578" xr:uid="{00000000-0005-0000-0000-0000F4550000}"/>
    <cellStyle name="Normal 2 9 3 4 2 2" xfId="33498" xr:uid="{00000000-0005-0000-0000-0000F5550000}"/>
    <cellStyle name="Normal 2 9 3 4 3" xfId="19730" xr:uid="{00000000-0005-0000-0000-0000F6550000}"/>
    <cellStyle name="Normal 2 9 3 4 3 2" xfId="39650" xr:uid="{00000000-0005-0000-0000-0000F7550000}"/>
    <cellStyle name="Normal 2 9 3 4 4" xfId="27345" xr:uid="{00000000-0005-0000-0000-0000F8550000}"/>
    <cellStyle name="Normal 2 9 3 5" xfId="10512" xr:uid="{00000000-0005-0000-0000-0000F9550000}"/>
    <cellStyle name="Normal 2 9 3 5 2" xfId="30432" xr:uid="{00000000-0005-0000-0000-0000FA550000}"/>
    <cellStyle name="Normal 2 9 3 6" xfId="16664" xr:uid="{00000000-0005-0000-0000-0000FB550000}"/>
    <cellStyle name="Normal 2 9 3 6 2" xfId="36584" xr:uid="{00000000-0005-0000-0000-0000FC550000}"/>
    <cellStyle name="Normal 2 9 3 7" xfId="24279" xr:uid="{00000000-0005-0000-0000-0000FD550000}"/>
    <cellStyle name="Normal 20" xfId="285" xr:uid="{00000000-0005-0000-0000-0000FE550000}"/>
    <cellStyle name="Normal 20 10" xfId="3491" xr:uid="{00000000-0005-0000-0000-0000FF550000}"/>
    <cellStyle name="Normal 20 11" xfId="3492" xr:uid="{00000000-0005-0000-0000-000000560000}"/>
    <cellStyle name="Normal 20 12" xfId="3493" xr:uid="{00000000-0005-0000-0000-000001560000}"/>
    <cellStyle name="Normal 20 13" xfId="3494" xr:uid="{00000000-0005-0000-0000-000002560000}"/>
    <cellStyle name="Normal 20 14" xfId="3495" xr:uid="{00000000-0005-0000-0000-000003560000}"/>
    <cellStyle name="Normal 20 15" xfId="3496" xr:uid="{00000000-0005-0000-0000-000004560000}"/>
    <cellStyle name="Normal 20 16" xfId="3497" xr:uid="{00000000-0005-0000-0000-000005560000}"/>
    <cellStyle name="Normal 20 17" xfId="3498" xr:uid="{00000000-0005-0000-0000-000006560000}"/>
    <cellStyle name="Normal 20 18" xfId="3499" xr:uid="{00000000-0005-0000-0000-000007560000}"/>
    <cellStyle name="Normal 20 19" xfId="3500" xr:uid="{00000000-0005-0000-0000-000008560000}"/>
    <cellStyle name="Normal 20 2" xfId="3501" xr:uid="{00000000-0005-0000-0000-000009560000}"/>
    <cellStyle name="Normal 20 20" xfId="3502" xr:uid="{00000000-0005-0000-0000-00000A560000}"/>
    <cellStyle name="Normal 20 21" xfId="3503" xr:uid="{00000000-0005-0000-0000-00000B560000}"/>
    <cellStyle name="Normal 20 22" xfId="3504" xr:uid="{00000000-0005-0000-0000-00000C560000}"/>
    <cellStyle name="Normal 20 23" xfId="3505" xr:uid="{00000000-0005-0000-0000-00000D560000}"/>
    <cellStyle name="Normal 20 24" xfId="3506" xr:uid="{00000000-0005-0000-0000-00000E560000}"/>
    <cellStyle name="Normal 20 25" xfId="3490" xr:uid="{00000000-0005-0000-0000-00000F560000}"/>
    <cellStyle name="Normal 20 3" xfId="3507" xr:uid="{00000000-0005-0000-0000-000010560000}"/>
    <cellStyle name="Normal 20 4" xfId="3508" xr:uid="{00000000-0005-0000-0000-000011560000}"/>
    <cellStyle name="Normal 20 5" xfId="3509" xr:uid="{00000000-0005-0000-0000-000012560000}"/>
    <cellStyle name="Normal 20 6" xfId="3510" xr:uid="{00000000-0005-0000-0000-000013560000}"/>
    <cellStyle name="Normal 20 7" xfId="3511" xr:uid="{00000000-0005-0000-0000-000014560000}"/>
    <cellStyle name="Normal 20 8" xfId="3512" xr:uid="{00000000-0005-0000-0000-000015560000}"/>
    <cellStyle name="Normal 20 9" xfId="3513" xr:uid="{00000000-0005-0000-0000-000016560000}"/>
    <cellStyle name="Normal 21" xfId="297" xr:uid="{00000000-0005-0000-0000-000017560000}"/>
    <cellStyle name="Normal 21 10" xfId="5820" xr:uid="{00000000-0005-0000-0000-000018560000}"/>
    <cellStyle name="Normal 21 10 2" xfId="8920" xr:uid="{00000000-0005-0000-0000-000019560000}"/>
    <cellStyle name="Normal 21 10 2 2" xfId="15113" xr:uid="{00000000-0005-0000-0000-00001A560000}"/>
    <cellStyle name="Normal 21 10 2 2 2" xfId="35033" xr:uid="{00000000-0005-0000-0000-00001B560000}"/>
    <cellStyle name="Normal 21 10 2 3" xfId="21265" xr:uid="{00000000-0005-0000-0000-00001C560000}"/>
    <cellStyle name="Normal 21 10 2 3 2" xfId="41185" xr:uid="{00000000-0005-0000-0000-00001D560000}"/>
    <cellStyle name="Normal 21 10 2 4" xfId="28880" xr:uid="{00000000-0005-0000-0000-00001E560000}"/>
    <cellStyle name="Normal 21 10 3" xfId="12047" xr:uid="{00000000-0005-0000-0000-00001F560000}"/>
    <cellStyle name="Normal 21 10 3 2" xfId="31967" xr:uid="{00000000-0005-0000-0000-000020560000}"/>
    <cellStyle name="Normal 21 10 4" xfId="18199" xr:uid="{00000000-0005-0000-0000-000021560000}"/>
    <cellStyle name="Normal 21 10 4 2" xfId="38119" xr:uid="{00000000-0005-0000-0000-000022560000}"/>
    <cellStyle name="Normal 21 10 5" xfId="25814" xr:uid="{00000000-0005-0000-0000-000023560000}"/>
    <cellStyle name="Normal 21 11" xfId="7385" xr:uid="{00000000-0005-0000-0000-000024560000}"/>
    <cellStyle name="Normal 21 11 2" xfId="13579" xr:uid="{00000000-0005-0000-0000-000025560000}"/>
    <cellStyle name="Normal 21 11 2 2" xfId="33499" xr:uid="{00000000-0005-0000-0000-000026560000}"/>
    <cellStyle name="Normal 21 11 3" xfId="19731" xr:uid="{00000000-0005-0000-0000-000027560000}"/>
    <cellStyle name="Normal 21 11 3 2" xfId="39651" xr:uid="{00000000-0005-0000-0000-000028560000}"/>
    <cellStyle name="Normal 21 11 4" xfId="27346" xr:uid="{00000000-0005-0000-0000-000029560000}"/>
    <cellStyle name="Normal 21 12" xfId="10513" xr:uid="{00000000-0005-0000-0000-00002A560000}"/>
    <cellStyle name="Normal 21 12 2" xfId="30433" xr:uid="{00000000-0005-0000-0000-00002B560000}"/>
    <cellStyle name="Normal 21 13" xfId="16665" xr:uid="{00000000-0005-0000-0000-00002C560000}"/>
    <cellStyle name="Normal 21 13 2" xfId="36585" xr:uid="{00000000-0005-0000-0000-00002D560000}"/>
    <cellStyle name="Normal 21 14" xfId="3514" xr:uid="{00000000-0005-0000-0000-00002E560000}"/>
    <cellStyle name="Normal 21 14 2" xfId="24280" xr:uid="{00000000-0005-0000-0000-00002F560000}"/>
    <cellStyle name="Normal 21 2" xfId="3515" xr:uid="{00000000-0005-0000-0000-000030560000}"/>
    <cellStyle name="Normal 21 2 10" xfId="10514" xr:uid="{00000000-0005-0000-0000-000031560000}"/>
    <cellStyle name="Normal 21 2 10 2" xfId="30434" xr:uid="{00000000-0005-0000-0000-000032560000}"/>
    <cellStyle name="Normal 21 2 11" xfId="16666" xr:uid="{00000000-0005-0000-0000-000033560000}"/>
    <cellStyle name="Normal 21 2 11 2" xfId="36586" xr:uid="{00000000-0005-0000-0000-000034560000}"/>
    <cellStyle name="Normal 21 2 12" xfId="24281" xr:uid="{00000000-0005-0000-0000-000035560000}"/>
    <cellStyle name="Normal 21 2 2" xfId="3516" xr:uid="{00000000-0005-0000-0000-000036560000}"/>
    <cellStyle name="Normal 21 2 2 2" xfId="4980" xr:uid="{00000000-0005-0000-0000-000037560000}"/>
    <cellStyle name="Normal 21 2 2 2 2" xfId="6605" xr:uid="{00000000-0005-0000-0000-000038560000}"/>
    <cellStyle name="Normal 21 2 2 2 2 2" xfId="9691" xr:uid="{00000000-0005-0000-0000-000039560000}"/>
    <cellStyle name="Normal 21 2 2 2 2 2 2" xfId="15884" xr:uid="{00000000-0005-0000-0000-00003A560000}"/>
    <cellStyle name="Normal 21 2 2 2 2 2 2 2" xfId="35804" xr:uid="{00000000-0005-0000-0000-00003B560000}"/>
    <cellStyle name="Normal 21 2 2 2 2 2 3" xfId="22036" xr:uid="{00000000-0005-0000-0000-00003C560000}"/>
    <cellStyle name="Normal 21 2 2 2 2 2 3 2" xfId="41956" xr:uid="{00000000-0005-0000-0000-00003D560000}"/>
    <cellStyle name="Normal 21 2 2 2 2 2 4" xfId="29651" xr:uid="{00000000-0005-0000-0000-00003E560000}"/>
    <cellStyle name="Normal 21 2 2 2 2 3" xfId="12818" xr:uid="{00000000-0005-0000-0000-00003F560000}"/>
    <cellStyle name="Normal 21 2 2 2 2 3 2" xfId="32738" xr:uid="{00000000-0005-0000-0000-000040560000}"/>
    <cellStyle name="Normal 21 2 2 2 2 4" xfId="18970" xr:uid="{00000000-0005-0000-0000-000041560000}"/>
    <cellStyle name="Normal 21 2 2 2 2 4 2" xfId="38890" xr:uid="{00000000-0005-0000-0000-000042560000}"/>
    <cellStyle name="Normal 21 2 2 2 2 5" xfId="26585" xr:uid="{00000000-0005-0000-0000-000043560000}"/>
    <cellStyle name="Normal 21 2 2 2 3" xfId="8156" xr:uid="{00000000-0005-0000-0000-000044560000}"/>
    <cellStyle name="Normal 21 2 2 2 3 2" xfId="14350" xr:uid="{00000000-0005-0000-0000-000045560000}"/>
    <cellStyle name="Normal 21 2 2 2 3 2 2" xfId="34270" xr:uid="{00000000-0005-0000-0000-000046560000}"/>
    <cellStyle name="Normal 21 2 2 2 3 3" xfId="20502" xr:uid="{00000000-0005-0000-0000-000047560000}"/>
    <cellStyle name="Normal 21 2 2 2 3 3 2" xfId="40422" xr:uid="{00000000-0005-0000-0000-000048560000}"/>
    <cellStyle name="Normal 21 2 2 2 3 4" xfId="28117" xr:uid="{00000000-0005-0000-0000-000049560000}"/>
    <cellStyle name="Normal 21 2 2 2 4" xfId="11284" xr:uid="{00000000-0005-0000-0000-00004A560000}"/>
    <cellStyle name="Normal 21 2 2 2 4 2" xfId="31204" xr:uid="{00000000-0005-0000-0000-00004B560000}"/>
    <cellStyle name="Normal 21 2 2 2 5" xfId="17436" xr:uid="{00000000-0005-0000-0000-00004C560000}"/>
    <cellStyle name="Normal 21 2 2 2 5 2" xfId="37356" xr:uid="{00000000-0005-0000-0000-00004D560000}"/>
    <cellStyle name="Normal 21 2 2 2 6" xfId="25051" xr:uid="{00000000-0005-0000-0000-00004E560000}"/>
    <cellStyle name="Normal 21 2 2 3" xfId="5822" xr:uid="{00000000-0005-0000-0000-00004F560000}"/>
    <cellStyle name="Normal 21 2 2 3 2" xfId="8922" xr:uid="{00000000-0005-0000-0000-000050560000}"/>
    <cellStyle name="Normal 21 2 2 3 2 2" xfId="15115" xr:uid="{00000000-0005-0000-0000-000051560000}"/>
    <cellStyle name="Normal 21 2 2 3 2 2 2" xfId="35035" xr:uid="{00000000-0005-0000-0000-000052560000}"/>
    <cellStyle name="Normal 21 2 2 3 2 3" xfId="21267" xr:uid="{00000000-0005-0000-0000-000053560000}"/>
    <cellStyle name="Normal 21 2 2 3 2 3 2" xfId="41187" xr:uid="{00000000-0005-0000-0000-000054560000}"/>
    <cellStyle name="Normal 21 2 2 3 2 4" xfId="28882" xr:uid="{00000000-0005-0000-0000-000055560000}"/>
    <cellStyle name="Normal 21 2 2 3 3" xfId="12049" xr:uid="{00000000-0005-0000-0000-000056560000}"/>
    <cellStyle name="Normal 21 2 2 3 3 2" xfId="31969" xr:uid="{00000000-0005-0000-0000-000057560000}"/>
    <cellStyle name="Normal 21 2 2 3 4" xfId="18201" xr:uid="{00000000-0005-0000-0000-000058560000}"/>
    <cellStyle name="Normal 21 2 2 3 4 2" xfId="38121" xr:uid="{00000000-0005-0000-0000-000059560000}"/>
    <cellStyle name="Normal 21 2 2 3 5" xfId="25816" xr:uid="{00000000-0005-0000-0000-00005A560000}"/>
    <cellStyle name="Normal 21 2 2 4" xfId="7387" xr:uid="{00000000-0005-0000-0000-00005B560000}"/>
    <cellStyle name="Normal 21 2 2 4 2" xfId="13581" xr:uid="{00000000-0005-0000-0000-00005C560000}"/>
    <cellStyle name="Normal 21 2 2 4 2 2" xfId="33501" xr:uid="{00000000-0005-0000-0000-00005D560000}"/>
    <cellStyle name="Normal 21 2 2 4 3" xfId="19733" xr:uid="{00000000-0005-0000-0000-00005E560000}"/>
    <cellStyle name="Normal 21 2 2 4 3 2" xfId="39653" xr:uid="{00000000-0005-0000-0000-00005F560000}"/>
    <cellStyle name="Normal 21 2 2 4 4" xfId="27348" xr:uid="{00000000-0005-0000-0000-000060560000}"/>
    <cellStyle name="Normal 21 2 2 5" xfId="10515" xr:uid="{00000000-0005-0000-0000-000061560000}"/>
    <cellStyle name="Normal 21 2 2 5 2" xfId="30435" xr:uid="{00000000-0005-0000-0000-000062560000}"/>
    <cellStyle name="Normal 21 2 2 6" xfId="16667" xr:uid="{00000000-0005-0000-0000-000063560000}"/>
    <cellStyle name="Normal 21 2 2 6 2" xfId="36587" xr:uid="{00000000-0005-0000-0000-000064560000}"/>
    <cellStyle name="Normal 21 2 2 7" xfId="24282" xr:uid="{00000000-0005-0000-0000-000065560000}"/>
    <cellStyle name="Normal 21 2 3" xfId="3517" xr:uid="{00000000-0005-0000-0000-000066560000}"/>
    <cellStyle name="Normal 21 2 3 2" xfId="4981" xr:uid="{00000000-0005-0000-0000-000067560000}"/>
    <cellStyle name="Normal 21 2 3 2 2" xfId="6606" xr:uid="{00000000-0005-0000-0000-000068560000}"/>
    <cellStyle name="Normal 21 2 3 2 2 2" xfId="9692" xr:uid="{00000000-0005-0000-0000-000069560000}"/>
    <cellStyle name="Normal 21 2 3 2 2 2 2" xfId="15885" xr:uid="{00000000-0005-0000-0000-00006A560000}"/>
    <cellStyle name="Normal 21 2 3 2 2 2 2 2" xfId="35805" xr:uid="{00000000-0005-0000-0000-00006B560000}"/>
    <cellStyle name="Normal 21 2 3 2 2 2 3" xfId="22037" xr:uid="{00000000-0005-0000-0000-00006C560000}"/>
    <cellStyle name="Normal 21 2 3 2 2 2 3 2" xfId="41957" xr:uid="{00000000-0005-0000-0000-00006D560000}"/>
    <cellStyle name="Normal 21 2 3 2 2 2 4" xfId="29652" xr:uid="{00000000-0005-0000-0000-00006E560000}"/>
    <cellStyle name="Normal 21 2 3 2 2 3" xfId="12819" xr:uid="{00000000-0005-0000-0000-00006F560000}"/>
    <cellStyle name="Normal 21 2 3 2 2 3 2" xfId="32739" xr:uid="{00000000-0005-0000-0000-000070560000}"/>
    <cellStyle name="Normal 21 2 3 2 2 4" xfId="18971" xr:uid="{00000000-0005-0000-0000-000071560000}"/>
    <cellStyle name="Normal 21 2 3 2 2 4 2" xfId="38891" xr:uid="{00000000-0005-0000-0000-000072560000}"/>
    <cellStyle name="Normal 21 2 3 2 2 5" xfId="26586" xr:uid="{00000000-0005-0000-0000-000073560000}"/>
    <cellStyle name="Normal 21 2 3 2 3" xfId="8157" xr:uid="{00000000-0005-0000-0000-000074560000}"/>
    <cellStyle name="Normal 21 2 3 2 3 2" xfId="14351" xr:uid="{00000000-0005-0000-0000-000075560000}"/>
    <cellStyle name="Normal 21 2 3 2 3 2 2" xfId="34271" xr:uid="{00000000-0005-0000-0000-000076560000}"/>
    <cellStyle name="Normal 21 2 3 2 3 3" xfId="20503" xr:uid="{00000000-0005-0000-0000-000077560000}"/>
    <cellStyle name="Normal 21 2 3 2 3 3 2" xfId="40423" xr:uid="{00000000-0005-0000-0000-000078560000}"/>
    <cellStyle name="Normal 21 2 3 2 3 4" xfId="28118" xr:uid="{00000000-0005-0000-0000-000079560000}"/>
    <cellStyle name="Normal 21 2 3 2 4" xfId="11285" xr:uid="{00000000-0005-0000-0000-00007A560000}"/>
    <cellStyle name="Normal 21 2 3 2 4 2" xfId="31205" xr:uid="{00000000-0005-0000-0000-00007B560000}"/>
    <cellStyle name="Normal 21 2 3 2 5" xfId="17437" xr:uid="{00000000-0005-0000-0000-00007C560000}"/>
    <cellStyle name="Normal 21 2 3 2 5 2" xfId="37357" xr:uid="{00000000-0005-0000-0000-00007D560000}"/>
    <cellStyle name="Normal 21 2 3 2 6" xfId="25052" xr:uid="{00000000-0005-0000-0000-00007E560000}"/>
    <cellStyle name="Normal 21 2 3 3" xfId="5823" xr:uid="{00000000-0005-0000-0000-00007F560000}"/>
    <cellStyle name="Normal 21 2 3 3 2" xfId="8923" xr:uid="{00000000-0005-0000-0000-000080560000}"/>
    <cellStyle name="Normal 21 2 3 3 2 2" xfId="15116" xr:uid="{00000000-0005-0000-0000-000081560000}"/>
    <cellStyle name="Normal 21 2 3 3 2 2 2" xfId="35036" xr:uid="{00000000-0005-0000-0000-000082560000}"/>
    <cellStyle name="Normal 21 2 3 3 2 3" xfId="21268" xr:uid="{00000000-0005-0000-0000-000083560000}"/>
    <cellStyle name="Normal 21 2 3 3 2 3 2" xfId="41188" xr:uid="{00000000-0005-0000-0000-000084560000}"/>
    <cellStyle name="Normal 21 2 3 3 2 4" xfId="28883" xr:uid="{00000000-0005-0000-0000-000085560000}"/>
    <cellStyle name="Normal 21 2 3 3 3" xfId="12050" xr:uid="{00000000-0005-0000-0000-000086560000}"/>
    <cellStyle name="Normal 21 2 3 3 3 2" xfId="31970" xr:uid="{00000000-0005-0000-0000-000087560000}"/>
    <cellStyle name="Normal 21 2 3 3 4" xfId="18202" xr:uid="{00000000-0005-0000-0000-000088560000}"/>
    <cellStyle name="Normal 21 2 3 3 4 2" xfId="38122" xr:uid="{00000000-0005-0000-0000-000089560000}"/>
    <cellStyle name="Normal 21 2 3 3 5" xfId="25817" xr:uid="{00000000-0005-0000-0000-00008A560000}"/>
    <cellStyle name="Normal 21 2 3 4" xfId="7388" xr:uid="{00000000-0005-0000-0000-00008B560000}"/>
    <cellStyle name="Normal 21 2 3 4 2" xfId="13582" xr:uid="{00000000-0005-0000-0000-00008C560000}"/>
    <cellStyle name="Normal 21 2 3 4 2 2" xfId="33502" xr:uid="{00000000-0005-0000-0000-00008D560000}"/>
    <cellStyle name="Normal 21 2 3 4 3" xfId="19734" xr:uid="{00000000-0005-0000-0000-00008E560000}"/>
    <cellStyle name="Normal 21 2 3 4 3 2" xfId="39654" xr:uid="{00000000-0005-0000-0000-00008F560000}"/>
    <cellStyle name="Normal 21 2 3 4 4" xfId="27349" xr:uid="{00000000-0005-0000-0000-000090560000}"/>
    <cellStyle name="Normal 21 2 3 5" xfId="10516" xr:uid="{00000000-0005-0000-0000-000091560000}"/>
    <cellStyle name="Normal 21 2 3 5 2" xfId="30436" xr:uid="{00000000-0005-0000-0000-000092560000}"/>
    <cellStyle name="Normal 21 2 3 6" xfId="16668" xr:uid="{00000000-0005-0000-0000-000093560000}"/>
    <cellStyle name="Normal 21 2 3 6 2" xfId="36588" xr:uid="{00000000-0005-0000-0000-000094560000}"/>
    <cellStyle name="Normal 21 2 3 7" xfId="24283" xr:uid="{00000000-0005-0000-0000-000095560000}"/>
    <cellStyle name="Normal 21 2 4" xfId="3518" xr:uid="{00000000-0005-0000-0000-000096560000}"/>
    <cellStyle name="Normal 21 2 4 2" xfId="4982" xr:uid="{00000000-0005-0000-0000-000097560000}"/>
    <cellStyle name="Normal 21 2 4 2 2" xfId="6607" xr:uid="{00000000-0005-0000-0000-000098560000}"/>
    <cellStyle name="Normal 21 2 4 2 2 2" xfId="9693" xr:uid="{00000000-0005-0000-0000-000099560000}"/>
    <cellStyle name="Normal 21 2 4 2 2 2 2" xfId="15886" xr:uid="{00000000-0005-0000-0000-00009A560000}"/>
    <cellStyle name="Normal 21 2 4 2 2 2 2 2" xfId="35806" xr:uid="{00000000-0005-0000-0000-00009B560000}"/>
    <cellStyle name="Normal 21 2 4 2 2 2 3" xfId="22038" xr:uid="{00000000-0005-0000-0000-00009C560000}"/>
    <cellStyle name="Normal 21 2 4 2 2 2 3 2" xfId="41958" xr:uid="{00000000-0005-0000-0000-00009D560000}"/>
    <cellStyle name="Normal 21 2 4 2 2 2 4" xfId="29653" xr:uid="{00000000-0005-0000-0000-00009E560000}"/>
    <cellStyle name="Normal 21 2 4 2 2 3" xfId="12820" xr:uid="{00000000-0005-0000-0000-00009F560000}"/>
    <cellStyle name="Normal 21 2 4 2 2 3 2" xfId="32740" xr:uid="{00000000-0005-0000-0000-0000A0560000}"/>
    <cellStyle name="Normal 21 2 4 2 2 4" xfId="18972" xr:uid="{00000000-0005-0000-0000-0000A1560000}"/>
    <cellStyle name="Normal 21 2 4 2 2 4 2" xfId="38892" xr:uid="{00000000-0005-0000-0000-0000A2560000}"/>
    <cellStyle name="Normal 21 2 4 2 2 5" xfId="26587" xr:uid="{00000000-0005-0000-0000-0000A3560000}"/>
    <cellStyle name="Normal 21 2 4 2 3" xfId="8158" xr:uid="{00000000-0005-0000-0000-0000A4560000}"/>
    <cellStyle name="Normal 21 2 4 2 3 2" xfId="14352" xr:uid="{00000000-0005-0000-0000-0000A5560000}"/>
    <cellStyle name="Normal 21 2 4 2 3 2 2" xfId="34272" xr:uid="{00000000-0005-0000-0000-0000A6560000}"/>
    <cellStyle name="Normal 21 2 4 2 3 3" xfId="20504" xr:uid="{00000000-0005-0000-0000-0000A7560000}"/>
    <cellStyle name="Normal 21 2 4 2 3 3 2" xfId="40424" xr:uid="{00000000-0005-0000-0000-0000A8560000}"/>
    <cellStyle name="Normal 21 2 4 2 3 4" xfId="28119" xr:uid="{00000000-0005-0000-0000-0000A9560000}"/>
    <cellStyle name="Normal 21 2 4 2 4" xfId="11286" xr:uid="{00000000-0005-0000-0000-0000AA560000}"/>
    <cellStyle name="Normal 21 2 4 2 4 2" xfId="31206" xr:uid="{00000000-0005-0000-0000-0000AB560000}"/>
    <cellStyle name="Normal 21 2 4 2 5" xfId="17438" xr:uid="{00000000-0005-0000-0000-0000AC560000}"/>
    <cellStyle name="Normal 21 2 4 2 5 2" xfId="37358" xr:uid="{00000000-0005-0000-0000-0000AD560000}"/>
    <cellStyle name="Normal 21 2 4 2 6" xfId="25053" xr:uid="{00000000-0005-0000-0000-0000AE560000}"/>
    <cellStyle name="Normal 21 2 4 3" xfId="5824" xr:uid="{00000000-0005-0000-0000-0000AF560000}"/>
    <cellStyle name="Normal 21 2 4 3 2" xfId="8924" xr:uid="{00000000-0005-0000-0000-0000B0560000}"/>
    <cellStyle name="Normal 21 2 4 3 2 2" xfId="15117" xr:uid="{00000000-0005-0000-0000-0000B1560000}"/>
    <cellStyle name="Normal 21 2 4 3 2 2 2" xfId="35037" xr:uid="{00000000-0005-0000-0000-0000B2560000}"/>
    <cellStyle name="Normal 21 2 4 3 2 3" xfId="21269" xr:uid="{00000000-0005-0000-0000-0000B3560000}"/>
    <cellStyle name="Normal 21 2 4 3 2 3 2" xfId="41189" xr:uid="{00000000-0005-0000-0000-0000B4560000}"/>
    <cellStyle name="Normal 21 2 4 3 2 4" xfId="28884" xr:uid="{00000000-0005-0000-0000-0000B5560000}"/>
    <cellStyle name="Normal 21 2 4 3 3" xfId="12051" xr:uid="{00000000-0005-0000-0000-0000B6560000}"/>
    <cellStyle name="Normal 21 2 4 3 3 2" xfId="31971" xr:uid="{00000000-0005-0000-0000-0000B7560000}"/>
    <cellStyle name="Normal 21 2 4 3 4" xfId="18203" xr:uid="{00000000-0005-0000-0000-0000B8560000}"/>
    <cellStyle name="Normal 21 2 4 3 4 2" xfId="38123" xr:uid="{00000000-0005-0000-0000-0000B9560000}"/>
    <cellStyle name="Normal 21 2 4 3 5" xfId="25818" xr:uid="{00000000-0005-0000-0000-0000BA560000}"/>
    <cellStyle name="Normal 21 2 4 4" xfId="7389" xr:uid="{00000000-0005-0000-0000-0000BB560000}"/>
    <cellStyle name="Normal 21 2 4 4 2" xfId="13583" xr:uid="{00000000-0005-0000-0000-0000BC560000}"/>
    <cellStyle name="Normal 21 2 4 4 2 2" xfId="33503" xr:uid="{00000000-0005-0000-0000-0000BD560000}"/>
    <cellStyle name="Normal 21 2 4 4 3" xfId="19735" xr:uid="{00000000-0005-0000-0000-0000BE560000}"/>
    <cellStyle name="Normal 21 2 4 4 3 2" xfId="39655" xr:uid="{00000000-0005-0000-0000-0000BF560000}"/>
    <cellStyle name="Normal 21 2 4 4 4" xfId="27350" xr:uid="{00000000-0005-0000-0000-0000C0560000}"/>
    <cellStyle name="Normal 21 2 4 5" xfId="10517" xr:uid="{00000000-0005-0000-0000-0000C1560000}"/>
    <cellStyle name="Normal 21 2 4 5 2" xfId="30437" xr:uid="{00000000-0005-0000-0000-0000C2560000}"/>
    <cellStyle name="Normal 21 2 4 6" xfId="16669" xr:uid="{00000000-0005-0000-0000-0000C3560000}"/>
    <cellStyle name="Normal 21 2 4 6 2" xfId="36589" xr:uid="{00000000-0005-0000-0000-0000C4560000}"/>
    <cellStyle name="Normal 21 2 4 7" xfId="24284" xr:uid="{00000000-0005-0000-0000-0000C5560000}"/>
    <cellStyle name="Normal 21 2 5" xfId="3519" xr:uid="{00000000-0005-0000-0000-0000C6560000}"/>
    <cellStyle name="Normal 21 2 5 2" xfId="4983" xr:uid="{00000000-0005-0000-0000-0000C7560000}"/>
    <cellStyle name="Normal 21 2 5 2 2" xfId="6608" xr:uid="{00000000-0005-0000-0000-0000C8560000}"/>
    <cellStyle name="Normal 21 2 5 2 2 2" xfId="9694" xr:uid="{00000000-0005-0000-0000-0000C9560000}"/>
    <cellStyle name="Normal 21 2 5 2 2 2 2" xfId="15887" xr:uid="{00000000-0005-0000-0000-0000CA560000}"/>
    <cellStyle name="Normal 21 2 5 2 2 2 2 2" xfId="35807" xr:uid="{00000000-0005-0000-0000-0000CB560000}"/>
    <cellStyle name="Normal 21 2 5 2 2 2 3" xfId="22039" xr:uid="{00000000-0005-0000-0000-0000CC560000}"/>
    <cellStyle name="Normal 21 2 5 2 2 2 3 2" xfId="41959" xr:uid="{00000000-0005-0000-0000-0000CD560000}"/>
    <cellStyle name="Normal 21 2 5 2 2 2 4" xfId="29654" xr:uid="{00000000-0005-0000-0000-0000CE560000}"/>
    <cellStyle name="Normal 21 2 5 2 2 3" xfId="12821" xr:uid="{00000000-0005-0000-0000-0000CF560000}"/>
    <cellStyle name="Normal 21 2 5 2 2 3 2" xfId="32741" xr:uid="{00000000-0005-0000-0000-0000D0560000}"/>
    <cellStyle name="Normal 21 2 5 2 2 4" xfId="18973" xr:uid="{00000000-0005-0000-0000-0000D1560000}"/>
    <cellStyle name="Normal 21 2 5 2 2 4 2" xfId="38893" xr:uid="{00000000-0005-0000-0000-0000D2560000}"/>
    <cellStyle name="Normal 21 2 5 2 2 5" xfId="26588" xr:uid="{00000000-0005-0000-0000-0000D3560000}"/>
    <cellStyle name="Normal 21 2 5 2 3" xfId="8159" xr:uid="{00000000-0005-0000-0000-0000D4560000}"/>
    <cellStyle name="Normal 21 2 5 2 3 2" xfId="14353" xr:uid="{00000000-0005-0000-0000-0000D5560000}"/>
    <cellStyle name="Normal 21 2 5 2 3 2 2" xfId="34273" xr:uid="{00000000-0005-0000-0000-0000D6560000}"/>
    <cellStyle name="Normal 21 2 5 2 3 3" xfId="20505" xr:uid="{00000000-0005-0000-0000-0000D7560000}"/>
    <cellStyle name="Normal 21 2 5 2 3 3 2" xfId="40425" xr:uid="{00000000-0005-0000-0000-0000D8560000}"/>
    <cellStyle name="Normal 21 2 5 2 3 4" xfId="28120" xr:uid="{00000000-0005-0000-0000-0000D9560000}"/>
    <cellStyle name="Normal 21 2 5 2 4" xfId="11287" xr:uid="{00000000-0005-0000-0000-0000DA560000}"/>
    <cellStyle name="Normal 21 2 5 2 4 2" xfId="31207" xr:uid="{00000000-0005-0000-0000-0000DB560000}"/>
    <cellStyle name="Normal 21 2 5 2 5" xfId="17439" xr:uid="{00000000-0005-0000-0000-0000DC560000}"/>
    <cellStyle name="Normal 21 2 5 2 5 2" xfId="37359" xr:uid="{00000000-0005-0000-0000-0000DD560000}"/>
    <cellStyle name="Normal 21 2 5 2 6" xfId="25054" xr:uid="{00000000-0005-0000-0000-0000DE560000}"/>
    <cellStyle name="Normal 21 2 5 3" xfId="5825" xr:uid="{00000000-0005-0000-0000-0000DF560000}"/>
    <cellStyle name="Normal 21 2 5 3 2" xfId="8925" xr:uid="{00000000-0005-0000-0000-0000E0560000}"/>
    <cellStyle name="Normal 21 2 5 3 2 2" xfId="15118" xr:uid="{00000000-0005-0000-0000-0000E1560000}"/>
    <cellStyle name="Normal 21 2 5 3 2 2 2" xfId="35038" xr:uid="{00000000-0005-0000-0000-0000E2560000}"/>
    <cellStyle name="Normal 21 2 5 3 2 3" xfId="21270" xr:uid="{00000000-0005-0000-0000-0000E3560000}"/>
    <cellStyle name="Normal 21 2 5 3 2 3 2" xfId="41190" xr:uid="{00000000-0005-0000-0000-0000E4560000}"/>
    <cellStyle name="Normal 21 2 5 3 2 4" xfId="28885" xr:uid="{00000000-0005-0000-0000-0000E5560000}"/>
    <cellStyle name="Normal 21 2 5 3 3" xfId="12052" xr:uid="{00000000-0005-0000-0000-0000E6560000}"/>
    <cellStyle name="Normal 21 2 5 3 3 2" xfId="31972" xr:uid="{00000000-0005-0000-0000-0000E7560000}"/>
    <cellStyle name="Normal 21 2 5 3 4" xfId="18204" xr:uid="{00000000-0005-0000-0000-0000E8560000}"/>
    <cellStyle name="Normal 21 2 5 3 4 2" xfId="38124" xr:uid="{00000000-0005-0000-0000-0000E9560000}"/>
    <cellStyle name="Normal 21 2 5 3 5" xfId="25819" xr:uid="{00000000-0005-0000-0000-0000EA560000}"/>
    <cellStyle name="Normal 21 2 5 4" xfId="7390" xr:uid="{00000000-0005-0000-0000-0000EB560000}"/>
    <cellStyle name="Normal 21 2 5 4 2" xfId="13584" xr:uid="{00000000-0005-0000-0000-0000EC560000}"/>
    <cellStyle name="Normal 21 2 5 4 2 2" xfId="33504" xr:uid="{00000000-0005-0000-0000-0000ED560000}"/>
    <cellStyle name="Normal 21 2 5 4 3" xfId="19736" xr:uid="{00000000-0005-0000-0000-0000EE560000}"/>
    <cellStyle name="Normal 21 2 5 4 3 2" xfId="39656" xr:uid="{00000000-0005-0000-0000-0000EF560000}"/>
    <cellStyle name="Normal 21 2 5 4 4" xfId="27351" xr:uid="{00000000-0005-0000-0000-0000F0560000}"/>
    <cellStyle name="Normal 21 2 5 5" xfId="10518" xr:uid="{00000000-0005-0000-0000-0000F1560000}"/>
    <cellStyle name="Normal 21 2 5 5 2" xfId="30438" xr:uid="{00000000-0005-0000-0000-0000F2560000}"/>
    <cellStyle name="Normal 21 2 5 6" xfId="16670" xr:uid="{00000000-0005-0000-0000-0000F3560000}"/>
    <cellStyle name="Normal 21 2 5 6 2" xfId="36590" xr:uid="{00000000-0005-0000-0000-0000F4560000}"/>
    <cellStyle name="Normal 21 2 5 7" xfId="24285" xr:uid="{00000000-0005-0000-0000-0000F5560000}"/>
    <cellStyle name="Normal 21 2 6" xfId="3520" xr:uid="{00000000-0005-0000-0000-0000F6560000}"/>
    <cellStyle name="Normal 21 2 6 2" xfId="4984" xr:uid="{00000000-0005-0000-0000-0000F7560000}"/>
    <cellStyle name="Normal 21 2 6 2 2" xfId="6609" xr:uid="{00000000-0005-0000-0000-0000F8560000}"/>
    <cellStyle name="Normal 21 2 6 2 2 2" xfId="9695" xr:uid="{00000000-0005-0000-0000-0000F9560000}"/>
    <cellStyle name="Normal 21 2 6 2 2 2 2" xfId="15888" xr:uid="{00000000-0005-0000-0000-0000FA560000}"/>
    <cellStyle name="Normal 21 2 6 2 2 2 2 2" xfId="35808" xr:uid="{00000000-0005-0000-0000-0000FB560000}"/>
    <cellStyle name="Normal 21 2 6 2 2 2 3" xfId="22040" xr:uid="{00000000-0005-0000-0000-0000FC560000}"/>
    <cellStyle name="Normal 21 2 6 2 2 2 3 2" xfId="41960" xr:uid="{00000000-0005-0000-0000-0000FD560000}"/>
    <cellStyle name="Normal 21 2 6 2 2 2 4" xfId="29655" xr:uid="{00000000-0005-0000-0000-0000FE560000}"/>
    <cellStyle name="Normal 21 2 6 2 2 3" xfId="12822" xr:uid="{00000000-0005-0000-0000-0000FF560000}"/>
    <cellStyle name="Normal 21 2 6 2 2 3 2" xfId="32742" xr:uid="{00000000-0005-0000-0000-000000570000}"/>
    <cellStyle name="Normal 21 2 6 2 2 4" xfId="18974" xr:uid="{00000000-0005-0000-0000-000001570000}"/>
    <cellStyle name="Normal 21 2 6 2 2 4 2" xfId="38894" xr:uid="{00000000-0005-0000-0000-000002570000}"/>
    <cellStyle name="Normal 21 2 6 2 2 5" xfId="26589" xr:uid="{00000000-0005-0000-0000-000003570000}"/>
    <cellStyle name="Normal 21 2 6 2 3" xfId="8160" xr:uid="{00000000-0005-0000-0000-000004570000}"/>
    <cellStyle name="Normal 21 2 6 2 3 2" xfId="14354" xr:uid="{00000000-0005-0000-0000-000005570000}"/>
    <cellStyle name="Normal 21 2 6 2 3 2 2" xfId="34274" xr:uid="{00000000-0005-0000-0000-000006570000}"/>
    <cellStyle name="Normal 21 2 6 2 3 3" xfId="20506" xr:uid="{00000000-0005-0000-0000-000007570000}"/>
    <cellStyle name="Normal 21 2 6 2 3 3 2" xfId="40426" xr:uid="{00000000-0005-0000-0000-000008570000}"/>
    <cellStyle name="Normal 21 2 6 2 3 4" xfId="28121" xr:uid="{00000000-0005-0000-0000-000009570000}"/>
    <cellStyle name="Normal 21 2 6 2 4" xfId="11288" xr:uid="{00000000-0005-0000-0000-00000A570000}"/>
    <cellStyle name="Normal 21 2 6 2 4 2" xfId="31208" xr:uid="{00000000-0005-0000-0000-00000B570000}"/>
    <cellStyle name="Normal 21 2 6 2 5" xfId="17440" xr:uid="{00000000-0005-0000-0000-00000C570000}"/>
    <cellStyle name="Normal 21 2 6 2 5 2" xfId="37360" xr:uid="{00000000-0005-0000-0000-00000D570000}"/>
    <cellStyle name="Normal 21 2 6 2 6" xfId="25055" xr:uid="{00000000-0005-0000-0000-00000E570000}"/>
    <cellStyle name="Normal 21 2 6 3" xfId="5826" xr:uid="{00000000-0005-0000-0000-00000F570000}"/>
    <cellStyle name="Normal 21 2 6 3 2" xfId="8926" xr:uid="{00000000-0005-0000-0000-000010570000}"/>
    <cellStyle name="Normal 21 2 6 3 2 2" xfId="15119" xr:uid="{00000000-0005-0000-0000-000011570000}"/>
    <cellStyle name="Normal 21 2 6 3 2 2 2" xfId="35039" xr:uid="{00000000-0005-0000-0000-000012570000}"/>
    <cellStyle name="Normal 21 2 6 3 2 3" xfId="21271" xr:uid="{00000000-0005-0000-0000-000013570000}"/>
    <cellStyle name="Normal 21 2 6 3 2 3 2" xfId="41191" xr:uid="{00000000-0005-0000-0000-000014570000}"/>
    <cellStyle name="Normal 21 2 6 3 2 4" xfId="28886" xr:uid="{00000000-0005-0000-0000-000015570000}"/>
    <cellStyle name="Normal 21 2 6 3 3" xfId="12053" xr:uid="{00000000-0005-0000-0000-000016570000}"/>
    <cellStyle name="Normal 21 2 6 3 3 2" xfId="31973" xr:uid="{00000000-0005-0000-0000-000017570000}"/>
    <cellStyle name="Normal 21 2 6 3 4" xfId="18205" xr:uid="{00000000-0005-0000-0000-000018570000}"/>
    <cellStyle name="Normal 21 2 6 3 4 2" xfId="38125" xr:uid="{00000000-0005-0000-0000-000019570000}"/>
    <cellStyle name="Normal 21 2 6 3 5" xfId="25820" xr:uid="{00000000-0005-0000-0000-00001A570000}"/>
    <cellStyle name="Normal 21 2 6 4" xfId="7391" xr:uid="{00000000-0005-0000-0000-00001B570000}"/>
    <cellStyle name="Normal 21 2 6 4 2" xfId="13585" xr:uid="{00000000-0005-0000-0000-00001C570000}"/>
    <cellStyle name="Normal 21 2 6 4 2 2" xfId="33505" xr:uid="{00000000-0005-0000-0000-00001D570000}"/>
    <cellStyle name="Normal 21 2 6 4 3" xfId="19737" xr:uid="{00000000-0005-0000-0000-00001E570000}"/>
    <cellStyle name="Normal 21 2 6 4 3 2" xfId="39657" xr:uid="{00000000-0005-0000-0000-00001F570000}"/>
    <cellStyle name="Normal 21 2 6 4 4" xfId="27352" xr:uid="{00000000-0005-0000-0000-000020570000}"/>
    <cellStyle name="Normal 21 2 6 5" xfId="10519" xr:uid="{00000000-0005-0000-0000-000021570000}"/>
    <cellStyle name="Normal 21 2 6 5 2" xfId="30439" xr:uid="{00000000-0005-0000-0000-000022570000}"/>
    <cellStyle name="Normal 21 2 6 6" xfId="16671" xr:uid="{00000000-0005-0000-0000-000023570000}"/>
    <cellStyle name="Normal 21 2 6 6 2" xfId="36591" xr:uid="{00000000-0005-0000-0000-000024570000}"/>
    <cellStyle name="Normal 21 2 6 7" xfId="24286" xr:uid="{00000000-0005-0000-0000-000025570000}"/>
    <cellStyle name="Normal 21 2 7" xfId="4979" xr:uid="{00000000-0005-0000-0000-000026570000}"/>
    <cellStyle name="Normal 21 2 7 2" xfId="6604" xr:uid="{00000000-0005-0000-0000-000027570000}"/>
    <cellStyle name="Normal 21 2 7 2 2" xfId="9690" xr:uid="{00000000-0005-0000-0000-000028570000}"/>
    <cellStyle name="Normal 21 2 7 2 2 2" xfId="15883" xr:uid="{00000000-0005-0000-0000-000029570000}"/>
    <cellStyle name="Normal 21 2 7 2 2 2 2" xfId="35803" xr:uid="{00000000-0005-0000-0000-00002A570000}"/>
    <cellStyle name="Normal 21 2 7 2 2 3" xfId="22035" xr:uid="{00000000-0005-0000-0000-00002B570000}"/>
    <cellStyle name="Normal 21 2 7 2 2 3 2" xfId="41955" xr:uid="{00000000-0005-0000-0000-00002C570000}"/>
    <cellStyle name="Normal 21 2 7 2 2 4" xfId="29650" xr:uid="{00000000-0005-0000-0000-00002D570000}"/>
    <cellStyle name="Normal 21 2 7 2 3" xfId="12817" xr:uid="{00000000-0005-0000-0000-00002E570000}"/>
    <cellStyle name="Normal 21 2 7 2 3 2" xfId="32737" xr:uid="{00000000-0005-0000-0000-00002F570000}"/>
    <cellStyle name="Normal 21 2 7 2 4" xfId="18969" xr:uid="{00000000-0005-0000-0000-000030570000}"/>
    <cellStyle name="Normal 21 2 7 2 4 2" xfId="38889" xr:uid="{00000000-0005-0000-0000-000031570000}"/>
    <cellStyle name="Normal 21 2 7 2 5" xfId="26584" xr:uid="{00000000-0005-0000-0000-000032570000}"/>
    <cellStyle name="Normal 21 2 7 3" xfId="8155" xr:uid="{00000000-0005-0000-0000-000033570000}"/>
    <cellStyle name="Normal 21 2 7 3 2" xfId="14349" xr:uid="{00000000-0005-0000-0000-000034570000}"/>
    <cellStyle name="Normal 21 2 7 3 2 2" xfId="34269" xr:uid="{00000000-0005-0000-0000-000035570000}"/>
    <cellStyle name="Normal 21 2 7 3 3" xfId="20501" xr:uid="{00000000-0005-0000-0000-000036570000}"/>
    <cellStyle name="Normal 21 2 7 3 3 2" xfId="40421" xr:uid="{00000000-0005-0000-0000-000037570000}"/>
    <cellStyle name="Normal 21 2 7 3 4" xfId="28116" xr:uid="{00000000-0005-0000-0000-000038570000}"/>
    <cellStyle name="Normal 21 2 7 4" xfId="11283" xr:uid="{00000000-0005-0000-0000-000039570000}"/>
    <cellStyle name="Normal 21 2 7 4 2" xfId="31203" xr:uid="{00000000-0005-0000-0000-00003A570000}"/>
    <cellStyle name="Normal 21 2 7 5" xfId="17435" xr:uid="{00000000-0005-0000-0000-00003B570000}"/>
    <cellStyle name="Normal 21 2 7 5 2" xfId="37355" xr:uid="{00000000-0005-0000-0000-00003C570000}"/>
    <cellStyle name="Normal 21 2 7 6" xfId="25050" xr:uid="{00000000-0005-0000-0000-00003D570000}"/>
    <cellStyle name="Normal 21 2 8" xfId="5821" xr:uid="{00000000-0005-0000-0000-00003E570000}"/>
    <cellStyle name="Normal 21 2 8 2" xfId="8921" xr:uid="{00000000-0005-0000-0000-00003F570000}"/>
    <cellStyle name="Normal 21 2 8 2 2" xfId="15114" xr:uid="{00000000-0005-0000-0000-000040570000}"/>
    <cellStyle name="Normal 21 2 8 2 2 2" xfId="35034" xr:uid="{00000000-0005-0000-0000-000041570000}"/>
    <cellStyle name="Normal 21 2 8 2 3" xfId="21266" xr:uid="{00000000-0005-0000-0000-000042570000}"/>
    <cellStyle name="Normal 21 2 8 2 3 2" xfId="41186" xr:uid="{00000000-0005-0000-0000-000043570000}"/>
    <cellStyle name="Normal 21 2 8 2 4" xfId="28881" xr:uid="{00000000-0005-0000-0000-000044570000}"/>
    <cellStyle name="Normal 21 2 8 3" xfId="12048" xr:uid="{00000000-0005-0000-0000-000045570000}"/>
    <cellStyle name="Normal 21 2 8 3 2" xfId="31968" xr:uid="{00000000-0005-0000-0000-000046570000}"/>
    <cellStyle name="Normal 21 2 8 4" xfId="18200" xr:uid="{00000000-0005-0000-0000-000047570000}"/>
    <cellStyle name="Normal 21 2 8 4 2" xfId="38120" xr:uid="{00000000-0005-0000-0000-000048570000}"/>
    <cellStyle name="Normal 21 2 8 5" xfId="25815" xr:uid="{00000000-0005-0000-0000-000049570000}"/>
    <cellStyle name="Normal 21 2 9" xfId="7386" xr:uid="{00000000-0005-0000-0000-00004A570000}"/>
    <cellStyle name="Normal 21 2 9 2" xfId="13580" xr:uid="{00000000-0005-0000-0000-00004B570000}"/>
    <cellStyle name="Normal 21 2 9 2 2" xfId="33500" xr:uid="{00000000-0005-0000-0000-00004C570000}"/>
    <cellStyle name="Normal 21 2 9 3" xfId="19732" xr:uid="{00000000-0005-0000-0000-00004D570000}"/>
    <cellStyle name="Normal 21 2 9 3 2" xfId="39652" xr:uid="{00000000-0005-0000-0000-00004E570000}"/>
    <cellStyle name="Normal 21 2 9 4" xfId="27347" xr:uid="{00000000-0005-0000-0000-00004F570000}"/>
    <cellStyle name="Normal 21 3" xfId="3521" xr:uid="{00000000-0005-0000-0000-000050570000}"/>
    <cellStyle name="Normal 21 3 2" xfId="3522" xr:uid="{00000000-0005-0000-0000-000051570000}"/>
    <cellStyle name="Normal 21 3 2 2" xfId="4986" xr:uid="{00000000-0005-0000-0000-000052570000}"/>
    <cellStyle name="Normal 21 3 2 2 2" xfId="6611" xr:uid="{00000000-0005-0000-0000-000053570000}"/>
    <cellStyle name="Normal 21 3 2 2 2 2" xfId="9697" xr:uid="{00000000-0005-0000-0000-000054570000}"/>
    <cellStyle name="Normal 21 3 2 2 2 2 2" xfId="15890" xr:uid="{00000000-0005-0000-0000-000055570000}"/>
    <cellStyle name="Normal 21 3 2 2 2 2 2 2" xfId="35810" xr:uid="{00000000-0005-0000-0000-000056570000}"/>
    <cellStyle name="Normal 21 3 2 2 2 2 3" xfId="22042" xr:uid="{00000000-0005-0000-0000-000057570000}"/>
    <cellStyle name="Normal 21 3 2 2 2 2 3 2" xfId="41962" xr:uid="{00000000-0005-0000-0000-000058570000}"/>
    <cellStyle name="Normal 21 3 2 2 2 2 4" xfId="29657" xr:uid="{00000000-0005-0000-0000-000059570000}"/>
    <cellStyle name="Normal 21 3 2 2 2 3" xfId="12824" xr:uid="{00000000-0005-0000-0000-00005A570000}"/>
    <cellStyle name="Normal 21 3 2 2 2 3 2" xfId="32744" xr:uid="{00000000-0005-0000-0000-00005B570000}"/>
    <cellStyle name="Normal 21 3 2 2 2 4" xfId="18976" xr:uid="{00000000-0005-0000-0000-00005C570000}"/>
    <cellStyle name="Normal 21 3 2 2 2 4 2" xfId="38896" xr:uid="{00000000-0005-0000-0000-00005D570000}"/>
    <cellStyle name="Normal 21 3 2 2 2 5" xfId="26591" xr:uid="{00000000-0005-0000-0000-00005E570000}"/>
    <cellStyle name="Normal 21 3 2 2 3" xfId="8162" xr:uid="{00000000-0005-0000-0000-00005F570000}"/>
    <cellStyle name="Normal 21 3 2 2 3 2" xfId="14356" xr:uid="{00000000-0005-0000-0000-000060570000}"/>
    <cellStyle name="Normal 21 3 2 2 3 2 2" xfId="34276" xr:uid="{00000000-0005-0000-0000-000061570000}"/>
    <cellStyle name="Normal 21 3 2 2 3 3" xfId="20508" xr:uid="{00000000-0005-0000-0000-000062570000}"/>
    <cellStyle name="Normal 21 3 2 2 3 3 2" xfId="40428" xr:uid="{00000000-0005-0000-0000-000063570000}"/>
    <cellStyle name="Normal 21 3 2 2 3 4" xfId="28123" xr:uid="{00000000-0005-0000-0000-000064570000}"/>
    <cellStyle name="Normal 21 3 2 2 4" xfId="11290" xr:uid="{00000000-0005-0000-0000-000065570000}"/>
    <cellStyle name="Normal 21 3 2 2 4 2" xfId="31210" xr:uid="{00000000-0005-0000-0000-000066570000}"/>
    <cellStyle name="Normal 21 3 2 2 5" xfId="17442" xr:uid="{00000000-0005-0000-0000-000067570000}"/>
    <cellStyle name="Normal 21 3 2 2 5 2" xfId="37362" xr:uid="{00000000-0005-0000-0000-000068570000}"/>
    <cellStyle name="Normal 21 3 2 2 6" xfId="25057" xr:uid="{00000000-0005-0000-0000-000069570000}"/>
    <cellStyle name="Normal 21 3 2 3" xfId="5828" xr:uid="{00000000-0005-0000-0000-00006A570000}"/>
    <cellStyle name="Normal 21 3 2 3 2" xfId="8928" xr:uid="{00000000-0005-0000-0000-00006B570000}"/>
    <cellStyle name="Normal 21 3 2 3 2 2" xfId="15121" xr:uid="{00000000-0005-0000-0000-00006C570000}"/>
    <cellStyle name="Normal 21 3 2 3 2 2 2" xfId="35041" xr:uid="{00000000-0005-0000-0000-00006D570000}"/>
    <cellStyle name="Normal 21 3 2 3 2 3" xfId="21273" xr:uid="{00000000-0005-0000-0000-00006E570000}"/>
    <cellStyle name="Normal 21 3 2 3 2 3 2" xfId="41193" xr:uid="{00000000-0005-0000-0000-00006F570000}"/>
    <cellStyle name="Normal 21 3 2 3 2 4" xfId="28888" xr:uid="{00000000-0005-0000-0000-000070570000}"/>
    <cellStyle name="Normal 21 3 2 3 3" xfId="12055" xr:uid="{00000000-0005-0000-0000-000071570000}"/>
    <cellStyle name="Normal 21 3 2 3 3 2" xfId="31975" xr:uid="{00000000-0005-0000-0000-000072570000}"/>
    <cellStyle name="Normal 21 3 2 3 4" xfId="18207" xr:uid="{00000000-0005-0000-0000-000073570000}"/>
    <cellStyle name="Normal 21 3 2 3 4 2" xfId="38127" xr:uid="{00000000-0005-0000-0000-000074570000}"/>
    <cellStyle name="Normal 21 3 2 3 5" xfId="25822" xr:uid="{00000000-0005-0000-0000-000075570000}"/>
    <cellStyle name="Normal 21 3 2 4" xfId="7393" xr:uid="{00000000-0005-0000-0000-000076570000}"/>
    <cellStyle name="Normal 21 3 2 4 2" xfId="13587" xr:uid="{00000000-0005-0000-0000-000077570000}"/>
    <cellStyle name="Normal 21 3 2 4 2 2" xfId="33507" xr:uid="{00000000-0005-0000-0000-000078570000}"/>
    <cellStyle name="Normal 21 3 2 4 3" xfId="19739" xr:uid="{00000000-0005-0000-0000-000079570000}"/>
    <cellStyle name="Normal 21 3 2 4 3 2" xfId="39659" xr:uid="{00000000-0005-0000-0000-00007A570000}"/>
    <cellStyle name="Normal 21 3 2 4 4" xfId="27354" xr:uid="{00000000-0005-0000-0000-00007B570000}"/>
    <cellStyle name="Normal 21 3 2 5" xfId="10521" xr:uid="{00000000-0005-0000-0000-00007C570000}"/>
    <cellStyle name="Normal 21 3 2 5 2" xfId="30441" xr:uid="{00000000-0005-0000-0000-00007D570000}"/>
    <cellStyle name="Normal 21 3 2 6" xfId="16673" xr:uid="{00000000-0005-0000-0000-00007E570000}"/>
    <cellStyle name="Normal 21 3 2 6 2" xfId="36593" xr:uid="{00000000-0005-0000-0000-00007F570000}"/>
    <cellStyle name="Normal 21 3 2 7" xfId="24288" xr:uid="{00000000-0005-0000-0000-000080570000}"/>
    <cellStyle name="Normal 21 3 3" xfId="4985" xr:uid="{00000000-0005-0000-0000-000081570000}"/>
    <cellStyle name="Normal 21 3 3 2" xfId="6610" xr:uid="{00000000-0005-0000-0000-000082570000}"/>
    <cellStyle name="Normal 21 3 3 2 2" xfId="9696" xr:uid="{00000000-0005-0000-0000-000083570000}"/>
    <cellStyle name="Normal 21 3 3 2 2 2" xfId="15889" xr:uid="{00000000-0005-0000-0000-000084570000}"/>
    <cellStyle name="Normal 21 3 3 2 2 2 2" xfId="35809" xr:uid="{00000000-0005-0000-0000-000085570000}"/>
    <cellStyle name="Normal 21 3 3 2 2 3" xfId="22041" xr:uid="{00000000-0005-0000-0000-000086570000}"/>
    <cellStyle name="Normal 21 3 3 2 2 3 2" xfId="41961" xr:uid="{00000000-0005-0000-0000-000087570000}"/>
    <cellStyle name="Normal 21 3 3 2 2 4" xfId="29656" xr:uid="{00000000-0005-0000-0000-000088570000}"/>
    <cellStyle name="Normal 21 3 3 2 3" xfId="12823" xr:uid="{00000000-0005-0000-0000-000089570000}"/>
    <cellStyle name="Normal 21 3 3 2 3 2" xfId="32743" xr:uid="{00000000-0005-0000-0000-00008A570000}"/>
    <cellStyle name="Normal 21 3 3 2 4" xfId="18975" xr:uid="{00000000-0005-0000-0000-00008B570000}"/>
    <cellStyle name="Normal 21 3 3 2 4 2" xfId="38895" xr:uid="{00000000-0005-0000-0000-00008C570000}"/>
    <cellStyle name="Normal 21 3 3 2 5" xfId="26590" xr:uid="{00000000-0005-0000-0000-00008D570000}"/>
    <cellStyle name="Normal 21 3 3 3" xfId="8161" xr:uid="{00000000-0005-0000-0000-00008E570000}"/>
    <cellStyle name="Normal 21 3 3 3 2" xfId="14355" xr:uid="{00000000-0005-0000-0000-00008F570000}"/>
    <cellStyle name="Normal 21 3 3 3 2 2" xfId="34275" xr:uid="{00000000-0005-0000-0000-000090570000}"/>
    <cellStyle name="Normal 21 3 3 3 3" xfId="20507" xr:uid="{00000000-0005-0000-0000-000091570000}"/>
    <cellStyle name="Normal 21 3 3 3 3 2" xfId="40427" xr:uid="{00000000-0005-0000-0000-000092570000}"/>
    <cellStyle name="Normal 21 3 3 3 4" xfId="28122" xr:uid="{00000000-0005-0000-0000-000093570000}"/>
    <cellStyle name="Normal 21 3 3 4" xfId="11289" xr:uid="{00000000-0005-0000-0000-000094570000}"/>
    <cellStyle name="Normal 21 3 3 4 2" xfId="31209" xr:uid="{00000000-0005-0000-0000-000095570000}"/>
    <cellStyle name="Normal 21 3 3 5" xfId="17441" xr:uid="{00000000-0005-0000-0000-000096570000}"/>
    <cellStyle name="Normal 21 3 3 5 2" xfId="37361" xr:uid="{00000000-0005-0000-0000-000097570000}"/>
    <cellStyle name="Normal 21 3 3 6" xfId="25056" xr:uid="{00000000-0005-0000-0000-000098570000}"/>
    <cellStyle name="Normal 21 3 4" xfId="5827" xr:uid="{00000000-0005-0000-0000-000099570000}"/>
    <cellStyle name="Normal 21 3 4 2" xfId="8927" xr:uid="{00000000-0005-0000-0000-00009A570000}"/>
    <cellStyle name="Normal 21 3 4 2 2" xfId="15120" xr:uid="{00000000-0005-0000-0000-00009B570000}"/>
    <cellStyle name="Normal 21 3 4 2 2 2" xfId="35040" xr:uid="{00000000-0005-0000-0000-00009C570000}"/>
    <cellStyle name="Normal 21 3 4 2 3" xfId="21272" xr:uid="{00000000-0005-0000-0000-00009D570000}"/>
    <cellStyle name="Normal 21 3 4 2 3 2" xfId="41192" xr:uid="{00000000-0005-0000-0000-00009E570000}"/>
    <cellStyle name="Normal 21 3 4 2 4" xfId="28887" xr:uid="{00000000-0005-0000-0000-00009F570000}"/>
    <cellStyle name="Normal 21 3 4 3" xfId="12054" xr:uid="{00000000-0005-0000-0000-0000A0570000}"/>
    <cellStyle name="Normal 21 3 4 3 2" xfId="31974" xr:uid="{00000000-0005-0000-0000-0000A1570000}"/>
    <cellStyle name="Normal 21 3 4 4" xfId="18206" xr:uid="{00000000-0005-0000-0000-0000A2570000}"/>
    <cellStyle name="Normal 21 3 4 4 2" xfId="38126" xr:uid="{00000000-0005-0000-0000-0000A3570000}"/>
    <cellStyle name="Normal 21 3 4 5" xfId="25821" xr:uid="{00000000-0005-0000-0000-0000A4570000}"/>
    <cellStyle name="Normal 21 3 5" xfId="7392" xr:uid="{00000000-0005-0000-0000-0000A5570000}"/>
    <cellStyle name="Normal 21 3 5 2" xfId="13586" xr:uid="{00000000-0005-0000-0000-0000A6570000}"/>
    <cellStyle name="Normal 21 3 5 2 2" xfId="33506" xr:uid="{00000000-0005-0000-0000-0000A7570000}"/>
    <cellStyle name="Normal 21 3 5 3" xfId="19738" xr:uid="{00000000-0005-0000-0000-0000A8570000}"/>
    <cellStyle name="Normal 21 3 5 3 2" xfId="39658" xr:uid="{00000000-0005-0000-0000-0000A9570000}"/>
    <cellStyle name="Normal 21 3 5 4" xfId="27353" xr:uid="{00000000-0005-0000-0000-0000AA570000}"/>
    <cellStyle name="Normal 21 3 6" xfId="10520" xr:uid="{00000000-0005-0000-0000-0000AB570000}"/>
    <cellStyle name="Normal 21 3 6 2" xfId="30440" xr:uid="{00000000-0005-0000-0000-0000AC570000}"/>
    <cellStyle name="Normal 21 3 7" xfId="16672" xr:uid="{00000000-0005-0000-0000-0000AD570000}"/>
    <cellStyle name="Normal 21 3 7 2" xfId="36592" xr:uid="{00000000-0005-0000-0000-0000AE570000}"/>
    <cellStyle name="Normal 21 3 8" xfId="24287" xr:uid="{00000000-0005-0000-0000-0000AF570000}"/>
    <cellStyle name="Normal 21 4" xfId="3523" xr:uid="{00000000-0005-0000-0000-0000B0570000}"/>
    <cellStyle name="Normal 21 4 2" xfId="4987" xr:uid="{00000000-0005-0000-0000-0000B1570000}"/>
    <cellStyle name="Normal 21 4 2 2" xfId="6612" xr:uid="{00000000-0005-0000-0000-0000B2570000}"/>
    <cellStyle name="Normal 21 4 2 2 2" xfId="9698" xr:uid="{00000000-0005-0000-0000-0000B3570000}"/>
    <cellStyle name="Normal 21 4 2 2 2 2" xfId="15891" xr:uid="{00000000-0005-0000-0000-0000B4570000}"/>
    <cellStyle name="Normal 21 4 2 2 2 2 2" xfId="35811" xr:uid="{00000000-0005-0000-0000-0000B5570000}"/>
    <cellStyle name="Normal 21 4 2 2 2 3" xfId="22043" xr:uid="{00000000-0005-0000-0000-0000B6570000}"/>
    <cellStyle name="Normal 21 4 2 2 2 3 2" xfId="41963" xr:uid="{00000000-0005-0000-0000-0000B7570000}"/>
    <cellStyle name="Normal 21 4 2 2 2 4" xfId="29658" xr:uid="{00000000-0005-0000-0000-0000B8570000}"/>
    <cellStyle name="Normal 21 4 2 2 3" xfId="12825" xr:uid="{00000000-0005-0000-0000-0000B9570000}"/>
    <cellStyle name="Normal 21 4 2 2 3 2" xfId="32745" xr:uid="{00000000-0005-0000-0000-0000BA570000}"/>
    <cellStyle name="Normal 21 4 2 2 4" xfId="18977" xr:uid="{00000000-0005-0000-0000-0000BB570000}"/>
    <cellStyle name="Normal 21 4 2 2 4 2" xfId="38897" xr:uid="{00000000-0005-0000-0000-0000BC570000}"/>
    <cellStyle name="Normal 21 4 2 2 5" xfId="26592" xr:uid="{00000000-0005-0000-0000-0000BD570000}"/>
    <cellStyle name="Normal 21 4 2 3" xfId="8163" xr:uid="{00000000-0005-0000-0000-0000BE570000}"/>
    <cellStyle name="Normal 21 4 2 3 2" xfId="14357" xr:uid="{00000000-0005-0000-0000-0000BF570000}"/>
    <cellStyle name="Normal 21 4 2 3 2 2" xfId="34277" xr:uid="{00000000-0005-0000-0000-0000C0570000}"/>
    <cellStyle name="Normal 21 4 2 3 3" xfId="20509" xr:uid="{00000000-0005-0000-0000-0000C1570000}"/>
    <cellStyle name="Normal 21 4 2 3 3 2" xfId="40429" xr:uid="{00000000-0005-0000-0000-0000C2570000}"/>
    <cellStyle name="Normal 21 4 2 3 4" xfId="28124" xr:uid="{00000000-0005-0000-0000-0000C3570000}"/>
    <cellStyle name="Normal 21 4 2 4" xfId="11291" xr:uid="{00000000-0005-0000-0000-0000C4570000}"/>
    <cellStyle name="Normal 21 4 2 4 2" xfId="31211" xr:uid="{00000000-0005-0000-0000-0000C5570000}"/>
    <cellStyle name="Normal 21 4 2 5" xfId="17443" xr:uid="{00000000-0005-0000-0000-0000C6570000}"/>
    <cellStyle name="Normal 21 4 2 5 2" xfId="37363" xr:uid="{00000000-0005-0000-0000-0000C7570000}"/>
    <cellStyle name="Normal 21 4 2 6" xfId="25058" xr:uid="{00000000-0005-0000-0000-0000C8570000}"/>
    <cellStyle name="Normal 21 4 3" xfId="5829" xr:uid="{00000000-0005-0000-0000-0000C9570000}"/>
    <cellStyle name="Normal 21 4 3 2" xfId="8929" xr:uid="{00000000-0005-0000-0000-0000CA570000}"/>
    <cellStyle name="Normal 21 4 3 2 2" xfId="15122" xr:uid="{00000000-0005-0000-0000-0000CB570000}"/>
    <cellStyle name="Normal 21 4 3 2 2 2" xfId="35042" xr:uid="{00000000-0005-0000-0000-0000CC570000}"/>
    <cellStyle name="Normal 21 4 3 2 3" xfId="21274" xr:uid="{00000000-0005-0000-0000-0000CD570000}"/>
    <cellStyle name="Normal 21 4 3 2 3 2" xfId="41194" xr:uid="{00000000-0005-0000-0000-0000CE570000}"/>
    <cellStyle name="Normal 21 4 3 2 4" xfId="28889" xr:uid="{00000000-0005-0000-0000-0000CF570000}"/>
    <cellStyle name="Normal 21 4 3 3" xfId="12056" xr:uid="{00000000-0005-0000-0000-0000D0570000}"/>
    <cellStyle name="Normal 21 4 3 3 2" xfId="31976" xr:uid="{00000000-0005-0000-0000-0000D1570000}"/>
    <cellStyle name="Normal 21 4 3 4" xfId="18208" xr:uid="{00000000-0005-0000-0000-0000D2570000}"/>
    <cellStyle name="Normal 21 4 3 4 2" xfId="38128" xr:uid="{00000000-0005-0000-0000-0000D3570000}"/>
    <cellStyle name="Normal 21 4 3 5" xfId="25823" xr:uid="{00000000-0005-0000-0000-0000D4570000}"/>
    <cellStyle name="Normal 21 4 4" xfId="7394" xr:uid="{00000000-0005-0000-0000-0000D5570000}"/>
    <cellStyle name="Normal 21 4 4 2" xfId="13588" xr:uid="{00000000-0005-0000-0000-0000D6570000}"/>
    <cellStyle name="Normal 21 4 4 2 2" xfId="33508" xr:uid="{00000000-0005-0000-0000-0000D7570000}"/>
    <cellStyle name="Normal 21 4 4 3" xfId="19740" xr:uid="{00000000-0005-0000-0000-0000D8570000}"/>
    <cellStyle name="Normal 21 4 4 3 2" xfId="39660" xr:uid="{00000000-0005-0000-0000-0000D9570000}"/>
    <cellStyle name="Normal 21 4 4 4" xfId="27355" xr:uid="{00000000-0005-0000-0000-0000DA570000}"/>
    <cellStyle name="Normal 21 4 5" xfId="10522" xr:uid="{00000000-0005-0000-0000-0000DB570000}"/>
    <cellStyle name="Normal 21 4 5 2" xfId="30442" xr:uid="{00000000-0005-0000-0000-0000DC570000}"/>
    <cellStyle name="Normal 21 4 6" xfId="16674" xr:uid="{00000000-0005-0000-0000-0000DD570000}"/>
    <cellStyle name="Normal 21 4 6 2" xfId="36594" xr:uid="{00000000-0005-0000-0000-0000DE570000}"/>
    <cellStyle name="Normal 21 4 7" xfId="24289" xr:uid="{00000000-0005-0000-0000-0000DF570000}"/>
    <cellStyle name="Normal 21 5" xfId="3524" xr:uid="{00000000-0005-0000-0000-0000E0570000}"/>
    <cellStyle name="Normal 21 5 2" xfId="4988" xr:uid="{00000000-0005-0000-0000-0000E1570000}"/>
    <cellStyle name="Normal 21 5 2 2" xfId="6613" xr:uid="{00000000-0005-0000-0000-0000E2570000}"/>
    <cellStyle name="Normal 21 5 2 2 2" xfId="9699" xr:uid="{00000000-0005-0000-0000-0000E3570000}"/>
    <cellStyle name="Normal 21 5 2 2 2 2" xfId="15892" xr:uid="{00000000-0005-0000-0000-0000E4570000}"/>
    <cellStyle name="Normal 21 5 2 2 2 2 2" xfId="35812" xr:uid="{00000000-0005-0000-0000-0000E5570000}"/>
    <cellStyle name="Normal 21 5 2 2 2 3" xfId="22044" xr:uid="{00000000-0005-0000-0000-0000E6570000}"/>
    <cellStyle name="Normal 21 5 2 2 2 3 2" xfId="41964" xr:uid="{00000000-0005-0000-0000-0000E7570000}"/>
    <cellStyle name="Normal 21 5 2 2 2 4" xfId="29659" xr:uid="{00000000-0005-0000-0000-0000E8570000}"/>
    <cellStyle name="Normal 21 5 2 2 3" xfId="12826" xr:uid="{00000000-0005-0000-0000-0000E9570000}"/>
    <cellStyle name="Normal 21 5 2 2 3 2" xfId="32746" xr:uid="{00000000-0005-0000-0000-0000EA570000}"/>
    <cellStyle name="Normal 21 5 2 2 4" xfId="18978" xr:uid="{00000000-0005-0000-0000-0000EB570000}"/>
    <cellStyle name="Normal 21 5 2 2 4 2" xfId="38898" xr:uid="{00000000-0005-0000-0000-0000EC570000}"/>
    <cellStyle name="Normal 21 5 2 2 5" xfId="26593" xr:uid="{00000000-0005-0000-0000-0000ED570000}"/>
    <cellStyle name="Normal 21 5 2 3" xfId="8164" xr:uid="{00000000-0005-0000-0000-0000EE570000}"/>
    <cellStyle name="Normal 21 5 2 3 2" xfId="14358" xr:uid="{00000000-0005-0000-0000-0000EF570000}"/>
    <cellStyle name="Normal 21 5 2 3 2 2" xfId="34278" xr:uid="{00000000-0005-0000-0000-0000F0570000}"/>
    <cellStyle name="Normal 21 5 2 3 3" xfId="20510" xr:uid="{00000000-0005-0000-0000-0000F1570000}"/>
    <cellStyle name="Normal 21 5 2 3 3 2" xfId="40430" xr:uid="{00000000-0005-0000-0000-0000F2570000}"/>
    <cellStyle name="Normal 21 5 2 3 4" xfId="28125" xr:uid="{00000000-0005-0000-0000-0000F3570000}"/>
    <cellStyle name="Normal 21 5 2 4" xfId="11292" xr:uid="{00000000-0005-0000-0000-0000F4570000}"/>
    <cellStyle name="Normal 21 5 2 4 2" xfId="31212" xr:uid="{00000000-0005-0000-0000-0000F5570000}"/>
    <cellStyle name="Normal 21 5 2 5" xfId="17444" xr:uid="{00000000-0005-0000-0000-0000F6570000}"/>
    <cellStyle name="Normal 21 5 2 5 2" xfId="37364" xr:uid="{00000000-0005-0000-0000-0000F7570000}"/>
    <cellStyle name="Normal 21 5 2 6" xfId="25059" xr:uid="{00000000-0005-0000-0000-0000F8570000}"/>
    <cellStyle name="Normal 21 5 3" xfId="5830" xr:uid="{00000000-0005-0000-0000-0000F9570000}"/>
    <cellStyle name="Normal 21 5 3 2" xfId="8930" xr:uid="{00000000-0005-0000-0000-0000FA570000}"/>
    <cellStyle name="Normal 21 5 3 2 2" xfId="15123" xr:uid="{00000000-0005-0000-0000-0000FB570000}"/>
    <cellStyle name="Normal 21 5 3 2 2 2" xfId="35043" xr:uid="{00000000-0005-0000-0000-0000FC570000}"/>
    <cellStyle name="Normal 21 5 3 2 3" xfId="21275" xr:uid="{00000000-0005-0000-0000-0000FD570000}"/>
    <cellStyle name="Normal 21 5 3 2 3 2" xfId="41195" xr:uid="{00000000-0005-0000-0000-0000FE570000}"/>
    <cellStyle name="Normal 21 5 3 2 4" xfId="28890" xr:uid="{00000000-0005-0000-0000-0000FF570000}"/>
    <cellStyle name="Normal 21 5 3 3" xfId="12057" xr:uid="{00000000-0005-0000-0000-000000580000}"/>
    <cellStyle name="Normal 21 5 3 3 2" xfId="31977" xr:uid="{00000000-0005-0000-0000-000001580000}"/>
    <cellStyle name="Normal 21 5 3 4" xfId="18209" xr:uid="{00000000-0005-0000-0000-000002580000}"/>
    <cellStyle name="Normal 21 5 3 4 2" xfId="38129" xr:uid="{00000000-0005-0000-0000-000003580000}"/>
    <cellStyle name="Normal 21 5 3 5" xfId="25824" xr:uid="{00000000-0005-0000-0000-000004580000}"/>
    <cellStyle name="Normal 21 5 4" xfId="7395" xr:uid="{00000000-0005-0000-0000-000005580000}"/>
    <cellStyle name="Normal 21 5 4 2" xfId="13589" xr:uid="{00000000-0005-0000-0000-000006580000}"/>
    <cellStyle name="Normal 21 5 4 2 2" xfId="33509" xr:uid="{00000000-0005-0000-0000-000007580000}"/>
    <cellStyle name="Normal 21 5 4 3" xfId="19741" xr:uid="{00000000-0005-0000-0000-000008580000}"/>
    <cellStyle name="Normal 21 5 4 3 2" xfId="39661" xr:uid="{00000000-0005-0000-0000-000009580000}"/>
    <cellStyle name="Normal 21 5 4 4" xfId="27356" xr:uid="{00000000-0005-0000-0000-00000A580000}"/>
    <cellStyle name="Normal 21 5 5" xfId="10523" xr:uid="{00000000-0005-0000-0000-00000B580000}"/>
    <cellStyle name="Normal 21 5 5 2" xfId="30443" xr:uid="{00000000-0005-0000-0000-00000C580000}"/>
    <cellStyle name="Normal 21 5 6" xfId="16675" xr:uid="{00000000-0005-0000-0000-00000D580000}"/>
    <cellStyle name="Normal 21 5 6 2" xfId="36595" xr:uid="{00000000-0005-0000-0000-00000E580000}"/>
    <cellStyle name="Normal 21 5 7" xfId="24290" xr:uid="{00000000-0005-0000-0000-00000F580000}"/>
    <cellStyle name="Normal 21 6" xfId="3525" xr:uid="{00000000-0005-0000-0000-000010580000}"/>
    <cellStyle name="Normal 21 6 2" xfId="4989" xr:uid="{00000000-0005-0000-0000-000011580000}"/>
    <cellStyle name="Normal 21 6 2 2" xfId="6614" xr:uid="{00000000-0005-0000-0000-000012580000}"/>
    <cellStyle name="Normal 21 6 2 2 2" xfId="9700" xr:uid="{00000000-0005-0000-0000-000013580000}"/>
    <cellStyle name="Normal 21 6 2 2 2 2" xfId="15893" xr:uid="{00000000-0005-0000-0000-000014580000}"/>
    <cellStyle name="Normal 21 6 2 2 2 2 2" xfId="35813" xr:uid="{00000000-0005-0000-0000-000015580000}"/>
    <cellStyle name="Normal 21 6 2 2 2 3" xfId="22045" xr:uid="{00000000-0005-0000-0000-000016580000}"/>
    <cellStyle name="Normal 21 6 2 2 2 3 2" xfId="41965" xr:uid="{00000000-0005-0000-0000-000017580000}"/>
    <cellStyle name="Normal 21 6 2 2 2 4" xfId="29660" xr:uid="{00000000-0005-0000-0000-000018580000}"/>
    <cellStyle name="Normal 21 6 2 2 3" xfId="12827" xr:uid="{00000000-0005-0000-0000-000019580000}"/>
    <cellStyle name="Normal 21 6 2 2 3 2" xfId="32747" xr:uid="{00000000-0005-0000-0000-00001A580000}"/>
    <cellStyle name="Normal 21 6 2 2 4" xfId="18979" xr:uid="{00000000-0005-0000-0000-00001B580000}"/>
    <cellStyle name="Normal 21 6 2 2 4 2" xfId="38899" xr:uid="{00000000-0005-0000-0000-00001C580000}"/>
    <cellStyle name="Normal 21 6 2 2 5" xfId="26594" xr:uid="{00000000-0005-0000-0000-00001D580000}"/>
    <cellStyle name="Normal 21 6 2 3" xfId="8165" xr:uid="{00000000-0005-0000-0000-00001E580000}"/>
    <cellStyle name="Normal 21 6 2 3 2" xfId="14359" xr:uid="{00000000-0005-0000-0000-00001F580000}"/>
    <cellStyle name="Normal 21 6 2 3 2 2" xfId="34279" xr:uid="{00000000-0005-0000-0000-000020580000}"/>
    <cellStyle name="Normal 21 6 2 3 3" xfId="20511" xr:uid="{00000000-0005-0000-0000-000021580000}"/>
    <cellStyle name="Normal 21 6 2 3 3 2" xfId="40431" xr:uid="{00000000-0005-0000-0000-000022580000}"/>
    <cellStyle name="Normal 21 6 2 3 4" xfId="28126" xr:uid="{00000000-0005-0000-0000-000023580000}"/>
    <cellStyle name="Normal 21 6 2 4" xfId="11293" xr:uid="{00000000-0005-0000-0000-000024580000}"/>
    <cellStyle name="Normal 21 6 2 4 2" xfId="31213" xr:uid="{00000000-0005-0000-0000-000025580000}"/>
    <cellStyle name="Normal 21 6 2 5" xfId="17445" xr:uid="{00000000-0005-0000-0000-000026580000}"/>
    <cellStyle name="Normal 21 6 2 5 2" xfId="37365" xr:uid="{00000000-0005-0000-0000-000027580000}"/>
    <cellStyle name="Normal 21 6 2 6" xfId="25060" xr:uid="{00000000-0005-0000-0000-000028580000}"/>
    <cellStyle name="Normal 21 6 3" xfId="5831" xr:uid="{00000000-0005-0000-0000-000029580000}"/>
    <cellStyle name="Normal 21 6 3 2" xfId="8931" xr:uid="{00000000-0005-0000-0000-00002A580000}"/>
    <cellStyle name="Normal 21 6 3 2 2" xfId="15124" xr:uid="{00000000-0005-0000-0000-00002B580000}"/>
    <cellStyle name="Normal 21 6 3 2 2 2" xfId="35044" xr:uid="{00000000-0005-0000-0000-00002C580000}"/>
    <cellStyle name="Normal 21 6 3 2 3" xfId="21276" xr:uid="{00000000-0005-0000-0000-00002D580000}"/>
    <cellStyle name="Normal 21 6 3 2 3 2" xfId="41196" xr:uid="{00000000-0005-0000-0000-00002E580000}"/>
    <cellStyle name="Normal 21 6 3 2 4" xfId="28891" xr:uid="{00000000-0005-0000-0000-00002F580000}"/>
    <cellStyle name="Normal 21 6 3 3" xfId="12058" xr:uid="{00000000-0005-0000-0000-000030580000}"/>
    <cellStyle name="Normal 21 6 3 3 2" xfId="31978" xr:uid="{00000000-0005-0000-0000-000031580000}"/>
    <cellStyle name="Normal 21 6 3 4" xfId="18210" xr:uid="{00000000-0005-0000-0000-000032580000}"/>
    <cellStyle name="Normal 21 6 3 4 2" xfId="38130" xr:uid="{00000000-0005-0000-0000-000033580000}"/>
    <cellStyle name="Normal 21 6 3 5" xfId="25825" xr:uid="{00000000-0005-0000-0000-000034580000}"/>
    <cellStyle name="Normal 21 6 4" xfId="7396" xr:uid="{00000000-0005-0000-0000-000035580000}"/>
    <cellStyle name="Normal 21 6 4 2" xfId="13590" xr:uid="{00000000-0005-0000-0000-000036580000}"/>
    <cellStyle name="Normal 21 6 4 2 2" xfId="33510" xr:uid="{00000000-0005-0000-0000-000037580000}"/>
    <cellStyle name="Normal 21 6 4 3" xfId="19742" xr:uid="{00000000-0005-0000-0000-000038580000}"/>
    <cellStyle name="Normal 21 6 4 3 2" xfId="39662" xr:uid="{00000000-0005-0000-0000-000039580000}"/>
    <cellStyle name="Normal 21 6 4 4" xfId="27357" xr:uid="{00000000-0005-0000-0000-00003A580000}"/>
    <cellStyle name="Normal 21 6 5" xfId="10524" xr:uid="{00000000-0005-0000-0000-00003B580000}"/>
    <cellStyle name="Normal 21 6 5 2" xfId="30444" xr:uid="{00000000-0005-0000-0000-00003C580000}"/>
    <cellStyle name="Normal 21 6 6" xfId="16676" xr:uid="{00000000-0005-0000-0000-00003D580000}"/>
    <cellStyle name="Normal 21 6 6 2" xfId="36596" xr:uid="{00000000-0005-0000-0000-00003E580000}"/>
    <cellStyle name="Normal 21 6 7" xfId="24291" xr:uid="{00000000-0005-0000-0000-00003F580000}"/>
    <cellStyle name="Normal 21 7" xfId="3526" xr:uid="{00000000-0005-0000-0000-000040580000}"/>
    <cellStyle name="Normal 21 8" xfId="3527" xr:uid="{00000000-0005-0000-0000-000041580000}"/>
    <cellStyle name="Normal 21 8 2" xfId="4990" xr:uid="{00000000-0005-0000-0000-000042580000}"/>
    <cellStyle name="Normal 21 8 2 2" xfId="6615" xr:uid="{00000000-0005-0000-0000-000043580000}"/>
    <cellStyle name="Normal 21 8 2 2 2" xfId="9701" xr:uid="{00000000-0005-0000-0000-000044580000}"/>
    <cellStyle name="Normal 21 8 2 2 2 2" xfId="15894" xr:uid="{00000000-0005-0000-0000-000045580000}"/>
    <cellStyle name="Normal 21 8 2 2 2 2 2" xfId="35814" xr:uid="{00000000-0005-0000-0000-000046580000}"/>
    <cellStyle name="Normal 21 8 2 2 2 3" xfId="22046" xr:uid="{00000000-0005-0000-0000-000047580000}"/>
    <cellStyle name="Normal 21 8 2 2 2 3 2" xfId="41966" xr:uid="{00000000-0005-0000-0000-000048580000}"/>
    <cellStyle name="Normal 21 8 2 2 2 4" xfId="29661" xr:uid="{00000000-0005-0000-0000-000049580000}"/>
    <cellStyle name="Normal 21 8 2 2 3" xfId="12828" xr:uid="{00000000-0005-0000-0000-00004A580000}"/>
    <cellStyle name="Normal 21 8 2 2 3 2" xfId="32748" xr:uid="{00000000-0005-0000-0000-00004B580000}"/>
    <cellStyle name="Normal 21 8 2 2 4" xfId="18980" xr:uid="{00000000-0005-0000-0000-00004C580000}"/>
    <cellStyle name="Normal 21 8 2 2 4 2" xfId="38900" xr:uid="{00000000-0005-0000-0000-00004D580000}"/>
    <cellStyle name="Normal 21 8 2 2 5" xfId="26595" xr:uid="{00000000-0005-0000-0000-00004E580000}"/>
    <cellStyle name="Normal 21 8 2 3" xfId="8166" xr:uid="{00000000-0005-0000-0000-00004F580000}"/>
    <cellStyle name="Normal 21 8 2 3 2" xfId="14360" xr:uid="{00000000-0005-0000-0000-000050580000}"/>
    <cellStyle name="Normal 21 8 2 3 2 2" xfId="34280" xr:uid="{00000000-0005-0000-0000-000051580000}"/>
    <cellStyle name="Normal 21 8 2 3 3" xfId="20512" xr:uid="{00000000-0005-0000-0000-000052580000}"/>
    <cellStyle name="Normal 21 8 2 3 3 2" xfId="40432" xr:uid="{00000000-0005-0000-0000-000053580000}"/>
    <cellStyle name="Normal 21 8 2 3 4" xfId="28127" xr:uid="{00000000-0005-0000-0000-000054580000}"/>
    <cellStyle name="Normal 21 8 2 4" xfId="11294" xr:uid="{00000000-0005-0000-0000-000055580000}"/>
    <cellStyle name="Normal 21 8 2 4 2" xfId="31214" xr:uid="{00000000-0005-0000-0000-000056580000}"/>
    <cellStyle name="Normal 21 8 2 5" xfId="17446" xr:uid="{00000000-0005-0000-0000-000057580000}"/>
    <cellStyle name="Normal 21 8 2 5 2" xfId="37366" xr:uid="{00000000-0005-0000-0000-000058580000}"/>
    <cellStyle name="Normal 21 8 2 6" xfId="25061" xr:uid="{00000000-0005-0000-0000-000059580000}"/>
    <cellStyle name="Normal 21 8 3" xfId="5832" xr:uid="{00000000-0005-0000-0000-00005A580000}"/>
    <cellStyle name="Normal 21 8 3 2" xfId="8932" xr:uid="{00000000-0005-0000-0000-00005B580000}"/>
    <cellStyle name="Normal 21 8 3 2 2" xfId="15125" xr:uid="{00000000-0005-0000-0000-00005C580000}"/>
    <cellStyle name="Normal 21 8 3 2 2 2" xfId="35045" xr:uid="{00000000-0005-0000-0000-00005D580000}"/>
    <cellStyle name="Normal 21 8 3 2 3" xfId="21277" xr:uid="{00000000-0005-0000-0000-00005E580000}"/>
    <cellStyle name="Normal 21 8 3 2 3 2" xfId="41197" xr:uid="{00000000-0005-0000-0000-00005F580000}"/>
    <cellStyle name="Normal 21 8 3 2 4" xfId="28892" xr:uid="{00000000-0005-0000-0000-000060580000}"/>
    <cellStyle name="Normal 21 8 3 3" xfId="12059" xr:uid="{00000000-0005-0000-0000-000061580000}"/>
    <cellStyle name="Normal 21 8 3 3 2" xfId="31979" xr:uid="{00000000-0005-0000-0000-000062580000}"/>
    <cellStyle name="Normal 21 8 3 4" xfId="18211" xr:uid="{00000000-0005-0000-0000-000063580000}"/>
    <cellStyle name="Normal 21 8 3 4 2" xfId="38131" xr:uid="{00000000-0005-0000-0000-000064580000}"/>
    <cellStyle name="Normal 21 8 3 5" xfId="25826" xr:uid="{00000000-0005-0000-0000-000065580000}"/>
    <cellStyle name="Normal 21 8 4" xfId="7397" xr:uid="{00000000-0005-0000-0000-000066580000}"/>
    <cellStyle name="Normal 21 8 4 2" xfId="13591" xr:uid="{00000000-0005-0000-0000-000067580000}"/>
    <cellStyle name="Normal 21 8 4 2 2" xfId="33511" xr:uid="{00000000-0005-0000-0000-000068580000}"/>
    <cellStyle name="Normal 21 8 4 3" xfId="19743" xr:uid="{00000000-0005-0000-0000-000069580000}"/>
    <cellStyle name="Normal 21 8 4 3 2" xfId="39663" xr:uid="{00000000-0005-0000-0000-00006A580000}"/>
    <cellStyle name="Normal 21 8 4 4" xfId="27358" xr:uid="{00000000-0005-0000-0000-00006B580000}"/>
    <cellStyle name="Normal 21 8 5" xfId="10525" xr:uid="{00000000-0005-0000-0000-00006C580000}"/>
    <cellStyle name="Normal 21 8 5 2" xfId="30445" xr:uid="{00000000-0005-0000-0000-00006D580000}"/>
    <cellStyle name="Normal 21 8 6" xfId="16677" xr:uid="{00000000-0005-0000-0000-00006E580000}"/>
    <cellStyle name="Normal 21 8 6 2" xfId="36597" xr:uid="{00000000-0005-0000-0000-00006F580000}"/>
    <cellStyle name="Normal 21 8 7" xfId="24292" xr:uid="{00000000-0005-0000-0000-000070580000}"/>
    <cellStyle name="Normal 21 9" xfId="4978" xr:uid="{00000000-0005-0000-0000-000071580000}"/>
    <cellStyle name="Normal 21 9 2" xfId="6603" xr:uid="{00000000-0005-0000-0000-000072580000}"/>
    <cellStyle name="Normal 21 9 2 2" xfId="9689" xr:uid="{00000000-0005-0000-0000-000073580000}"/>
    <cellStyle name="Normal 21 9 2 2 2" xfId="15882" xr:uid="{00000000-0005-0000-0000-000074580000}"/>
    <cellStyle name="Normal 21 9 2 2 2 2" xfId="35802" xr:uid="{00000000-0005-0000-0000-000075580000}"/>
    <cellStyle name="Normal 21 9 2 2 3" xfId="22034" xr:uid="{00000000-0005-0000-0000-000076580000}"/>
    <cellStyle name="Normal 21 9 2 2 3 2" xfId="41954" xr:uid="{00000000-0005-0000-0000-000077580000}"/>
    <cellStyle name="Normal 21 9 2 2 4" xfId="29649" xr:uid="{00000000-0005-0000-0000-000078580000}"/>
    <cellStyle name="Normal 21 9 2 3" xfId="12816" xr:uid="{00000000-0005-0000-0000-000079580000}"/>
    <cellStyle name="Normal 21 9 2 3 2" xfId="32736" xr:uid="{00000000-0005-0000-0000-00007A580000}"/>
    <cellStyle name="Normal 21 9 2 4" xfId="18968" xr:uid="{00000000-0005-0000-0000-00007B580000}"/>
    <cellStyle name="Normal 21 9 2 4 2" xfId="38888" xr:uid="{00000000-0005-0000-0000-00007C580000}"/>
    <cellStyle name="Normal 21 9 2 5" xfId="26583" xr:uid="{00000000-0005-0000-0000-00007D580000}"/>
    <cellStyle name="Normal 21 9 3" xfId="8154" xr:uid="{00000000-0005-0000-0000-00007E580000}"/>
    <cellStyle name="Normal 21 9 3 2" xfId="14348" xr:uid="{00000000-0005-0000-0000-00007F580000}"/>
    <cellStyle name="Normal 21 9 3 2 2" xfId="34268" xr:uid="{00000000-0005-0000-0000-000080580000}"/>
    <cellStyle name="Normal 21 9 3 3" xfId="20500" xr:uid="{00000000-0005-0000-0000-000081580000}"/>
    <cellStyle name="Normal 21 9 3 3 2" xfId="40420" xr:uid="{00000000-0005-0000-0000-000082580000}"/>
    <cellStyle name="Normal 21 9 3 4" xfId="28115" xr:uid="{00000000-0005-0000-0000-000083580000}"/>
    <cellStyle name="Normal 21 9 4" xfId="11282" xr:uid="{00000000-0005-0000-0000-000084580000}"/>
    <cellStyle name="Normal 21 9 4 2" xfId="31202" xr:uid="{00000000-0005-0000-0000-000085580000}"/>
    <cellStyle name="Normal 21 9 5" xfId="17434" xr:uid="{00000000-0005-0000-0000-000086580000}"/>
    <cellStyle name="Normal 21 9 5 2" xfId="37354" xr:uid="{00000000-0005-0000-0000-000087580000}"/>
    <cellStyle name="Normal 21 9 6" xfId="25049" xr:uid="{00000000-0005-0000-0000-000088580000}"/>
    <cellStyle name="Normal 22" xfId="309" xr:uid="{00000000-0005-0000-0000-000089580000}"/>
    <cellStyle name="Normal 22 10" xfId="7398" xr:uid="{00000000-0005-0000-0000-00008A580000}"/>
    <cellStyle name="Normal 22 10 2" xfId="13592" xr:uid="{00000000-0005-0000-0000-00008B580000}"/>
    <cellStyle name="Normal 22 10 2 2" xfId="33512" xr:uid="{00000000-0005-0000-0000-00008C580000}"/>
    <cellStyle name="Normal 22 10 3" xfId="19744" xr:uid="{00000000-0005-0000-0000-00008D580000}"/>
    <cellStyle name="Normal 22 10 3 2" xfId="39664" xr:uid="{00000000-0005-0000-0000-00008E580000}"/>
    <cellStyle name="Normal 22 10 4" xfId="27359" xr:uid="{00000000-0005-0000-0000-00008F580000}"/>
    <cellStyle name="Normal 22 11" xfId="10526" xr:uid="{00000000-0005-0000-0000-000090580000}"/>
    <cellStyle name="Normal 22 11 2" xfId="30446" xr:uid="{00000000-0005-0000-0000-000091580000}"/>
    <cellStyle name="Normal 22 12" xfId="16678" xr:uid="{00000000-0005-0000-0000-000092580000}"/>
    <cellStyle name="Normal 22 12 2" xfId="36598" xr:uid="{00000000-0005-0000-0000-000093580000}"/>
    <cellStyle name="Normal 22 13" xfId="3528" xr:uid="{00000000-0005-0000-0000-000094580000}"/>
    <cellStyle name="Normal 22 13 2" xfId="24293" xr:uid="{00000000-0005-0000-0000-000095580000}"/>
    <cellStyle name="Normal 22 2" xfId="3529" xr:uid="{00000000-0005-0000-0000-000096580000}"/>
    <cellStyle name="Normal 22 2 10" xfId="10527" xr:uid="{00000000-0005-0000-0000-000097580000}"/>
    <cellStyle name="Normal 22 2 10 2" xfId="30447" xr:uid="{00000000-0005-0000-0000-000098580000}"/>
    <cellStyle name="Normal 22 2 11" xfId="16679" xr:uid="{00000000-0005-0000-0000-000099580000}"/>
    <cellStyle name="Normal 22 2 11 2" xfId="36599" xr:uid="{00000000-0005-0000-0000-00009A580000}"/>
    <cellStyle name="Normal 22 2 12" xfId="24294" xr:uid="{00000000-0005-0000-0000-00009B580000}"/>
    <cellStyle name="Normal 22 2 2" xfId="3530" xr:uid="{00000000-0005-0000-0000-00009C580000}"/>
    <cellStyle name="Normal 22 2 2 2" xfId="4993" xr:uid="{00000000-0005-0000-0000-00009D580000}"/>
    <cellStyle name="Normal 22 2 2 2 2" xfId="6618" xr:uid="{00000000-0005-0000-0000-00009E580000}"/>
    <cellStyle name="Normal 22 2 2 2 2 2" xfId="9704" xr:uid="{00000000-0005-0000-0000-00009F580000}"/>
    <cellStyle name="Normal 22 2 2 2 2 2 2" xfId="15897" xr:uid="{00000000-0005-0000-0000-0000A0580000}"/>
    <cellStyle name="Normal 22 2 2 2 2 2 2 2" xfId="35817" xr:uid="{00000000-0005-0000-0000-0000A1580000}"/>
    <cellStyle name="Normal 22 2 2 2 2 2 3" xfId="22049" xr:uid="{00000000-0005-0000-0000-0000A2580000}"/>
    <cellStyle name="Normal 22 2 2 2 2 2 3 2" xfId="41969" xr:uid="{00000000-0005-0000-0000-0000A3580000}"/>
    <cellStyle name="Normal 22 2 2 2 2 2 4" xfId="29664" xr:uid="{00000000-0005-0000-0000-0000A4580000}"/>
    <cellStyle name="Normal 22 2 2 2 2 3" xfId="12831" xr:uid="{00000000-0005-0000-0000-0000A5580000}"/>
    <cellStyle name="Normal 22 2 2 2 2 3 2" xfId="32751" xr:uid="{00000000-0005-0000-0000-0000A6580000}"/>
    <cellStyle name="Normal 22 2 2 2 2 4" xfId="18983" xr:uid="{00000000-0005-0000-0000-0000A7580000}"/>
    <cellStyle name="Normal 22 2 2 2 2 4 2" xfId="38903" xr:uid="{00000000-0005-0000-0000-0000A8580000}"/>
    <cellStyle name="Normal 22 2 2 2 2 5" xfId="26598" xr:uid="{00000000-0005-0000-0000-0000A9580000}"/>
    <cellStyle name="Normal 22 2 2 2 3" xfId="8169" xr:uid="{00000000-0005-0000-0000-0000AA580000}"/>
    <cellStyle name="Normal 22 2 2 2 3 2" xfId="14363" xr:uid="{00000000-0005-0000-0000-0000AB580000}"/>
    <cellStyle name="Normal 22 2 2 2 3 2 2" xfId="34283" xr:uid="{00000000-0005-0000-0000-0000AC580000}"/>
    <cellStyle name="Normal 22 2 2 2 3 3" xfId="20515" xr:uid="{00000000-0005-0000-0000-0000AD580000}"/>
    <cellStyle name="Normal 22 2 2 2 3 3 2" xfId="40435" xr:uid="{00000000-0005-0000-0000-0000AE580000}"/>
    <cellStyle name="Normal 22 2 2 2 3 4" xfId="28130" xr:uid="{00000000-0005-0000-0000-0000AF580000}"/>
    <cellStyle name="Normal 22 2 2 2 4" xfId="11297" xr:uid="{00000000-0005-0000-0000-0000B0580000}"/>
    <cellStyle name="Normal 22 2 2 2 4 2" xfId="31217" xr:uid="{00000000-0005-0000-0000-0000B1580000}"/>
    <cellStyle name="Normal 22 2 2 2 5" xfId="17449" xr:uid="{00000000-0005-0000-0000-0000B2580000}"/>
    <cellStyle name="Normal 22 2 2 2 5 2" xfId="37369" xr:uid="{00000000-0005-0000-0000-0000B3580000}"/>
    <cellStyle name="Normal 22 2 2 2 6" xfId="25064" xr:uid="{00000000-0005-0000-0000-0000B4580000}"/>
    <cellStyle name="Normal 22 2 2 3" xfId="5835" xr:uid="{00000000-0005-0000-0000-0000B5580000}"/>
    <cellStyle name="Normal 22 2 2 3 2" xfId="8935" xr:uid="{00000000-0005-0000-0000-0000B6580000}"/>
    <cellStyle name="Normal 22 2 2 3 2 2" xfId="15128" xr:uid="{00000000-0005-0000-0000-0000B7580000}"/>
    <cellStyle name="Normal 22 2 2 3 2 2 2" xfId="35048" xr:uid="{00000000-0005-0000-0000-0000B8580000}"/>
    <cellStyle name="Normal 22 2 2 3 2 3" xfId="21280" xr:uid="{00000000-0005-0000-0000-0000B9580000}"/>
    <cellStyle name="Normal 22 2 2 3 2 3 2" xfId="41200" xr:uid="{00000000-0005-0000-0000-0000BA580000}"/>
    <cellStyle name="Normal 22 2 2 3 2 4" xfId="28895" xr:uid="{00000000-0005-0000-0000-0000BB580000}"/>
    <cellStyle name="Normal 22 2 2 3 3" xfId="12062" xr:uid="{00000000-0005-0000-0000-0000BC580000}"/>
    <cellStyle name="Normal 22 2 2 3 3 2" xfId="31982" xr:uid="{00000000-0005-0000-0000-0000BD580000}"/>
    <cellStyle name="Normal 22 2 2 3 4" xfId="18214" xr:uid="{00000000-0005-0000-0000-0000BE580000}"/>
    <cellStyle name="Normal 22 2 2 3 4 2" xfId="38134" xr:uid="{00000000-0005-0000-0000-0000BF580000}"/>
    <cellStyle name="Normal 22 2 2 3 5" xfId="25829" xr:uid="{00000000-0005-0000-0000-0000C0580000}"/>
    <cellStyle name="Normal 22 2 2 4" xfId="7400" xr:uid="{00000000-0005-0000-0000-0000C1580000}"/>
    <cellStyle name="Normal 22 2 2 4 2" xfId="13594" xr:uid="{00000000-0005-0000-0000-0000C2580000}"/>
    <cellStyle name="Normal 22 2 2 4 2 2" xfId="33514" xr:uid="{00000000-0005-0000-0000-0000C3580000}"/>
    <cellStyle name="Normal 22 2 2 4 3" xfId="19746" xr:uid="{00000000-0005-0000-0000-0000C4580000}"/>
    <cellStyle name="Normal 22 2 2 4 3 2" xfId="39666" xr:uid="{00000000-0005-0000-0000-0000C5580000}"/>
    <cellStyle name="Normal 22 2 2 4 4" xfId="27361" xr:uid="{00000000-0005-0000-0000-0000C6580000}"/>
    <cellStyle name="Normal 22 2 2 5" xfId="10528" xr:uid="{00000000-0005-0000-0000-0000C7580000}"/>
    <cellStyle name="Normal 22 2 2 5 2" xfId="30448" xr:uid="{00000000-0005-0000-0000-0000C8580000}"/>
    <cellStyle name="Normal 22 2 2 6" xfId="16680" xr:uid="{00000000-0005-0000-0000-0000C9580000}"/>
    <cellStyle name="Normal 22 2 2 6 2" xfId="36600" xr:uid="{00000000-0005-0000-0000-0000CA580000}"/>
    <cellStyle name="Normal 22 2 2 7" xfId="24295" xr:uid="{00000000-0005-0000-0000-0000CB580000}"/>
    <cellStyle name="Normal 22 2 3" xfId="3531" xr:uid="{00000000-0005-0000-0000-0000CC580000}"/>
    <cellStyle name="Normal 22 2 3 2" xfId="4994" xr:uid="{00000000-0005-0000-0000-0000CD580000}"/>
    <cellStyle name="Normal 22 2 3 2 2" xfId="6619" xr:uid="{00000000-0005-0000-0000-0000CE580000}"/>
    <cellStyle name="Normal 22 2 3 2 2 2" xfId="9705" xr:uid="{00000000-0005-0000-0000-0000CF580000}"/>
    <cellStyle name="Normal 22 2 3 2 2 2 2" xfId="15898" xr:uid="{00000000-0005-0000-0000-0000D0580000}"/>
    <cellStyle name="Normal 22 2 3 2 2 2 2 2" xfId="35818" xr:uid="{00000000-0005-0000-0000-0000D1580000}"/>
    <cellStyle name="Normal 22 2 3 2 2 2 3" xfId="22050" xr:uid="{00000000-0005-0000-0000-0000D2580000}"/>
    <cellStyle name="Normal 22 2 3 2 2 2 3 2" xfId="41970" xr:uid="{00000000-0005-0000-0000-0000D3580000}"/>
    <cellStyle name="Normal 22 2 3 2 2 2 4" xfId="29665" xr:uid="{00000000-0005-0000-0000-0000D4580000}"/>
    <cellStyle name="Normal 22 2 3 2 2 3" xfId="12832" xr:uid="{00000000-0005-0000-0000-0000D5580000}"/>
    <cellStyle name="Normal 22 2 3 2 2 3 2" xfId="32752" xr:uid="{00000000-0005-0000-0000-0000D6580000}"/>
    <cellStyle name="Normal 22 2 3 2 2 4" xfId="18984" xr:uid="{00000000-0005-0000-0000-0000D7580000}"/>
    <cellStyle name="Normal 22 2 3 2 2 4 2" xfId="38904" xr:uid="{00000000-0005-0000-0000-0000D8580000}"/>
    <cellStyle name="Normal 22 2 3 2 2 5" xfId="26599" xr:uid="{00000000-0005-0000-0000-0000D9580000}"/>
    <cellStyle name="Normal 22 2 3 2 3" xfId="8170" xr:uid="{00000000-0005-0000-0000-0000DA580000}"/>
    <cellStyle name="Normal 22 2 3 2 3 2" xfId="14364" xr:uid="{00000000-0005-0000-0000-0000DB580000}"/>
    <cellStyle name="Normal 22 2 3 2 3 2 2" xfId="34284" xr:uid="{00000000-0005-0000-0000-0000DC580000}"/>
    <cellStyle name="Normal 22 2 3 2 3 3" xfId="20516" xr:uid="{00000000-0005-0000-0000-0000DD580000}"/>
    <cellStyle name="Normal 22 2 3 2 3 3 2" xfId="40436" xr:uid="{00000000-0005-0000-0000-0000DE580000}"/>
    <cellStyle name="Normal 22 2 3 2 3 4" xfId="28131" xr:uid="{00000000-0005-0000-0000-0000DF580000}"/>
    <cellStyle name="Normal 22 2 3 2 4" xfId="11298" xr:uid="{00000000-0005-0000-0000-0000E0580000}"/>
    <cellStyle name="Normal 22 2 3 2 4 2" xfId="31218" xr:uid="{00000000-0005-0000-0000-0000E1580000}"/>
    <cellStyle name="Normal 22 2 3 2 5" xfId="17450" xr:uid="{00000000-0005-0000-0000-0000E2580000}"/>
    <cellStyle name="Normal 22 2 3 2 5 2" xfId="37370" xr:uid="{00000000-0005-0000-0000-0000E3580000}"/>
    <cellStyle name="Normal 22 2 3 2 6" xfId="25065" xr:uid="{00000000-0005-0000-0000-0000E4580000}"/>
    <cellStyle name="Normal 22 2 3 3" xfId="5836" xr:uid="{00000000-0005-0000-0000-0000E5580000}"/>
    <cellStyle name="Normal 22 2 3 3 2" xfId="8936" xr:uid="{00000000-0005-0000-0000-0000E6580000}"/>
    <cellStyle name="Normal 22 2 3 3 2 2" xfId="15129" xr:uid="{00000000-0005-0000-0000-0000E7580000}"/>
    <cellStyle name="Normal 22 2 3 3 2 2 2" xfId="35049" xr:uid="{00000000-0005-0000-0000-0000E8580000}"/>
    <cellStyle name="Normal 22 2 3 3 2 3" xfId="21281" xr:uid="{00000000-0005-0000-0000-0000E9580000}"/>
    <cellStyle name="Normal 22 2 3 3 2 3 2" xfId="41201" xr:uid="{00000000-0005-0000-0000-0000EA580000}"/>
    <cellStyle name="Normal 22 2 3 3 2 4" xfId="28896" xr:uid="{00000000-0005-0000-0000-0000EB580000}"/>
    <cellStyle name="Normal 22 2 3 3 3" xfId="12063" xr:uid="{00000000-0005-0000-0000-0000EC580000}"/>
    <cellStyle name="Normal 22 2 3 3 3 2" xfId="31983" xr:uid="{00000000-0005-0000-0000-0000ED580000}"/>
    <cellStyle name="Normal 22 2 3 3 4" xfId="18215" xr:uid="{00000000-0005-0000-0000-0000EE580000}"/>
    <cellStyle name="Normal 22 2 3 3 4 2" xfId="38135" xr:uid="{00000000-0005-0000-0000-0000EF580000}"/>
    <cellStyle name="Normal 22 2 3 3 5" xfId="25830" xr:uid="{00000000-0005-0000-0000-0000F0580000}"/>
    <cellStyle name="Normal 22 2 3 4" xfId="7401" xr:uid="{00000000-0005-0000-0000-0000F1580000}"/>
    <cellStyle name="Normal 22 2 3 4 2" xfId="13595" xr:uid="{00000000-0005-0000-0000-0000F2580000}"/>
    <cellStyle name="Normal 22 2 3 4 2 2" xfId="33515" xr:uid="{00000000-0005-0000-0000-0000F3580000}"/>
    <cellStyle name="Normal 22 2 3 4 3" xfId="19747" xr:uid="{00000000-0005-0000-0000-0000F4580000}"/>
    <cellStyle name="Normal 22 2 3 4 3 2" xfId="39667" xr:uid="{00000000-0005-0000-0000-0000F5580000}"/>
    <cellStyle name="Normal 22 2 3 4 4" xfId="27362" xr:uid="{00000000-0005-0000-0000-0000F6580000}"/>
    <cellStyle name="Normal 22 2 3 5" xfId="10529" xr:uid="{00000000-0005-0000-0000-0000F7580000}"/>
    <cellStyle name="Normal 22 2 3 5 2" xfId="30449" xr:uid="{00000000-0005-0000-0000-0000F8580000}"/>
    <cellStyle name="Normal 22 2 3 6" xfId="16681" xr:uid="{00000000-0005-0000-0000-0000F9580000}"/>
    <cellStyle name="Normal 22 2 3 6 2" xfId="36601" xr:uid="{00000000-0005-0000-0000-0000FA580000}"/>
    <cellStyle name="Normal 22 2 3 7" xfId="24296" xr:uid="{00000000-0005-0000-0000-0000FB580000}"/>
    <cellStyle name="Normal 22 2 4" xfId="3532" xr:uid="{00000000-0005-0000-0000-0000FC580000}"/>
    <cellStyle name="Normal 22 2 4 2" xfId="4995" xr:uid="{00000000-0005-0000-0000-0000FD580000}"/>
    <cellStyle name="Normal 22 2 4 2 2" xfId="6620" xr:uid="{00000000-0005-0000-0000-0000FE580000}"/>
    <cellStyle name="Normal 22 2 4 2 2 2" xfId="9706" xr:uid="{00000000-0005-0000-0000-0000FF580000}"/>
    <cellStyle name="Normal 22 2 4 2 2 2 2" xfId="15899" xr:uid="{00000000-0005-0000-0000-000000590000}"/>
    <cellStyle name="Normal 22 2 4 2 2 2 2 2" xfId="35819" xr:uid="{00000000-0005-0000-0000-000001590000}"/>
    <cellStyle name="Normal 22 2 4 2 2 2 3" xfId="22051" xr:uid="{00000000-0005-0000-0000-000002590000}"/>
    <cellStyle name="Normal 22 2 4 2 2 2 3 2" xfId="41971" xr:uid="{00000000-0005-0000-0000-000003590000}"/>
    <cellStyle name="Normal 22 2 4 2 2 2 4" xfId="29666" xr:uid="{00000000-0005-0000-0000-000004590000}"/>
    <cellStyle name="Normal 22 2 4 2 2 3" xfId="12833" xr:uid="{00000000-0005-0000-0000-000005590000}"/>
    <cellStyle name="Normal 22 2 4 2 2 3 2" xfId="32753" xr:uid="{00000000-0005-0000-0000-000006590000}"/>
    <cellStyle name="Normal 22 2 4 2 2 4" xfId="18985" xr:uid="{00000000-0005-0000-0000-000007590000}"/>
    <cellStyle name="Normal 22 2 4 2 2 4 2" xfId="38905" xr:uid="{00000000-0005-0000-0000-000008590000}"/>
    <cellStyle name="Normal 22 2 4 2 2 5" xfId="26600" xr:uid="{00000000-0005-0000-0000-000009590000}"/>
    <cellStyle name="Normal 22 2 4 2 3" xfId="8171" xr:uid="{00000000-0005-0000-0000-00000A590000}"/>
    <cellStyle name="Normal 22 2 4 2 3 2" xfId="14365" xr:uid="{00000000-0005-0000-0000-00000B590000}"/>
    <cellStyle name="Normal 22 2 4 2 3 2 2" xfId="34285" xr:uid="{00000000-0005-0000-0000-00000C590000}"/>
    <cellStyle name="Normal 22 2 4 2 3 3" xfId="20517" xr:uid="{00000000-0005-0000-0000-00000D590000}"/>
    <cellStyle name="Normal 22 2 4 2 3 3 2" xfId="40437" xr:uid="{00000000-0005-0000-0000-00000E590000}"/>
    <cellStyle name="Normal 22 2 4 2 3 4" xfId="28132" xr:uid="{00000000-0005-0000-0000-00000F590000}"/>
    <cellStyle name="Normal 22 2 4 2 4" xfId="11299" xr:uid="{00000000-0005-0000-0000-000010590000}"/>
    <cellStyle name="Normal 22 2 4 2 4 2" xfId="31219" xr:uid="{00000000-0005-0000-0000-000011590000}"/>
    <cellStyle name="Normal 22 2 4 2 5" xfId="17451" xr:uid="{00000000-0005-0000-0000-000012590000}"/>
    <cellStyle name="Normal 22 2 4 2 5 2" xfId="37371" xr:uid="{00000000-0005-0000-0000-000013590000}"/>
    <cellStyle name="Normal 22 2 4 2 6" xfId="25066" xr:uid="{00000000-0005-0000-0000-000014590000}"/>
    <cellStyle name="Normal 22 2 4 3" xfId="5837" xr:uid="{00000000-0005-0000-0000-000015590000}"/>
    <cellStyle name="Normal 22 2 4 3 2" xfId="8937" xr:uid="{00000000-0005-0000-0000-000016590000}"/>
    <cellStyle name="Normal 22 2 4 3 2 2" xfId="15130" xr:uid="{00000000-0005-0000-0000-000017590000}"/>
    <cellStyle name="Normal 22 2 4 3 2 2 2" xfId="35050" xr:uid="{00000000-0005-0000-0000-000018590000}"/>
    <cellStyle name="Normal 22 2 4 3 2 3" xfId="21282" xr:uid="{00000000-0005-0000-0000-000019590000}"/>
    <cellStyle name="Normal 22 2 4 3 2 3 2" xfId="41202" xr:uid="{00000000-0005-0000-0000-00001A590000}"/>
    <cellStyle name="Normal 22 2 4 3 2 4" xfId="28897" xr:uid="{00000000-0005-0000-0000-00001B590000}"/>
    <cellStyle name="Normal 22 2 4 3 3" xfId="12064" xr:uid="{00000000-0005-0000-0000-00001C590000}"/>
    <cellStyle name="Normal 22 2 4 3 3 2" xfId="31984" xr:uid="{00000000-0005-0000-0000-00001D590000}"/>
    <cellStyle name="Normal 22 2 4 3 4" xfId="18216" xr:uid="{00000000-0005-0000-0000-00001E590000}"/>
    <cellStyle name="Normal 22 2 4 3 4 2" xfId="38136" xr:uid="{00000000-0005-0000-0000-00001F590000}"/>
    <cellStyle name="Normal 22 2 4 3 5" xfId="25831" xr:uid="{00000000-0005-0000-0000-000020590000}"/>
    <cellStyle name="Normal 22 2 4 4" xfId="7402" xr:uid="{00000000-0005-0000-0000-000021590000}"/>
    <cellStyle name="Normal 22 2 4 4 2" xfId="13596" xr:uid="{00000000-0005-0000-0000-000022590000}"/>
    <cellStyle name="Normal 22 2 4 4 2 2" xfId="33516" xr:uid="{00000000-0005-0000-0000-000023590000}"/>
    <cellStyle name="Normal 22 2 4 4 3" xfId="19748" xr:uid="{00000000-0005-0000-0000-000024590000}"/>
    <cellStyle name="Normal 22 2 4 4 3 2" xfId="39668" xr:uid="{00000000-0005-0000-0000-000025590000}"/>
    <cellStyle name="Normal 22 2 4 4 4" xfId="27363" xr:uid="{00000000-0005-0000-0000-000026590000}"/>
    <cellStyle name="Normal 22 2 4 5" xfId="10530" xr:uid="{00000000-0005-0000-0000-000027590000}"/>
    <cellStyle name="Normal 22 2 4 5 2" xfId="30450" xr:uid="{00000000-0005-0000-0000-000028590000}"/>
    <cellStyle name="Normal 22 2 4 6" xfId="16682" xr:uid="{00000000-0005-0000-0000-000029590000}"/>
    <cellStyle name="Normal 22 2 4 6 2" xfId="36602" xr:uid="{00000000-0005-0000-0000-00002A590000}"/>
    <cellStyle name="Normal 22 2 4 7" xfId="24297" xr:uid="{00000000-0005-0000-0000-00002B590000}"/>
    <cellStyle name="Normal 22 2 5" xfId="3533" xr:uid="{00000000-0005-0000-0000-00002C590000}"/>
    <cellStyle name="Normal 22 2 5 2" xfId="4996" xr:uid="{00000000-0005-0000-0000-00002D590000}"/>
    <cellStyle name="Normal 22 2 5 2 2" xfId="6621" xr:uid="{00000000-0005-0000-0000-00002E590000}"/>
    <cellStyle name="Normal 22 2 5 2 2 2" xfId="9707" xr:uid="{00000000-0005-0000-0000-00002F590000}"/>
    <cellStyle name="Normal 22 2 5 2 2 2 2" xfId="15900" xr:uid="{00000000-0005-0000-0000-000030590000}"/>
    <cellStyle name="Normal 22 2 5 2 2 2 2 2" xfId="35820" xr:uid="{00000000-0005-0000-0000-000031590000}"/>
    <cellStyle name="Normal 22 2 5 2 2 2 3" xfId="22052" xr:uid="{00000000-0005-0000-0000-000032590000}"/>
    <cellStyle name="Normal 22 2 5 2 2 2 3 2" xfId="41972" xr:uid="{00000000-0005-0000-0000-000033590000}"/>
    <cellStyle name="Normal 22 2 5 2 2 2 4" xfId="29667" xr:uid="{00000000-0005-0000-0000-000034590000}"/>
    <cellStyle name="Normal 22 2 5 2 2 3" xfId="12834" xr:uid="{00000000-0005-0000-0000-000035590000}"/>
    <cellStyle name="Normal 22 2 5 2 2 3 2" xfId="32754" xr:uid="{00000000-0005-0000-0000-000036590000}"/>
    <cellStyle name="Normal 22 2 5 2 2 4" xfId="18986" xr:uid="{00000000-0005-0000-0000-000037590000}"/>
    <cellStyle name="Normal 22 2 5 2 2 4 2" xfId="38906" xr:uid="{00000000-0005-0000-0000-000038590000}"/>
    <cellStyle name="Normal 22 2 5 2 2 5" xfId="26601" xr:uid="{00000000-0005-0000-0000-000039590000}"/>
    <cellStyle name="Normal 22 2 5 2 3" xfId="8172" xr:uid="{00000000-0005-0000-0000-00003A590000}"/>
    <cellStyle name="Normal 22 2 5 2 3 2" xfId="14366" xr:uid="{00000000-0005-0000-0000-00003B590000}"/>
    <cellStyle name="Normal 22 2 5 2 3 2 2" xfId="34286" xr:uid="{00000000-0005-0000-0000-00003C590000}"/>
    <cellStyle name="Normal 22 2 5 2 3 3" xfId="20518" xr:uid="{00000000-0005-0000-0000-00003D590000}"/>
    <cellStyle name="Normal 22 2 5 2 3 3 2" xfId="40438" xr:uid="{00000000-0005-0000-0000-00003E590000}"/>
    <cellStyle name="Normal 22 2 5 2 3 4" xfId="28133" xr:uid="{00000000-0005-0000-0000-00003F590000}"/>
    <cellStyle name="Normal 22 2 5 2 4" xfId="11300" xr:uid="{00000000-0005-0000-0000-000040590000}"/>
    <cellStyle name="Normal 22 2 5 2 4 2" xfId="31220" xr:uid="{00000000-0005-0000-0000-000041590000}"/>
    <cellStyle name="Normal 22 2 5 2 5" xfId="17452" xr:uid="{00000000-0005-0000-0000-000042590000}"/>
    <cellStyle name="Normal 22 2 5 2 5 2" xfId="37372" xr:uid="{00000000-0005-0000-0000-000043590000}"/>
    <cellStyle name="Normal 22 2 5 2 6" xfId="25067" xr:uid="{00000000-0005-0000-0000-000044590000}"/>
    <cellStyle name="Normal 22 2 5 3" xfId="5838" xr:uid="{00000000-0005-0000-0000-000045590000}"/>
    <cellStyle name="Normal 22 2 5 3 2" xfId="8938" xr:uid="{00000000-0005-0000-0000-000046590000}"/>
    <cellStyle name="Normal 22 2 5 3 2 2" xfId="15131" xr:uid="{00000000-0005-0000-0000-000047590000}"/>
    <cellStyle name="Normal 22 2 5 3 2 2 2" xfId="35051" xr:uid="{00000000-0005-0000-0000-000048590000}"/>
    <cellStyle name="Normal 22 2 5 3 2 3" xfId="21283" xr:uid="{00000000-0005-0000-0000-000049590000}"/>
    <cellStyle name="Normal 22 2 5 3 2 3 2" xfId="41203" xr:uid="{00000000-0005-0000-0000-00004A590000}"/>
    <cellStyle name="Normal 22 2 5 3 2 4" xfId="28898" xr:uid="{00000000-0005-0000-0000-00004B590000}"/>
    <cellStyle name="Normal 22 2 5 3 3" xfId="12065" xr:uid="{00000000-0005-0000-0000-00004C590000}"/>
    <cellStyle name="Normal 22 2 5 3 3 2" xfId="31985" xr:uid="{00000000-0005-0000-0000-00004D590000}"/>
    <cellStyle name="Normal 22 2 5 3 4" xfId="18217" xr:uid="{00000000-0005-0000-0000-00004E590000}"/>
    <cellStyle name="Normal 22 2 5 3 4 2" xfId="38137" xr:uid="{00000000-0005-0000-0000-00004F590000}"/>
    <cellStyle name="Normal 22 2 5 3 5" xfId="25832" xr:uid="{00000000-0005-0000-0000-000050590000}"/>
    <cellStyle name="Normal 22 2 5 4" xfId="7403" xr:uid="{00000000-0005-0000-0000-000051590000}"/>
    <cellStyle name="Normal 22 2 5 4 2" xfId="13597" xr:uid="{00000000-0005-0000-0000-000052590000}"/>
    <cellStyle name="Normal 22 2 5 4 2 2" xfId="33517" xr:uid="{00000000-0005-0000-0000-000053590000}"/>
    <cellStyle name="Normal 22 2 5 4 3" xfId="19749" xr:uid="{00000000-0005-0000-0000-000054590000}"/>
    <cellStyle name="Normal 22 2 5 4 3 2" xfId="39669" xr:uid="{00000000-0005-0000-0000-000055590000}"/>
    <cellStyle name="Normal 22 2 5 4 4" xfId="27364" xr:uid="{00000000-0005-0000-0000-000056590000}"/>
    <cellStyle name="Normal 22 2 5 5" xfId="10531" xr:uid="{00000000-0005-0000-0000-000057590000}"/>
    <cellStyle name="Normal 22 2 5 5 2" xfId="30451" xr:uid="{00000000-0005-0000-0000-000058590000}"/>
    <cellStyle name="Normal 22 2 5 6" xfId="16683" xr:uid="{00000000-0005-0000-0000-000059590000}"/>
    <cellStyle name="Normal 22 2 5 6 2" xfId="36603" xr:uid="{00000000-0005-0000-0000-00005A590000}"/>
    <cellStyle name="Normal 22 2 5 7" xfId="24298" xr:uid="{00000000-0005-0000-0000-00005B590000}"/>
    <cellStyle name="Normal 22 2 6" xfId="3534" xr:uid="{00000000-0005-0000-0000-00005C590000}"/>
    <cellStyle name="Normal 22 2 7" xfId="4992" xr:uid="{00000000-0005-0000-0000-00005D590000}"/>
    <cellStyle name="Normal 22 2 7 2" xfId="6617" xr:uid="{00000000-0005-0000-0000-00005E590000}"/>
    <cellStyle name="Normal 22 2 7 2 2" xfId="9703" xr:uid="{00000000-0005-0000-0000-00005F590000}"/>
    <cellStyle name="Normal 22 2 7 2 2 2" xfId="15896" xr:uid="{00000000-0005-0000-0000-000060590000}"/>
    <cellStyle name="Normal 22 2 7 2 2 2 2" xfId="35816" xr:uid="{00000000-0005-0000-0000-000061590000}"/>
    <cellStyle name="Normal 22 2 7 2 2 3" xfId="22048" xr:uid="{00000000-0005-0000-0000-000062590000}"/>
    <cellStyle name="Normal 22 2 7 2 2 3 2" xfId="41968" xr:uid="{00000000-0005-0000-0000-000063590000}"/>
    <cellStyle name="Normal 22 2 7 2 2 4" xfId="29663" xr:uid="{00000000-0005-0000-0000-000064590000}"/>
    <cellStyle name="Normal 22 2 7 2 3" xfId="12830" xr:uid="{00000000-0005-0000-0000-000065590000}"/>
    <cellStyle name="Normal 22 2 7 2 3 2" xfId="32750" xr:uid="{00000000-0005-0000-0000-000066590000}"/>
    <cellStyle name="Normal 22 2 7 2 4" xfId="18982" xr:uid="{00000000-0005-0000-0000-000067590000}"/>
    <cellStyle name="Normal 22 2 7 2 4 2" xfId="38902" xr:uid="{00000000-0005-0000-0000-000068590000}"/>
    <cellStyle name="Normal 22 2 7 2 5" xfId="26597" xr:uid="{00000000-0005-0000-0000-000069590000}"/>
    <cellStyle name="Normal 22 2 7 3" xfId="8168" xr:uid="{00000000-0005-0000-0000-00006A590000}"/>
    <cellStyle name="Normal 22 2 7 3 2" xfId="14362" xr:uid="{00000000-0005-0000-0000-00006B590000}"/>
    <cellStyle name="Normal 22 2 7 3 2 2" xfId="34282" xr:uid="{00000000-0005-0000-0000-00006C590000}"/>
    <cellStyle name="Normal 22 2 7 3 3" xfId="20514" xr:uid="{00000000-0005-0000-0000-00006D590000}"/>
    <cellStyle name="Normal 22 2 7 3 3 2" xfId="40434" xr:uid="{00000000-0005-0000-0000-00006E590000}"/>
    <cellStyle name="Normal 22 2 7 3 4" xfId="28129" xr:uid="{00000000-0005-0000-0000-00006F590000}"/>
    <cellStyle name="Normal 22 2 7 4" xfId="11296" xr:uid="{00000000-0005-0000-0000-000070590000}"/>
    <cellStyle name="Normal 22 2 7 4 2" xfId="31216" xr:uid="{00000000-0005-0000-0000-000071590000}"/>
    <cellStyle name="Normal 22 2 7 5" xfId="17448" xr:uid="{00000000-0005-0000-0000-000072590000}"/>
    <cellStyle name="Normal 22 2 7 5 2" xfId="37368" xr:uid="{00000000-0005-0000-0000-000073590000}"/>
    <cellStyle name="Normal 22 2 7 6" xfId="25063" xr:uid="{00000000-0005-0000-0000-000074590000}"/>
    <cellStyle name="Normal 22 2 8" xfId="5834" xr:uid="{00000000-0005-0000-0000-000075590000}"/>
    <cellStyle name="Normal 22 2 8 2" xfId="8934" xr:uid="{00000000-0005-0000-0000-000076590000}"/>
    <cellStyle name="Normal 22 2 8 2 2" xfId="15127" xr:uid="{00000000-0005-0000-0000-000077590000}"/>
    <cellStyle name="Normal 22 2 8 2 2 2" xfId="35047" xr:uid="{00000000-0005-0000-0000-000078590000}"/>
    <cellStyle name="Normal 22 2 8 2 3" xfId="21279" xr:uid="{00000000-0005-0000-0000-000079590000}"/>
    <cellStyle name="Normal 22 2 8 2 3 2" xfId="41199" xr:uid="{00000000-0005-0000-0000-00007A590000}"/>
    <cellStyle name="Normal 22 2 8 2 4" xfId="28894" xr:uid="{00000000-0005-0000-0000-00007B590000}"/>
    <cellStyle name="Normal 22 2 8 3" xfId="12061" xr:uid="{00000000-0005-0000-0000-00007C590000}"/>
    <cellStyle name="Normal 22 2 8 3 2" xfId="31981" xr:uid="{00000000-0005-0000-0000-00007D590000}"/>
    <cellStyle name="Normal 22 2 8 4" xfId="18213" xr:uid="{00000000-0005-0000-0000-00007E590000}"/>
    <cellStyle name="Normal 22 2 8 4 2" xfId="38133" xr:uid="{00000000-0005-0000-0000-00007F590000}"/>
    <cellStyle name="Normal 22 2 8 5" xfId="25828" xr:uid="{00000000-0005-0000-0000-000080590000}"/>
    <cellStyle name="Normal 22 2 9" xfId="7399" xr:uid="{00000000-0005-0000-0000-000081590000}"/>
    <cellStyle name="Normal 22 2 9 2" xfId="13593" xr:uid="{00000000-0005-0000-0000-000082590000}"/>
    <cellStyle name="Normal 22 2 9 2 2" xfId="33513" xr:uid="{00000000-0005-0000-0000-000083590000}"/>
    <cellStyle name="Normal 22 2 9 3" xfId="19745" xr:uid="{00000000-0005-0000-0000-000084590000}"/>
    <cellStyle name="Normal 22 2 9 3 2" xfId="39665" xr:uid="{00000000-0005-0000-0000-000085590000}"/>
    <cellStyle name="Normal 22 2 9 4" xfId="27360" xr:uid="{00000000-0005-0000-0000-000086590000}"/>
    <cellStyle name="Normal 22 3" xfId="3535" xr:uid="{00000000-0005-0000-0000-000087590000}"/>
    <cellStyle name="Normal 22 3 2" xfId="4997" xr:uid="{00000000-0005-0000-0000-000088590000}"/>
    <cellStyle name="Normal 22 3 2 2" xfId="6622" xr:uid="{00000000-0005-0000-0000-000089590000}"/>
    <cellStyle name="Normal 22 3 2 2 2" xfId="9708" xr:uid="{00000000-0005-0000-0000-00008A590000}"/>
    <cellStyle name="Normal 22 3 2 2 2 2" xfId="15901" xr:uid="{00000000-0005-0000-0000-00008B590000}"/>
    <cellStyle name="Normal 22 3 2 2 2 2 2" xfId="35821" xr:uid="{00000000-0005-0000-0000-00008C590000}"/>
    <cellStyle name="Normal 22 3 2 2 2 3" xfId="22053" xr:uid="{00000000-0005-0000-0000-00008D590000}"/>
    <cellStyle name="Normal 22 3 2 2 2 3 2" xfId="41973" xr:uid="{00000000-0005-0000-0000-00008E590000}"/>
    <cellStyle name="Normal 22 3 2 2 2 4" xfId="29668" xr:uid="{00000000-0005-0000-0000-00008F590000}"/>
    <cellStyle name="Normal 22 3 2 2 3" xfId="12835" xr:uid="{00000000-0005-0000-0000-000090590000}"/>
    <cellStyle name="Normal 22 3 2 2 3 2" xfId="32755" xr:uid="{00000000-0005-0000-0000-000091590000}"/>
    <cellStyle name="Normal 22 3 2 2 4" xfId="18987" xr:uid="{00000000-0005-0000-0000-000092590000}"/>
    <cellStyle name="Normal 22 3 2 2 4 2" xfId="38907" xr:uid="{00000000-0005-0000-0000-000093590000}"/>
    <cellStyle name="Normal 22 3 2 2 5" xfId="26602" xr:uid="{00000000-0005-0000-0000-000094590000}"/>
    <cellStyle name="Normal 22 3 2 3" xfId="8173" xr:uid="{00000000-0005-0000-0000-000095590000}"/>
    <cellStyle name="Normal 22 3 2 3 2" xfId="14367" xr:uid="{00000000-0005-0000-0000-000096590000}"/>
    <cellStyle name="Normal 22 3 2 3 2 2" xfId="34287" xr:uid="{00000000-0005-0000-0000-000097590000}"/>
    <cellStyle name="Normal 22 3 2 3 3" xfId="20519" xr:uid="{00000000-0005-0000-0000-000098590000}"/>
    <cellStyle name="Normal 22 3 2 3 3 2" xfId="40439" xr:uid="{00000000-0005-0000-0000-000099590000}"/>
    <cellStyle name="Normal 22 3 2 3 4" xfId="28134" xr:uid="{00000000-0005-0000-0000-00009A590000}"/>
    <cellStyle name="Normal 22 3 2 4" xfId="11301" xr:uid="{00000000-0005-0000-0000-00009B590000}"/>
    <cellStyle name="Normal 22 3 2 4 2" xfId="31221" xr:uid="{00000000-0005-0000-0000-00009C590000}"/>
    <cellStyle name="Normal 22 3 2 5" xfId="17453" xr:uid="{00000000-0005-0000-0000-00009D590000}"/>
    <cellStyle name="Normal 22 3 2 5 2" xfId="37373" xr:uid="{00000000-0005-0000-0000-00009E590000}"/>
    <cellStyle name="Normal 22 3 2 6" xfId="25068" xr:uid="{00000000-0005-0000-0000-00009F590000}"/>
    <cellStyle name="Normal 22 3 3" xfId="5839" xr:uid="{00000000-0005-0000-0000-0000A0590000}"/>
    <cellStyle name="Normal 22 3 3 2" xfId="8939" xr:uid="{00000000-0005-0000-0000-0000A1590000}"/>
    <cellStyle name="Normal 22 3 3 2 2" xfId="15132" xr:uid="{00000000-0005-0000-0000-0000A2590000}"/>
    <cellStyle name="Normal 22 3 3 2 2 2" xfId="35052" xr:uid="{00000000-0005-0000-0000-0000A3590000}"/>
    <cellStyle name="Normal 22 3 3 2 3" xfId="21284" xr:uid="{00000000-0005-0000-0000-0000A4590000}"/>
    <cellStyle name="Normal 22 3 3 2 3 2" xfId="41204" xr:uid="{00000000-0005-0000-0000-0000A5590000}"/>
    <cellStyle name="Normal 22 3 3 2 4" xfId="28899" xr:uid="{00000000-0005-0000-0000-0000A6590000}"/>
    <cellStyle name="Normal 22 3 3 3" xfId="12066" xr:uid="{00000000-0005-0000-0000-0000A7590000}"/>
    <cellStyle name="Normal 22 3 3 3 2" xfId="31986" xr:uid="{00000000-0005-0000-0000-0000A8590000}"/>
    <cellStyle name="Normal 22 3 3 4" xfId="18218" xr:uid="{00000000-0005-0000-0000-0000A9590000}"/>
    <cellStyle name="Normal 22 3 3 4 2" xfId="38138" xr:uid="{00000000-0005-0000-0000-0000AA590000}"/>
    <cellStyle name="Normal 22 3 3 5" xfId="25833" xr:uid="{00000000-0005-0000-0000-0000AB590000}"/>
    <cellStyle name="Normal 22 3 4" xfId="7404" xr:uid="{00000000-0005-0000-0000-0000AC590000}"/>
    <cellStyle name="Normal 22 3 4 2" xfId="13598" xr:uid="{00000000-0005-0000-0000-0000AD590000}"/>
    <cellStyle name="Normal 22 3 4 2 2" xfId="33518" xr:uid="{00000000-0005-0000-0000-0000AE590000}"/>
    <cellStyle name="Normal 22 3 4 3" xfId="19750" xr:uid="{00000000-0005-0000-0000-0000AF590000}"/>
    <cellStyle name="Normal 22 3 4 3 2" xfId="39670" xr:uid="{00000000-0005-0000-0000-0000B0590000}"/>
    <cellStyle name="Normal 22 3 4 4" xfId="27365" xr:uid="{00000000-0005-0000-0000-0000B1590000}"/>
    <cellStyle name="Normal 22 3 5" xfId="10532" xr:uid="{00000000-0005-0000-0000-0000B2590000}"/>
    <cellStyle name="Normal 22 3 5 2" xfId="30452" xr:uid="{00000000-0005-0000-0000-0000B3590000}"/>
    <cellStyle name="Normal 22 3 6" xfId="16684" xr:uid="{00000000-0005-0000-0000-0000B4590000}"/>
    <cellStyle name="Normal 22 3 6 2" xfId="36604" xr:uid="{00000000-0005-0000-0000-0000B5590000}"/>
    <cellStyle name="Normal 22 3 7" xfId="24299" xr:uid="{00000000-0005-0000-0000-0000B6590000}"/>
    <cellStyle name="Normal 22 4" xfId="3536" xr:uid="{00000000-0005-0000-0000-0000B7590000}"/>
    <cellStyle name="Normal 22 4 2" xfId="4998" xr:uid="{00000000-0005-0000-0000-0000B8590000}"/>
    <cellStyle name="Normal 22 4 2 2" xfId="6623" xr:uid="{00000000-0005-0000-0000-0000B9590000}"/>
    <cellStyle name="Normal 22 4 2 2 2" xfId="9709" xr:uid="{00000000-0005-0000-0000-0000BA590000}"/>
    <cellStyle name="Normal 22 4 2 2 2 2" xfId="15902" xr:uid="{00000000-0005-0000-0000-0000BB590000}"/>
    <cellStyle name="Normal 22 4 2 2 2 2 2" xfId="35822" xr:uid="{00000000-0005-0000-0000-0000BC590000}"/>
    <cellStyle name="Normal 22 4 2 2 2 3" xfId="22054" xr:uid="{00000000-0005-0000-0000-0000BD590000}"/>
    <cellStyle name="Normal 22 4 2 2 2 3 2" xfId="41974" xr:uid="{00000000-0005-0000-0000-0000BE590000}"/>
    <cellStyle name="Normal 22 4 2 2 2 4" xfId="29669" xr:uid="{00000000-0005-0000-0000-0000BF590000}"/>
    <cellStyle name="Normal 22 4 2 2 3" xfId="12836" xr:uid="{00000000-0005-0000-0000-0000C0590000}"/>
    <cellStyle name="Normal 22 4 2 2 3 2" xfId="32756" xr:uid="{00000000-0005-0000-0000-0000C1590000}"/>
    <cellStyle name="Normal 22 4 2 2 4" xfId="18988" xr:uid="{00000000-0005-0000-0000-0000C2590000}"/>
    <cellStyle name="Normal 22 4 2 2 4 2" xfId="38908" xr:uid="{00000000-0005-0000-0000-0000C3590000}"/>
    <cellStyle name="Normal 22 4 2 2 5" xfId="26603" xr:uid="{00000000-0005-0000-0000-0000C4590000}"/>
    <cellStyle name="Normal 22 4 2 3" xfId="8174" xr:uid="{00000000-0005-0000-0000-0000C5590000}"/>
    <cellStyle name="Normal 22 4 2 3 2" xfId="14368" xr:uid="{00000000-0005-0000-0000-0000C6590000}"/>
    <cellStyle name="Normal 22 4 2 3 2 2" xfId="34288" xr:uid="{00000000-0005-0000-0000-0000C7590000}"/>
    <cellStyle name="Normal 22 4 2 3 3" xfId="20520" xr:uid="{00000000-0005-0000-0000-0000C8590000}"/>
    <cellStyle name="Normal 22 4 2 3 3 2" xfId="40440" xr:uid="{00000000-0005-0000-0000-0000C9590000}"/>
    <cellStyle name="Normal 22 4 2 3 4" xfId="28135" xr:uid="{00000000-0005-0000-0000-0000CA590000}"/>
    <cellStyle name="Normal 22 4 2 4" xfId="11302" xr:uid="{00000000-0005-0000-0000-0000CB590000}"/>
    <cellStyle name="Normal 22 4 2 4 2" xfId="31222" xr:uid="{00000000-0005-0000-0000-0000CC590000}"/>
    <cellStyle name="Normal 22 4 2 5" xfId="17454" xr:uid="{00000000-0005-0000-0000-0000CD590000}"/>
    <cellStyle name="Normal 22 4 2 5 2" xfId="37374" xr:uid="{00000000-0005-0000-0000-0000CE590000}"/>
    <cellStyle name="Normal 22 4 2 6" xfId="25069" xr:uid="{00000000-0005-0000-0000-0000CF590000}"/>
    <cellStyle name="Normal 22 4 3" xfId="5840" xr:uid="{00000000-0005-0000-0000-0000D0590000}"/>
    <cellStyle name="Normal 22 4 3 2" xfId="8940" xr:uid="{00000000-0005-0000-0000-0000D1590000}"/>
    <cellStyle name="Normal 22 4 3 2 2" xfId="15133" xr:uid="{00000000-0005-0000-0000-0000D2590000}"/>
    <cellStyle name="Normal 22 4 3 2 2 2" xfId="35053" xr:uid="{00000000-0005-0000-0000-0000D3590000}"/>
    <cellStyle name="Normal 22 4 3 2 3" xfId="21285" xr:uid="{00000000-0005-0000-0000-0000D4590000}"/>
    <cellStyle name="Normal 22 4 3 2 3 2" xfId="41205" xr:uid="{00000000-0005-0000-0000-0000D5590000}"/>
    <cellStyle name="Normal 22 4 3 2 4" xfId="28900" xr:uid="{00000000-0005-0000-0000-0000D6590000}"/>
    <cellStyle name="Normal 22 4 3 3" xfId="12067" xr:uid="{00000000-0005-0000-0000-0000D7590000}"/>
    <cellStyle name="Normal 22 4 3 3 2" xfId="31987" xr:uid="{00000000-0005-0000-0000-0000D8590000}"/>
    <cellStyle name="Normal 22 4 3 4" xfId="18219" xr:uid="{00000000-0005-0000-0000-0000D9590000}"/>
    <cellStyle name="Normal 22 4 3 4 2" xfId="38139" xr:uid="{00000000-0005-0000-0000-0000DA590000}"/>
    <cellStyle name="Normal 22 4 3 5" xfId="25834" xr:uid="{00000000-0005-0000-0000-0000DB590000}"/>
    <cellStyle name="Normal 22 4 4" xfId="7405" xr:uid="{00000000-0005-0000-0000-0000DC590000}"/>
    <cellStyle name="Normal 22 4 4 2" xfId="13599" xr:uid="{00000000-0005-0000-0000-0000DD590000}"/>
    <cellStyle name="Normal 22 4 4 2 2" xfId="33519" xr:uid="{00000000-0005-0000-0000-0000DE590000}"/>
    <cellStyle name="Normal 22 4 4 3" xfId="19751" xr:uid="{00000000-0005-0000-0000-0000DF590000}"/>
    <cellStyle name="Normal 22 4 4 3 2" xfId="39671" xr:uid="{00000000-0005-0000-0000-0000E0590000}"/>
    <cellStyle name="Normal 22 4 4 4" xfId="27366" xr:uid="{00000000-0005-0000-0000-0000E1590000}"/>
    <cellStyle name="Normal 22 4 5" xfId="10533" xr:uid="{00000000-0005-0000-0000-0000E2590000}"/>
    <cellStyle name="Normal 22 4 5 2" xfId="30453" xr:uid="{00000000-0005-0000-0000-0000E3590000}"/>
    <cellStyle name="Normal 22 4 6" xfId="16685" xr:uid="{00000000-0005-0000-0000-0000E4590000}"/>
    <cellStyle name="Normal 22 4 6 2" xfId="36605" xr:uid="{00000000-0005-0000-0000-0000E5590000}"/>
    <cellStyle name="Normal 22 4 7" xfId="24300" xr:uid="{00000000-0005-0000-0000-0000E6590000}"/>
    <cellStyle name="Normal 22 5" xfId="3537" xr:uid="{00000000-0005-0000-0000-0000E7590000}"/>
    <cellStyle name="Normal 22 5 2" xfId="4999" xr:uid="{00000000-0005-0000-0000-0000E8590000}"/>
    <cellStyle name="Normal 22 5 2 2" xfId="6624" xr:uid="{00000000-0005-0000-0000-0000E9590000}"/>
    <cellStyle name="Normal 22 5 2 2 2" xfId="9710" xr:uid="{00000000-0005-0000-0000-0000EA590000}"/>
    <cellStyle name="Normal 22 5 2 2 2 2" xfId="15903" xr:uid="{00000000-0005-0000-0000-0000EB590000}"/>
    <cellStyle name="Normal 22 5 2 2 2 2 2" xfId="35823" xr:uid="{00000000-0005-0000-0000-0000EC590000}"/>
    <cellStyle name="Normal 22 5 2 2 2 3" xfId="22055" xr:uid="{00000000-0005-0000-0000-0000ED590000}"/>
    <cellStyle name="Normal 22 5 2 2 2 3 2" xfId="41975" xr:uid="{00000000-0005-0000-0000-0000EE590000}"/>
    <cellStyle name="Normal 22 5 2 2 2 4" xfId="29670" xr:uid="{00000000-0005-0000-0000-0000EF590000}"/>
    <cellStyle name="Normal 22 5 2 2 3" xfId="12837" xr:uid="{00000000-0005-0000-0000-0000F0590000}"/>
    <cellStyle name="Normal 22 5 2 2 3 2" xfId="32757" xr:uid="{00000000-0005-0000-0000-0000F1590000}"/>
    <cellStyle name="Normal 22 5 2 2 4" xfId="18989" xr:uid="{00000000-0005-0000-0000-0000F2590000}"/>
    <cellStyle name="Normal 22 5 2 2 4 2" xfId="38909" xr:uid="{00000000-0005-0000-0000-0000F3590000}"/>
    <cellStyle name="Normal 22 5 2 2 5" xfId="26604" xr:uid="{00000000-0005-0000-0000-0000F4590000}"/>
    <cellStyle name="Normal 22 5 2 3" xfId="8175" xr:uid="{00000000-0005-0000-0000-0000F5590000}"/>
    <cellStyle name="Normal 22 5 2 3 2" xfId="14369" xr:uid="{00000000-0005-0000-0000-0000F6590000}"/>
    <cellStyle name="Normal 22 5 2 3 2 2" xfId="34289" xr:uid="{00000000-0005-0000-0000-0000F7590000}"/>
    <cellStyle name="Normal 22 5 2 3 3" xfId="20521" xr:uid="{00000000-0005-0000-0000-0000F8590000}"/>
    <cellStyle name="Normal 22 5 2 3 3 2" xfId="40441" xr:uid="{00000000-0005-0000-0000-0000F9590000}"/>
    <cellStyle name="Normal 22 5 2 3 4" xfId="28136" xr:uid="{00000000-0005-0000-0000-0000FA590000}"/>
    <cellStyle name="Normal 22 5 2 4" xfId="11303" xr:uid="{00000000-0005-0000-0000-0000FB590000}"/>
    <cellStyle name="Normal 22 5 2 4 2" xfId="31223" xr:uid="{00000000-0005-0000-0000-0000FC590000}"/>
    <cellStyle name="Normal 22 5 2 5" xfId="17455" xr:uid="{00000000-0005-0000-0000-0000FD590000}"/>
    <cellStyle name="Normal 22 5 2 5 2" xfId="37375" xr:uid="{00000000-0005-0000-0000-0000FE590000}"/>
    <cellStyle name="Normal 22 5 2 6" xfId="25070" xr:uid="{00000000-0005-0000-0000-0000FF590000}"/>
    <cellStyle name="Normal 22 5 3" xfId="5841" xr:uid="{00000000-0005-0000-0000-0000005A0000}"/>
    <cellStyle name="Normal 22 5 3 2" xfId="8941" xr:uid="{00000000-0005-0000-0000-0000015A0000}"/>
    <cellStyle name="Normal 22 5 3 2 2" xfId="15134" xr:uid="{00000000-0005-0000-0000-0000025A0000}"/>
    <cellStyle name="Normal 22 5 3 2 2 2" xfId="35054" xr:uid="{00000000-0005-0000-0000-0000035A0000}"/>
    <cellStyle name="Normal 22 5 3 2 3" xfId="21286" xr:uid="{00000000-0005-0000-0000-0000045A0000}"/>
    <cellStyle name="Normal 22 5 3 2 3 2" xfId="41206" xr:uid="{00000000-0005-0000-0000-0000055A0000}"/>
    <cellStyle name="Normal 22 5 3 2 4" xfId="28901" xr:uid="{00000000-0005-0000-0000-0000065A0000}"/>
    <cellStyle name="Normal 22 5 3 3" xfId="12068" xr:uid="{00000000-0005-0000-0000-0000075A0000}"/>
    <cellStyle name="Normal 22 5 3 3 2" xfId="31988" xr:uid="{00000000-0005-0000-0000-0000085A0000}"/>
    <cellStyle name="Normal 22 5 3 4" xfId="18220" xr:uid="{00000000-0005-0000-0000-0000095A0000}"/>
    <cellStyle name="Normal 22 5 3 4 2" xfId="38140" xr:uid="{00000000-0005-0000-0000-00000A5A0000}"/>
    <cellStyle name="Normal 22 5 3 5" xfId="25835" xr:uid="{00000000-0005-0000-0000-00000B5A0000}"/>
    <cellStyle name="Normal 22 5 4" xfId="7406" xr:uid="{00000000-0005-0000-0000-00000C5A0000}"/>
    <cellStyle name="Normal 22 5 4 2" xfId="13600" xr:uid="{00000000-0005-0000-0000-00000D5A0000}"/>
    <cellStyle name="Normal 22 5 4 2 2" xfId="33520" xr:uid="{00000000-0005-0000-0000-00000E5A0000}"/>
    <cellStyle name="Normal 22 5 4 3" xfId="19752" xr:uid="{00000000-0005-0000-0000-00000F5A0000}"/>
    <cellStyle name="Normal 22 5 4 3 2" xfId="39672" xr:uid="{00000000-0005-0000-0000-0000105A0000}"/>
    <cellStyle name="Normal 22 5 4 4" xfId="27367" xr:uid="{00000000-0005-0000-0000-0000115A0000}"/>
    <cellStyle name="Normal 22 5 5" xfId="10534" xr:uid="{00000000-0005-0000-0000-0000125A0000}"/>
    <cellStyle name="Normal 22 5 5 2" xfId="30454" xr:uid="{00000000-0005-0000-0000-0000135A0000}"/>
    <cellStyle name="Normal 22 5 6" xfId="16686" xr:uid="{00000000-0005-0000-0000-0000145A0000}"/>
    <cellStyle name="Normal 22 5 6 2" xfId="36606" xr:uid="{00000000-0005-0000-0000-0000155A0000}"/>
    <cellStyle name="Normal 22 5 7" xfId="24301" xr:uid="{00000000-0005-0000-0000-0000165A0000}"/>
    <cellStyle name="Normal 22 6" xfId="3538" xr:uid="{00000000-0005-0000-0000-0000175A0000}"/>
    <cellStyle name="Normal 22 6 2" xfId="5000" xr:uid="{00000000-0005-0000-0000-0000185A0000}"/>
    <cellStyle name="Normal 22 6 2 2" xfId="6625" xr:uid="{00000000-0005-0000-0000-0000195A0000}"/>
    <cellStyle name="Normal 22 6 2 2 2" xfId="9711" xr:uid="{00000000-0005-0000-0000-00001A5A0000}"/>
    <cellStyle name="Normal 22 6 2 2 2 2" xfId="15904" xr:uid="{00000000-0005-0000-0000-00001B5A0000}"/>
    <cellStyle name="Normal 22 6 2 2 2 2 2" xfId="35824" xr:uid="{00000000-0005-0000-0000-00001C5A0000}"/>
    <cellStyle name="Normal 22 6 2 2 2 3" xfId="22056" xr:uid="{00000000-0005-0000-0000-00001D5A0000}"/>
    <cellStyle name="Normal 22 6 2 2 2 3 2" xfId="41976" xr:uid="{00000000-0005-0000-0000-00001E5A0000}"/>
    <cellStyle name="Normal 22 6 2 2 2 4" xfId="29671" xr:uid="{00000000-0005-0000-0000-00001F5A0000}"/>
    <cellStyle name="Normal 22 6 2 2 3" xfId="12838" xr:uid="{00000000-0005-0000-0000-0000205A0000}"/>
    <cellStyle name="Normal 22 6 2 2 3 2" xfId="32758" xr:uid="{00000000-0005-0000-0000-0000215A0000}"/>
    <cellStyle name="Normal 22 6 2 2 4" xfId="18990" xr:uid="{00000000-0005-0000-0000-0000225A0000}"/>
    <cellStyle name="Normal 22 6 2 2 4 2" xfId="38910" xr:uid="{00000000-0005-0000-0000-0000235A0000}"/>
    <cellStyle name="Normal 22 6 2 2 5" xfId="26605" xr:uid="{00000000-0005-0000-0000-0000245A0000}"/>
    <cellStyle name="Normal 22 6 2 3" xfId="8176" xr:uid="{00000000-0005-0000-0000-0000255A0000}"/>
    <cellStyle name="Normal 22 6 2 3 2" xfId="14370" xr:uid="{00000000-0005-0000-0000-0000265A0000}"/>
    <cellStyle name="Normal 22 6 2 3 2 2" xfId="34290" xr:uid="{00000000-0005-0000-0000-0000275A0000}"/>
    <cellStyle name="Normal 22 6 2 3 3" xfId="20522" xr:uid="{00000000-0005-0000-0000-0000285A0000}"/>
    <cellStyle name="Normal 22 6 2 3 3 2" xfId="40442" xr:uid="{00000000-0005-0000-0000-0000295A0000}"/>
    <cellStyle name="Normal 22 6 2 3 4" xfId="28137" xr:uid="{00000000-0005-0000-0000-00002A5A0000}"/>
    <cellStyle name="Normal 22 6 2 4" xfId="11304" xr:uid="{00000000-0005-0000-0000-00002B5A0000}"/>
    <cellStyle name="Normal 22 6 2 4 2" xfId="31224" xr:uid="{00000000-0005-0000-0000-00002C5A0000}"/>
    <cellStyle name="Normal 22 6 2 5" xfId="17456" xr:uid="{00000000-0005-0000-0000-00002D5A0000}"/>
    <cellStyle name="Normal 22 6 2 5 2" xfId="37376" xr:uid="{00000000-0005-0000-0000-00002E5A0000}"/>
    <cellStyle name="Normal 22 6 2 6" xfId="25071" xr:uid="{00000000-0005-0000-0000-00002F5A0000}"/>
    <cellStyle name="Normal 22 6 3" xfId="5842" xr:uid="{00000000-0005-0000-0000-0000305A0000}"/>
    <cellStyle name="Normal 22 6 3 2" xfId="8942" xr:uid="{00000000-0005-0000-0000-0000315A0000}"/>
    <cellStyle name="Normal 22 6 3 2 2" xfId="15135" xr:uid="{00000000-0005-0000-0000-0000325A0000}"/>
    <cellStyle name="Normal 22 6 3 2 2 2" xfId="35055" xr:uid="{00000000-0005-0000-0000-0000335A0000}"/>
    <cellStyle name="Normal 22 6 3 2 3" xfId="21287" xr:uid="{00000000-0005-0000-0000-0000345A0000}"/>
    <cellStyle name="Normal 22 6 3 2 3 2" xfId="41207" xr:uid="{00000000-0005-0000-0000-0000355A0000}"/>
    <cellStyle name="Normal 22 6 3 2 4" xfId="28902" xr:uid="{00000000-0005-0000-0000-0000365A0000}"/>
    <cellStyle name="Normal 22 6 3 3" xfId="12069" xr:uid="{00000000-0005-0000-0000-0000375A0000}"/>
    <cellStyle name="Normal 22 6 3 3 2" xfId="31989" xr:uid="{00000000-0005-0000-0000-0000385A0000}"/>
    <cellStyle name="Normal 22 6 3 4" xfId="18221" xr:uid="{00000000-0005-0000-0000-0000395A0000}"/>
    <cellStyle name="Normal 22 6 3 4 2" xfId="38141" xr:uid="{00000000-0005-0000-0000-00003A5A0000}"/>
    <cellStyle name="Normal 22 6 3 5" xfId="25836" xr:uid="{00000000-0005-0000-0000-00003B5A0000}"/>
    <cellStyle name="Normal 22 6 4" xfId="7407" xr:uid="{00000000-0005-0000-0000-00003C5A0000}"/>
    <cellStyle name="Normal 22 6 4 2" xfId="13601" xr:uid="{00000000-0005-0000-0000-00003D5A0000}"/>
    <cellStyle name="Normal 22 6 4 2 2" xfId="33521" xr:uid="{00000000-0005-0000-0000-00003E5A0000}"/>
    <cellStyle name="Normal 22 6 4 3" xfId="19753" xr:uid="{00000000-0005-0000-0000-00003F5A0000}"/>
    <cellStyle name="Normal 22 6 4 3 2" xfId="39673" xr:uid="{00000000-0005-0000-0000-0000405A0000}"/>
    <cellStyle name="Normal 22 6 4 4" xfId="27368" xr:uid="{00000000-0005-0000-0000-0000415A0000}"/>
    <cellStyle name="Normal 22 6 5" xfId="10535" xr:uid="{00000000-0005-0000-0000-0000425A0000}"/>
    <cellStyle name="Normal 22 6 5 2" xfId="30455" xr:uid="{00000000-0005-0000-0000-0000435A0000}"/>
    <cellStyle name="Normal 22 6 6" xfId="16687" xr:uid="{00000000-0005-0000-0000-0000445A0000}"/>
    <cellStyle name="Normal 22 6 6 2" xfId="36607" xr:uid="{00000000-0005-0000-0000-0000455A0000}"/>
    <cellStyle name="Normal 22 6 7" xfId="24302" xr:uid="{00000000-0005-0000-0000-0000465A0000}"/>
    <cellStyle name="Normal 22 7" xfId="3539" xr:uid="{00000000-0005-0000-0000-0000475A0000}"/>
    <cellStyle name="Normal 22 8" xfId="4991" xr:uid="{00000000-0005-0000-0000-0000485A0000}"/>
    <cellStyle name="Normal 22 8 2" xfId="6616" xr:uid="{00000000-0005-0000-0000-0000495A0000}"/>
    <cellStyle name="Normal 22 8 2 2" xfId="9702" xr:uid="{00000000-0005-0000-0000-00004A5A0000}"/>
    <cellStyle name="Normal 22 8 2 2 2" xfId="15895" xr:uid="{00000000-0005-0000-0000-00004B5A0000}"/>
    <cellStyle name="Normal 22 8 2 2 2 2" xfId="35815" xr:uid="{00000000-0005-0000-0000-00004C5A0000}"/>
    <cellStyle name="Normal 22 8 2 2 3" xfId="22047" xr:uid="{00000000-0005-0000-0000-00004D5A0000}"/>
    <cellStyle name="Normal 22 8 2 2 3 2" xfId="41967" xr:uid="{00000000-0005-0000-0000-00004E5A0000}"/>
    <cellStyle name="Normal 22 8 2 2 4" xfId="29662" xr:uid="{00000000-0005-0000-0000-00004F5A0000}"/>
    <cellStyle name="Normal 22 8 2 3" xfId="12829" xr:uid="{00000000-0005-0000-0000-0000505A0000}"/>
    <cellStyle name="Normal 22 8 2 3 2" xfId="32749" xr:uid="{00000000-0005-0000-0000-0000515A0000}"/>
    <cellStyle name="Normal 22 8 2 4" xfId="18981" xr:uid="{00000000-0005-0000-0000-0000525A0000}"/>
    <cellStyle name="Normal 22 8 2 4 2" xfId="38901" xr:uid="{00000000-0005-0000-0000-0000535A0000}"/>
    <cellStyle name="Normal 22 8 2 5" xfId="26596" xr:uid="{00000000-0005-0000-0000-0000545A0000}"/>
    <cellStyle name="Normal 22 8 3" xfId="8167" xr:uid="{00000000-0005-0000-0000-0000555A0000}"/>
    <cellStyle name="Normal 22 8 3 2" xfId="14361" xr:uid="{00000000-0005-0000-0000-0000565A0000}"/>
    <cellStyle name="Normal 22 8 3 2 2" xfId="34281" xr:uid="{00000000-0005-0000-0000-0000575A0000}"/>
    <cellStyle name="Normal 22 8 3 3" xfId="20513" xr:uid="{00000000-0005-0000-0000-0000585A0000}"/>
    <cellStyle name="Normal 22 8 3 3 2" xfId="40433" xr:uid="{00000000-0005-0000-0000-0000595A0000}"/>
    <cellStyle name="Normal 22 8 3 4" xfId="28128" xr:uid="{00000000-0005-0000-0000-00005A5A0000}"/>
    <cellStyle name="Normal 22 8 4" xfId="11295" xr:uid="{00000000-0005-0000-0000-00005B5A0000}"/>
    <cellStyle name="Normal 22 8 4 2" xfId="31215" xr:uid="{00000000-0005-0000-0000-00005C5A0000}"/>
    <cellStyle name="Normal 22 8 5" xfId="17447" xr:uid="{00000000-0005-0000-0000-00005D5A0000}"/>
    <cellStyle name="Normal 22 8 5 2" xfId="37367" xr:uid="{00000000-0005-0000-0000-00005E5A0000}"/>
    <cellStyle name="Normal 22 8 6" xfId="25062" xr:uid="{00000000-0005-0000-0000-00005F5A0000}"/>
    <cellStyle name="Normal 22 9" xfId="5833" xr:uid="{00000000-0005-0000-0000-0000605A0000}"/>
    <cellStyle name="Normal 22 9 2" xfId="8933" xr:uid="{00000000-0005-0000-0000-0000615A0000}"/>
    <cellStyle name="Normal 22 9 2 2" xfId="15126" xr:uid="{00000000-0005-0000-0000-0000625A0000}"/>
    <cellStyle name="Normal 22 9 2 2 2" xfId="35046" xr:uid="{00000000-0005-0000-0000-0000635A0000}"/>
    <cellStyle name="Normal 22 9 2 3" xfId="21278" xr:uid="{00000000-0005-0000-0000-0000645A0000}"/>
    <cellStyle name="Normal 22 9 2 3 2" xfId="41198" xr:uid="{00000000-0005-0000-0000-0000655A0000}"/>
    <cellStyle name="Normal 22 9 2 4" xfId="28893" xr:uid="{00000000-0005-0000-0000-0000665A0000}"/>
    <cellStyle name="Normal 22 9 3" xfId="12060" xr:uid="{00000000-0005-0000-0000-0000675A0000}"/>
    <cellStyle name="Normal 22 9 3 2" xfId="31980" xr:uid="{00000000-0005-0000-0000-0000685A0000}"/>
    <cellStyle name="Normal 22 9 4" xfId="18212" xr:uid="{00000000-0005-0000-0000-0000695A0000}"/>
    <cellStyle name="Normal 22 9 4 2" xfId="38132" xr:uid="{00000000-0005-0000-0000-00006A5A0000}"/>
    <cellStyle name="Normal 22 9 5" xfId="25827" xr:uid="{00000000-0005-0000-0000-00006B5A0000}"/>
    <cellStyle name="Normal 23" xfId="477" xr:uid="{00000000-0005-0000-0000-00006C5A0000}"/>
    <cellStyle name="Normal 23 10" xfId="7408" xr:uid="{00000000-0005-0000-0000-00006D5A0000}"/>
    <cellStyle name="Normal 23 10 2" xfId="13602" xr:uid="{00000000-0005-0000-0000-00006E5A0000}"/>
    <cellStyle name="Normal 23 10 2 2" xfId="33522" xr:uid="{00000000-0005-0000-0000-00006F5A0000}"/>
    <cellStyle name="Normal 23 10 3" xfId="19754" xr:uid="{00000000-0005-0000-0000-0000705A0000}"/>
    <cellStyle name="Normal 23 10 3 2" xfId="39674" xr:uid="{00000000-0005-0000-0000-0000715A0000}"/>
    <cellStyle name="Normal 23 10 4" xfId="27369" xr:uid="{00000000-0005-0000-0000-0000725A0000}"/>
    <cellStyle name="Normal 23 11" xfId="10536" xr:uid="{00000000-0005-0000-0000-0000735A0000}"/>
    <cellStyle name="Normal 23 11 2" xfId="30456" xr:uid="{00000000-0005-0000-0000-0000745A0000}"/>
    <cellStyle name="Normal 23 12" xfId="16688" xr:uid="{00000000-0005-0000-0000-0000755A0000}"/>
    <cellStyle name="Normal 23 12 2" xfId="36608" xr:uid="{00000000-0005-0000-0000-0000765A0000}"/>
    <cellStyle name="Normal 23 13" xfId="3540" xr:uid="{00000000-0005-0000-0000-0000775A0000}"/>
    <cellStyle name="Normal 23 13 2" xfId="24303" xr:uid="{00000000-0005-0000-0000-0000785A0000}"/>
    <cellStyle name="Normal 23 2" xfId="3541" xr:uid="{00000000-0005-0000-0000-0000795A0000}"/>
    <cellStyle name="Normal 23 2 10" xfId="16689" xr:uid="{00000000-0005-0000-0000-00007A5A0000}"/>
    <cellStyle name="Normal 23 2 10 2" xfId="36609" xr:uid="{00000000-0005-0000-0000-00007B5A0000}"/>
    <cellStyle name="Normal 23 2 11" xfId="24304" xr:uid="{00000000-0005-0000-0000-00007C5A0000}"/>
    <cellStyle name="Normal 23 2 2" xfId="3542" xr:uid="{00000000-0005-0000-0000-00007D5A0000}"/>
    <cellStyle name="Normal 23 2 2 2" xfId="5003" xr:uid="{00000000-0005-0000-0000-00007E5A0000}"/>
    <cellStyle name="Normal 23 2 2 2 2" xfId="6628" xr:uid="{00000000-0005-0000-0000-00007F5A0000}"/>
    <cellStyle name="Normal 23 2 2 2 2 2" xfId="9714" xr:uid="{00000000-0005-0000-0000-0000805A0000}"/>
    <cellStyle name="Normal 23 2 2 2 2 2 2" xfId="15907" xr:uid="{00000000-0005-0000-0000-0000815A0000}"/>
    <cellStyle name="Normal 23 2 2 2 2 2 2 2" xfId="35827" xr:uid="{00000000-0005-0000-0000-0000825A0000}"/>
    <cellStyle name="Normal 23 2 2 2 2 2 3" xfId="22059" xr:uid="{00000000-0005-0000-0000-0000835A0000}"/>
    <cellStyle name="Normal 23 2 2 2 2 2 3 2" xfId="41979" xr:uid="{00000000-0005-0000-0000-0000845A0000}"/>
    <cellStyle name="Normal 23 2 2 2 2 2 4" xfId="29674" xr:uid="{00000000-0005-0000-0000-0000855A0000}"/>
    <cellStyle name="Normal 23 2 2 2 2 3" xfId="12841" xr:uid="{00000000-0005-0000-0000-0000865A0000}"/>
    <cellStyle name="Normal 23 2 2 2 2 3 2" xfId="32761" xr:uid="{00000000-0005-0000-0000-0000875A0000}"/>
    <cellStyle name="Normal 23 2 2 2 2 4" xfId="18993" xr:uid="{00000000-0005-0000-0000-0000885A0000}"/>
    <cellStyle name="Normal 23 2 2 2 2 4 2" xfId="38913" xr:uid="{00000000-0005-0000-0000-0000895A0000}"/>
    <cellStyle name="Normal 23 2 2 2 2 5" xfId="26608" xr:uid="{00000000-0005-0000-0000-00008A5A0000}"/>
    <cellStyle name="Normal 23 2 2 2 3" xfId="8179" xr:uid="{00000000-0005-0000-0000-00008B5A0000}"/>
    <cellStyle name="Normal 23 2 2 2 3 2" xfId="14373" xr:uid="{00000000-0005-0000-0000-00008C5A0000}"/>
    <cellStyle name="Normal 23 2 2 2 3 2 2" xfId="34293" xr:uid="{00000000-0005-0000-0000-00008D5A0000}"/>
    <cellStyle name="Normal 23 2 2 2 3 3" xfId="20525" xr:uid="{00000000-0005-0000-0000-00008E5A0000}"/>
    <cellStyle name="Normal 23 2 2 2 3 3 2" xfId="40445" xr:uid="{00000000-0005-0000-0000-00008F5A0000}"/>
    <cellStyle name="Normal 23 2 2 2 3 4" xfId="28140" xr:uid="{00000000-0005-0000-0000-0000905A0000}"/>
    <cellStyle name="Normal 23 2 2 2 4" xfId="11307" xr:uid="{00000000-0005-0000-0000-0000915A0000}"/>
    <cellStyle name="Normal 23 2 2 2 4 2" xfId="31227" xr:uid="{00000000-0005-0000-0000-0000925A0000}"/>
    <cellStyle name="Normal 23 2 2 2 5" xfId="17459" xr:uid="{00000000-0005-0000-0000-0000935A0000}"/>
    <cellStyle name="Normal 23 2 2 2 5 2" xfId="37379" xr:uid="{00000000-0005-0000-0000-0000945A0000}"/>
    <cellStyle name="Normal 23 2 2 2 6" xfId="25074" xr:uid="{00000000-0005-0000-0000-0000955A0000}"/>
    <cellStyle name="Normal 23 2 2 3" xfId="5845" xr:uid="{00000000-0005-0000-0000-0000965A0000}"/>
    <cellStyle name="Normal 23 2 2 3 2" xfId="8945" xr:uid="{00000000-0005-0000-0000-0000975A0000}"/>
    <cellStyle name="Normal 23 2 2 3 2 2" xfId="15138" xr:uid="{00000000-0005-0000-0000-0000985A0000}"/>
    <cellStyle name="Normal 23 2 2 3 2 2 2" xfId="35058" xr:uid="{00000000-0005-0000-0000-0000995A0000}"/>
    <cellStyle name="Normal 23 2 2 3 2 3" xfId="21290" xr:uid="{00000000-0005-0000-0000-00009A5A0000}"/>
    <cellStyle name="Normal 23 2 2 3 2 3 2" xfId="41210" xr:uid="{00000000-0005-0000-0000-00009B5A0000}"/>
    <cellStyle name="Normal 23 2 2 3 2 4" xfId="28905" xr:uid="{00000000-0005-0000-0000-00009C5A0000}"/>
    <cellStyle name="Normal 23 2 2 3 3" xfId="12072" xr:uid="{00000000-0005-0000-0000-00009D5A0000}"/>
    <cellStyle name="Normal 23 2 2 3 3 2" xfId="31992" xr:uid="{00000000-0005-0000-0000-00009E5A0000}"/>
    <cellStyle name="Normal 23 2 2 3 4" xfId="18224" xr:uid="{00000000-0005-0000-0000-00009F5A0000}"/>
    <cellStyle name="Normal 23 2 2 3 4 2" xfId="38144" xr:uid="{00000000-0005-0000-0000-0000A05A0000}"/>
    <cellStyle name="Normal 23 2 2 3 5" xfId="25839" xr:uid="{00000000-0005-0000-0000-0000A15A0000}"/>
    <cellStyle name="Normal 23 2 2 4" xfId="7410" xr:uid="{00000000-0005-0000-0000-0000A25A0000}"/>
    <cellStyle name="Normal 23 2 2 4 2" xfId="13604" xr:uid="{00000000-0005-0000-0000-0000A35A0000}"/>
    <cellStyle name="Normal 23 2 2 4 2 2" xfId="33524" xr:uid="{00000000-0005-0000-0000-0000A45A0000}"/>
    <cellStyle name="Normal 23 2 2 4 3" xfId="19756" xr:uid="{00000000-0005-0000-0000-0000A55A0000}"/>
    <cellStyle name="Normal 23 2 2 4 3 2" xfId="39676" xr:uid="{00000000-0005-0000-0000-0000A65A0000}"/>
    <cellStyle name="Normal 23 2 2 4 4" xfId="27371" xr:uid="{00000000-0005-0000-0000-0000A75A0000}"/>
    <cellStyle name="Normal 23 2 2 5" xfId="10538" xr:uid="{00000000-0005-0000-0000-0000A85A0000}"/>
    <cellStyle name="Normal 23 2 2 5 2" xfId="30458" xr:uid="{00000000-0005-0000-0000-0000A95A0000}"/>
    <cellStyle name="Normal 23 2 2 6" xfId="16690" xr:uid="{00000000-0005-0000-0000-0000AA5A0000}"/>
    <cellStyle name="Normal 23 2 2 6 2" xfId="36610" xr:uid="{00000000-0005-0000-0000-0000AB5A0000}"/>
    <cellStyle name="Normal 23 2 2 7" xfId="24305" xr:uid="{00000000-0005-0000-0000-0000AC5A0000}"/>
    <cellStyle name="Normal 23 2 3" xfId="3543" xr:uid="{00000000-0005-0000-0000-0000AD5A0000}"/>
    <cellStyle name="Normal 23 2 3 2" xfId="5004" xr:uid="{00000000-0005-0000-0000-0000AE5A0000}"/>
    <cellStyle name="Normal 23 2 3 2 2" xfId="6629" xr:uid="{00000000-0005-0000-0000-0000AF5A0000}"/>
    <cellStyle name="Normal 23 2 3 2 2 2" xfId="9715" xr:uid="{00000000-0005-0000-0000-0000B05A0000}"/>
    <cellStyle name="Normal 23 2 3 2 2 2 2" xfId="15908" xr:uid="{00000000-0005-0000-0000-0000B15A0000}"/>
    <cellStyle name="Normal 23 2 3 2 2 2 2 2" xfId="35828" xr:uid="{00000000-0005-0000-0000-0000B25A0000}"/>
    <cellStyle name="Normal 23 2 3 2 2 2 3" xfId="22060" xr:uid="{00000000-0005-0000-0000-0000B35A0000}"/>
    <cellStyle name="Normal 23 2 3 2 2 2 3 2" xfId="41980" xr:uid="{00000000-0005-0000-0000-0000B45A0000}"/>
    <cellStyle name="Normal 23 2 3 2 2 2 4" xfId="29675" xr:uid="{00000000-0005-0000-0000-0000B55A0000}"/>
    <cellStyle name="Normal 23 2 3 2 2 3" xfId="12842" xr:uid="{00000000-0005-0000-0000-0000B65A0000}"/>
    <cellStyle name="Normal 23 2 3 2 2 3 2" xfId="32762" xr:uid="{00000000-0005-0000-0000-0000B75A0000}"/>
    <cellStyle name="Normal 23 2 3 2 2 4" xfId="18994" xr:uid="{00000000-0005-0000-0000-0000B85A0000}"/>
    <cellStyle name="Normal 23 2 3 2 2 4 2" xfId="38914" xr:uid="{00000000-0005-0000-0000-0000B95A0000}"/>
    <cellStyle name="Normal 23 2 3 2 2 5" xfId="26609" xr:uid="{00000000-0005-0000-0000-0000BA5A0000}"/>
    <cellStyle name="Normal 23 2 3 2 3" xfId="8180" xr:uid="{00000000-0005-0000-0000-0000BB5A0000}"/>
    <cellStyle name="Normal 23 2 3 2 3 2" xfId="14374" xr:uid="{00000000-0005-0000-0000-0000BC5A0000}"/>
    <cellStyle name="Normal 23 2 3 2 3 2 2" xfId="34294" xr:uid="{00000000-0005-0000-0000-0000BD5A0000}"/>
    <cellStyle name="Normal 23 2 3 2 3 3" xfId="20526" xr:uid="{00000000-0005-0000-0000-0000BE5A0000}"/>
    <cellStyle name="Normal 23 2 3 2 3 3 2" xfId="40446" xr:uid="{00000000-0005-0000-0000-0000BF5A0000}"/>
    <cellStyle name="Normal 23 2 3 2 3 4" xfId="28141" xr:uid="{00000000-0005-0000-0000-0000C05A0000}"/>
    <cellStyle name="Normal 23 2 3 2 4" xfId="11308" xr:uid="{00000000-0005-0000-0000-0000C15A0000}"/>
    <cellStyle name="Normal 23 2 3 2 4 2" xfId="31228" xr:uid="{00000000-0005-0000-0000-0000C25A0000}"/>
    <cellStyle name="Normal 23 2 3 2 5" xfId="17460" xr:uid="{00000000-0005-0000-0000-0000C35A0000}"/>
    <cellStyle name="Normal 23 2 3 2 5 2" xfId="37380" xr:uid="{00000000-0005-0000-0000-0000C45A0000}"/>
    <cellStyle name="Normal 23 2 3 2 6" xfId="25075" xr:uid="{00000000-0005-0000-0000-0000C55A0000}"/>
    <cellStyle name="Normal 23 2 3 3" xfId="5846" xr:uid="{00000000-0005-0000-0000-0000C65A0000}"/>
    <cellStyle name="Normal 23 2 3 3 2" xfId="8946" xr:uid="{00000000-0005-0000-0000-0000C75A0000}"/>
    <cellStyle name="Normal 23 2 3 3 2 2" xfId="15139" xr:uid="{00000000-0005-0000-0000-0000C85A0000}"/>
    <cellStyle name="Normal 23 2 3 3 2 2 2" xfId="35059" xr:uid="{00000000-0005-0000-0000-0000C95A0000}"/>
    <cellStyle name="Normal 23 2 3 3 2 3" xfId="21291" xr:uid="{00000000-0005-0000-0000-0000CA5A0000}"/>
    <cellStyle name="Normal 23 2 3 3 2 3 2" xfId="41211" xr:uid="{00000000-0005-0000-0000-0000CB5A0000}"/>
    <cellStyle name="Normal 23 2 3 3 2 4" xfId="28906" xr:uid="{00000000-0005-0000-0000-0000CC5A0000}"/>
    <cellStyle name="Normal 23 2 3 3 3" xfId="12073" xr:uid="{00000000-0005-0000-0000-0000CD5A0000}"/>
    <cellStyle name="Normal 23 2 3 3 3 2" xfId="31993" xr:uid="{00000000-0005-0000-0000-0000CE5A0000}"/>
    <cellStyle name="Normal 23 2 3 3 4" xfId="18225" xr:uid="{00000000-0005-0000-0000-0000CF5A0000}"/>
    <cellStyle name="Normal 23 2 3 3 4 2" xfId="38145" xr:uid="{00000000-0005-0000-0000-0000D05A0000}"/>
    <cellStyle name="Normal 23 2 3 3 5" xfId="25840" xr:uid="{00000000-0005-0000-0000-0000D15A0000}"/>
    <cellStyle name="Normal 23 2 3 4" xfId="7411" xr:uid="{00000000-0005-0000-0000-0000D25A0000}"/>
    <cellStyle name="Normal 23 2 3 4 2" xfId="13605" xr:uid="{00000000-0005-0000-0000-0000D35A0000}"/>
    <cellStyle name="Normal 23 2 3 4 2 2" xfId="33525" xr:uid="{00000000-0005-0000-0000-0000D45A0000}"/>
    <cellStyle name="Normal 23 2 3 4 3" xfId="19757" xr:uid="{00000000-0005-0000-0000-0000D55A0000}"/>
    <cellStyle name="Normal 23 2 3 4 3 2" xfId="39677" xr:uid="{00000000-0005-0000-0000-0000D65A0000}"/>
    <cellStyle name="Normal 23 2 3 4 4" xfId="27372" xr:uid="{00000000-0005-0000-0000-0000D75A0000}"/>
    <cellStyle name="Normal 23 2 3 5" xfId="10539" xr:uid="{00000000-0005-0000-0000-0000D85A0000}"/>
    <cellStyle name="Normal 23 2 3 5 2" xfId="30459" xr:uid="{00000000-0005-0000-0000-0000D95A0000}"/>
    <cellStyle name="Normal 23 2 3 6" xfId="16691" xr:uid="{00000000-0005-0000-0000-0000DA5A0000}"/>
    <cellStyle name="Normal 23 2 3 6 2" xfId="36611" xr:uid="{00000000-0005-0000-0000-0000DB5A0000}"/>
    <cellStyle name="Normal 23 2 3 7" xfId="24306" xr:uid="{00000000-0005-0000-0000-0000DC5A0000}"/>
    <cellStyle name="Normal 23 2 4" xfId="3544" xr:uid="{00000000-0005-0000-0000-0000DD5A0000}"/>
    <cellStyle name="Normal 23 2 4 2" xfId="5005" xr:uid="{00000000-0005-0000-0000-0000DE5A0000}"/>
    <cellStyle name="Normal 23 2 4 2 2" xfId="6630" xr:uid="{00000000-0005-0000-0000-0000DF5A0000}"/>
    <cellStyle name="Normal 23 2 4 2 2 2" xfId="9716" xr:uid="{00000000-0005-0000-0000-0000E05A0000}"/>
    <cellStyle name="Normal 23 2 4 2 2 2 2" xfId="15909" xr:uid="{00000000-0005-0000-0000-0000E15A0000}"/>
    <cellStyle name="Normal 23 2 4 2 2 2 2 2" xfId="35829" xr:uid="{00000000-0005-0000-0000-0000E25A0000}"/>
    <cellStyle name="Normal 23 2 4 2 2 2 3" xfId="22061" xr:uid="{00000000-0005-0000-0000-0000E35A0000}"/>
    <cellStyle name="Normal 23 2 4 2 2 2 3 2" xfId="41981" xr:uid="{00000000-0005-0000-0000-0000E45A0000}"/>
    <cellStyle name="Normal 23 2 4 2 2 2 4" xfId="29676" xr:uid="{00000000-0005-0000-0000-0000E55A0000}"/>
    <cellStyle name="Normal 23 2 4 2 2 3" xfId="12843" xr:uid="{00000000-0005-0000-0000-0000E65A0000}"/>
    <cellStyle name="Normal 23 2 4 2 2 3 2" xfId="32763" xr:uid="{00000000-0005-0000-0000-0000E75A0000}"/>
    <cellStyle name="Normal 23 2 4 2 2 4" xfId="18995" xr:uid="{00000000-0005-0000-0000-0000E85A0000}"/>
    <cellStyle name="Normal 23 2 4 2 2 4 2" xfId="38915" xr:uid="{00000000-0005-0000-0000-0000E95A0000}"/>
    <cellStyle name="Normal 23 2 4 2 2 5" xfId="26610" xr:uid="{00000000-0005-0000-0000-0000EA5A0000}"/>
    <cellStyle name="Normal 23 2 4 2 3" xfId="8181" xr:uid="{00000000-0005-0000-0000-0000EB5A0000}"/>
    <cellStyle name="Normal 23 2 4 2 3 2" xfId="14375" xr:uid="{00000000-0005-0000-0000-0000EC5A0000}"/>
    <cellStyle name="Normal 23 2 4 2 3 2 2" xfId="34295" xr:uid="{00000000-0005-0000-0000-0000ED5A0000}"/>
    <cellStyle name="Normal 23 2 4 2 3 3" xfId="20527" xr:uid="{00000000-0005-0000-0000-0000EE5A0000}"/>
    <cellStyle name="Normal 23 2 4 2 3 3 2" xfId="40447" xr:uid="{00000000-0005-0000-0000-0000EF5A0000}"/>
    <cellStyle name="Normal 23 2 4 2 3 4" xfId="28142" xr:uid="{00000000-0005-0000-0000-0000F05A0000}"/>
    <cellStyle name="Normal 23 2 4 2 4" xfId="11309" xr:uid="{00000000-0005-0000-0000-0000F15A0000}"/>
    <cellStyle name="Normal 23 2 4 2 4 2" xfId="31229" xr:uid="{00000000-0005-0000-0000-0000F25A0000}"/>
    <cellStyle name="Normal 23 2 4 2 5" xfId="17461" xr:uid="{00000000-0005-0000-0000-0000F35A0000}"/>
    <cellStyle name="Normal 23 2 4 2 5 2" xfId="37381" xr:uid="{00000000-0005-0000-0000-0000F45A0000}"/>
    <cellStyle name="Normal 23 2 4 2 6" xfId="25076" xr:uid="{00000000-0005-0000-0000-0000F55A0000}"/>
    <cellStyle name="Normal 23 2 4 3" xfId="5847" xr:uid="{00000000-0005-0000-0000-0000F65A0000}"/>
    <cellStyle name="Normal 23 2 4 3 2" xfId="8947" xr:uid="{00000000-0005-0000-0000-0000F75A0000}"/>
    <cellStyle name="Normal 23 2 4 3 2 2" xfId="15140" xr:uid="{00000000-0005-0000-0000-0000F85A0000}"/>
    <cellStyle name="Normal 23 2 4 3 2 2 2" xfId="35060" xr:uid="{00000000-0005-0000-0000-0000F95A0000}"/>
    <cellStyle name="Normal 23 2 4 3 2 3" xfId="21292" xr:uid="{00000000-0005-0000-0000-0000FA5A0000}"/>
    <cellStyle name="Normal 23 2 4 3 2 3 2" xfId="41212" xr:uid="{00000000-0005-0000-0000-0000FB5A0000}"/>
    <cellStyle name="Normal 23 2 4 3 2 4" xfId="28907" xr:uid="{00000000-0005-0000-0000-0000FC5A0000}"/>
    <cellStyle name="Normal 23 2 4 3 3" xfId="12074" xr:uid="{00000000-0005-0000-0000-0000FD5A0000}"/>
    <cellStyle name="Normal 23 2 4 3 3 2" xfId="31994" xr:uid="{00000000-0005-0000-0000-0000FE5A0000}"/>
    <cellStyle name="Normal 23 2 4 3 4" xfId="18226" xr:uid="{00000000-0005-0000-0000-0000FF5A0000}"/>
    <cellStyle name="Normal 23 2 4 3 4 2" xfId="38146" xr:uid="{00000000-0005-0000-0000-0000005B0000}"/>
    <cellStyle name="Normal 23 2 4 3 5" xfId="25841" xr:uid="{00000000-0005-0000-0000-0000015B0000}"/>
    <cellStyle name="Normal 23 2 4 4" xfId="7412" xr:uid="{00000000-0005-0000-0000-0000025B0000}"/>
    <cellStyle name="Normal 23 2 4 4 2" xfId="13606" xr:uid="{00000000-0005-0000-0000-0000035B0000}"/>
    <cellStyle name="Normal 23 2 4 4 2 2" xfId="33526" xr:uid="{00000000-0005-0000-0000-0000045B0000}"/>
    <cellStyle name="Normal 23 2 4 4 3" xfId="19758" xr:uid="{00000000-0005-0000-0000-0000055B0000}"/>
    <cellStyle name="Normal 23 2 4 4 3 2" xfId="39678" xr:uid="{00000000-0005-0000-0000-0000065B0000}"/>
    <cellStyle name="Normal 23 2 4 4 4" xfId="27373" xr:uid="{00000000-0005-0000-0000-0000075B0000}"/>
    <cellStyle name="Normal 23 2 4 5" xfId="10540" xr:uid="{00000000-0005-0000-0000-0000085B0000}"/>
    <cellStyle name="Normal 23 2 4 5 2" xfId="30460" xr:uid="{00000000-0005-0000-0000-0000095B0000}"/>
    <cellStyle name="Normal 23 2 4 6" xfId="16692" xr:uid="{00000000-0005-0000-0000-00000A5B0000}"/>
    <cellStyle name="Normal 23 2 4 6 2" xfId="36612" xr:uid="{00000000-0005-0000-0000-00000B5B0000}"/>
    <cellStyle name="Normal 23 2 4 7" xfId="24307" xr:uid="{00000000-0005-0000-0000-00000C5B0000}"/>
    <cellStyle name="Normal 23 2 5" xfId="3545" xr:uid="{00000000-0005-0000-0000-00000D5B0000}"/>
    <cellStyle name="Normal 23 2 5 2" xfId="5006" xr:uid="{00000000-0005-0000-0000-00000E5B0000}"/>
    <cellStyle name="Normal 23 2 5 2 2" xfId="6631" xr:uid="{00000000-0005-0000-0000-00000F5B0000}"/>
    <cellStyle name="Normal 23 2 5 2 2 2" xfId="9717" xr:uid="{00000000-0005-0000-0000-0000105B0000}"/>
    <cellStyle name="Normal 23 2 5 2 2 2 2" xfId="15910" xr:uid="{00000000-0005-0000-0000-0000115B0000}"/>
    <cellStyle name="Normal 23 2 5 2 2 2 2 2" xfId="35830" xr:uid="{00000000-0005-0000-0000-0000125B0000}"/>
    <cellStyle name="Normal 23 2 5 2 2 2 3" xfId="22062" xr:uid="{00000000-0005-0000-0000-0000135B0000}"/>
    <cellStyle name="Normal 23 2 5 2 2 2 3 2" xfId="41982" xr:uid="{00000000-0005-0000-0000-0000145B0000}"/>
    <cellStyle name="Normal 23 2 5 2 2 2 4" xfId="29677" xr:uid="{00000000-0005-0000-0000-0000155B0000}"/>
    <cellStyle name="Normal 23 2 5 2 2 3" xfId="12844" xr:uid="{00000000-0005-0000-0000-0000165B0000}"/>
    <cellStyle name="Normal 23 2 5 2 2 3 2" xfId="32764" xr:uid="{00000000-0005-0000-0000-0000175B0000}"/>
    <cellStyle name="Normal 23 2 5 2 2 4" xfId="18996" xr:uid="{00000000-0005-0000-0000-0000185B0000}"/>
    <cellStyle name="Normal 23 2 5 2 2 4 2" xfId="38916" xr:uid="{00000000-0005-0000-0000-0000195B0000}"/>
    <cellStyle name="Normal 23 2 5 2 2 5" xfId="26611" xr:uid="{00000000-0005-0000-0000-00001A5B0000}"/>
    <cellStyle name="Normal 23 2 5 2 3" xfId="8182" xr:uid="{00000000-0005-0000-0000-00001B5B0000}"/>
    <cellStyle name="Normal 23 2 5 2 3 2" xfId="14376" xr:uid="{00000000-0005-0000-0000-00001C5B0000}"/>
    <cellStyle name="Normal 23 2 5 2 3 2 2" xfId="34296" xr:uid="{00000000-0005-0000-0000-00001D5B0000}"/>
    <cellStyle name="Normal 23 2 5 2 3 3" xfId="20528" xr:uid="{00000000-0005-0000-0000-00001E5B0000}"/>
    <cellStyle name="Normal 23 2 5 2 3 3 2" xfId="40448" xr:uid="{00000000-0005-0000-0000-00001F5B0000}"/>
    <cellStyle name="Normal 23 2 5 2 3 4" xfId="28143" xr:uid="{00000000-0005-0000-0000-0000205B0000}"/>
    <cellStyle name="Normal 23 2 5 2 4" xfId="11310" xr:uid="{00000000-0005-0000-0000-0000215B0000}"/>
    <cellStyle name="Normal 23 2 5 2 4 2" xfId="31230" xr:uid="{00000000-0005-0000-0000-0000225B0000}"/>
    <cellStyle name="Normal 23 2 5 2 5" xfId="17462" xr:uid="{00000000-0005-0000-0000-0000235B0000}"/>
    <cellStyle name="Normal 23 2 5 2 5 2" xfId="37382" xr:uid="{00000000-0005-0000-0000-0000245B0000}"/>
    <cellStyle name="Normal 23 2 5 2 6" xfId="25077" xr:uid="{00000000-0005-0000-0000-0000255B0000}"/>
    <cellStyle name="Normal 23 2 5 3" xfId="5848" xr:uid="{00000000-0005-0000-0000-0000265B0000}"/>
    <cellStyle name="Normal 23 2 5 3 2" xfId="8948" xr:uid="{00000000-0005-0000-0000-0000275B0000}"/>
    <cellStyle name="Normal 23 2 5 3 2 2" xfId="15141" xr:uid="{00000000-0005-0000-0000-0000285B0000}"/>
    <cellStyle name="Normal 23 2 5 3 2 2 2" xfId="35061" xr:uid="{00000000-0005-0000-0000-0000295B0000}"/>
    <cellStyle name="Normal 23 2 5 3 2 3" xfId="21293" xr:uid="{00000000-0005-0000-0000-00002A5B0000}"/>
    <cellStyle name="Normal 23 2 5 3 2 3 2" xfId="41213" xr:uid="{00000000-0005-0000-0000-00002B5B0000}"/>
    <cellStyle name="Normal 23 2 5 3 2 4" xfId="28908" xr:uid="{00000000-0005-0000-0000-00002C5B0000}"/>
    <cellStyle name="Normal 23 2 5 3 3" xfId="12075" xr:uid="{00000000-0005-0000-0000-00002D5B0000}"/>
    <cellStyle name="Normal 23 2 5 3 3 2" xfId="31995" xr:uid="{00000000-0005-0000-0000-00002E5B0000}"/>
    <cellStyle name="Normal 23 2 5 3 4" xfId="18227" xr:uid="{00000000-0005-0000-0000-00002F5B0000}"/>
    <cellStyle name="Normal 23 2 5 3 4 2" xfId="38147" xr:uid="{00000000-0005-0000-0000-0000305B0000}"/>
    <cellStyle name="Normal 23 2 5 3 5" xfId="25842" xr:uid="{00000000-0005-0000-0000-0000315B0000}"/>
    <cellStyle name="Normal 23 2 5 4" xfId="7413" xr:uid="{00000000-0005-0000-0000-0000325B0000}"/>
    <cellStyle name="Normal 23 2 5 4 2" xfId="13607" xr:uid="{00000000-0005-0000-0000-0000335B0000}"/>
    <cellStyle name="Normal 23 2 5 4 2 2" xfId="33527" xr:uid="{00000000-0005-0000-0000-0000345B0000}"/>
    <cellStyle name="Normal 23 2 5 4 3" xfId="19759" xr:uid="{00000000-0005-0000-0000-0000355B0000}"/>
    <cellStyle name="Normal 23 2 5 4 3 2" xfId="39679" xr:uid="{00000000-0005-0000-0000-0000365B0000}"/>
    <cellStyle name="Normal 23 2 5 4 4" xfId="27374" xr:uid="{00000000-0005-0000-0000-0000375B0000}"/>
    <cellStyle name="Normal 23 2 5 5" xfId="10541" xr:uid="{00000000-0005-0000-0000-0000385B0000}"/>
    <cellStyle name="Normal 23 2 5 5 2" xfId="30461" xr:uid="{00000000-0005-0000-0000-0000395B0000}"/>
    <cellStyle name="Normal 23 2 5 6" xfId="16693" xr:uid="{00000000-0005-0000-0000-00003A5B0000}"/>
    <cellStyle name="Normal 23 2 5 6 2" xfId="36613" xr:uid="{00000000-0005-0000-0000-00003B5B0000}"/>
    <cellStyle name="Normal 23 2 5 7" xfId="24308" xr:uid="{00000000-0005-0000-0000-00003C5B0000}"/>
    <cellStyle name="Normal 23 2 6" xfId="5002" xr:uid="{00000000-0005-0000-0000-00003D5B0000}"/>
    <cellStyle name="Normal 23 2 6 2" xfId="6627" xr:uid="{00000000-0005-0000-0000-00003E5B0000}"/>
    <cellStyle name="Normal 23 2 6 2 2" xfId="9713" xr:uid="{00000000-0005-0000-0000-00003F5B0000}"/>
    <cellStyle name="Normal 23 2 6 2 2 2" xfId="15906" xr:uid="{00000000-0005-0000-0000-0000405B0000}"/>
    <cellStyle name="Normal 23 2 6 2 2 2 2" xfId="35826" xr:uid="{00000000-0005-0000-0000-0000415B0000}"/>
    <cellStyle name="Normal 23 2 6 2 2 3" xfId="22058" xr:uid="{00000000-0005-0000-0000-0000425B0000}"/>
    <cellStyle name="Normal 23 2 6 2 2 3 2" xfId="41978" xr:uid="{00000000-0005-0000-0000-0000435B0000}"/>
    <cellStyle name="Normal 23 2 6 2 2 4" xfId="29673" xr:uid="{00000000-0005-0000-0000-0000445B0000}"/>
    <cellStyle name="Normal 23 2 6 2 3" xfId="12840" xr:uid="{00000000-0005-0000-0000-0000455B0000}"/>
    <cellStyle name="Normal 23 2 6 2 3 2" xfId="32760" xr:uid="{00000000-0005-0000-0000-0000465B0000}"/>
    <cellStyle name="Normal 23 2 6 2 4" xfId="18992" xr:uid="{00000000-0005-0000-0000-0000475B0000}"/>
    <cellStyle name="Normal 23 2 6 2 4 2" xfId="38912" xr:uid="{00000000-0005-0000-0000-0000485B0000}"/>
    <cellStyle name="Normal 23 2 6 2 5" xfId="26607" xr:uid="{00000000-0005-0000-0000-0000495B0000}"/>
    <cellStyle name="Normal 23 2 6 3" xfId="8178" xr:uid="{00000000-0005-0000-0000-00004A5B0000}"/>
    <cellStyle name="Normal 23 2 6 3 2" xfId="14372" xr:uid="{00000000-0005-0000-0000-00004B5B0000}"/>
    <cellStyle name="Normal 23 2 6 3 2 2" xfId="34292" xr:uid="{00000000-0005-0000-0000-00004C5B0000}"/>
    <cellStyle name="Normal 23 2 6 3 3" xfId="20524" xr:uid="{00000000-0005-0000-0000-00004D5B0000}"/>
    <cellStyle name="Normal 23 2 6 3 3 2" xfId="40444" xr:uid="{00000000-0005-0000-0000-00004E5B0000}"/>
    <cellStyle name="Normal 23 2 6 3 4" xfId="28139" xr:uid="{00000000-0005-0000-0000-00004F5B0000}"/>
    <cellStyle name="Normal 23 2 6 4" xfId="11306" xr:uid="{00000000-0005-0000-0000-0000505B0000}"/>
    <cellStyle name="Normal 23 2 6 4 2" xfId="31226" xr:uid="{00000000-0005-0000-0000-0000515B0000}"/>
    <cellStyle name="Normal 23 2 6 5" xfId="17458" xr:uid="{00000000-0005-0000-0000-0000525B0000}"/>
    <cellStyle name="Normal 23 2 6 5 2" xfId="37378" xr:uid="{00000000-0005-0000-0000-0000535B0000}"/>
    <cellStyle name="Normal 23 2 6 6" xfId="25073" xr:uid="{00000000-0005-0000-0000-0000545B0000}"/>
    <cellStyle name="Normal 23 2 7" xfId="5844" xr:uid="{00000000-0005-0000-0000-0000555B0000}"/>
    <cellStyle name="Normal 23 2 7 2" xfId="8944" xr:uid="{00000000-0005-0000-0000-0000565B0000}"/>
    <cellStyle name="Normal 23 2 7 2 2" xfId="15137" xr:uid="{00000000-0005-0000-0000-0000575B0000}"/>
    <cellStyle name="Normal 23 2 7 2 2 2" xfId="35057" xr:uid="{00000000-0005-0000-0000-0000585B0000}"/>
    <cellStyle name="Normal 23 2 7 2 3" xfId="21289" xr:uid="{00000000-0005-0000-0000-0000595B0000}"/>
    <cellStyle name="Normal 23 2 7 2 3 2" xfId="41209" xr:uid="{00000000-0005-0000-0000-00005A5B0000}"/>
    <cellStyle name="Normal 23 2 7 2 4" xfId="28904" xr:uid="{00000000-0005-0000-0000-00005B5B0000}"/>
    <cellStyle name="Normal 23 2 7 3" xfId="12071" xr:uid="{00000000-0005-0000-0000-00005C5B0000}"/>
    <cellStyle name="Normal 23 2 7 3 2" xfId="31991" xr:uid="{00000000-0005-0000-0000-00005D5B0000}"/>
    <cellStyle name="Normal 23 2 7 4" xfId="18223" xr:uid="{00000000-0005-0000-0000-00005E5B0000}"/>
    <cellStyle name="Normal 23 2 7 4 2" xfId="38143" xr:uid="{00000000-0005-0000-0000-00005F5B0000}"/>
    <cellStyle name="Normal 23 2 7 5" xfId="25838" xr:uid="{00000000-0005-0000-0000-0000605B0000}"/>
    <cellStyle name="Normal 23 2 8" xfId="7409" xr:uid="{00000000-0005-0000-0000-0000615B0000}"/>
    <cellStyle name="Normal 23 2 8 2" xfId="13603" xr:uid="{00000000-0005-0000-0000-0000625B0000}"/>
    <cellStyle name="Normal 23 2 8 2 2" xfId="33523" xr:uid="{00000000-0005-0000-0000-0000635B0000}"/>
    <cellStyle name="Normal 23 2 8 3" xfId="19755" xr:uid="{00000000-0005-0000-0000-0000645B0000}"/>
    <cellStyle name="Normal 23 2 8 3 2" xfId="39675" xr:uid="{00000000-0005-0000-0000-0000655B0000}"/>
    <cellStyle name="Normal 23 2 8 4" xfId="27370" xr:uid="{00000000-0005-0000-0000-0000665B0000}"/>
    <cellStyle name="Normal 23 2 9" xfId="10537" xr:uid="{00000000-0005-0000-0000-0000675B0000}"/>
    <cellStyle name="Normal 23 2 9 2" xfId="30457" xr:uid="{00000000-0005-0000-0000-0000685B0000}"/>
    <cellStyle name="Normal 23 3" xfId="3546" xr:uid="{00000000-0005-0000-0000-0000695B0000}"/>
    <cellStyle name="Normal 23 3 2" xfId="5007" xr:uid="{00000000-0005-0000-0000-00006A5B0000}"/>
    <cellStyle name="Normal 23 3 2 2" xfId="6632" xr:uid="{00000000-0005-0000-0000-00006B5B0000}"/>
    <cellStyle name="Normal 23 3 2 2 2" xfId="9718" xr:uid="{00000000-0005-0000-0000-00006C5B0000}"/>
    <cellStyle name="Normal 23 3 2 2 2 2" xfId="15911" xr:uid="{00000000-0005-0000-0000-00006D5B0000}"/>
    <cellStyle name="Normal 23 3 2 2 2 2 2" xfId="35831" xr:uid="{00000000-0005-0000-0000-00006E5B0000}"/>
    <cellStyle name="Normal 23 3 2 2 2 3" xfId="22063" xr:uid="{00000000-0005-0000-0000-00006F5B0000}"/>
    <cellStyle name="Normal 23 3 2 2 2 3 2" xfId="41983" xr:uid="{00000000-0005-0000-0000-0000705B0000}"/>
    <cellStyle name="Normal 23 3 2 2 2 4" xfId="29678" xr:uid="{00000000-0005-0000-0000-0000715B0000}"/>
    <cellStyle name="Normal 23 3 2 2 3" xfId="12845" xr:uid="{00000000-0005-0000-0000-0000725B0000}"/>
    <cellStyle name="Normal 23 3 2 2 3 2" xfId="32765" xr:uid="{00000000-0005-0000-0000-0000735B0000}"/>
    <cellStyle name="Normal 23 3 2 2 4" xfId="18997" xr:uid="{00000000-0005-0000-0000-0000745B0000}"/>
    <cellStyle name="Normal 23 3 2 2 4 2" xfId="38917" xr:uid="{00000000-0005-0000-0000-0000755B0000}"/>
    <cellStyle name="Normal 23 3 2 2 5" xfId="26612" xr:uid="{00000000-0005-0000-0000-0000765B0000}"/>
    <cellStyle name="Normal 23 3 2 3" xfId="8183" xr:uid="{00000000-0005-0000-0000-0000775B0000}"/>
    <cellStyle name="Normal 23 3 2 3 2" xfId="14377" xr:uid="{00000000-0005-0000-0000-0000785B0000}"/>
    <cellStyle name="Normal 23 3 2 3 2 2" xfId="34297" xr:uid="{00000000-0005-0000-0000-0000795B0000}"/>
    <cellStyle name="Normal 23 3 2 3 3" xfId="20529" xr:uid="{00000000-0005-0000-0000-00007A5B0000}"/>
    <cellStyle name="Normal 23 3 2 3 3 2" xfId="40449" xr:uid="{00000000-0005-0000-0000-00007B5B0000}"/>
    <cellStyle name="Normal 23 3 2 3 4" xfId="28144" xr:uid="{00000000-0005-0000-0000-00007C5B0000}"/>
    <cellStyle name="Normal 23 3 2 4" xfId="11311" xr:uid="{00000000-0005-0000-0000-00007D5B0000}"/>
    <cellStyle name="Normal 23 3 2 4 2" xfId="31231" xr:uid="{00000000-0005-0000-0000-00007E5B0000}"/>
    <cellStyle name="Normal 23 3 2 5" xfId="17463" xr:uid="{00000000-0005-0000-0000-00007F5B0000}"/>
    <cellStyle name="Normal 23 3 2 5 2" xfId="37383" xr:uid="{00000000-0005-0000-0000-0000805B0000}"/>
    <cellStyle name="Normal 23 3 2 6" xfId="25078" xr:uid="{00000000-0005-0000-0000-0000815B0000}"/>
    <cellStyle name="Normal 23 3 3" xfId="5849" xr:uid="{00000000-0005-0000-0000-0000825B0000}"/>
    <cellStyle name="Normal 23 3 3 2" xfId="8949" xr:uid="{00000000-0005-0000-0000-0000835B0000}"/>
    <cellStyle name="Normal 23 3 3 2 2" xfId="15142" xr:uid="{00000000-0005-0000-0000-0000845B0000}"/>
    <cellStyle name="Normal 23 3 3 2 2 2" xfId="35062" xr:uid="{00000000-0005-0000-0000-0000855B0000}"/>
    <cellStyle name="Normal 23 3 3 2 3" xfId="21294" xr:uid="{00000000-0005-0000-0000-0000865B0000}"/>
    <cellStyle name="Normal 23 3 3 2 3 2" xfId="41214" xr:uid="{00000000-0005-0000-0000-0000875B0000}"/>
    <cellStyle name="Normal 23 3 3 2 4" xfId="28909" xr:uid="{00000000-0005-0000-0000-0000885B0000}"/>
    <cellStyle name="Normal 23 3 3 3" xfId="12076" xr:uid="{00000000-0005-0000-0000-0000895B0000}"/>
    <cellStyle name="Normal 23 3 3 3 2" xfId="31996" xr:uid="{00000000-0005-0000-0000-00008A5B0000}"/>
    <cellStyle name="Normal 23 3 3 4" xfId="18228" xr:uid="{00000000-0005-0000-0000-00008B5B0000}"/>
    <cellStyle name="Normal 23 3 3 4 2" xfId="38148" xr:uid="{00000000-0005-0000-0000-00008C5B0000}"/>
    <cellStyle name="Normal 23 3 3 5" xfId="25843" xr:uid="{00000000-0005-0000-0000-00008D5B0000}"/>
    <cellStyle name="Normal 23 3 4" xfId="7414" xr:uid="{00000000-0005-0000-0000-00008E5B0000}"/>
    <cellStyle name="Normal 23 3 4 2" xfId="13608" xr:uid="{00000000-0005-0000-0000-00008F5B0000}"/>
    <cellStyle name="Normal 23 3 4 2 2" xfId="33528" xr:uid="{00000000-0005-0000-0000-0000905B0000}"/>
    <cellStyle name="Normal 23 3 4 3" xfId="19760" xr:uid="{00000000-0005-0000-0000-0000915B0000}"/>
    <cellStyle name="Normal 23 3 4 3 2" xfId="39680" xr:uid="{00000000-0005-0000-0000-0000925B0000}"/>
    <cellStyle name="Normal 23 3 4 4" xfId="27375" xr:uid="{00000000-0005-0000-0000-0000935B0000}"/>
    <cellStyle name="Normal 23 3 5" xfId="10542" xr:uid="{00000000-0005-0000-0000-0000945B0000}"/>
    <cellStyle name="Normal 23 3 5 2" xfId="30462" xr:uid="{00000000-0005-0000-0000-0000955B0000}"/>
    <cellStyle name="Normal 23 3 6" xfId="16694" xr:uid="{00000000-0005-0000-0000-0000965B0000}"/>
    <cellStyle name="Normal 23 3 6 2" xfId="36614" xr:uid="{00000000-0005-0000-0000-0000975B0000}"/>
    <cellStyle name="Normal 23 3 7" xfId="24309" xr:uid="{00000000-0005-0000-0000-0000985B0000}"/>
    <cellStyle name="Normal 23 4" xfId="3547" xr:uid="{00000000-0005-0000-0000-0000995B0000}"/>
    <cellStyle name="Normal 23 4 2" xfId="5008" xr:uid="{00000000-0005-0000-0000-00009A5B0000}"/>
    <cellStyle name="Normal 23 4 2 2" xfId="6633" xr:uid="{00000000-0005-0000-0000-00009B5B0000}"/>
    <cellStyle name="Normal 23 4 2 2 2" xfId="9719" xr:uid="{00000000-0005-0000-0000-00009C5B0000}"/>
    <cellStyle name="Normal 23 4 2 2 2 2" xfId="15912" xr:uid="{00000000-0005-0000-0000-00009D5B0000}"/>
    <cellStyle name="Normal 23 4 2 2 2 2 2" xfId="35832" xr:uid="{00000000-0005-0000-0000-00009E5B0000}"/>
    <cellStyle name="Normal 23 4 2 2 2 3" xfId="22064" xr:uid="{00000000-0005-0000-0000-00009F5B0000}"/>
    <cellStyle name="Normal 23 4 2 2 2 3 2" xfId="41984" xr:uid="{00000000-0005-0000-0000-0000A05B0000}"/>
    <cellStyle name="Normal 23 4 2 2 2 4" xfId="29679" xr:uid="{00000000-0005-0000-0000-0000A15B0000}"/>
    <cellStyle name="Normal 23 4 2 2 3" xfId="12846" xr:uid="{00000000-0005-0000-0000-0000A25B0000}"/>
    <cellStyle name="Normal 23 4 2 2 3 2" xfId="32766" xr:uid="{00000000-0005-0000-0000-0000A35B0000}"/>
    <cellStyle name="Normal 23 4 2 2 4" xfId="18998" xr:uid="{00000000-0005-0000-0000-0000A45B0000}"/>
    <cellStyle name="Normal 23 4 2 2 4 2" xfId="38918" xr:uid="{00000000-0005-0000-0000-0000A55B0000}"/>
    <cellStyle name="Normal 23 4 2 2 5" xfId="26613" xr:uid="{00000000-0005-0000-0000-0000A65B0000}"/>
    <cellStyle name="Normal 23 4 2 3" xfId="8184" xr:uid="{00000000-0005-0000-0000-0000A75B0000}"/>
    <cellStyle name="Normal 23 4 2 3 2" xfId="14378" xr:uid="{00000000-0005-0000-0000-0000A85B0000}"/>
    <cellStyle name="Normal 23 4 2 3 2 2" xfId="34298" xr:uid="{00000000-0005-0000-0000-0000A95B0000}"/>
    <cellStyle name="Normal 23 4 2 3 3" xfId="20530" xr:uid="{00000000-0005-0000-0000-0000AA5B0000}"/>
    <cellStyle name="Normal 23 4 2 3 3 2" xfId="40450" xr:uid="{00000000-0005-0000-0000-0000AB5B0000}"/>
    <cellStyle name="Normal 23 4 2 3 4" xfId="28145" xr:uid="{00000000-0005-0000-0000-0000AC5B0000}"/>
    <cellStyle name="Normal 23 4 2 4" xfId="11312" xr:uid="{00000000-0005-0000-0000-0000AD5B0000}"/>
    <cellStyle name="Normal 23 4 2 4 2" xfId="31232" xr:uid="{00000000-0005-0000-0000-0000AE5B0000}"/>
    <cellStyle name="Normal 23 4 2 5" xfId="17464" xr:uid="{00000000-0005-0000-0000-0000AF5B0000}"/>
    <cellStyle name="Normal 23 4 2 5 2" xfId="37384" xr:uid="{00000000-0005-0000-0000-0000B05B0000}"/>
    <cellStyle name="Normal 23 4 2 6" xfId="25079" xr:uid="{00000000-0005-0000-0000-0000B15B0000}"/>
    <cellStyle name="Normal 23 4 3" xfId="5850" xr:uid="{00000000-0005-0000-0000-0000B25B0000}"/>
    <cellStyle name="Normal 23 4 3 2" xfId="8950" xr:uid="{00000000-0005-0000-0000-0000B35B0000}"/>
    <cellStyle name="Normal 23 4 3 2 2" xfId="15143" xr:uid="{00000000-0005-0000-0000-0000B45B0000}"/>
    <cellStyle name="Normal 23 4 3 2 2 2" xfId="35063" xr:uid="{00000000-0005-0000-0000-0000B55B0000}"/>
    <cellStyle name="Normal 23 4 3 2 3" xfId="21295" xr:uid="{00000000-0005-0000-0000-0000B65B0000}"/>
    <cellStyle name="Normal 23 4 3 2 3 2" xfId="41215" xr:uid="{00000000-0005-0000-0000-0000B75B0000}"/>
    <cellStyle name="Normal 23 4 3 2 4" xfId="28910" xr:uid="{00000000-0005-0000-0000-0000B85B0000}"/>
    <cellStyle name="Normal 23 4 3 3" xfId="12077" xr:uid="{00000000-0005-0000-0000-0000B95B0000}"/>
    <cellStyle name="Normal 23 4 3 3 2" xfId="31997" xr:uid="{00000000-0005-0000-0000-0000BA5B0000}"/>
    <cellStyle name="Normal 23 4 3 4" xfId="18229" xr:uid="{00000000-0005-0000-0000-0000BB5B0000}"/>
    <cellStyle name="Normal 23 4 3 4 2" xfId="38149" xr:uid="{00000000-0005-0000-0000-0000BC5B0000}"/>
    <cellStyle name="Normal 23 4 3 5" xfId="25844" xr:uid="{00000000-0005-0000-0000-0000BD5B0000}"/>
    <cellStyle name="Normal 23 4 4" xfId="7415" xr:uid="{00000000-0005-0000-0000-0000BE5B0000}"/>
    <cellStyle name="Normal 23 4 4 2" xfId="13609" xr:uid="{00000000-0005-0000-0000-0000BF5B0000}"/>
    <cellStyle name="Normal 23 4 4 2 2" xfId="33529" xr:uid="{00000000-0005-0000-0000-0000C05B0000}"/>
    <cellStyle name="Normal 23 4 4 3" xfId="19761" xr:uid="{00000000-0005-0000-0000-0000C15B0000}"/>
    <cellStyle name="Normal 23 4 4 3 2" xfId="39681" xr:uid="{00000000-0005-0000-0000-0000C25B0000}"/>
    <cellStyle name="Normal 23 4 4 4" xfId="27376" xr:uid="{00000000-0005-0000-0000-0000C35B0000}"/>
    <cellStyle name="Normal 23 4 5" xfId="10543" xr:uid="{00000000-0005-0000-0000-0000C45B0000}"/>
    <cellStyle name="Normal 23 4 5 2" xfId="30463" xr:uid="{00000000-0005-0000-0000-0000C55B0000}"/>
    <cellStyle name="Normal 23 4 6" xfId="16695" xr:uid="{00000000-0005-0000-0000-0000C65B0000}"/>
    <cellStyle name="Normal 23 4 6 2" xfId="36615" xr:uid="{00000000-0005-0000-0000-0000C75B0000}"/>
    <cellStyle name="Normal 23 4 7" xfId="24310" xr:uid="{00000000-0005-0000-0000-0000C85B0000}"/>
    <cellStyle name="Normal 23 5" xfId="3548" xr:uid="{00000000-0005-0000-0000-0000C95B0000}"/>
    <cellStyle name="Normal 23 5 2" xfId="5009" xr:uid="{00000000-0005-0000-0000-0000CA5B0000}"/>
    <cellStyle name="Normal 23 5 2 2" xfId="6634" xr:uid="{00000000-0005-0000-0000-0000CB5B0000}"/>
    <cellStyle name="Normal 23 5 2 2 2" xfId="9720" xr:uid="{00000000-0005-0000-0000-0000CC5B0000}"/>
    <cellStyle name="Normal 23 5 2 2 2 2" xfId="15913" xr:uid="{00000000-0005-0000-0000-0000CD5B0000}"/>
    <cellStyle name="Normal 23 5 2 2 2 2 2" xfId="35833" xr:uid="{00000000-0005-0000-0000-0000CE5B0000}"/>
    <cellStyle name="Normal 23 5 2 2 2 3" xfId="22065" xr:uid="{00000000-0005-0000-0000-0000CF5B0000}"/>
    <cellStyle name="Normal 23 5 2 2 2 3 2" xfId="41985" xr:uid="{00000000-0005-0000-0000-0000D05B0000}"/>
    <cellStyle name="Normal 23 5 2 2 2 4" xfId="29680" xr:uid="{00000000-0005-0000-0000-0000D15B0000}"/>
    <cellStyle name="Normal 23 5 2 2 3" xfId="12847" xr:uid="{00000000-0005-0000-0000-0000D25B0000}"/>
    <cellStyle name="Normal 23 5 2 2 3 2" xfId="32767" xr:uid="{00000000-0005-0000-0000-0000D35B0000}"/>
    <cellStyle name="Normal 23 5 2 2 4" xfId="18999" xr:uid="{00000000-0005-0000-0000-0000D45B0000}"/>
    <cellStyle name="Normal 23 5 2 2 4 2" xfId="38919" xr:uid="{00000000-0005-0000-0000-0000D55B0000}"/>
    <cellStyle name="Normal 23 5 2 2 5" xfId="26614" xr:uid="{00000000-0005-0000-0000-0000D65B0000}"/>
    <cellStyle name="Normal 23 5 2 3" xfId="8185" xr:uid="{00000000-0005-0000-0000-0000D75B0000}"/>
    <cellStyle name="Normal 23 5 2 3 2" xfId="14379" xr:uid="{00000000-0005-0000-0000-0000D85B0000}"/>
    <cellStyle name="Normal 23 5 2 3 2 2" xfId="34299" xr:uid="{00000000-0005-0000-0000-0000D95B0000}"/>
    <cellStyle name="Normal 23 5 2 3 3" xfId="20531" xr:uid="{00000000-0005-0000-0000-0000DA5B0000}"/>
    <cellStyle name="Normal 23 5 2 3 3 2" xfId="40451" xr:uid="{00000000-0005-0000-0000-0000DB5B0000}"/>
    <cellStyle name="Normal 23 5 2 3 4" xfId="28146" xr:uid="{00000000-0005-0000-0000-0000DC5B0000}"/>
    <cellStyle name="Normal 23 5 2 4" xfId="11313" xr:uid="{00000000-0005-0000-0000-0000DD5B0000}"/>
    <cellStyle name="Normal 23 5 2 4 2" xfId="31233" xr:uid="{00000000-0005-0000-0000-0000DE5B0000}"/>
    <cellStyle name="Normal 23 5 2 5" xfId="17465" xr:uid="{00000000-0005-0000-0000-0000DF5B0000}"/>
    <cellStyle name="Normal 23 5 2 5 2" xfId="37385" xr:uid="{00000000-0005-0000-0000-0000E05B0000}"/>
    <cellStyle name="Normal 23 5 2 6" xfId="25080" xr:uid="{00000000-0005-0000-0000-0000E15B0000}"/>
    <cellStyle name="Normal 23 5 3" xfId="5851" xr:uid="{00000000-0005-0000-0000-0000E25B0000}"/>
    <cellStyle name="Normal 23 5 3 2" xfId="8951" xr:uid="{00000000-0005-0000-0000-0000E35B0000}"/>
    <cellStyle name="Normal 23 5 3 2 2" xfId="15144" xr:uid="{00000000-0005-0000-0000-0000E45B0000}"/>
    <cellStyle name="Normal 23 5 3 2 2 2" xfId="35064" xr:uid="{00000000-0005-0000-0000-0000E55B0000}"/>
    <cellStyle name="Normal 23 5 3 2 3" xfId="21296" xr:uid="{00000000-0005-0000-0000-0000E65B0000}"/>
    <cellStyle name="Normal 23 5 3 2 3 2" xfId="41216" xr:uid="{00000000-0005-0000-0000-0000E75B0000}"/>
    <cellStyle name="Normal 23 5 3 2 4" xfId="28911" xr:uid="{00000000-0005-0000-0000-0000E85B0000}"/>
    <cellStyle name="Normal 23 5 3 3" xfId="12078" xr:uid="{00000000-0005-0000-0000-0000E95B0000}"/>
    <cellStyle name="Normal 23 5 3 3 2" xfId="31998" xr:uid="{00000000-0005-0000-0000-0000EA5B0000}"/>
    <cellStyle name="Normal 23 5 3 4" xfId="18230" xr:uid="{00000000-0005-0000-0000-0000EB5B0000}"/>
    <cellStyle name="Normal 23 5 3 4 2" xfId="38150" xr:uid="{00000000-0005-0000-0000-0000EC5B0000}"/>
    <cellStyle name="Normal 23 5 3 5" xfId="25845" xr:uid="{00000000-0005-0000-0000-0000ED5B0000}"/>
    <cellStyle name="Normal 23 5 4" xfId="7416" xr:uid="{00000000-0005-0000-0000-0000EE5B0000}"/>
    <cellStyle name="Normal 23 5 4 2" xfId="13610" xr:uid="{00000000-0005-0000-0000-0000EF5B0000}"/>
    <cellStyle name="Normal 23 5 4 2 2" xfId="33530" xr:uid="{00000000-0005-0000-0000-0000F05B0000}"/>
    <cellStyle name="Normal 23 5 4 3" xfId="19762" xr:uid="{00000000-0005-0000-0000-0000F15B0000}"/>
    <cellStyle name="Normal 23 5 4 3 2" xfId="39682" xr:uid="{00000000-0005-0000-0000-0000F25B0000}"/>
    <cellStyle name="Normal 23 5 4 4" xfId="27377" xr:uid="{00000000-0005-0000-0000-0000F35B0000}"/>
    <cellStyle name="Normal 23 5 5" xfId="10544" xr:uid="{00000000-0005-0000-0000-0000F45B0000}"/>
    <cellStyle name="Normal 23 5 5 2" xfId="30464" xr:uid="{00000000-0005-0000-0000-0000F55B0000}"/>
    <cellStyle name="Normal 23 5 6" xfId="16696" xr:uid="{00000000-0005-0000-0000-0000F65B0000}"/>
    <cellStyle name="Normal 23 5 6 2" xfId="36616" xr:uid="{00000000-0005-0000-0000-0000F75B0000}"/>
    <cellStyle name="Normal 23 5 7" xfId="24311" xr:uid="{00000000-0005-0000-0000-0000F85B0000}"/>
    <cellStyle name="Normal 23 6" xfId="3549" xr:uid="{00000000-0005-0000-0000-0000F95B0000}"/>
    <cellStyle name="Normal 23 6 2" xfId="5010" xr:uid="{00000000-0005-0000-0000-0000FA5B0000}"/>
    <cellStyle name="Normal 23 6 2 2" xfId="6635" xr:uid="{00000000-0005-0000-0000-0000FB5B0000}"/>
    <cellStyle name="Normal 23 6 2 2 2" xfId="9721" xr:uid="{00000000-0005-0000-0000-0000FC5B0000}"/>
    <cellStyle name="Normal 23 6 2 2 2 2" xfId="15914" xr:uid="{00000000-0005-0000-0000-0000FD5B0000}"/>
    <cellStyle name="Normal 23 6 2 2 2 2 2" xfId="35834" xr:uid="{00000000-0005-0000-0000-0000FE5B0000}"/>
    <cellStyle name="Normal 23 6 2 2 2 3" xfId="22066" xr:uid="{00000000-0005-0000-0000-0000FF5B0000}"/>
    <cellStyle name="Normal 23 6 2 2 2 3 2" xfId="41986" xr:uid="{00000000-0005-0000-0000-0000005C0000}"/>
    <cellStyle name="Normal 23 6 2 2 2 4" xfId="29681" xr:uid="{00000000-0005-0000-0000-0000015C0000}"/>
    <cellStyle name="Normal 23 6 2 2 3" xfId="12848" xr:uid="{00000000-0005-0000-0000-0000025C0000}"/>
    <cellStyle name="Normal 23 6 2 2 3 2" xfId="32768" xr:uid="{00000000-0005-0000-0000-0000035C0000}"/>
    <cellStyle name="Normal 23 6 2 2 4" xfId="19000" xr:uid="{00000000-0005-0000-0000-0000045C0000}"/>
    <cellStyle name="Normal 23 6 2 2 4 2" xfId="38920" xr:uid="{00000000-0005-0000-0000-0000055C0000}"/>
    <cellStyle name="Normal 23 6 2 2 5" xfId="26615" xr:uid="{00000000-0005-0000-0000-0000065C0000}"/>
    <cellStyle name="Normal 23 6 2 3" xfId="8186" xr:uid="{00000000-0005-0000-0000-0000075C0000}"/>
    <cellStyle name="Normal 23 6 2 3 2" xfId="14380" xr:uid="{00000000-0005-0000-0000-0000085C0000}"/>
    <cellStyle name="Normal 23 6 2 3 2 2" xfId="34300" xr:uid="{00000000-0005-0000-0000-0000095C0000}"/>
    <cellStyle name="Normal 23 6 2 3 3" xfId="20532" xr:uid="{00000000-0005-0000-0000-00000A5C0000}"/>
    <cellStyle name="Normal 23 6 2 3 3 2" xfId="40452" xr:uid="{00000000-0005-0000-0000-00000B5C0000}"/>
    <cellStyle name="Normal 23 6 2 3 4" xfId="28147" xr:uid="{00000000-0005-0000-0000-00000C5C0000}"/>
    <cellStyle name="Normal 23 6 2 4" xfId="11314" xr:uid="{00000000-0005-0000-0000-00000D5C0000}"/>
    <cellStyle name="Normal 23 6 2 4 2" xfId="31234" xr:uid="{00000000-0005-0000-0000-00000E5C0000}"/>
    <cellStyle name="Normal 23 6 2 5" xfId="17466" xr:uid="{00000000-0005-0000-0000-00000F5C0000}"/>
    <cellStyle name="Normal 23 6 2 5 2" xfId="37386" xr:uid="{00000000-0005-0000-0000-0000105C0000}"/>
    <cellStyle name="Normal 23 6 2 6" xfId="25081" xr:uid="{00000000-0005-0000-0000-0000115C0000}"/>
    <cellStyle name="Normal 23 6 3" xfId="5852" xr:uid="{00000000-0005-0000-0000-0000125C0000}"/>
    <cellStyle name="Normal 23 6 3 2" xfId="8952" xr:uid="{00000000-0005-0000-0000-0000135C0000}"/>
    <cellStyle name="Normal 23 6 3 2 2" xfId="15145" xr:uid="{00000000-0005-0000-0000-0000145C0000}"/>
    <cellStyle name="Normal 23 6 3 2 2 2" xfId="35065" xr:uid="{00000000-0005-0000-0000-0000155C0000}"/>
    <cellStyle name="Normal 23 6 3 2 3" xfId="21297" xr:uid="{00000000-0005-0000-0000-0000165C0000}"/>
    <cellStyle name="Normal 23 6 3 2 3 2" xfId="41217" xr:uid="{00000000-0005-0000-0000-0000175C0000}"/>
    <cellStyle name="Normal 23 6 3 2 4" xfId="28912" xr:uid="{00000000-0005-0000-0000-0000185C0000}"/>
    <cellStyle name="Normal 23 6 3 3" xfId="12079" xr:uid="{00000000-0005-0000-0000-0000195C0000}"/>
    <cellStyle name="Normal 23 6 3 3 2" xfId="31999" xr:uid="{00000000-0005-0000-0000-00001A5C0000}"/>
    <cellStyle name="Normal 23 6 3 4" xfId="18231" xr:uid="{00000000-0005-0000-0000-00001B5C0000}"/>
    <cellStyle name="Normal 23 6 3 4 2" xfId="38151" xr:uid="{00000000-0005-0000-0000-00001C5C0000}"/>
    <cellStyle name="Normal 23 6 3 5" xfId="25846" xr:uid="{00000000-0005-0000-0000-00001D5C0000}"/>
    <cellStyle name="Normal 23 6 4" xfId="7417" xr:uid="{00000000-0005-0000-0000-00001E5C0000}"/>
    <cellStyle name="Normal 23 6 4 2" xfId="13611" xr:uid="{00000000-0005-0000-0000-00001F5C0000}"/>
    <cellStyle name="Normal 23 6 4 2 2" xfId="33531" xr:uid="{00000000-0005-0000-0000-0000205C0000}"/>
    <cellStyle name="Normal 23 6 4 3" xfId="19763" xr:uid="{00000000-0005-0000-0000-0000215C0000}"/>
    <cellStyle name="Normal 23 6 4 3 2" xfId="39683" xr:uid="{00000000-0005-0000-0000-0000225C0000}"/>
    <cellStyle name="Normal 23 6 4 4" xfId="27378" xr:uid="{00000000-0005-0000-0000-0000235C0000}"/>
    <cellStyle name="Normal 23 6 5" xfId="10545" xr:uid="{00000000-0005-0000-0000-0000245C0000}"/>
    <cellStyle name="Normal 23 6 5 2" xfId="30465" xr:uid="{00000000-0005-0000-0000-0000255C0000}"/>
    <cellStyle name="Normal 23 6 6" xfId="16697" xr:uid="{00000000-0005-0000-0000-0000265C0000}"/>
    <cellStyle name="Normal 23 6 6 2" xfId="36617" xr:uid="{00000000-0005-0000-0000-0000275C0000}"/>
    <cellStyle name="Normal 23 6 7" xfId="24312" xr:uid="{00000000-0005-0000-0000-0000285C0000}"/>
    <cellStyle name="Normal 23 7" xfId="3550" xr:uid="{00000000-0005-0000-0000-0000295C0000}"/>
    <cellStyle name="Normal 23 8" xfId="5001" xr:uid="{00000000-0005-0000-0000-00002A5C0000}"/>
    <cellStyle name="Normal 23 8 2" xfId="6626" xr:uid="{00000000-0005-0000-0000-00002B5C0000}"/>
    <cellStyle name="Normal 23 8 2 2" xfId="9712" xr:uid="{00000000-0005-0000-0000-00002C5C0000}"/>
    <cellStyle name="Normal 23 8 2 2 2" xfId="15905" xr:uid="{00000000-0005-0000-0000-00002D5C0000}"/>
    <cellStyle name="Normal 23 8 2 2 2 2" xfId="35825" xr:uid="{00000000-0005-0000-0000-00002E5C0000}"/>
    <cellStyle name="Normal 23 8 2 2 3" xfId="22057" xr:uid="{00000000-0005-0000-0000-00002F5C0000}"/>
    <cellStyle name="Normal 23 8 2 2 3 2" xfId="41977" xr:uid="{00000000-0005-0000-0000-0000305C0000}"/>
    <cellStyle name="Normal 23 8 2 2 4" xfId="29672" xr:uid="{00000000-0005-0000-0000-0000315C0000}"/>
    <cellStyle name="Normal 23 8 2 3" xfId="12839" xr:uid="{00000000-0005-0000-0000-0000325C0000}"/>
    <cellStyle name="Normal 23 8 2 3 2" xfId="32759" xr:uid="{00000000-0005-0000-0000-0000335C0000}"/>
    <cellStyle name="Normal 23 8 2 4" xfId="18991" xr:uid="{00000000-0005-0000-0000-0000345C0000}"/>
    <cellStyle name="Normal 23 8 2 4 2" xfId="38911" xr:uid="{00000000-0005-0000-0000-0000355C0000}"/>
    <cellStyle name="Normal 23 8 2 5" xfId="26606" xr:uid="{00000000-0005-0000-0000-0000365C0000}"/>
    <cellStyle name="Normal 23 8 3" xfId="8177" xr:uid="{00000000-0005-0000-0000-0000375C0000}"/>
    <cellStyle name="Normal 23 8 3 2" xfId="14371" xr:uid="{00000000-0005-0000-0000-0000385C0000}"/>
    <cellStyle name="Normal 23 8 3 2 2" xfId="34291" xr:uid="{00000000-0005-0000-0000-0000395C0000}"/>
    <cellStyle name="Normal 23 8 3 3" xfId="20523" xr:uid="{00000000-0005-0000-0000-00003A5C0000}"/>
    <cellStyle name="Normal 23 8 3 3 2" xfId="40443" xr:uid="{00000000-0005-0000-0000-00003B5C0000}"/>
    <cellStyle name="Normal 23 8 3 4" xfId="28138" xr:uid="{00000000-0005-0000-0000-00003C5C0000}"/>
    <cellStyle name="Normal 23 8 4" xfId="11305" xr:uid="{00000000-0005-0000-0000-00003D5C0000}"/>
    <cellStyle name="Normal 23 8 4 2" xfId="31225" xr:uid="{00000000-0005-0000-0000-00003E5C0000}"/>
    <cellStyle name="Normal 23 8 5" xfId="17457" xr:uid="{00000000-0005-0000-0000-00003F5C0000}"/>
    <cellStyle name="Normal 23 8 5 2" xfId="37377" xr:uid="{00000000-0005-0000-0000-0000405C0000}"/>
    <cellStyle name="Normal 23 8 6" xfId="25072" xr:uid="{00000000-0005-0000-0000-0000415C0000}"/>
    <cellStyle name="Normal 23 9" xfId="5843" xr:uid="{00000000-0005-0000-0000-0000425C0000}"/>
    <cellStyle name="Normal 23 9 2" xfId="8943" xr:uid="{00000000-0005-0000-0000-0000435C0000}"/>
    <cellStyle name="Normal 23 9 2 2" xfId="15136" xr:uid="{00000000-0005-0000-0000-0000445C0000}"/>
    <cellStyle name="Normal 23 9 2 2 2" xfId="35056" xr:uid="{00000000-0005-0000-0000-0000455C0000}"/>
    <cellStyle name="Normal 23 9 2 3" xfId="21288" xr:uid="{00000000-0005-0000-0000-0000465C0000}"/>
    <cellStyle name="Normal 23 9 2 3 2" xfId="41208" xr:uid="{00000000-0005-0000-0000-0000475C0000}"/>
    <cellStyle name="Normal 23 9 2 4" xfId="28903" xr:uid="{00000000-0005-0000-0000-0000485C0000}"/>
    <cellStyle name="Normal 23 9 3" xfId="12070" xr:uid="{00000000-0005-0000-0000-0000495C0000}"/>
    <cellStyle name="Normal 23 9 3 2" xfId="31990" xr:uid="{00000000-0005-0000-0000-00004A5C0000}"/>
    <cellStyle name="Normal 23 9 4" xfId="18222" xr:uid="{00000000-0005-0000-0000-00004B5C0000}"/>
    <cellStyle name="Normal 23 9 4 2" xfId="38142" xr:uid="{00000000-0005-0000-0000-00004C5C0000}"/>
    <cellStyle name="Normal 23 9 5" xfId="25837" xr:uid="{00000000-0005-0000-0000-00004D5C0000}"/>
    <cellStyle name="Normal 24" xfId="3551" xr:uid="{00000000-0005-0000-0000-00004E5C0000}"/>
    <cellStyle name="Normal 24 10" xfId="7418" xr:uid="{00000000-0005-0000-0000-00004F5C0000}"/>
    <cellStyle name="Normal 24 10 2" xfId="13612" xr:uid="{00000000-0005-0000-0000-0000505C0000}"/>
    <cellStyle name="Normal 24 10 2 2" xfId="33532" xr:uid="{00000000-0005-0000-0000-0000515C0000}"/>
    <cellStyle name="Normal 24 10 3" xfId="19764" xr:uid="{00000000-0005-0000-0000-0000525C0000}"/>
    <cellStyle name="Normal 24 10 3 2" xfId="39684" xr:uid="{00000000-0005-0000-0000-0000535C0000}"/>
    <cellStyle name="Normal 24 10 4" xfId="27379" xr:uid="{00000000-0005-0000-0000-0000545C0000}"/>
    <cellStyle name="Normal 24 11" xfId="10546" xr:uid="{00000000-0005-0000-0000-0000555C0000}"/>
    <cellStyle name="Normal 24 11 2" xfId="30466" xr:uid="{00000000-0005-0000-0000-0000565C0000}"/>
    <cellStyle name="Normal 24 12" xfId="16698" xr:uid="{00000000-0005-0000-0000-0000575C0000}"/>
    <cellStyle name="Normal 24 12 2" xfId="36618" xr:uid="{00000000-0005-0000-0000-0000585C0000}"/>
    <cellStyle name="Normal 24 13" xfId="24313" xr:uid="{00000000-0005-0000-0000-0000595C0000}"/>
    <cellStyle name="Normal 24 2" xfId="3552" xr:uid="{00000000-0005-0000-0000-00005A5C0000}"/>
    <cellStyle name="Normal 24 2 10" xfId="16699" xr:uid="{00000000-0005-0000-0000-00005B5C0000}"/>
    <cellStyle name="Normal 24 2 10 2" xfId="36619" xr:uid="{00000000-0005-0000-0000-00005C5C0000}"/>
    <cellStyle name="Normal 24 2 11" xfId="24314" xr:uid="{00000000-0005-0000-0000-00005D5C0000}"/>
    <cellStyle name="Normal 24 2 2" xfId="3553" xr:uid="{00000000-0005-0000-0000-00005E5C0000}"/>
    <cellStyle name="Normal 24 2 2 2" xfId="5013" xr:uid="{00000000-0005-0000-0000-00005F5C0000}"/>
    <cellStyle name="Normal 24 2 2 2 2" xfId="6638" xr:uid="{00000000-0005-0000-0000-0000605C0000}"/>
    <cellStyle name="Normal 24 2 2 2 2 2" xfId="9724" xr:uid="{00000000-0005-0000-0000-0000615C0000}"/>
    <cellStyle name="Normal 24 2 2 2 2 2 2" xfId="15917" xr:uid="{00000000-0005-0000-0000-0000625C0000}"/>
    <cellStyle name="Normal 24 2 2 2 2 2 2 2" xfId="35837" xr:uid="{00000000-0005-0000-0000-0000635C0000}"/>
    <cellStyle name="Normal 24 2 2 2 2 2 3" xfId="22069" xr:uid="{00000000-0005-0000-0000-0000645C0000}"/>
    <cellStyle name="Normal 24 2 2 2 2 2 3 2" xfId="41989" xr:uid="{00000000-0005-0000-0000-0000655C0000}"/>
    <cellStyle name="Normal 24 2 2 2 2 2 4" xfId="29684" xr:uid="{00000000-0005-0000-0000-0000665C0000}"/>
    <cellStyle name="Normal 24 2 2 2 2 3" xfId="12851" xr:uid="{00000000-0005-0000-0000-0000675C0000}"/>
    <cellStyle name="Normal 24 2 2 2 2 3 2" xfId="32771" xr:uid="{00000000-0005-0000-0000-0000685C0000}"/>
    <cellStyle name="Normal 24 2 2 2 2 4" xfId="19003" xr:uid="{00000000-0005-0000-0000-0000695C0000}"/>
    <cellStyle name="Normal 24 2 2 2 2 4 2" xfId="38923" xr:uid="{00000000-0005-0000-0000-00006A5C0000}"/>
    <cellStyle name="Normal 24 2 2 2 2 5" xfId="26618" xr:uid="{00000000-0005-0000-0000-00006B5C0000}"/>
    <cellStyle name="Normal 24 2 2 2 3" xfId="8189" xr:uid="{00000000-0005-0000-0000-00006C5C0000}"/>
    <cellStyle name="Normal 24 2 2 2 3 2" xfId="14383" xr:uid="{00000000-0005-0000-0000-00006D5C0000}"/>
    <cellStyle name="Normal 24 2 2 2 3 2 2" xfId="34303" xr:uid="{00000000-0005-0000-0000-00006E5C0000}"/>
    <cellStyle name="Normal 24 2 2 2 3 3" xfId="20535" xr:uid="{00000000-0005-0000-0000-00006F5C0000}"/>
    <cellStyle name="Normal 24 2 2 2 3 3 2" xfId="40455" xr:uid="{00000000-0005-0000-0000-0000705C0000}"/>
    <cellStyle name="Normal 24 2 2 2 3 4" xfId="28150" xr:uid="{00000000-0005-0000-0000-0000715C0000}"/>
    <cellStyle name="Normal 24 2 2 2 4" xfId="11317" xr:uid="{00000000-0005-0000-0000-0000725C0000}"/>
    <cellStyle name="Normal 24 2 2 2 4 2" xfId="31237" xr:uid="{00000000-0005-0000-0000-0000735C0000}"/>
    <cellStyle name="Normal 24 2 2 2 5" xfId="17469" xr:uid="{00000000-0005-0000-0000-0000745C0000}"/>
    <cellStyle name="Normal 24 2 2 2 5 2" xfId="37389" xr:uid="{00000000-0005-0000-0000-0000755C0000}"/>
    <cellStyle name="Normal 24 2 2 2 6" xfId="25084" xr:uid="{00000000-0005-0000-0000-0000765C0000}"/>
    <cellStyle name="Normal 24 2 2 3" xfId="5855" xr:uid="{00000000-0005-0000-0000-0000775C0000}"/>
    <cellStyle name="Normal 24 2 2 3 2" xfId="8955" xr:uid="{00000000-0005-0000-0000-0000785C0000}"/>
    <cellStyle name="Normal 24 2 2 3 2 2" xfId="15148" xr:uid="{00000000-0005-0000-0000-0000795C0000}"/>
    <cellStyle name="Normal 24 2 2 3 2 2 2" xfId="35068" xr:uid="{00000000-0005-0000-0000-00007A5C0000}"/>
    <cellStyle name="Normal 24 2 2 3 2 3" xfId="21300" xr:uid="{00000000-0005-0000-0000-00007B5C0000}"/>
    <cellStyle name="Normal 24 2 2 3 2 3 2" xfId="41220" xr:uid="{00000000-0005-0000-0000-00007C5C0000}"/>
    <cellStyle name="Normal 24 2 2 3 2 4" xfId="28915" xr:uid="{00000000-0005-0000-0000-00007D5C0000}"/>
    <cellStyle name="Normal 24 2 2 3 3" xfId="12082" xr:uid="{00000000-0005-0000-0000-00007E5C0000}"/>
    <cellStyle name="Normal 24 2 2 3 3 2" xfId="32002" xr:uid="{00000000-0005-0000-0000-00007F5C0000}"/>
    <cellStyle name="Normal 24 2 2 3 4" xfId="18234" xr:uid="{00000000-0005-0000-0000-0000805C0000}"/>
    <cellStyle name="Normal 24 2 2 3 4 2" xfId="38154" xr:uid="{00000000-0005-0000-0000-0000815C0000}"/>
    <cellStyle name="Normal 24 2 2 3 5" xfId="25849" xr:uid="{00000000-0005-0000-0000-0000825C0000}"/>
    <cellStyle name="Normal 24 2 2 4" xfId="7420" xr:uid="{00000000-0005-0000-0000-0000835C0000}"/>
    <cellStyle name="Normal 24 2 2 4 2" xfId="13614" xr:uid="{00000000-0005-0000-0000-0000845C0000}"/>
    <cellStyle name="Normal 24 2 2 4 2 2" xfId="33534" xr:uid="{00000000-0005-0000-0000-0000855C0000}"/>
    <cellStyle name="Normal 24 2 2 4 3" xfId="19766" xr:uid="{00000000-0005-0000-0000-0000865C0000}"/>
    <cellStyle name="Normal 24 2 2 4 3 2" xfId="39686" xr:uid="{00000000-0005-0000-0000-0000875C0000}"/>
    <cellStyle name="Normal 24 2 2 4 4" xfId="27381" xr:uid="{00000000-0005-0000-0000-0000885C0000}"/>
    <cellStyle name="Normal 24 2 2 5" xfId="10548" xr:uid="{00000000-0005-0000-0000-0000895C0000}"/>
    <cellStyle name="Normal 24 2 2 5 2" xfId="30468" xr:uid="{00000000-0005-0000-0000-00008A5C0000}"/>
    <cellStyle name="Normal 24 2 2 6" xfId="16700" xr:uid="{00000000-0005-0000-0000-00008B5C0000}"/>
    <cellStyle name="Normal 24 2 2 6 2" xfId="36620" xr:uid="{00000000-0005-0000-0000-00008C5C0000}"/>
    <cellStyle name="Normal 24 2 2 7" xfId="24315" xr:uid="{00000000-0005-0000-0000-00008D5C0000}"/>
    <cellStyle name="Normal 24 2 3" xfId="3554" xr:uid="{00000000-0005-0000-0000-00008E5C0000}"/>
    <cellStyle name="Normal 24 2 3 2" xfId="5014" xr:uid="{00000000-0005-0000-0000-00008F5C0000}"/>
    <cellStyle name="Normal 24 2 3 2 2" xfId="6639" xr:uid="{00000000-0005-0000-0000-0000905C0000}"/>
    <cellStyle name="Normal 24 2 3 2 2 2" xfId="9725" xr:uid="{00000000-0005-0000-0000-0000915C0000}"/>
    <cellStyle name="Normal 24 2 3 2 2 2 2" xfId="15918" xr:uid="{00000000-0005-0000-0000-0000925C0000}"/>
    <cellStyle name="Normal 24 2 3 2 2 2 2 2" xfId="35838" xr:uid="{00000000-0005-0000-0000-0000935C0000}"/>
    <cellStyle name="Normal 24 2 3 2 2 2 3" xfId="22070" xr:uid="{00000000-0005-0000-0000-0000945C0000}"/>
    <cellStyle name="Normal 24 2 3 2 2 2 3 2" xfId="41990" xr:uid="{00000000-0005-0000-0000-0000955C0000}"/>
    <cellStyle name="Normal 24 2 3 2 2 2 4" xfId="29685" xr:uid="{00000000-0005-0000-0000-0000965C0000}"/>
    <cellStyle name="Normal 24 2 3 2 2 3" xfId="12852" xr:uid="{00000000-0005-0000-0000-0000975C0000}"/>
    <cellStyle name="Normal 24 2 3 2 2 3 2" xfId="32772" xr:uid="{00000000-0005-0000-0000-0000985C0000}"/>
    <cellStyle name="Normal 24 2 3 2 2 4" xfId="19004" xr:uid="{00000000-0005-0000-0000-0000995C0000}"/>
    <cellStyle name="Normal 24 2 3 2 2 4 2" xfId="38924" xr:uid="{00000000-0005-0000-0000-00009A5C0000}"/>
    <cellStyle name="Normal 24 2 3 2 2 5" xfId="26619" xr:uid="{00000000-0005-0000-0000-00009B5C0000}"/>
    <cellStyle name="Normal 24 2 3 2 3" xfId="8190" xr:uid="{00000000-0005-0000-0000-00009C5C0000}"/>
    <cellStyle name="Normal 24 2 3 2 3 2" xfId="14384" xr:uid="{00000000-0005-0000-0000-00009D5C0000}"/>
    <cellStyle name="Normal 24 2 3 2 3 2 2" xfId="34304" xr:uid="{00000000-0005-0000-0000-00009E5C0000}"/>
    <cellStyle name="Normal 24 2 3 2 3 3" xfId="20536" xr:uid="{00000000-0005-0000-0000-00009F5C0000}"/>
    <cellStyle name="Normal 24 2 3 2 3 3 2" xfId="40456" xr:uid="{00000000-0005-0000-0000-0000A05C0000}"/>
    <cellStyle name="Normal 24 2 3 2 3 4" xfId="28151" xr:uid="{00000000-0005-0000-0000-0000A15C0000}"/>
    <cellStyle name="Normal 24 2 3 2 4" xfId="11318" xr:uid="{00000000-0005-0000-0000-0000A25C0000}"/>
    <cellStyle name="Normal 24 2 3 2 4 2" xfId="31238" xr:uid="{00000000-0005-0000-0000-0000A35C0000}"/>
    <cellStyle name="Normal 24 2 3 2 5" xfId="17470" xr:uid="{00000000-0005-0000-0000-0000A45C0000}"/>
    <cellStyle name="Normal 24 2 3 2 5 2" xfId="37390" xr:uid="{00000000-0005-0000-0000-0000A55C0000}"/>
    <cellStyle name="Normal 24 2 3 2 6" xfId="25085" xr:uid="{00000000-0005-0000-0000-0000A65C0000}"/>
    <cellStyle name="Normal 24 2 3 3" xfId="5856" xr:uid="{00000000-0005-0000-0000-0000A75C0000}"/>
    <cellStyle name="Normal 24 2 3 3 2" xfId="8956" xr:uid="{00000000-0005-0000-0000-0000A85C0000}"/>
    <cellStyle name="Normal 24 2 3 3 2 2" xfId="15149" xr:uid="{00000000-0005-0000-0000-0000A95C0000}"/>
    <cellStyle name="Normal 24 2 3 3 2 2 2" xfId="35069" xr:uid="{00000000-0005-0000-0000-0000AA5C0000}"/>
    <cellStyle name="Normal 24 2 3 3 2 3" xfId="21301" xr:uid="{00000000-0005-0000-0000-0000AB5C0000}"/>
    <cellStyle name="Normal 24 2 3 3 2 3 2" xfId="41221" xr:uid="{00000000-0005-0000-0000-0000AC5C0000}"/>
    <cellStyle name="Normal 24 2 3 3 2 4" xfId="28916" xr:uid="{00000000-0005-0000-0000-0000AD5C0000}"/>
    <cellStyle name="Normal 24 2 3 3 3" xfId="12083" xr:uid="{00000000-0005-0000-0000-0000AE5C0000}"/>
    <cellStyle name="Normal 24 2 3 3 3 2" xfId="32003" xr:uid="{00000000-0005-0000-0000-0000AF5C0000}"/>
    <cellStyle name="Normal 24 2 3 3 4" xfId="18235" xr:uid="{00000000-0005-0000-0000-0000B05C0000}"/>
    <cellStyle name="Normal 24 2 3 3 4 2" xfId="38155" xr:uid="{00000000-0005-0000-0000-0000B15C0000}"/>
    <cellStyle name="Normal 24 2 3 3 5" xfId="25850" xr:uid="{00000000-0005-0000-0000-0000B25C0000}"/>
    <cellStyle name="Normal 24 2 3 4" xfId="7421" xr:uid="{00000000-0005-0000-0000-0000B35C0000}"/>
    <cellStyle name="Normal 24 2 3 4 2" xfId="13615" xr:uid="{00000000-0005-0000-0000-0000B45C0000}"/>
    <cellStyle name="Normal 24 2 3 4 2 2" xfId="33535" xr:uid="{00000000-0005-0000-0000-0000B55C0000}"/>
    <cellStyle name="Normal 24 2 3 4 3" xfId="19767" xr:uid="{00000000-0005-0000-0000-0000B65C0000}"/>
    <cellStyle name="Normal 24 2 3 4 3 2" xfId="39687" xr:uid="{00000000-0005-0000-0000-0000B75C0000}"/>
    <cellStyle name="Normal 24 2 3 4 4" xfId="27382" xr:uid="{00000000-0005-0000-0000-0000B85C0000}"/>
    <cellStyle name="Normal 24 2 3 5" xfId="10549" xr:uid="{00000000-0005-0000-0000-0000B95C0000}"/>
    <cellStyle name="Normal 24 2 3 5 2" xfId="30469" xr:uid="{00000000-0005-0000-0000-0000BA5C0000}"/>
    <cellStyle name="Normal 24 2 3 6" xfId="16701" xr:uid="{00000000-0005-0000-0000-0000BB5C0000}"/>
    <cellStyle name="Normal 24 2 3 6 2" xfId="36621" xr:uid="{00000000-0005-0000-0000-0000BC5C0000}"/>
    <cellStyle name="Normal 24 2 3 7" xfId="24316" xr:uid="{00000000-0005-0000-0000-0000BD5C0000}"/>
    <cellStyle name="Normal 24 2 4" xfId="3555" xr:uid="{00000000-0005-0000-0000-0000BE5C0000}"/>
    <cellStyle name="Normal 24 2 4 2" xfId="5015" xr:uid="{00000000-0005-0000-0000-0000BF5C0000}"/>
    <cellStyle name="Normal 24 2 4 2 2" xfId="6640" xr:uid="{00000000-0005-0000-0000-0000C05C0000}"/>
    <cellStyle name="Normal 24 2 4 2 2 2" xfId="9726" xr:uid="{00000000-0005-0000-0000-0000C15C0000}"/>
    <cellStyle name="Normal 24 2 4 2 2 2 2" xfId="15919" xr:uid="{00000000-0005-0000-0000-0000C25C0000}"/>
    <cellStyle name="Normal 24 2 4 2 2 2 2 2" xfId="35839" xr:uid="{00000000-0005-0000-0000-0000C35C0000}"/>
    <cellStyle name="Normal 24 2 4 2 2 2 3" xfId="22071" xr:uid="{00000000-0005-0000-0000-0000C45C0000}"/>
    <cellStyle name="Normal 24 2 4 2 2 2 3 2" xfId="41991" xr:uid="{00000000-0005-0000-0000-0000C55C0000}"/>
    <cellStyle name="Normal 24 2 4 2 2 2 4" xfId="29686" xr:uid="{00000000-0005-0000-0000-0000C65C0000}"/>
    <cellStyle name="Normal 24 2 4 2 2 3" xfId="12853" xr:uid="{00000000-0005-0000-0000-0000C75C0000}"/>
    <cellStyle name="Normal 24 2 4 2 2 3 2" xfId="32773" xr:uid="{00000000-0005-0000-0000-0000C85C0000}"/>
    <cellStyle name="Normal 24 2 4 2 2 4" xfId="19005" xr:uid="{00000000-0005-0000-0000-0000C95C0000}"/>
    <cellStyle name="Normal 24 2 4 2 2 4 2" xfId="38925" xr:uid="{00000000-0005-0000-0000-0000CA5C0000}"/>
    <cellStyle name="Normal 24 2 4 2 2 5" xfId="26620" xr:uid="{00000000-0005-0000-0000-0000CB5C0000}"/>
    <cellStyle name="Normal 24 2 4 2 3" xfId="8191" xr:uid="{00000000-0005-0000-0000-0000CC5C0000}"/>
    <cellStyle name="Normal 24 2 4 2 3 2" xfId="14385" xr:uid="{00000000-0005-0000-0000-0000CD5C0000}"/>
    <cellStyle name="Normal 24 2 4 2 3 2 2" xfId="34305" xr:uid="{00000000-0005-0000-0000-0000CE5C0000}"/>
    <cellStyle name="Normal 24 2 4 2 3 3" xfId="20537" xr:uid="{00000000-0005-0000-0000-0000CF5C0000}"/>
    <cellStyle name="Normal 24 2 4 2 3 3 2" xfId="40457" xr:uid="{00000000-0005-0000-0000-0000D05C0000}"/>
    <cellStyle name="Normal 24 2 4 2 3 4" xfId="28152" xr:uid="{00000000-0005-0000-0000-0000D15C0000}"/>
    <cellStyle name="Normal 24 2 4 2 4" xfId="11319" xr:uid="{00000000-0005-0000-0000-0000D25C0000}"/>
    <cellStyle name="Normal 24 2 4 2 4 2" xfId="31239" xr:uid="{00000000-0005-0000-0000-0000D35C0000}"/>
    <cellStyle name="Normal 24 2 4 2 5" xfId="17471" xr:uid="{00000000-0005-0000-0000-0000D45C0000}"/>
    <cellStyle name="Normal 24 2 4 2 5 2" xfId="37391" xr:uid="{00000000-0005-0000-0000-0000D55C0000}"/>
    <cellStyle name="Normal 24 2 4 2 6" xfId="25086" xr:uid="{00000000-0005-0000-0000-0000D65C0000}"/>
    <cellStyle name="Normal 24 2 4 3" xfId="5857" xr:uid="{00000000-0005-0000-0000-0000D75C0000}"/>
    <cellStyle name="Normal 24 2 4 3 2" xfId="8957" xr:uid="{00000000-0005-0000-0000-0000D85C0000}"/>
    <cellStyle name="Normal 24 2 4 3 2 2" xfId="15150" xr:uid="{00000000-0005-0000-0000-0000D95C0000}"/>
    <cellStyle name="Normal 24 2 4 3 2 2 2" xfId="35070" xr:uid="{00000000-0005-0000-0000-0000DA5C0000}"/>
    <cellStyle name="Normal 24 2 4 3 2 3" xfId="21302" xr:uid="{00000000-0005-0000-0000-0000DB5C0000}"/>
    <cellStyle name="Normal 24 2 4 3 2 3 2" xfId="41222" xr:uid="{00000000-0005-0000-0000-0000DC5C0000}"/>
    <cellStyle name="Normal 24 2 4 3 2 4" xfId="28917" xr:uid="{00000000-0005-0000-0000-0000DD5C0000}"/>
    <cellStyle name="Normal 24 2 4 3 3" xfId="12084" xr:uid="{00000000-0005-0000-0000-0000DE5C0000}"/>
    <cellStyle name="Normal 24 2 4 3 3 2" xfId="32004" xr:uid="{00000000-0005-0000-0000-0000DF5C0000}"/>
    <cellStyle name="Normal 24 2 4 3 4" xfId="18236" xr:uid="{00000000-0005-0000-0000-0000E05C0000}"/>
    <cellStyle name="Normal 24 2 4 3 4 2" xfId="38156" xr:uid="{00000000-0005-0000-0000-0000E15C0000}"/>
    <cellStyle name="Normal 24 2 4 3 5" xfId="25851" xr:uid="{00000000-0005-0000-0000-0000E25C0000}"/>
    <cellStyle name="Normal 24 2 4 4" xfId="7422" xr:uid="{00000000-0005-0000-0000-0000E35C0000}"/>
    <cellStyle name="Normal 24 2 4 4 2" xfId="13616" xr:uid="{00000000-0005-0000-0000-0000E45C0000}"/>
    <cellStyle name="Normal 24 2 4 4 2 2" xfId="33536" xr:uid="{00000000-0005-0000-0000-0000E55C0000}"/>
    <cellStyle name="Normal 24 2 4 4 3" xfId="19768" xr:uid="{00000000-0005-0000-0000-0000E65C0000}"/>
    <cellStyle name="Normal 24 2 4 4 3 2" xfId="39688" xr:uid="{00000000-0005-0000-0000-0000E75C0000}"/>
    <cellStyle name="Normal 24 2 4 4 4" xfId="27383" xr:uid="{00000000-0005-0000-0000-0000E85C0000}"/>
    <cellStyle name="Normal 24 2 4 5" xfId="10550" xr:uid="{00000000-0005-0000-0000-0000E95C0000}"/>
    <cellStyle name="Normal 24 2 4 5 2" xfId="30470" xr:uid="{00000000-0005-0000-0000-0000EA5C0000}"/>
    <cellStyle name="Normal 24 2 4 6" xfId="16702" xr:uid="{00000000-0005-0000-0000-0000EB5C0000}"/>
    <cellStyle name="Normal 24 2 4 6 2" xfId="36622" xr:uid="{00000000-0005-0000-0000-0000EC5C0000}"/>
    <cellStyle name="Normal 24 2 4 7" xfId="24317" xr:uid="{00000000-0005-0000-0000-0000ED5C0000}"/>
    <cellStyle name="Normal 24 2 5" xfId="3556" xr:uid="{00000000-0005-0000-0000-0000EE5C0000}"/>
    <cellStyle name="Normal 24 2 5 2" xfId="5016" xr:uid="{00000000-0005-0000-0000-0000EF5C0000}"/>
    <cellStyle name="Normal 24 2 5 2 2" xfId="6641" xr:uid="{00000000-0005-0000-0000-0000F05C0000}"/>
    <cellStyle name="Normal 24 2 5 2 2 2" xfId="9727" xr:uid="{00000000-0005-0000-0000-0000F15C0000}"/>
    <cellStyle name="Normal 24 2 5 2 2 2 2" xfId="15920" xr:uid="{00000000-0005-0000-0000-0000F25C0000}"/>
    <cellStyle name="Normal 24 2 5 2 2 2 2 2" xfId="35840" xr:uid="{00000000-0005-0000-0000-0000F35C0000}"/>
    <cellStyle name="Normal 24 2 5 2 2 2 3" xfId="22072" xr:uid="{00000000-0005-0000-0000-0000F45C0000}"/>
    <cellStyle name="Normal 24 2 5 2 2 2 3 2" xfId="41992" xr:uid="{00000000-0005-0000-0000-0000F55C0000}"/>
    <cellStyle name="Normal 24 2 5 2 2 2 4" xfId="29687" xr:uid="{00000000-0005-0000-0000-0000F65C0000}"/>
    <cellStyle name="Normal 24 2 5 2 2 3" xfId="12854" xr:uid="{00000000-0005-0000-0000-0000F75C0000}"/>
    <cellStyle name="Normal 24 2 5 2 2 3 2" xfId="32774" xr:uid="{00000000-0005-0000-0000-0000F85C0000}"/>
    <cellStyle name="Normal 24 2 5 2 2 4" xfId="19006" xr:uid="{00000000-0005-0000-0000-0000F95C0000}"/>
    <cellStyle name="Normal 24 2 5 2 2 4 2" xfId="38926" xr:uid="{00000000-0005-0000-0000-0000FA5C0000}"/>
    <cellStyle name="Normal 24 2 5 2 2 5" xfId="26621" xr:uid="{00000000-0005-0000-0000-0000FB5C0000}"/>
    <cellStyle name="Normal 24 2 5 2 3" xfId="8192" xr:uid="{00000000-0005-0000-0000-0000FC5C0000}"/>
    <cellStyle name="Normal 24 2 5 2 3 2" xfId="14386" xr:uid="{00000000-0005-0000-0000-0000FD5C0000}"/>
    <cellStyle name="Normal 24 2 5 2 3 2 2" xfId="34306" xr:uid="{00000000-0005-0000-0000-0000FE5C0000}"/>
    <cellStyle name="Normal 24 2 5 2 3 3" xfId="20538" xr:uid="{00000000-0005-0000-0000-0000FF5C0000}"/>
    <cellStyle name="Normal 24 2 5 2 3 3 2" xfId="40458" xr:uid="{00000000-0005-0000-0000-0000005D0000}"/>
    <cellStyle name="Normal 24 2 5 2 3 4" xfId="28153" xr:uid="{00000000-0005-0000-0000-0000015D0000}"/>
    <cellStyle name="Normal 24 2 5 2 4" xfId="11320" xr:uid="{00000000-0005-0000-0000-0000025D0000}"/>
    <cellStyle name="Normal 24 2 5 2 4 2" xfId="31240" xr:uid="{00000000-0005-0000-0000-0000035D0000}"/>
    <cellStyle name="Normal 24 2 5 2 5" xfId="17472" xr:uid="{00000000-0005-0000-0000-0000045D0000}"/>
    <cellStyle name="Normal 24 2 5 2 5 2" xfId="37392" xr:uid="{00000000-0005-0000-0000-0000055D0000}"/>
    <cellStyle name="Normal 24 2 5 2 6" xfId="25087" xr:uid="{00000000-0005-0000-0000-0000065D0000}"/>
    <cellStyle name="Normal 24 2 5 3" xfId="5858" xr:uid="{00000000-0005-0000-0000-0000075D0000}"/>
    <cellStyle name="Normal 24 2 5 3 2" xfId="8958" xr:uid="{00000000-0005-0000-0000-0000085D0000}"/>
    <cellStyle name="Normal 24 2 5 3 2 2" xfId="15151" xr:uid="{00000000-0005-0000-0000-0000095D0000}"/>
    <cellStyle name="Normal 24 2 5 3 2 2 2" xfId="35071" xr:uid="{00000000-0005-0000-0000-00000A5D0000}"/>
    <cellStyle name="Normal 24 2 5 3 2 3" xfId="21303" xr:uid="{00000000-0005-0000-0000-00000B5D0000}"/>
    <cellStyle name="Normal 24 2 5 3 2 3 2" xfId="41223" xr:uid="{00000000-0005-0000-0000-00000C5D0000}"/>
    <cellStyle name="Normal 24 2 5 3 2 4" xfId="28918" xr:uid="{00000000-0005-0000-0000-00000D5D0000}"/>
    <cellStyle name="Normal 24 2 5 3 3" xfId="12085" xr:uid="{00000000-0005-0000-0000-00000E5D0000}"/>
    <cellStyle name="Normal 24 2 5 3 3 2" xfId="32005" xr:uid="{00000000-0005-0000-0000-00000F5D0000}"/>
    <cellStyle name="Normal 24 2 5 3 4" xfId="18237" xr:uid="{00000000-0005-0000-0000-0000105D0000}"/>
    <cellStyle name="Normal 24 2 5 3 4 2" xfId="38157" xr:uid="{00000000-0005-0000-0000-0000115D0000}"/>
    <cellStyle name="Normal 24 2 5 3 5" xfId="25852" xr:uid="{00000000-0005-0000-0000-0000125D0000}"/>
    <cellStyle name="Normal 24 2 5 4" xfId="7423" xr:uid="{00000000-0005-0000-0000-0000135D0000}"/>
    <cellStyle name="Normal 24 2 5 4 2" xfId="13617" xr:uid="{00000000-0005-0000-0000-0000145D0000}"/>
    <cellStyle name="Normal 24 2 5 4 2 2" xfId="33537" xr:uid="{00000000-0005-0000-0000-0000155D0000}"/>
    <cellStyle name="Normal 24 2 5 4 3" xfId="19769" xr:uid="{00000000-0005-0000-0000-0000165D0000}"/>
    <cellStyle name="Normal 24 2 5 4 3 2" xfId="39689" xr:uid="{00000000-0005-0000-0000-0000175D0000}"/>
    <cellStyle name="Normal 24 2 5 4 4" xfId="27384" xr:uid="{00000000-0005-0000-0000-0000185D0000}"/>
    <cellStyle name="Normal 24 2 5 5" xfId="10551" xr:uid="{00000000-0005-0000-0000-0000195D0000}"/>
    <cellStyle name="Normal 24 2 5 5 2" xfId="30471" xr:uid="{00000000-0005-0000-0000-00001A5D0000}"/>
    <cellStyle name="Normal 24 2 5 6" xfId="16703" xr:uid="{00000000-0005-0000-0000-00001B5D0000}"/>
    <cellStyle name="Normal 24 2 5 6 2" xfId="36623" xr:uid="{00000000-0005-0000-0000-00001C5D0000}"/>
    <cellStyle name="Normal 24 2 5 7" xfId="24318" xr:uid="{00000000-0005-0000-0000-00001D5D0000}"/>
    <cellStyle name="Normal 24 2 6" xfId="5012" xr:uid="{00000000-0005-0000-0000-00001E5D0000}"/>
    <cellStyle name="Normal 24 2 6 2" xfId="6637" xr:uid="{00000000-0005-0000-0000-00001F5D0000}"/>
    <cellStyle name="Normal 24 2 6 2 2" xfId="9723" xr:uid="{00000000-0005-0000-0000-0000205D0000}"/>
    <cellStyle name="Normal 24 2 6 2 2 2" xfId="15916" xr:uid="{00000000-0005-0000-0000-0000215D0000}"/>
    <cellStyle name="Normal 24 2 6 2 2 2 2" xfId="35836" xr:uid="{00000000-0005-0000-0000-0000225D0000}"/>
    <cellStyle name="Normal 24 2 6 2 2 3" xfId="22068" xr:uid="{00000000-0005-0000-0000-0000235D0000}"/>
    <cellStyle name="Normal 24 2 6 2 2 3 2" xfId="41988" xr:uid="{00000000-0005-0000-0000-0000245D0000}"/>
    <cellStyle name="Normal 24 2 6 2 2 4" xfId="29683" xr:uid="{00000000-0005-0000-0000-0000255D0000}"/>
    <cellStyle name="Normal 24 2 6 2 3" xfId="12850" xr:uid="{00000000-0005-0000-0000-0000265D0000}"/>
    <cellStyle name="Normal 24 2 6 2 3 2" xfId="32770" xr:uid="{00000000-0005-0000-0000-0000275D0000}"/>
    <cellStyle name="Normal 24 2 6 2 4" xfId="19002" xr:uid="{00000000-0005-0000-0000-0000285D0000}"/>
    <cellStyle name="Normal 24 2 6 2 4 2" xfId="38922" xr:uid="{00000000-0005-0000-0000-0000295D0000}"/>
    <cellStyle name="Normal 24 2 6 2 5" xfId="26617" xr:uid="{00000000-0005-0000-0000-00002A5D0000}"/>
    <cellStyle name="Normal 24 2 6 3" xfId="8188" xr:uid="{00000000-0005-0000-0000-00002B5D0000}"/>
    <cellStyle name="Normal 24 2 6 3 2" xfId="14382" xr:uid="{00000000-0005-0000-0000-00002C5D0000}"/>
    <cellStyle name="Normal 24 2 6 3 2 2" xfId="34302" xr:uid="{00000000-0005-0000-0000-00002D5D0000}"/>
    <cellStyle name="Normal 24 2 6 3 3" xfId="20534" xr:uid="{00000000-0005-0000-0000-00002E5D0000}"/>
    <cellStyle name="Normal 24 2 6 3 3 2" xfId="40454" xr:uid="{00000000-0005-0000-0000-00002F5D0000}"/>
    <cellStyle name="Normal 24 2 6 3 4" xfId="28149" xr:uid="{00000000-0005-0000-0000-0000305D0000}"/>
    <cellStyle name="Normal 24 2 6 4" xfId="11316" xr:uid="{00000000-0005-0000-0000-0000315D0000}"/>
    <cellStyle name="Normal 24 2 6 4 2" xfId="31236" xr:uid="{00000000-0005-0000-0000-0000325D0000}"/>
    <cellStyle name="Normal 24 2 6 5" xfId="17468" xr:uid="{00000000-0005-0000-0000-0000335D0000}"/>
    <cellStyle name="Normal 24 2 6 5 2" xfId="37388" xr:uid="{00000000-0005-0000-0000-0000345D0000}"/>
    <cellStyle name="Normal 24 2 6 6" xfId="25083" xr:uid="{00000000-0005-0000-0000-0000355D0000}"/>
    <cellStyle name="Normal 24 2 7" xfId="5854" xr:uid="{00000000-0005-0000-0000-0000365D0000}"/>
    <cellStyle name="Normal 24 2 7 2" xfId="8954" xr:uid="{00000000-0005-0000-0000-0000375D0000}"/>
    <cellStyle name="Normal 24 2 7 2 2" xfId="15147" xr:uid="{00000000-0005-0000-0000-0000385D0000}"/>
    <cellStyle name="Normal 24 2 7 2 2 2" xfId="35067" xr:uid="{00000000-0005-0000-0000-0000395D0000}"/>
    <cellStyle name="Normal 24 2 7 2 3" xfId="21299" xr:uid="{00000000-0005-0000-0000-00003A5D0000}"/>
    <cellStyle name="Normal 24 2 7 2 3 2" xfId="41219" xr:uid="{00000000-0005-0000-0000-00003B5D0000}"/>
    <cellStyle name="Normal 24 2 7 2 4" xfId="28914" xr:uid="{00000000-0005-0000-0000-00003C5D0000}"/>
    <cellStyle name="Normal 24 2 7 3" xfId="12081" xr:uid="{00000000-0005-0000-0000-00003D5D0000}"/>
    <cellStyle name="Normal 24 2 7 3 2" xfId="32001" xr:uid="{00000000-0005-0000-0000-00003E5D0000}"/>
    <cellStyle name="Normal 24 2 7 4" xfId="18233" xr:uid="{00000000-0005-0000-0000-00003F5D0000}"/>
    <cellStyle name="Normal 24 2 7 4 2" xfId="38153" xr:uid="{00000000-0005-0000-0000-0000405D0000}"/>
    <cellStyle name="Normal 24 2 7 5" xfId="25848" xr:uid="{00000000-0005-0000-0000-0000415D0000}"/>
    <cellStyle name="Normal 24 2 8" xfId="7419" xr:uid="{00000000-0005-0000-0000-0000425D0000}"/>
    <cellStyle name="Normal 24 2 8 2" xfId="13613" xr:uid="{00000000-0005-0000-0000-0000435D0000}"/>
    <cellStyle name="Normal 24 2 8 2 2" xfId="33533" xr:uid="{00000000-0005-0000-0000-0000445D0000}"/>
    <cellStyle name="Normal 24 2 8 3" xfId="19765" xr:uid="{00000000-0005-0000-0000-0000455D0000}"/>
    <cellStyle name="Normal 24 2 8 3 2" xfId="39685" xr:uid="{00000000-0005-0000-0000-0000465D0000}"/>
    <cellStyle name="Normal 24 2 8 4" xfId="27380" xr:uid="{00000000-0005-0000-0000-0000475D0000}"/>
    <cellStyle name="Normal 24 2 9" xfId="10547" xr:uid="{00000000-0005-0000-0000-0000485D0000}"/>
    <cellStyle name="Normal 24 2 9 2" xfId="30467" xr:uid="{00000000-0005-0000-0000-0000495D0000}"/>
    <cellStyle name="Normal 24 3" xfId="3557" xr:uid="{00000000-0005-0000-0000-00004A5D0000}"/>
    <cellStyle name="Normal 24 3 2" xfId="5017" xr:uid="{00000000-0005-0000-0000-00004B5D0000}"/>
    <cellStyle name="Normal 24 3 2 2" xfId="6642" xr:uid="{00000000-0005-0000-0000-00004C5D0000}"/>
    <cellStyle name="Normal 24 3 2 2 2" xfId="9728" xr:uid="{00000000-0005-0000-0000-00004D5D0000}"/>
    <cellStyle name="Normal 24 3 2 2 2 2" xfId="15921" xr:uid="{00000000-0005-0000-0000-00004E5D0000}"/>
    <cellStyle name="Normal 24 3 2 2 2 2 2" xfId="35841" xr:uid="{00000000-0005-0000-0000-00004F5D0000}"/>
    <cellStyle name="Normal 24 3 2 2 2 3" xfId="22073" xr:uid="{00000000-0005-0000-0000-0000505D0000}"/>
    <cellStyle name="Normal 24 3 2 2 2 3 2" xfId="41993" xr:uid="{00000000-0005-0000-0000-0000515D0000}"/>
    <cellStyle name="Normal 24 3 2 2 2 4" xfId="29688" xr:uid="{00000000-0005-0000-0000-0000525D0000}"/>
    <cellStyle name="Normal 24 3 2 2 3" xfId="12855" xr:uid="{00000000-0005-0000-0000-0000535D0000}"/>
    <cellStyle name="Normal 24 3 2 2 3 2" xfId="32775" xr:uid="{00000000-0005-0000-0000-0000545D0000}"/>
    <cellStyle name="Normal 24 3 2 2 4" xfId="19007" xr:uid="{00000000-0005-0000-0000-0000555D0000}"/>
    <cellStyle name="Normal 24 3 2 2 4 2" xfId="38927" xr:uid="{00000000-0005-0000-0000-0000565D0000}"/>
    <cellStyle name="Normal 24 3 2 2 5" xfId="26622" xr:uid="{00000000-0005-0000-0000-0000575D0000}"/>
    <cellStyle name="Normal 24 3 2 3" xfId="8193" xr:uid="{00000000-0005-0000-0000-0000585D0000}"/>
    <cellStyle name="Normal 24 3 2 3 2" xfId="14387" xr:uid="{00000000-0005-0000-0000-0000595D0000}"/>
    <cellStyle name="Normal 24 3 2 3 2 2" xfId="34307" xr:uid="{00000000-0005-0000-0000-00005A5D0000}"/>
    <cellStyle name="Normal 24 3 2 3 3" xfId="20539" xr:uid="{00000000-0005-0000-0000-00005B5D0000}"/>
    <cellStyle name="Normal 24 3 2 3 3 2" xfId="40459" xr:uid="{00000000-0005-0000-0000-00005C5D0000}"/>
    <cellStyle name="Normal 24 3 2 3 4" xfId="28154" xr:uid="{00000000-0005-0000-0000-00005D5D0000}"/>
    <cellStyle name="Normal 24 3 2 4" xfId="11321" xr:uid="{00000000-0005-0000-0000-00005E5D0000}"/>
    <cellStyle name="Normal 24 3 2 4 2" xfId="31241" xr:uid="{00000000-0005-0000-0000-00005F5D0000}"/>
    <cellStyle name="Normal 24 3 2 5" xfId="17473" xr:uid="{00000000-0005-0000-0000-0000605D0000}"/>
    <cellStyle name="Normal 24 3 2 5 2" xfId="37393" xr:uid="{00000000-0005-0000-0000-0000615D0000}"/>
    <cellStyle name="Normal 24 3 2 6" xfId="25088" xr:uid="{00000000-0005-0000-0000-0000625D0000}"/>
    <cellStyle name="Normal 24 3 3" xfId="5859" xr:uid="{00000000-0005-0000-0000-0000635D0000}"/>
    <cellStyle name="Normal 24 3 3 2" xfId="8959" xr:uid="{00000000-0005-0000-0000-0000645D0000}"/>
    <cellStyle name="Normal 24 3 3 2 2" xfId="15152" xr:uid="{00000000-0005-0000-0000-0000655D0000}"/>
    <cellStyle name="Normal 24 3 3 2 2 2" xfId="35072" xr:uid="{00000000-0005-0000-0000-0000665D0000}"/>
    <cellStyle name="Normal 24 3 3 2 3" xfId="21304" xr:uid="{00000000-0005-0000-0000-0000675D0000}"/>
    <cellStyle name="Normal 24 3 3 2 3 2" xfId="41224" xr:uid="{00000000-0005-0000-0000-0000685D0000}"/>
    <cellStyle name="Normal 24 3 3 2 4" xfId="28919" xr:uid="{00000000-0005-0000-0000-0000695D0000}"/>
    <cellStyle name="Normal 24 3 3 3" xfId="12086" xr:uid="{00000000-0005-0000-0000-00006A5D0000}"/>
    <cellStyle name="Normal 24 3 3 3 2" xfId="32006" xr:uid="{00000000-0005-0000-0000-00006B5D0000}"/>
    <cellStyle name="Normal 24 3 3 4" xfId="18238" xr:uid="{00000000-0005-0000-0000-00006C5D0000}"/>
    <cellStyle name="Normal 24 3 3 4 2" xfId="38158" xr:uid="{00000000-0005-0000-0000-00006D5D0000}"/>
    <cellStyle name="Normal 24 3 3 5" xfId="25853" xr:uid="{00000000-0005-0000-0000-00006E5D0000}"/>
    <cellStyle name="Normal 24 3 4" xfId="7424" xr:uid="{00000000-0005-0000-0000-00006F5D0000}"/>
    <cellStyle name="Normal 24 3 4 2" xfId="13618" xr:uid="{00000000-0005-0000-0000-0000705D0000}"/>
    <cellStyle name="Normal 24 3 4 2 2" xfId="33538" xr:uid="{00000000-0005-0000-0000-0000715D0000}"/>
    <cellStyle name="Normal 24 3 4 3" xfId="19770" xr:uid="{00000000-0005-0000-0000-0000725D0000}"/>
    <cellStyle name="Normal 24 3 4 3 2" xfId="39690" xr:uid="{00000000-0005-0000-0000-0000735D0000}"/>
    <cellStyle name="Normal 24 3 4 4" xfId="27385" xr:uid="{00000000-0005-0000-0000-0000745D0000}"/>
    <cellStyle name="Normal 24 3 5" xfId="10552" xr:uid="{00000000-0005-0000-0000-0000755D0000}"/>
    <cellStyle name="Normal 24 3 5 2" xfId="30472" xr:uid="{00000000-0005-0000-0000-0000765D0000}"/>
    <cellStyle name="Normal 24 3 6" xfId="16704" xr:uid="{00000000-0005-0000-0000-0000775D0000}"/>
    <cellStyle name="Normal 24 3 6 2" xfId="36624" xr:uid="{00000000-0005-0000-0000-0000785D0000}"/>
    <cellStyle name="Normal 24 3 7" xfId="24319" xr:uid="{00000000-0005-0000-0000-0000795D0000}"/>
    <cellStyle name="Normal 24 4" xfId="3558" xr:uid="{00000000-0005-0000-0000-00007A5D0000}"/>
    <cellStyle name="Normal 24 4 2" xfId="5018" xr:uid="{00000000-0005-0000-0000-00007B5D0000}"/>
    <cellStyle name="Normal 24 4 2 2" xfId="6643" xr:uid="{00000000-0005-0000-0000-00007C5D0000}"/>
    <cellStyle name="Normal 24 4 2 2 2" xfId="9729" xr:uid="{00000000-0005-0000-0000-00007D5D0000}"/>
    <cellStyle name="Normal 24 4 2 2 2 2" xfId="15922" xr:uid="{00000000-0005-0000-0000-00007E5D0000}"/>
    <cellStyle name="Normal 24 4 2 2 2 2 2" xfId="35842" xr:uid="{00000000-0005-0000-0000-00007F5D0000}"/>
    <cellStyle name="Normal 24 4 2 2 2 3" xfId="22074" xr:uid="{00000000-0005-0000-0000-0000805D0000}"/>
    <cellStyle name="Normal 24 4 2 2 2 3 2" xfId="41994" xr:uid="{00000000-0005-0000-0000-0000815D0000}"/>
    <cellStyle name="Normal 24 4 2 2 2 4" xfId="29689" xr:uid="{00000000-0005-0000-0000-0000825D0000}"/>
    <cellStyle name="Normal 24 4 2 2 3" xfId="12856" xr:uid="{00000000-0005-0000-0000-0000835D0000}"/>
    <cellStyle name="Normal 24 4 2 2 3 2" xfId="32776" xr:uid="{00000000-0005-0000-0000-0000845D0000}"/>
    <cellStyle name="Normal 24 4 2 2 4" xfId="19008" xr:uid="{00000000-0005-0000-0000-0000855D0000}"/>
    <cellStyle name="Normal 24 4 2 2 4 2" xfId="38928" xr:uid="{00000000-0005-0000-0000-0000865D0000}"/>
    <cellStyle name="Normal 24 4 2 2 5" xfId="26623" xr:uid="{00000000-0005-0000-0000-0000875D0000}"/>
    <cellStyle name="Normal 24 4 2 3" xfId="8194" xr:uid="{00000000-0005-0000-0000-0000885D0000}"/>
    <cellStyle name="Normal 24 4 2 3 2" xfId="14388" xr:uid="{00000000-0005-0000-0000-0000895D0000}"/>
    <cellStyle name="Normal 24 4 2 3 2 2" xfId="34308" xr:uid="{00000000-0005-0000-0000-00008A5D0000}"/>
    <cellStyle name="Normal 24 4 2 3 3" xfId="20540" xr:uid="{00000000-0005-0000-0000-00008B5D0000}"/>
    <cellStyle name="Normal 24 4 2 3 3 2" xfId="40460" xr:uid="{00000000-0005-0000-0000-00008C5D0000}"/>
    <cellStyle name="Normal 24 4 2 3 4" xfId="28155" xr:uid="{00000000-0005-0000-0000-00008D5D0000}"/>
    <cellStyle name="Normal 24 4 2 4" xfId="11322" xr:uid="{00000000-0005-0000-0000-00008E5D0000}"/>
    <cellStyle name="Normal 24 4 2 4 2" xfId="31242" xr:uid="{00000000-0005-0000-0000-00008F5D0000}"/>
    <cellStyle name="Normal 24 4 2 5" xfId="17474" xr:uid="{00000000-0005-0000-0000-0000905D0000}"/>
    <cellStyle name="Normal 24 4 2 5 2" xfId="37394" xr:uid="{00000000-0005-0000-0000-0000915D0000}"/>
    <cellStyle name="Normal 24 4 2 6" xfId="25089" xr:uid="{00000000-0005-0000-0000-0000925D0000}"/>
    <cellStyle name="Normal 24 4 3" xfId="5860" xr:uid="{00000000-0005-0000-0000-0000935D0000}"/>
    <cellStyle name="Normal 24 4 3 2" xfId="8960" xr:uid="{00000000-0005-0000-0000-0000945D0000}"/>
    <cellStyle name="Normal 24 4 3 2 2" xfId="15153" xr:uid="{00000000-0005-0000-0000-0000955D0000}"/>
    <cellStyle name="Normal 24 4 3 2 2 2" xfId="35073" xr:uid="{00000000-0005-0000-0000-0000965D0000}"/>
    <cellStyle name="Normal 24 4 3 2 3" xfId="21305" xr:uid="{00000000-0005-0000-0000-0000975D0000}"/>
    <cellStyle name="Normal 24 4 3 2 3 2" xfId="41225" xr:uid="{00000000-0005-0000-0000-0000985D0000}"/>
    <cellStyle name="Normal 24 4 3 2 4" xfId="28920" xr:uid="{00000000-0005-0000-0000-0000995D0000}"/>
    <cellStyle name="Normal 24 4 3 3" xfId="12087" xr:uid="{00000000-0005-0000-0000-00009A5D0000}"/>
    <cellStyle name="Normal 24 4 3 3 2" xfId="32007" xr:uid="{00000000-0005-0000-0000-00009B5D0000}"/>
    <cellStyle name="Normal 24 4 3 4" xfId="18239" xr:uid="{00000000-0005-0000-0000-00009C5D0000}"/>
    <cellStyle name="Normal 24 4 3 4 2" xfId="38159" xr:uid="{00000000-0005-0000-0000-00009D5D0000}"/>
    <cellStyle name="Normal 24 4 3 5" xfId="25854" xr:uid="{00000000-0005-0000-0000-00009E5D0000}"/>
    <cellStyle name="Normal 24 4 4" xfId="7425" xr:uid="{00000000-0005-0000-0000-00009F5D0000}"/>
    <cellStyle name="Normal 24 4 4 2" xfId="13619" xr:uid="{00000000-0005-0000-0000-0000A05D0000}"/>
    <cellStyle name="Normal 24 4 4 2 2" xfId="33539" xr:uid="{00000000-0005-0000-0000-0000A15D0000}"/>
    <cellStyle name="Normal 24 4 4 3" xfId="19771" xr:uid="{00000000-0005-0000-0000-0000A25D0000}"/>
    <cellStyle name="Normal 24 4 4 3 2" xfId="39691" xr:uid="{00000000-0005-0000-0000-0000A35D0000}"/>
    <cellStyle name="Normal 24 4 4 4" xfId="27386" xr:uid="{00000000-0005-0000-0000-0000A45D0000}"/>
    <cellStyle name="Normal 24 4 5" xfId="10553" xr:uid="{00000000-0005-0000-0000-0000A55D0000}"/>
    <cellStyle name="Normal 24 4 5 2" xfId="30473" xr:uid="{00000000-0005-0000-0000-0000A65D0000}"/>
    <cellStyle name="Normal 24 4 6" xfId="16705" xr:uid="{00000000-0005-0000-0000-0000A75D0000}"/>
    <cellStyle name="Normal 24 4 6 2" xfId="36625" xr:uid="{00000000-0005-0000-0000-0000A85D0000}"/>
    <cellStyle name="Normal 24 4 7" xfId="24320" xr:uid="{00000000-0005-0000-0000-0000A95D0000}"/>
    <cellStyle name="Normal 24 5" xfId="3559" xr:uid="{00000000-0005-0000-0000-0000AA5D0000}"/>
    <cellStyle name="Normal 24 5 2" xfId="5019" xr:uid="{00000000-0005-0000-0000-0000AB5D0000}"/>
    <cellStyle name="Normal 24 5 2 2" xfId="6644" xr:uid="{00000000-0005-0000-0000-0000AC5D0000}"/>
    <cellStyle name="Normal 24 5 2 2 2" xfId="9730" xr:uid="{00000000-0005-0000-0000-0000AD5D0000}"/>
    <cellStyle name="Normal 24 5 2 2 2 2" xfId="15923" xr:uid="{00000000-0005-0000-0000-0000AE5D0000}"/>
    <cellStyle name="Normal 24 5 2 2 2 2 2" xfId="35843" xr:uid="{00000000-0005-0000-0000-0000AF5D0000}"/>
    <cellStyle name="Normal 24 5 2 2 2 3" xfId="22075" xr:uid="{00000000-0005-0000-0000-0000B05D0000}"/>
    <cellStyle name="Normal 24 5 2 2 2 3 2" xfId="41995" xr:uid="{00000000-0005-0000-0000-0000B15D0000}"/>
    <cellStyle name="Normal 24 5 2 2 2 4" xfId="29690" xr:uid="{00000000-0005-0000-0000-0000B25D0000}"/>
    <cellStyle name="Normal 24 5 2 2 3" xfId="12857" xr:uid="{00000000-0005-0000-0000-0000B35D0000}"/>
    <cellStyle name="Normal 24 5 2 2 3 2" xfId="32777" xr:uid="{00000000-0005-0000-0000-0000B45D0000}"/>
    <cellStyle name="Normal 24 5 2 2 4" xfId="19009" xr:uid="{00000000-0005-0000-0000-0000B55D0000}"/>
    <cellStyle name="Normal 24 5 2 2 4 2" xfId="38929" xr:uid="{00000000-0005-0000-0000-0000B65D0000}"/>
    <cellStyle name="Normal 24 5 2 2 5" xfId="26624" xr:uid="{00000000-0005-0000-0000-0000B75D0000}"/>
    <cellStyle name="Normal 24 5 2 3" xfId="8195" xr:uid="{00000000-0005-0000-0000-0000B85D0000}"/>
    <cellStyle name="Normal 24 5 2 3 2" xfId="14389" xr:uid="{00000000-0005-0000-0000-0000B95D0000}"/>
    <cellStyle name="Normal 24 5 2 3 2 2" xfId="34309" xr:uid="{00000000-0005-0000-0000-0000BA5D0000}"/>
    <cellStyle name="Normal 24 5 2 3 3" xfId="20541" xr:uid="{00000000-0005-0000-0000-0000BB5D0000}"/>
    <cellStyle name="Normal 24 5 2 3 3 2" xfId="40461" xr:uid="{00000000-0005-0000-0000-0000BC5D0000}"/>
    <cellStyle name="Normal 24 5 2 3 4" xfId="28156" xr:uid="{00000000-0005-0000-0000-0000BD5D0000}"/>
    <cellStyle name="Normal 24 5 2 4" xfId="11323" xr:uid="{00000000-0005-0000-0000-0000BE5D0000}"/>
    <cellStyle name="Normal 24 5 2 4 2" xfId="31243" xr:uid="{00000000-0005-0000-0000-0000BF5D0000}"/>
    <cellStyle name="Normal 24 5 2 5" xfId="17475" xr:uid="{00000000-0005-0000-0000-0000C05D0000}"/>
    <cellStyle name="Normal 24 5 2 5 2" xfId="37395" xr:uid="{00000000-0005-0000-0000-0000C15D0000}"/>
    <cellStyle name="Normal 24 5 2 6" xfId="25090" xr:uid="{00000000-0005-0000-0000-0000C25D0000}"/>
    <cellStyle name="Normal 24 5 3" xfId="5861" xr:uid="{00000000-0005-0000-0000-0000C35D0000}"/>
    <cellStyle name="Normal 24 5 3 2" xfId="8961" xr:uid="{00000000-0005-0000-0000-0000C45D0000}"/>
    <cellStyle name="Normal 24 5 3 2 2" xfId="15154" xr:uid="{00000000-0005-0000-0000-0000C55D0000}"/>
    <cellStyle name="Normal 24 5 3 2 2 2" xfId="35074" xr:uid="{00000000-0005-0000-0000-0000C65D0000}"/>
    <cellStyle name="Normal 24 5 3 2 3" xfId="21306" xr:uid="{00000000-0005-0000-0000-0000C75D0000}"/>
    <cellStyle name="Normal 24 5 3 2 3 2" xfId="41226" xr:uid="{00000000-0005-0000-0000-0000C85D0000}"/>
    <cellStyle name="Normal 24 5 3 2 4" xfId="28921" xr:uid="{00000000-0005-0000-0000-0000C95D0000}"/>
    <cellStyle name="Normal 24 5 3 3" xfId="12088" xr:uid="{00000000-0005-0000-0000-0000CA5D0000}"/>
    <cellStyle name="Normal 24 5 3 3 2" xfId="32008" xr:uid="{00000000-0005-0000-0000-0000CB5D0000}"/>
    <cellStyle name="Normal 24 5 3 4" xfId="18240" xr:uid="{00000000-0005-0000-0000-0000CC5D0000}"/>
    <cellStyle name="Normal 24 5 3 4 2" xfId="38160" xr:uid="{00000000-0005-0000-0000-0000CD5D0000}"/>
    <cellStyle name="Normal 24 5 3 5" xfId="25855" xr:uid="{00000000-0005-0000-0000-0000CE5D0000}"/>
    <cellStyle name="Normal 24 5 4" xfId="7426" xr:uid="{00000000-0005-0000-0000-0000CF5D0000}"/>
    <cellStyle name="Normal 24 5 4 2" xfId="13620" xr:uid="{00000000-0005-0000-0000-0000D05D0000}"/>
    <cellStyle name="Normal 24 5 4 2 2" xfId="33540" xr:uid="{00000000-0005-0000-0000-0000D15D0000}"/>
    <cellStyle name="Normal 24 5 4 3" xfId="19772" xr:uid="{00000000-0005-0000-0000-0000D25D0000}"/>
    <cellStyle name="Normal 24 5 4 3 2" xfId="39692" xr:uid="{00000000-0005-0000-0000-0000D35D0000}"/>
    <cellStyle name="Normal 24 5 4 4" xfId="27387" xr:uid="{00000000-0005-0000-0000-0000D45D0000}"/>
    <cellStyle name="Normal 24 5 5" xfId="10554" xr:uid="{00000000-0005-0000-0000-0000D55D0000}"/>
    <cellStyle name="Normal 24 5 5 2" xfId="30474" xr:uid="{00000000-0005-0000-0000-0000D65D0000}"/>
    <cellStyle name="Normal 24 5 6" xfId="16706" xr:uid="{00000000-0005-0000-0000-0000D75D0000}"/>
    <cellStyle name="Normal 24 5 6 2" xfId="36626" xr:uid="{00000000-0005-0000-0000-0000D85D0000}"/>
    <cellStyle name="Normal 24 5 7" xfId="24321" xr:uid="{00000000-0005-0000-0000-0000D95D0000}"/>
    <cellStyle name="Normal 24 6" xfId="3560" xr:uid="{00000000-0005-0000-0000-0000DA5D0000}"/>
    <cellStyle name="Normal 24 6 2" xfId="5020" xr:uid="{00000000-0005-0000-0000-0000DB5D0000}"/>
    <cellStyle name="Normal 24 6 2 2" xfId="6645" xr:uid="{00000000-0005-0000-0000-0000DC5D0000}"/>
    <cellStyle name="Normal 24 6 2 2 2" xfId="9731" xr:uid="{00000000-0005-0000-0000-0000DD5D0000}"/>
    <cellStyle name="Normal 24 6 2 2 2 2" xfId="15924" xr:uid="{00000000-0005-0000-0000-0000DE5D0000}"/>
    <cellStyle name="Normal 24 6 2 2 2 2 2" xfId="35844" xr:uid="{00000000-0005-0000-0000-0000DF5D0000}"/>
    <cellStyle name="Normal 24 6 2 2 2 3" xfId="22076" xr:uid="{00000000-0005-0000-0000-0000E05D0000}"/>
    <cellStyle name="Normal 24 6 2 2 2 3 2" xfId="41996" xr:uid="{00000000-0005-0000-0000-0000E15D0000}"/>
    <cellStyle name="Normal 24 6 2 2 2 4" xfId="29691" xr:uid="{00000000-0005-0000-0000-0000E25D0000}"/>
    <cellStyle name="Normal 24 6 2 2 3" xfId="12858" xr:uid="{00000000-0005-0000-0000-0000E35D0000}"/>
    <cellStyle name="Normal 24 6 2 2 3 2" xfId="32778" xr:uid="{00000000-0005-0000-0000-0000E45D0000}"/>
    <cellStyle name="Normal 24 6 2 2 4" xfId="19010" xr:uid="{00000000-0005-0000-0000-0000E55D0000}"/>
    <cellStyle name="Normal 24 6 2 2 4 2" xfId="38930" xr:uid="{00000000-0005-0000-0000-0000E65D0000}"/>
    <cellStyle name="Normal 24 6 2 2 5" xfId="26625" xr:uid="{00000000-0005-0000-0000-0000E75D0000}"/>
    <cellStyle name="Normal 24 6 2 3" xfId="8196" xr:uid="{00000000-0005-0000-0000-0000E85D0000}"/>
    <cellStyle name="Normal 24 6 2 3 2" xfId="14390" xr:uid="{00000000-0005-0000-0000-0000E95D0000}"/>
    <cellStyle name="Normal 24 6 2 3 2 2" xfId="34310" xr:uid="{00000000-0005-0000-0000-0000EA5D0000}"/>
    <cellStyle name="Normal 24 6 2 3 3" xfId="20542" xr:uid="{00000000-0005-0000-0000-0000EB5D0000}"/>
    <cellStyle name="Normal 24 6 2 3 3 2" xfId="40462" xr:uid="{00000000-0005-0000-0000-0000EC5D0000}"/>
    <cellStyle name="Normal 24 6 2 3 4" xfId="28157" xr:uid="{00000000-0005-0000-0000-0000ED5D0000}"/>
    <cellStyle name="Normal 24 6 2 4" xfId="11324" xr:uid="{00000000-0005-0000-0000-0000EE5D0000}"/>
    <cellStyle name="Normal 24 6 2 4 2" xfId="31244" xr:uid="{00000000-0005-0000-0000-0000EF5D0000}"/>
    <cellStyle name="Normal 24 6 2 5" xfId="17476" xr:uid="{00000000-0005-0000-0000-0000F05D0000}"/>
    <cellStyle name="Normal 24 6 2 5 2" xfId="37396" xr:uid="{00000000-0005-0000-0000-0000F15D0000}"/>
    <cellStyle name="Normal 24 6 2 6" xfId="25091" xr:uid="{00000000-0005-0000-0000-0000F25D0000}"/>
    <cellStyle name="Normal 24 6 3" xfId="5862" xr:uid="{00000000-0005-0000-0000-0000F35D0000}"/>
    <cellStyle name="Normal 24 6 3 2" xfId="8962" xr:uid="{00000000-0005-0000-0000-0000F45D0000}"/>
    <cellStyle name="Normal 24 6 3 2 2" xfId="15155" xr:uid="{00000000-0005-0000-0000-0000F55D0000}"/>
    <cellStyle name="Normal 24 6 3 2 2 2" xfId="35075" xr:uid="{00000000-0005-0000-0000-0000F65D0000}"/>
    <cellStyle name="Normal 24 6 3 2 3" xfId="21307" xr:uid="{00000000-0005-0000-0000-0000F75D0000}"/>
    <cellStyle name="Normal 24 6 3 2 3 2" xfId="41227" xr:uid="{00000000-0005-0000-0000-0000F85D0000}"/>
    <cellStyle name="Normal 24 6 3 2 4" xfId="28922" xr:uid="{00000000-0005-0000-0000-0000F95D0000}"/>
    <cellStyle name="Normal 24 6 3 3" xfId="12089" xr:uid="{00000000-0005-0000-0000-0000FA5D0000}"/>
    <cellStyle name="Normal 24 6 3 3 2" xfId="32009" xr:uid="{00000000-0005-0000-0000-0000FB5D0000}"/>
    <cellStyle name="Normal 24 6 3 4" xfId="18241" xr:uid="{00000000-0005-0000-0000-0000FC5D0000}"/>
    <cellStyle name="Normal 24 6 3 4 2" xfId="38161" xr:uid="{00000000-0005-0000-0000-0000FD5D0000}"/>
    <cellStyle name="Normal 24 6 3 5" xfId="25856" xr:uid="{00000000-0005-0000-0000-0000FE5D0000}"/>
    <cellStyle name="Normal 24 6 4" xfId="7427" xr:uid="{00000000-0005-0000-0000-0000FF5D0000}"/>
    <cellStyle name="Normal 24 6 4 2" xfId="13621" xr:uid="{00000000-0005-0000-0000-0000005E0000}"/>
    <cellStyle name="Normal 24 6 4 2 2" xfId="33541" xr:uid="{00000000-0005-0000-0000-0000015E0000}"/>
    <cellStyle name="Normal 24 6 4 3" xfId="19773" xr:uid="{00000000-0005-0000-0000-0000025E0000}"/>
    <cellStyle name="Normal 24 6 4 3 2" xfId="39693" xr:uid="{00000000-0005-0000-0000-0000035E0000}"/>
    <cellStyle name="Normal 24 6 4 4" xfId="27388" xr:uid="{00000000-0005-0000-0000-0000045E0000}"/>
    <cellStyle name="Normal 24 6 5" xfId="10555" xr:uid="{00000000-0005-0000-0000-0000055E0000}"/>
    <cellStyle name="Normal 24 6 5 2" xfId="30475" xr:uid="{00000000-0005-0000-0000-0000065E0000}"/>
    <cellStyle name="Normal 24 6 6" xfId="16707" xr:uid="{00000000-0005-0000-0000-0000075E0000}"/>
    <cellStyle name="Normal 24 6 6 2" xfId="36627" xr:uid="{00000000-0005-0000-0000-0000085E0000}"/>
    <cellStyle name="Normal 24 6 7" xfId="24322" xr:uid="{00000000-0005-0000-0000-0000095E0000}"/>
    <cellStyle name="Normal 24 7" xfId="3561" xr:uid="{00000000-0005-0000-0000-00000A5E0000}"/>
    <cellStyle name="Normal 24 8" xfId="5011" xr:uid="{00000000-0005-0000-0000-00000B5E0000}"/>
    <cellStyle name="Normal 24 8 2" xfId="6636" xr:uid="{00000000-0005-0000-0000-00000C5E0000}"/>
    <cellStyle name="Normal 24 8 2 2" xfId="9722" xr:uid="{00000000-0005-0000-0000-00000D5E0000}"/>
    <cellStyle name="Normal 24 8 2 2 2" xfId="15915" xr:uid="{00000000-0005-0000-0000-00000E5E0000}"/>
    <cellStyle name="Normal 24 8 2 2 2 2" xfId="35835" xr:uid="{00000000-0005-0000-0000-00000F5E0000}"/>
    <cellStyle name="Normal 24 8 2 2 3" xfId="22067" xr:uid="{00000000-0005-0000-0000-0000105E0000}"/>
    <cellStyle name="Normal 24 8 2 2 3 2" xfId="41987" xr:uid="{00000000-0005-0000-0000-0000115E0000}"/>
    <cellStyle name="Normal 24 8 2 2 4" xfId="29682" xr:uid="{00000000-0005-0000-0000-0000125E0000}"/>
    <cellStyle name="Normal 24 8 2 3" xfId="12849" xr:uid="{00000000-0005-0000-0000-0000135E0000}"/>
    <cellStyle name="Normal 24 8 2 3 2" xfId="32769" xr:uid="{00000000-0005-0000-0000-0000145E0000}"/>
    <cellStyle name="Normal 24 8 2 4" xfId="19001" xr:uid="{00000000-0005-0000-0000-0000155E0000}"/>
    <cellStyle name="Normal 24 8 2 4 2" xfId="38921" xr:uid="{00000000-0005-0000-0000-0000165E0000}"/>
    <cellStyle name="Normal 24 8 2 5" xfId="26616" xr:uid="{00000000-0005-0000-0000-0000175E0000}"/>
    <cellStyle name="Normal 24 8 3" xfId="8187" xr:uid="{00000000-0005-0000-0000-0000185E0000}"/>
    <cellStyle name="Normal 24 8 3 2" xfId="14381" xr:uid="{00000000-0005-0000-0000-0000195E0000}"/>
    <cellStyle name="Normal 24 8 3 2 2" xfId="34301" xr:uid="{00000000-0005-0000-0000-00001A5E0000}"/>
    <cellStyle name="Normal 24 8 3 3" xfId="20533" xr:uid="{00000000-0005-0000-0000-00001B5E0000}"/>
    <cellStyle name="Normal 24 8 3 3 2" xfId="40453" xr:uid="{00000000-0005-0000-0000-00001C5E0000}"/>
    <cellStyle name="Normal 24 8 3 4" xfId="28148" xr:uid="{00000000-0005-0000-0000-00001D5E0000}"/>
    <cellStyle name="Normal 24 8 4" xfId="11315" xr:uid="{00000000-0005-0000-0000-00001E5E0000}"/>
    <cellStyle name="Normal 24 8 4 2" xfId="31235" xr:uid="{00000000-0005-0000-0000-00001F5E0000}"/>
    <cellStyle name="Normal 24 8 5" xfId="17467" xr:uid="{00000000-0005-0000-0000-0000205E0000}"/>
    <cellStyle name="Normal 24 8 5 2" xfId="37387" xr:uid="{00000000-0005-0000-0000-0000215E0000}"/>
    <cellStyle name="Normal 24 8 6" xfId="25082" xr:uid="{00000000-0005-0000-0000-0000225E0000}"/>
    <cellStyle name="Normal 24 9" xfId="5853" xr:uid="{00000000-0005-0000-0000-0000235E0000}"/>
    <cellStyle name="Normal 24 9 2" xfId="8953" xr:uid="{00000000-0005-0000-0000-0000245E0000}"/>
    <cellStyle name="Normal 24 9 2 2" xfId="15146" xr:uid="{00000000-0005-0000-0000-0000255E0000}"/>
    <cellStyle name="Normal 24 9 2 2 2" xfId="35066" xr:uid="{00000000-0005-0000-0000-0000265E0000}"/>
    <cellStyle name="Normal 24 9 2 3" xfId="21298" xr:uid="{00000000-0005-0000-0000-0000275E0000}"/>
    <cellStyle name="Normal 24 9 2 3 2" xfId="41218" xr:uid="{00000000-0005-0000-0000-0000285E0000}"/>
    <cellStyle name="Normal 24 9 2 4" xfId="28913" xr:uid="{00000000-0005-0000-0000-0000295E0000}"/>
    <cellStyle name="Normal 24 9 3" xfId="12080" xr:uid="{00000000-0005-0000-0000-00002A5E0000}"/>
    <cellStyle name="Normal 24 9 3 2" xfId="32000" xr:uid="{00000000-0005-0000-0000-00002B5E0000}"/>
    <cellStyle name="Normal 24 9 4" xfId="18232" xr:uid="{00000000-0005-0000-0000-00002C5E0000}"/>
    <cellStyle name="Normal 24 9 4 2" xfId="38152" xr:uid="{00000000-0005-0000-0000-00002D5E0000}"/>
    <cellStyle name="Normal 24 9 5" xfId="25847" xr:uid="{00000000-0005-0000-0000-00002E5E0000}"/>
    <cellStyle name="Normal 25" xfId="515" xr:uid="{00000000-0005-0000-0000-00002F5E0000}"/>
    <cellStyle name="Normal 25 10" xfId="3563" xr:uid="{00000000-0005-0000-0000-0000305E0000}"/>
    <cellStyle name="Normal 25 11" xfId="3564" xr:uid="{00000000-0005-0000-0000-0000315E0000}"/>
    <cellStyle name="Normal 25 12" xfId="3565" xr:uid="{00000000-0005-0000-0000-0000325E0000}"/>
    <cellStyle name="Normal 25 13" xfId="3566" xr:uid="{00000000-0005-0000-0000-0000335E0000}"/>
    <cellStyle name="Normal 25 14" xfId="3567" xr:uid="{00000000-0005-0000-0000-0000345E0000}"/>
    <cellStyle name="Normal 25 15" xfId="3568" xr:uid="{00000000-0005-0000-0000-0000355E0000}"/>
    <cellStyle name="Normal 25 16" xfId="3569" xr:uid="{00000000-0005-0000-0000-0000365E0000}"/>
    <cellStyle name="Normal 25 17" xfId="3570" xr:uid="{00000000-0005-0000-0000-0000375E0000}"/>
    <cellStyle name="Normal 25 18" xfId="3571" xr:uid="{00000000-0005-0000-0000-0000385E0000}"/>
    <cellStyle name="Normal 25 19" xfId="3572" xr:uid="{00000000-0005-0000-0000-0000395E0000}"/>
    <cellStyle name="Normal 25 2" xfId="3573" xr:uid="{00000000-0005-0000-0000-00003A5E0000}"/>
    <cellStyle name="Normal 25 20" xfId="3574" xr:uid="{00000000-0005-0000-0000-00003B5E0000}"/>
    <cellStyle name="Normal 25 21" xfId="3575" xr:uid="{00000000-0005-0000-0000-00003C5E0000}"/>
    <cellStyle name="Normal 25 22" xfId="3576" xr:uid="{00000000-0005-0000-0000-00003D5E0000}"/>
    <cellStyle name="Normal 25 23" xfId="3577" xr:uid="{00000000-0005-0000-0000-00003E5E0000}"/>
    <cellStyle name="Normal 25 24" xfId="3562" xr:uid="{00000000-0005-0000-0000-00003F5E0000}"/>
    <cellStyle name="Normal 25 3" xfId="3578" xr:uid="{00000000-0005-0000-0000-0000405E0000}"/>
    <cellStyle name="Normal 25 4" xfId="3579" xr:uid="{00000000-0005-0000-0000-0000415E0000}"/>
    <cellStyle name="Normal 25 5" xfId="3580" xr:uid="{00000000-0005-0000-0000-0000425E0000}"/>
    <cellStyle name="Normal 25 6" xfId="3581" xr:uid="{00000000-0005-0000-0000-0000435E0000}"/>
    <cellStyle name="Normal 25 7" xfId="3582" xr:uid="{00000000-0005-0000-0000-0000445E0000}"/>
    <cellStyle name="Normal 25 8" xfId="3583" xr:uid="{00000000-0005-0000-0000-0000455E0000}"/>
    <cellStyle name="Normal 25 9" xfId="3584" xr:uid="{00000000-0005-0000-0000-0000465E0000}"/>
    <cellStyle name="Normal 26" xfId="532" xr:uid="{00000000-0005-0000-0000-0000475E0000}"/>
    <cellStyle name="Normal 26 10" xfId="7428" xr:uid="{00000000-0005-0000-0000-0000485E0000}"/>
    <cellStyle name="Normal 26 10 2" xfId="13622" xr:uid="{00000000-0005-0000-0000-0000495E0000}"/>
    <cellStyle name="Normal 26 10 2 2" xfId="33542" xr:uid="{00000000-0005-0000-0000-00004A5E0000}"/>
    <cellStyle name="Normal 26 10 3" xfId="19774" xr:uid="{00000000-0005-0000-0000-00004B5E0000}"/>
    <cellStyle name="Normal 26 10 3 2" xfId="39694" xr:uid="{00000000-0005-0000-0000-00004C5E0000}"/>
    <cellStyle name="Normal 26 10 4" xfId="27389" xr:uid="{00000000-0005-0000-0000-00004D5E0000}"/>
    <cellStyle name="Normal 26 11" xfId="10556" xr:uid="{00000000-0005-0000-0000-00004E5E0000}"/>
    <cellStyle name="Normal 26 11 2" xfId="30476" xr:uid="{00000000-0005-0000-0000-00004F5E0000}"/>
    <cellStyle name="Normal 26 12" xfId="16708" xr:uid="{00000000-0005-0000-0000-0000505E0000}"/>
    <cellStyle name="Normal 26 12 2" xfId="36628" xr:uid="{00000000-0005-0000-0000-0000515E0000}"/>
    <cellStyle name="Normal 26 13" xfId="3585" xr:uid="{00000000-0005-0000-0000-0000525E0000}"/>
    <cellStyle name="Normal 26 13 2" xfId="24323" xr:uid="{00000000-0005-0000-0000-0000535E0000}"/>
    <cellStyle name="Normal 26 2" xfId="3586" xr:uid="{00000000-0005-0000-0000-0000545E0000}"/>
    <cellStyle name="Normal 26 2 10" xfId="16709" xr:uid="{00000000-0005-0000-0000-0000555E0000}"/>
    <cellStyle name="Normal 26 2 10 2" xfId="36629" xr:uid="{00000000-0005-0000-0000-0000565E0000}"/>
    <cellStyle name="Normal 26 2 11" xfId="24324" xr:uid="{00000000-0005-0000-0000-0000575E0000}"/>
    <cellStyle name="Normal 26 2 2" xfId="3587" xr:uid="{00000000-0005-0000-0000-0000585E0000}"/>
    <cellStyle name="Normal 26 2 2 2" xfId="5023" xr:uid="{00000000-0005-0000-0000-0000595E0000}"/>
    <cellStyle name="Normal 26 2 2 2 2" xfId="6648" xr:uid="{00000000-0005-0000-0000-00005A5E0000}"/>
    <cellStyle name="Normal 26 2 2 2 2 2" xfId="9734" xr:uid="{00000000-0005-0000-0000-00005B5E0000}"/>
    <cellStyle name="Normal 26 2 2 2 2 2 2" xfId="15927" xr:uid="{00000000-0005-0000-0000-00005C5E0000}"/>
    <cellStyle name="Normal 26 2 2 2 2 2 2 2" xfId="35847" xr:uid="{00000000-0005-0000-0000-00005D5E0000}"/>
    <cellStyle name="Normal 26 2 2 2 2 2 3" xfId="22079" xr:uid="{00000000-0005-0000-0000-00005E5E0000}"/>
    <cellStyle name="Normal 26 2 2 2 2 2 3 2" xfId="41999" xr:uid="{00000000-0005-0000-0000-00005F5E0000}"/>
    <cellStyle name="Normal 26 2 2 2 2 2 4" xfId="29694" xr:uid="{00000000-0005-0000-0000-0000605E0000}"/>
    <cellStyle name="Normal 26 2 2 2 2 3" xfId="12861" xr:uid="{00000000-0005-0000-0000-0000615E0000}"/>
    <cellStyle name="Normal 26 2 2 2 2 3 2" xfId="32781" xr:uid="{00000000-0005-0000-0000-0000625E0000}"/>
    <cellStyle name="Normal 26 2 2 2 2 4" xfId="19013" xr:uid="{00000000-0005-0000-0000-0000635E0000}"/>
    <cellStyle name="Normal 26 2 2 2 2 4 2" xfId="38933" xr:uid="{00000000-0005-0000-0000-0000645E0000}"/>
    <cellStyle name="Normal 26 2 2 2 2 5" xfId="26628" xr:uid="{00000000-0005-0000-0000-0000655E0000}"/>
    <cellStyle name="Normal 26 2 2 2 3" xfId="8199" xr:uid="{00000000-0005-0000-0000-0000665E0000}"/>
    <cellStyle name="Normal 26 2 2 2 3 2" xfId="14393" xr:uid="{00000000-0005-0000-0000-0000675E0000}"/>
    <cellStyle name="Normal 26 2 2 2 3 2 2" xfId="34313" xr:uid="{00000000-0005-0000-0000-0000685E0000}"/>
    <cellStyle name="Normal 26 2 2 2 3 3" xfId="20545" xr:uid="{00000000-0005-0000-0000-0000695E0000}"/>
    <cellStyle name="Normal 26 2 2 2 3 3 2" xfId="40465" xr:uid="{00000000-0005-0000-0000-00006A5E0000}"/>
    <cellStyle name="Normal 26 2 2 2 3 4" xfId="28160" xr:uid="{00000000-0005-0000-0000-00006B5E0000}"/>
    <cellStyle name="Normal 26 2 2 2 4" xfId="11327" xr:uid="{00000000-0005-0000-0000-00006C5E0000}"/>
    <cellStyle name="Normal 26 2 2 2 4 2" xfId="31247" xr:uid="{00000000-0005-0000-0000-00006D5E0000}"/>
    <cellStyle name="Normal 26 2 2 2 5" xfId="17479" xr:uid="{00000000-0005-0000-0000-00006E5E0000}"/>
    <cellStyle name="Normal 26 2 2 2 5 2" xfId="37399" xr:uid="{00000000-0005-0000-0000-00006F5E0000}"/>
    <cellStyle name="Normal 26 2 2 2 6" xfId="25094" xr:uid="{00000000-0005-0000-0000-0000705E0000}"/>
    <cellStyle name="Normal 26 2 2 3" xfId="5865" xr:uid="{00000000-0005-0000-0000-0000715E0000}"/>
    <cellStyle name="Normal 26 2 2 3 2" xfId="8965" xr:uid="{00000000-0005-0000-0000-0000725E0000}"/>
    <cellStyle name="Normal 26 2 2 3 2 2" xfId="15158" xr:uid="{00000000-0005-0000-0000-0000735E0000}"/>
    <cellStyle name="Normal 26 2 2 3 2 2 2" xfId="35078" xr:uid="{00000000-0005-0000-0000-0000745E0000}"/>
    <cellStyle name="Normal 26 2 2 3 2 3" xfId="21310" xr:uid="{00000000-0005-0000-0000-0000755E0000}"/>
    <cellStyle name="Normal 26 2 2 3 2 3 2" xfId="41230" xr:uid="{00000000-0005-0000-0000-0000765E0000}"/>
    <cellStyle name="Normal 26 2 2 3 2 4" xfId="28925" xr:uid="{00000000-0005-0000-0000-0000775E0000}"/>
    <cellStyle name="Normal 26 2 2 3 3" xfId="12092" xr:uid="{00000000-0005-0000-0000-0000785E0000}"/>
    <cellStyle name="Normal 26 2 2 3 3 2" xfId="32012" xr:uid="{00000000-0005-0000-0000-0000795E0000}"/>
    <cellStyle name="Normal 26 2 2 3 4" xfId="18244" xr:uid="{00000000-0005-0000-0000-00007A5E0000}"/>
    <cellStyle name="Normal 26 2 2 3 4 2" xfId="38164" xr:uid="{00000000-0005-0000-0000-00007B5E0000}"/>
    <cellStyle name="Normal 26 2 2 3 5" xfId="25859" xr:uid="{00000000-0005-0000-0000-00007C5E0000}"/>
    <cellStyle name="Normal 26 2 2 4" xfId="7430" xr:uid="{00000000-0005-0000-0000-00007D5E0000}"/>
    <cellStyle name="Normal 26 2 2 4 2" xfId="13624" xr:uid="{00000000-0005-0000-0000-00007E5E0000}"/>
    <cellStyle name="Normal 26 2 2 4 2 2" xfId="33544" xr:uid="{00000000-0005-0000-0000-00007F5E0000}"/>
    <cellStyle name="Normal 26 2 2 4 3" xfId="19776" xr:uid="{00000000-0005-0000-0000-0000805E0000}"/>
    <cellStyle name="Normal 26 2 2 4 3 2" xfId="39696" xr:uid="{00000000-0005-0000-0000-0000815E0000}"/>
    <cellStyle name="Normal 26 2 2 4 4" xfId="27391" xr:uid="{00000000-0005-0000-0000-0000825E0000}"/>
    <cellStyle name="Normal 26 2 2 5" xfId="10558" xr:uid="{00000000-0005-0000-0000-0000835E0000}"/>
    <cellStyle name="Normal 26 2 2 5 2" xfId="30478" xr:uid="{00000000-0005-0000-0000-0000845E0000}"/>
    <cellStyle name="Normal 26 2 2 6" xfId="16710" xr:uid="{00000000-0005-0000-0000-0000855E0000}"/>
    <cellStyle name="Normal 26 2 2 6 2" xfId="36630" xr:uid="{00000000-0005-0000-0000-0000865E0000}"/>
    <cellStyle name="Normal 26 2 2 7" xfId="24325" xr:uid="{00000000-0005-0000-0000-0000875E0000}"/>
    <cellStyle name="Normal 26 2 3" xfId="3588" xr:uid="{00000000-0005-0000-0000-0000885E0000}"/>
    <cellStyle name="Normal 26 2 3 2" xfId="5024" xr:uid="{00000000-0005-0000-0000-0000895E0000}"/>
    <cellStyle name="Normal 26 2 3 2 2" xfId="6649" xr:uid="{00000000-0005-0000-0000-00008A5E0000}"/>
    <cellStyle name="Normal 26 2 3 2 2 2" xfId="9735" xr:uid="{00000000-0005-0000-0000-00008B5E0000}"/>
    <cellStyle name="Normal 26 2 3 2 2 2 2" xfId="15928" xr:uid="{00000000-0005-0000-0000-00008C5E0000}"/>
    <cellStyle name="Normal 26 2 3 2 2 2 2 2" xfId="35848" xr:uid="{00000000-0005-0000-0000-00008D5E0000}"/>
    <cellStyle name="Normal 26 2 3 2 2 2 3" xfId="22080" xr:uid="{00000000-0005-0000-0000-00008E5E0000}"/>
    <cellStyle name="Normal 26 2 3 2 2 2 3 2" xfId="42000" xr:uid="{00000000-0005-0000-0000-00008F5E0000}"/>
    <cellStyle name="Normal 26 2 3 2 2 2 4" xfId="29695" xr:uid="{00000000-0005-0000-0000-0000905E0000}"/>
    <cellStyle name="Normal 26 2 3 2 2 3" xfId="12862" xr:uid="{00000000-0005-0000-0000-0000915E0000}"/>
    <cellStyle name="Normal 26 2 3 2 2 3 2" xfId="32782" xr:uid="{00000000-0005-0000-0000-0000925E0000}"/>
    <cellStyle name="Normal 26 2 3 2 2 4" xfId="19014" xr:uid="{00000000-0005-0000-0000-0000935E0000}"/>
    <cellStyle name="Normal 26 2 3 2 2 4 2" xfId="38934" xr:uid="{00000000-0005-0000-0000-0000945E0000}"/>
    <cellStyle name="Normal 26 2 3 2 2 5" xfId="26629" xr:uid="{00000000-0005-0000-0000-0000955E0000}"/>
    <cellStyle name="Normal 26 2 3 2 3" xfId="8200" xr:uid="{00000000-0005-0000-0000-0000965E0000}"/>
    <cellStyle name="Normal 26 2 3 2 3 2" xfId="14394" xr:uid="{00000000-0005-0000-0000-0000975E0000}"/>
    <cellStyle name="Normal 26 2 3 2 3 2 2" xfId="34314" xr:uid="{00000000-0005-0000-0000-0000985E0000}"/>
    <cellStyle name="Normal 26 2 3 2 3 3" xfId="20546" xr:uid="{00000000-0005-0000-0000-0000995E0000}"/>
    <cellStyle name="Normal 26 2 3 2 3 3 2" xfId="40466" xr:uid="{00000000-0005-0000-0000-00009A5E0000}"/>
    <cellStyle name="Normal 26 2 3 2 3 4" xfId="28161" xr:uid="{00000000-0005-0000-0000-00009B5E0000}"/>
    <cellStyle name="Normal 26 2 3 2 4" xfId="11328" xr:uid="{00000000-0005-0000-0000-00009C5E0000}"/>
    <cellStyle name="Normal 26 2 3 2 4 2" xfId="31248" xr:uid="{00000000-0005-0000-0000-00009D5E0000}"/>
    <cellStyle name="Normal 26 2 3 2 5" xfId="17480" xr:uid="{00000000-0005-0000-0000-00009E5E0000}"/>
    <cellStyle name="Normal 26 2 3 2 5 2" xfId="37400" xr:uid="{00000000-0005-0000-0000-00009F5E0000}"/>
    <cellStyle name="Normal 26 2 3 2 6" xfId="25095" xr:uid="{00000000-0005-0000-0000-0000A05E0000}"/>
    <cellStyle name="Normal 26 2 3 3" xfId="5866" xr:uid="{00000000-0005-0000-0000-0000A15E0000}"/>
    <cellStyle name="Normal 26 2 3 3 2" xfId="8966" xr:uid="{00000000-0005-0000-0000-0000A25E0000}"/>
    <cellStyle name="Normal 26 2 3 3 2 2" xfId="15159" xr:uid="{00000000-0005-0000-0000-0000A35E0000}"/>
    <cellStyle name="Normal 26 2 3 3 2 2 2" xfId="35079" xr:uid="{00000000-0005-0000-0000-0000A45E0000}"/>
    <cellStyle name="Normal 26 2 3 3 2 3" xfId="21311" xr:uid="{00000000-0005-0000-0000-0000A55E0000}"/>
    <cellStyle name="Normal 26 2 3 3 2 3 2" xfId="41231" xr:uid="{00000000-0005-0000-0000-0000A65E0000}"/>
    <cellStyle name="Normal 26 2 3 3 2 4" xfId="28926" xr:uid="{00000000-0005-0000-0000-0000A75E0000}"/>
    <cellStyle name="Normal 26 2 3 3 3" xfId="12093" xr:uid="{00000000-0005-0000-0000-0000A85E0000}"/>
    <cellStyle name="Normal 26 2 3 3 3 2" xfId="32013" xr:uid="{00000000-0005-0000-0000-0000A95E0000}"/>
    <cellStyle name="Normal 26 2 3 3 4" xfId="18245" xr:uid="{00000000-0005-0000-0000-0000AA5E0000}"/>
    <cellStyle name="Normal 26 2 3 3 4 2" xfId="38165" xr:uid="{00000000-0005-0000-0000-0000AB5E0000}"/>
    <cellStyle name="Normal 26 2 3 3 5" xfId="25860" xr:uid="{00000000-0005-0000-0000-0000AC5E0000}"/>
    <cellStyle name="Normal 26 2 3 4" xfId="7431" xr:uid="{00000000-0005-0000-0000-0000AD5E0000}"/>
    <cellStyle name="Normal 26 2 3 4 2" xfId="13625" xr:uid="{00000000-0005-0000-0000-0000AE5E0000}"/>
    <cellStyle name="Normal 26 2 3 4 2 2" xfId="33545" xr:uid="{00000000-0005-0000-0000-0000AF5E0000}"/>
    <cellStyle name="Normal 26 2 3 4 3" xfId="19777" xr:uid="{00000000-0005-0000-0000-0000B05E0000}"/>
    <cellStyle name="Normal 26 2 3 4 3 2" xfId="39697" xr:uid="{00000000-0005-0000-0000-0000B15E0000}"/>
    <cellStyle name="Normal 26 2 3 4 4" xfId="27392" xr:uid="{00000000-0005-0000-0000-0000B25E0000}"/>
    <cellStyle name="Normal 26 2 3 5" xfId="10559" xr:uid="{00000000-0005-0000-0000-0000B35E0000}"/>
    <cellStyle name="Normal 26 2 3 5 2" xfId="30479" xr:uid="{00000000-0005-0000-0000-0000B45E0000}"/>
    <cellStyle name="Normal 26 2 3 6" xfId="16711" xr:uid="{00000000-0005-0000-0000-0000B55E0000}"/>
    <cellStyle name="Normal 26 2 3 6 2" xfId="36631" xr:uid="{00000000-0005-0000-0000-0000B65E0000}"/>
    <cellStyle name="Normal 26 2 3 7" xfId="24326" xr:uid="{00000000-0005-0000-0000-0000B75E0000}"/>
    <cellStyle name="Normal 26 2 4" xfId="3589" xr:uid="{00000000-0005-0000-0000-0000B85E0000}"/>
    <cellStyle name="Normal 26 2 4 2" xfId="5025" xr:uid="{00000000-0005-0000-0000-0000B95E0000}"/>
    <cellStyle name="Normal 26 2 4 2 2" xfId="6650" xr:uid="{00000000-0005-0000-0000-0000BA5E0000}"/>
    <cellStyle name="Normal 26 2 4 2 2 2" xfId="9736" xr:uid="{00000000-0005-0000-0000-0000BB5E0000}"/>
    <cellStyle name="Normal 26 2 4 2 2 2 2" xfId="15929" xr:uid="{00000000-0005-0000-0000-0000BC5E0000}"/>
    <cellStyle name="Normal 26 2 4 2 2 2 2 2" xfId="35849" xr:uid="{00000000-0005-0000-0000-0000BD5E0000}"/>
    <cellStyle name="Normal 26 2 4 2 2 2 3" xfId="22081" xr:uid="{00000000-0005-0000-0000-0000BE5E0000}"/>
    <cellStyle name="Normal 26 2 4 2 2 2 3 2" xfId="42001" xr:uid="{00000000-0005-0000-0000-0000BF5E0000}"/>
    <cellStyle name="Normal 26 2 4 2 2 2 4" xfId="29696" xr:uid="{00000000-0005-0000-0000-0000C05E0000}"/>
    <cellStyle name="Normal 26 2 4 2 2 3" xfId="12863" xr:uid="{00000000-0005-0000-0000-0000C15E0000}"/>
    <cellStyle name="Normal 26 2 4 2 2 3 2" xfId="32783" xr:uid="{00000000-0005-0000-0000-0000C25E0000}"/>
    <cellStyle name="Normal 26 2 4 2 2 4" xfId="19015" xr:uid="{00000000-0005-0000-0000-0000C35E0000}"/>
    <cellStyle name="Normal 26 2 4 2 2 4 2" xfId="38935" xr:uid="{00000000-0005-0000-0000-0000C45E0000}"/>
    <cellStyle name="Normal 26 2 4 2 2 5" xfId="26630" xr:uid="{00000000-0005-0000-0000-0000C55E0000}"/>
    <cellStyle name="Normal 26 2 4 2 3" xfId="8201" xr:uid="{00000000-0005-0000-0000-0000C65E0000}"/>
    <cellStyle name="Normal 26 2 4 2 3 2" xfId="14395" xr:uid="{00000000-0005-0000-0000-0000C75E0000}"/>
    <cellStyle name="Normal 26 2 4 2 3 2 2" xfId="34315" xr:uid="{00000000-0005-0000-0000-0000C85E0000}"/>
    <cellStyle name="Normal 26 2 4 2 3 3" xfId="20547" xr:uid="{00000000-0005-0000-0000-0000C95E0000}"/>
    <cellStyle name="Normal 26 2 4 2 3 3 2" xfId="40467" xr:uid="{00000000-0005-0000-0000-0000CA5E0000}"/>
    <cellStyle name="Normal 26 2 4 2 3 4" xfId="28162" xr:uid="{00000000-0005-0000-0000-0000CB5E0000}"/>
    <cellStyle name="Normal 26 2 4 2 4" xfId="11329" xr:uid="{00000000-0005-0000-0000-0000CC5E0000}"/>
    <cellStyle name="Normal 26 2 4 2 4 2" xfId="31249" xr:uid="{00000000-0005-0000-0000-0000CD5E0000}"/>
    <cellStyle name="Normal 26 2 4 2 5" xfId="17481" xr:uid="{00000000-0005-0000-0000-0000CE5E0000}"/>
    <cellStyle name="Normal 26 2 4 2 5 2" xfId="37401" xr:uid="{00000000-0005-0000-0000-0000CF5E0000}"/>
    <cellStyle name="Normal 26 2 4 2 6" xfId="25096" xr:uid="{00000000-0005-0000-0000-0000D05E0000}"/>
    <cellStyle name="Normal 26 2 4 3" xfId="5867" xr:uid="{00000000-0005-0000-0000-0000D15E0000}"/>
    <cellStyle name="Normal 26 2 4 3 2" xfId="8967" xr:uid="{00000000-0005-0000-0000-0000D25E0000}"/>
    <cellStyle name="Normal 26 2 4 3 2 2" xfId="15160" xr:uid="{00000000-0005-0000-0000-0000D35E0000}"/>
    <cellStyle name="Normal 26 2 4 3 2 2 2" xfId="35080" xr:uid="{00000000-0005-0000-0000-0000D45E0000}"/>
    <cellStyle name="Normal 26 2 4 3 2 3" xfId="21312" xr:uid="{00000000-0005-0000-0000-0000D55E0000}"/>
    <cellStyle name="Normal 26 2 4 3 2 3 2" xfId="41232" xr:uid="{00000000-0005-0000-0000-0000D65E0000}"/>
    <cellStyle name="Normal 26 2 4 3 2 4" xfId="28927" xr:uid="{00000000-0005-0000-0000-0000D75E0000}"/>
    <cellStyle name="Normal 26 2 4 3 3" xfId="12094" xr:uid="{00000000-0005-0000-0000-0000D85E0000}"/>
    <cellStyle name="Normal 26 2 4 3 3 2" xfId="32014" xr:uid="{00000000-0005-0000-0000-0000D95E0000}"/>
    <cellStyle name="Normal 26 2 4 3 4" xfId="18246" xr:uid="{00000000-0005-0000-0000-0000DA5E0000}"/>
    <cellStyle name="Normal 26 2 4 3 4 2" xfId="38166" xr:uid="{00000000-0005-0000-0000-0000DB5E0000}"/>
    <cellStyle name="Normal 26 2 4 3 5" xfId="25861" xr:uid="{00000000-0005-0000-0000-0000DC5E0000}"/>
    <cellStyle name="Normal 26 2 4 4" xfId="7432" xr:uid="{00000000-0005-0000-0000-0000DD5E0000}"/>
    <cellStyle name="Normal 26 2 4 4 2" xfId="13626" xr:uid="{00000000-0005-0000-0000-0000DE5E0000}"/>
    <cellStyle name="Normal 26 2 4 4 2 2" xfId="33546" xr:uid="{00000000-0005-0000-0000-0000DF5E0000}"/>
    <cellStyle name="Normal 26 2 4 4 3" xfId="19778" xr:uid="{00000000-0005-0000-0000-0000E05E0000}"/>
    <cellStyle name="Normal 26 2 4 4 3 2" xfId="39698" xr:uid="{00000000-0005-0000-0000-0000E15E0000}"/>
    <cellStyle name="Normal 26 2 4 4 4" xfId="27393" xr:uid="{00000000-0005-0000-0000-0000E25E0000}"/>
    <cellStyle name="Normal 26 2 4 5" xfId="10560" xr:uid="{00000000-0005-0000-0000-0000E35E0000}"/>
    <cellStyle name="Normal 26 2 4 5 2" xfId="30480" xr:uid="{00000000-0005-0000-0000-0000E45E0000}"/>
    <cellStyle name="Normal 26 2 4 6" xfId="16712" xr:uid="{00000000-0005-0000-0000-0000E55E0000}"/>
    <cellStyle name="Normal 26 2 4 6 2" xfId="36632" xr:uid="{00000000-0005-0000-0000-0000E65E0000}"/>
    <cellStyle name="Normal 26 2 4 7" xfId="24327" xr:uid="{00000000-0005-0000-0000-0000E75E0000}"/>
    <cellStyle name="Normal 26 2 5" xfId="3590" xr:uid="{00000000-0005-0000-0000-0000E85E0000}"/>
    <cellStyle name="Normal 26 2 5 2" xfId="5026" xr:uid="{00000000-0005-0000-0000-0000E95E0000}"/>
    <cellStyle name="Normal 26 2 5 2 2" xfId="6651" xr:uid="{00000000-0005-0000-0000-0000EA5E0000}"/>
    <cellStyle name="Normal 26 2 5 2 2 2" xfId="9737" xr:uid="{00000000-0005-0000-0000-0000EB5E0000}"/>
    <cellStyle name="Normal 26 2 5 2 2 2 2" xfId="15930" xr:uid="{00000000-0005-0000-0000-0000EC5E0000}"/>
    <cellStyle name="Normal 26 2 5 2 2 2 2 2" xfId="35850" xr:uid="{00000000-0005-0000-0000-0000ED5E0000}"/>
    <cellStyle name="Normal 26 2 5 2 2 2 3" xfId="22082" xr:uid="{00000000-0005-0000-0000-0000EE5E0000}"/>
    <cellStyle name="Normal 26 2 5 2 2 2 3 2" xfId="42002" xr:uid="{00000000-0005-0000-0000-0000EF5E0000}"/>
    <cellStyle name="Normal 26 2 5 2 2 2 4" xfId="29697" xr:uid="{00000000-0005-0000-0000-0000F05E0000}"/>
    <cellStyle name="Normal 26 2 5 2 2 3" xfId="12864" xr:uid="{00000000-0005-0000-0000-0000F15E0000}"/>
    <cellStyle name="Normal 26 2 5 2 2 3 2" xfId="32784" xr:uid="{00000000-0005-0000-0000-0000F25E0000}"/>
    <cellStyle name="Normal 26 2 5 2 2 4" xfId="19016" xr:uid="{00000000-0005-0000-0000-0000F35E0000}"/>
    <cellStyle name="Normal 26 2 5 2 2 4 2" xfId="38936" xr:uid="{00000000-0005-0000-0000-0000F45E0000}"/>
    <cellStyle name="Normal 26 2 5 2 2 5" xfId="26631" xr:uid="{00000000-0005-0000-0000-0000F55E0000}"/>
    <cellStyle name="Normal 26 2 5 2 3" xfId="8202" xr:uid="{00000000-0005-0000-0000-0000F65E0000}"/>
    <cellStyle name="Normal 26 2 5 2 3 2" xfId="14396" xr:uid="{00000000-0005-0000-0000-0000F75E0000}"/>
    <cellStyle name="Normal 26 2 5 2 3 2 2" xfId="34316" xr:uid="{00000000-0005-0000-0000-0000F85E0000}"/>
    <cellStyle name="Normal 26 2 5 2 3 3" xfId="20548" xr:uid="{00000000-0005-0000-0000-0000F95E0000}"/>
    <cellStyle name="Normal 26 2 5 2 3 3 2" xfId="40468" xr:uid="{00000000-0005-0000-0000-0000FA5E0000}"/>
    <cellStyle name="Normal 26 2 5 2 3 4" xfId="28163" xr:uid="{00000000-0005-0000-0000-0000FB5E0000}"/>
    <cellStyle name="Normal 26 2 5 2 4" xfId="11330" xr:uid="{00000000-0005-0000-0000-0000FC5E0000}"/>
    <cellStyle name="Normal 26 2 5 2 4 2" xfId="31250" xr:uid="{00000000-0005-0000-0000-0000FD5E0000}"/>
    <cellStyle name="Normal 26 2 5 2 5" xfId="17482" xr:uid="{00000000-0005-0000-0000-0000FE5E0000}"/>
    <cellStyle name="Normal 26 2 5 2 5 2" xfId="37402" xr:uid="{00000000-0005-0000-0000-0000FF5E0000}"/>
    <cellStyle name="Normal 26 2 5 2 6" xfId="25097" xr:uid="{00000000-0005-0000-0000-0000005F0000}"/>
    <cellStyle name="Normal 26 2 5 3" xfId="5868" xr:uid="{00000000-0005-0000-0000-0000015F0000}"/>
    <cellStyle name="Normal 26 2 5 3 2" xfId="8968" xr:uid="{00000000-0005-0000-0000-0000025F0000}"/>
    <cellStyle name="Normal 26 2 5 3 2 2" xfId="15161" xr:uid="{00000000-0005-0000-0000-0000035F0000}"/>
    <cellStyle name="Normal 26 2 5 3 2 2 2" xfId="35081" xr:uid="{00000000-0005-0000-0000-0000045F0000}"/>
    <cellStyle name="Normal 26 2 5 3 2 3" xfId="21313" xr:uid="{00000000-0005-0000-0000-0000055F0000}"/>
    <cellStyle name="Normal 26 2 5 3 2 3 2" xfId="41233" xr:uid="{00000000-0005-0000-0000-0000065F0000}"/>
    <cellStyle name="Normal 26 2 5 3 2 4" xfId="28928" xr:uid="{00000000-0005-0000-0000-0000075F0000}"/>
    <cellStyle name="Normal 26 2 5 3 3" xfId="12095" xr:uid="{00000000-0005-0000-0000-0000085F0000}"/>
    <cellStyle name="Normal 26 2 5 3 3 2" xfId="32015" xr:uid="{00000000-0005-0000-0000-0000095F0000}"/>
    <cellStyle name="Normal 26 2 5 3 4" xfId="18247" xr:uid="{00000000-0005-0000-0000-00000A5F0000}"/>
    <cellStyle name="Normal 26 2 5 3 4 2" xfId="38167" xr:uid="{00000000-0005-0000-0000-00000B5F0000}"/>
    <cellStyle name="Normal 26 2 5 3 5" xfId="25862" xr:uid="{00000000-0005-0000-0000-00000C5F0000}"/>
    <cellStyle name="Normal 26 2 5 4" xfId="7433" xr:uid="{00000000-0005-0000-0000-00000D5F0000}"/>
    <cellStyle name="Normal 26 2 5 4 2" xfId="13627" xr:uid="{00000000-0005-0000-0000-00000E5F0000}"/>
    <cellStyle name="Normal 26 2 5 4 2 2" xfId="33547" xr:uid="{00000000-0005-0000-0000-00000F5F0000}"/>
    <cellStyle name="Normal 26 2 5 4 3" xfId="19779" xr:uid="{00000000-0005-0000-0000-0000105F0000}"/>
    <cellStyle name="Normal 26 2 5 4 3 2" xfId="39699" xr:uid="{00000000-0005-0000-0000-0000115F0000}"/>
    <cellStyle name="Normal 26 2 5 4 4" xfId="27394" xr:uid="{00000000-0005-0000-0000-0000125F0000}"/>
    <cellStyle name="Normal 26 2 5 5" xfId="10561" xr:uid="{00000000-0005-0000-0000-0000135F0000}"/>
    <cellStyle name="Normal 26 2 5 5 2" xfId="30481" xr:uid="{00000000-0005-0000-0000-0000145F0000}"/>
    <cellStyle name="Normal 26 2 5 6" xfId="16713" xr:uid="{00000000-0005-0000-0000-0000155F0000}"/>
    <cellStyle name="Normal 26 2 5 6 2" xfId="36633" xr:uid="{00000000-0005-0000-0000-0000165F0000}"/>
    <cellStyle name="Normal 26 2 5 7" xfId="24328" xr:uid="{00000000-0005-0000-0000-0000175F0000}"/>
    <cellStyle name="Normal 26 2 6" xfId="5022" xr:uid="{00000000-0005-0000-0000-0000185F0000}"/>
    <cellStyle name="Normal 26 2 6 2" xfId="6647" xr:uid="{00000000-0005-0000-0000-0000195F0000}"/>
    <cellStyle name="Normal 26 2 6 2 2" xfId="9733" xr:uid="{00000000-0005-0000-0000-00001A5F0000}"/>
    <cellStyle name="Normal 26 2 6 2 2 2" xfId="15926" xr:uid="{00000000-0005-0000-0000-00001B5F0000}"/>
    <cellStyle name="Normal 26 2 6 2 2 2 2" xfId="35846" xr:uid="{00000000-0005-0000-0000-00001C5F0000}"/>
    <cellStyle name="Normal 26 2 6 2 2 3" xfId="22078" xr:uid="{00000000-0005-0000-0000-00001D5F0000}"/>
    <cellStyle name="Normal 26 2 6 2 2 3 2" xfId="41998" xr:uid="{00000000-0005-0000-0000-00001E5F0000}"/>
    <cellStyle name="Normal 26 2 6 2 2 4" xfId="29693" xr:uid="{00000000-0005-0000-0000-00001F5F0000}"/>
    <cellStyle name="Normal 26 2 6 2 3" xfId="12860" xr:uid="{00000000-0005-0000-0000-0000205F0000}"/>
    <cellStyle name="Normal 26 2 6 2 3 2" xfId="32780" xr:uid="{00000000-0005-0000-0000-0000215F0000}"/>
    <cellStyle name="Normal 26 2 6 2 4" xfId="19012" xr:uid="{00000000-0005-0000-0000-0000225F0000}"/>
    <cellStyle name="Normal 26 2 6 2 4 2" xfId="38932" xr:uid="{00000000-0005-0000-0000-0000235F0000}"/>
    <cellStyle name="Normal 26 2 6 2 5" xfId="26627" xr:uid="{00000000-0005-0000-0000-0000245F0000}"/>
    <cellStyle name="Normal 26 2 6 3" xfId="8198" xr:uid="{00000000-0005-0000-0000-0000255F0000}"/>
    <cellStyle name="Normal 26 2 6 3 2" xfId="14392" xr:uid="{00000000-0005-0000-0000-0000265F0000}"/>
    <cellStyle name="Normal 26 2 6 3 2 2" xfId="34312" xr:uid="{00000000-0005-0000-0000-0000275F0000}"/>
    <cellStyle name="Normal 26 2 6 3 3" xfId="20544" xr:uid="{00000000-0005-0000-0000-0000285F0000}"/>
    <cellStyle name="Normal 26 2 6 3 3 2" xfId="40464" xr:uid="{00000000-0005-0000-0000-0000295F0000}"/>
    <cellStyle name="Normal 26 2 6 3 4" xfId="28159" xr:uid="{00000000-0005-0000-0000-00002A5F0000}"/>
    <cellStyle name="Normal 26 2 6 4" xfId="11326" xr:uid="{00000000-0005-0000-0000-00002B5F0000}"/>
    <cellStyle name="Normal 26 2 6 4 2" xfId="31246" xr:uid="{00000000-0005-0000-0000-00002C5F0000}"/>
    <cellStyle name="Normal 26 2 6 5" xfId="17478" xr:uid="{00000000-0005-0000-0000-00002D5F0000}"/>
    <cellStyle name="Normal 26 2 6 5 2" xfId="37398" xr:uid="{00000000-0005-0000-0000-00002E5F0000}"/>
    <cellStyle name="Normal 26 2 6 6" xfId="25093" xr:uid="{00000000-0005-0000-0000-00002F5F0000}"/>
    <cellStyle name="Normal 26 2 7" xfId="5864" xr:uid="{00000000-0005-0000-0000-0000305F0000}"/>
    <cellStyle name="Normal 26 2 7 2" xfId="8964" xr:uid="{00000000-0005-0000-0000-0000315F0000}"/>
    <cellStyle name="Normal 26 2 7 2 2" xfId="15157" xr:uid="{00000000-0005-0000-0000-0000325F0000}"/>
    <cellStyle name="Normal 26 2 7 2 2 2" xfId="35077" xr:uid="{00000000-0005-0000-0000-0000335F0000}"/>
    <cellStyle name="Normal 26 2 7 2 3" xfId="21309" xr:uid="{00000000-0005-0000-0000-0000345F0000}"/>
    <cellStyle name="Normal 26 2 7 2 3 2" xfId="41229" xr:uid="{00000000-0005-0000-0000-0000355F0000}"/>
    <cellStyle name="Normal 26 2 7 2 4" xfId="28924" xr:uid="{00000000-0005-0000-0000-0000365F0000}"/>
    <cellStyle name="Normal 26 2 7 3" xfId="12091" xr:uid="{00000000-0005-0000-0000-0000375F0000}"/>
    <cellStyle name="Normal 26 2 7 3 2" xfId="32011" xr:uid="{00000000-0005-0000-0000-0000385F0000}"/>
    <cellStyle name="Normal 26 2 7 4" xfId="18243" xr:uid="{00000000-0005-0000-0000-0000395F0000}"/>
    <cellStyle name="Normal 26 2 7 4 2" xfId="38163" xr:uid="{00000000-0005-0000-0000-00003A5F0000}"/>
    <cellStyle name="Normal 26 2 7 5" xfId="25858" xr:uid="{00000000-0005-0000-0000-00003B5F0000}"/>
    <cellStyle name="Normal 26 2 8" xfId="7429" xr:uid="{00000000-0005-0000-0000-00003C5F0000}"/>
    <cellStyle name="Normal 26 2 8 2" xfId="13623" xr:uid="{00000000-0005-0000-0000-00003D5F0000}"/>
    <cellStyle name="Normal 26 2 8 2 2" xfId="33543" xr:uid="{00000000-0005-0000-0000-00003E5F0000}"/>
    <cellStyle name="Normal 26 2 8 3" xfId="19775" xr:uid="{00000000-0005-0000-0000-00003F5F0000}"/>
    <cellStyle name="Normal 26 2 8 3 2" xfId="39695" xr:uid="{00000000-0005-0000-0000-0000405F0000}"/>
    <cellStyle name="Normal 26 2 8 4" xfId="27390" xr:uid="{00000000-0005-0000-0000-0000415F0000}"/>
    <cellStyle name="Normal 26 2 9" xfId="10557" xr:uid="{00000000-0005-0000-0000-0000425F0000}"/>
    <cellStyle name="Normal 26 2 9 2" xfId="30477" xr:uid="{00000000-0005-0000-0000-0000435F0000}"/>
    <cellStyle name="Normal 26 3" xfId="3591" xr:uid="{00000000-0005-0000-0000-0000445F0000}"/>
    <cellStyle name="Normal 26 3 2" xfId="5027" xr:uid="{00000000-0005-0000-0000-0000455F0000}"/>
    <cellStyle name="Normal 26 3 2 2" xfId="6652" xr:uid="{00000000-0005-0000-0000-0000465F0000}"/>
    <cellStyle name="Normal 26 3 2 2 2" xfId="9738" xr:uid="{00000000-0005-0000-0000-0000475F0000}"/>
    <cellStyle name="Normal 26 3 2 2 2 2" xfId="15931" xr:uid="{00000000-0005-0000-0000-0000485F0000}"/>
    <cellStyle name="Normal 26 3 2 2 2 2 2" xfId="35851" xr:uid="{00000000-0005-0000-0000-0000495F0000}"/>
    <cellStyle name="Normal 26 3 2 2 2 3" xfId="22083" xr:uid="{00000000-0005-0000-0000-00004A5F0000}"/>
    <cellStyle name="Normal 26 3 2 2 2 3 2" xfId="42003" xr:uid="{00000000-0005-0000-0000-00004B5F0000}"/>
    <cellStyle name="Normal 26 3 2 2 2 4" xfId="29698" xr:uid="{00000000-0005-0000-0000-00004C5F0000}"/>
    <cellStyle name="Normal 26 3 2 2 3" xfId="12865" xr:uid="{00000000-0005-0000-0000-00004D5F0000}"/>
    <cellStyle name="Normal 26 3 2 2 3 2" xfId="32785" xr:uid="{00000000-0005-0000-0000-00004E5F0000}"/>
    <cellStyle name="Normal 26 3 2 2 4" xfId="19017" xr:uid="{00000000-0005-0000-0000-00004F5F0000}"/>
    <cellStyle name="Normal 26 3 2 2 4 2" xfId="38937" xr:uid="{00000000-0005-0000-0000-0000505F0000}"/>
    <cellStyle name="Normal 26 3 2 2 5" xfId="26632" xr:uid="{00000000-0005-0000-0000-0000515F0000}"/>
    <cellStyle name="Normal 26 3 2 3" xfId="8203" xr:uid="{00000000-0005-0000-0000-0000525F0000}"/>
    <cellStyle name="Normal 26 3 2 3 2" xfId="14397" xr:uid="{00000000-0005-0000-0000-0000535F0000}"/>
    <cellStyle name="Normal 26 3 2 3 2 2" xfId="34317" xr:uid="{00000000-0005-0000-0000-0000545F0000}"/>
    <cellStyle name="Normal 26 3 2 3 3" xfId="20549" xr:uid="{00000000-0005-0000-0000-0000555F0000}"/>
    <cellStyle name="Normal 26 3 2 3 3 2" xfId="40469" xr:uid="{00000000-0005-0000-0000-0000565F0000}"/>
    <cellStyle name="Normal 26 3 2 3 4" xfId="28164" xr:uid="{00000000-0005-0000-0000-0000575F0000}"/>
    <cellStyle name="Normal 26 3 2 4" xfId="11331" xr:uid="{00000000-0005-0000-0000-0000585F0000}"/>
    <cellStyle name="Normal 26 3 2 4 2" xfId="31251" xr:uid="{00000000-0005-0000-0000-0000595F0000}"/>
    <cellStyle name="Normal 26 3 2 5" xfId="17483" xr:uid="{00000000-0005-0000-0000-00005A5F0000}"/>
    <cellStyle name="Normal 26 3 2 5 2" xfId="37403" xr:uid="{00000000-0005-0000-0000-00005B5F0000}"/>
    <cellStyle name="Normal 26 3 2 6" xfId="25098" xr:uid="{00000000-0005-0000-0000-00005C5F0000}"/>
    <cellStyle name="Normal 26 3 3" xfId="5869" xr:uid="{00000000-0005-0000-0000-00005D5F0000}"/>
    <cellStyle name="Normal 26 3 3 2" xfId="8969" xr:uid="{00000000-0005-0000-0000-00005E5F0000}"/>
    <cellStyle name="Normal 26 3 3 2 2" xfId="15162" xr:uid="{00000000-0005-0000-0000-00005F5F0000}"/>
    <cellStyle name="Normal 26 3 3 2 2 2" xfId="35082" xr:uid="{00000000-0005-0000-0000-0000605F0000}"/>
    <cellStyle name="Normal 26 3 3 2 3" xfId="21314" xr:uid="{00000000-0005-0000-0000-0000615F0000}"/>
    <cellStyle name="Normal 26 3 3 2 3 2" xfId="41234" xr:uid="{00000000-0005-0000-0000-0000625F0000}"/>
    <cellStyle name="Normal 26 3 3 2 4" xfId="28929" xr:uid="{00000000-0005-0000-0000-0000635F0000}"/>
    <cellStyle name="Normal 26 3 3 3" xfId="12096" xr:uid="{00000000-0005-0000-0000-0000645F0000}"/>
    <cellStyle name="Normal 26 3 3 3 2" xfId="32016" xr:uid="{00000000-0005-0000-0000-0000655F0000}"/>
    <cellStyle name="Normal 26 3 3 4" xfId="18248" xr:uid="{00000000-0005-0000-0000-0000665F0000}"/>
    <cellStyle name="Normal 26 3 3 4 2" xfId="38168" xr:uid="{00000000-0005-0000-0000-0000675F0000}"/>
    <cellStyle name="Normal 26 3 3 5" xfId="25863" xr:uid="{00000000-0005-0000-0000-0000685F0000}"/>
    <cellStyle name="Normal 26 3 4" xfId="7434" xr:uid="{00000000-0005-0000-0000-0000695F0000}"/>
    <cellStyle name="Normal 26 3 4 2" xfId="13628" xr:uid="{00000000-0005-0000-0000-00006A5F0000}"/>
    <cellStyle name="Normal 26 3 4 2 2" xfId="33548" xr:uid="{00000000-0005-0000-0000-00006B5F0000}"/>
    <cellStyle name="Normal 26 3 4 3" xfId="19780" xr:uid="{00000000-0005-0000-0000-00006C5F0000}"/>
    <cellStyle name="Normal 26 3 4 3 2" xfId="39700" xr:uid="{00000000-0005-0000-0000-00006D5F0000}"/>
    <cellStyle name="Normal 26 3 4 4" xfId="27395" xr:uid="{00000000-0005-0000-0000-00006E5F0000}"/>
    <cellStyle name="Normal 26 3 5" xfId="10562" xr:uid="{00000000-0005-0000-0000-00006F5F0000}"/>
    <cellStyle name="Normal 26 3 5 2" xfId="30482" xr:uid="{00000000-0005-0000-0000-0000705F0000}"/>
    <cellStyle name="Normal 26 3 6" xfId="16714" xr:uid="{00000000-0005-0000-0000-0000715F0000}"/>
    <cellStyle name="Normal 26 3 6 2" xfId="36634" xr:uid="{00000000-0005-0000-0000-0000725F0000}"/>
    <cellStyle name="Normal 26 3 7" xfId="24329" xr:uid="{00000000-0005-0000-0000-0000735F0000}"/>
    <cellStyle name="Normal 26 4" xfId="3592" xr:uid="{00000000-0005-0000-0000-0000745F0000}"/>
    <cellStyle name="Normal 26 4 2" xfId="5028" xr:uid="{00000000-0005-0000-0000-0000755F0000}"/>
    <cellStyle name="Normal 26 4 2 2" xfId="6653" xr:uid="{00000000-0005-0000-0000-0000765F0000}"/>
    <cellStyle name="Normal 26 4 2 2 2" xfId="9739" xr:uid="{00000000-0005-0000-0000-0000775F0000}"/>
    <cellStyle name="Normal 26 4 2 2 2 2" xfId="15932" xr:uid="{00000000-0005-0000-0000-0000785F0000}"/>
    <cellStyle name="Normal 26 4 2 2 2 2 2" xfId="35852" xr:uid="{00000000-0005-0000-0000-0000795F0000}"/>
    <cellStyle name="Normal 26 4 2 2 2 3" xfId="22084" xr:uid="{00000000-0005-0000-0000-00007A5F0000}"/>
    <cellStyle name="Normal 26 4 2 2 2 3 2" xfId="42004" xr:uid="{00000000-0005-0000-0000-00007B5F0000}"/>
    <cellStyle name="Normal 26 4 2 2 2 4" xfId="29699" xr:uid="{00000000-0005-0000-0000-00007C5F0000}"/>
    <cellStyle name="Normal 26 4 2 2 3" xfId="12866" xr:uid="{00000000-0005-0000-0000-00007D5F0000}"/>
    <cellStyle name="Normal 26 4 2 2 3 2" xfId="32786" xr:uid="{00000000-0005-0000-0000-00007E5F0000}"/>
    <cellStyle name="Normal 26 4 2 2 4" xfId="19018" xr:uid="{00000000-0005-0000-0000-00007F5F0000}"/>
    <cellStyle name="Normal 26 4 2 2 4 2" xfId="38938" xr:uid="{00000000-0005-0000-0000-0000805F0000}"/>
    <cellStyle name="Normal 26 4 2 2 5" xfId="26633" xr:uid="{00000000-0005-0000-0000-0000815F0000}"/>
    <cellStyle name="Normal 26 4 2 3" xfId="8204" xr:uid="{00000000-0005-0000-0000-0000825F0000}"/>
    <cellStyle name="Normal 26 4 2 3 2" xfId="14398" xr:uid="{00000000-0005-0000-0000-0000835F0000}"/>
    <cellStyle name="Normal 26 4 2 3 2 2" xfId="34318" xr:uid="{00000000-0005-0000-0000-0000845F0000}"/>
    <cellStyle name="Normal 26 4 2 3 3" xfId="20550" xr:uid="{00000000-0005-0000-0000-0000855F0000}"/>
    <cellStyle name="Normal 26 4 2 3 3 2" xfId="40470" xr:uid="{00000000-0005-0000-0000-0000865F0000}"/>
    <cellStyle name="Normal 26 4 2 3 4" xfId="28165" xr:uid="{00000000-0005-0000-0000-0000875F0000}"/>
    <cellStyle name="Normal 26 4 2 4" xfId="11332" xr:uid="{00000000-0005-0000-0000-0000885F0000}"/>
    <cellStyle name="Normal 26 4 2 4 2" xfId="31252" xr:uid="{00000000-0005-0000-0000-0000895F0000}"/>
    <cellStyle name="Normal 26 4 2 5" xfId="17484" xr:uid="{00000000-0005-0000-0000-00008A5F0000}"/>
    <cellStyle name="Normal 26 4 2 5 2" xfId="37404" xr:uid="{00000000-0005-0000-0000-00008B5F0000}"/>
    <cellStyle name="Normal 26 4 2 6" xfId="25099" xr:uid="{00000000-0005-0000-0000-00008C5F0000}"/>
    <cellStyle name="Normal 26 4 3" xfId="5870" xr:uid="{00000000-0005-0000-0000-00008D5F0000}"/>
    <cellStyle name="Normal 26 4 3 2" xfId="8970" xr:uid="{00000000-0005-0000-0000-00008E5F0000}"/>
    <cellStyle name="Normal 26 4 3 2 2" xfId="15163" xr:uid="{00000000-0005-0000-0000-00008F5F0000}"/>
    <cellStyle name="Normal 26 4 3 2 2 2" xfId="35083" xr:uid="{00000000-0005-0000-0000-0000905F0000}"/>
    <cellStyle name="Normal 26 4 3 2 3" xfId="21315" xr:uid="{00000000-0005-0000-0000-0000915F0000}"/>
    <cellStyle name="Normal 26 4 3 2 3 2" xfId="41235" xr:uid="{00000000-0005-0000-0000-0000925F0000}"/>
    <cellStyle name="Normal 26 4 3 2 4" xfId="28930" xr:uid="{00000000-0005-0000-0000-0000935F0000}"/>
    <cellStyle name="Normal 26 4 3 3" xfId="12097" xr:uid="{00000000-0005-0000-0000-0000945F0000}"/>
    <cellStyle name="Normal 26 4 3 3 2" xfId="32017" xr:uid="{00000000-0005-0000-0000-0000955F0000}"/>
    <cellStyle name="Normal 26 4 3 4" xfId="18249" xr:uid="{00000000-0005-0000-0000-0000965F0000}"/>
    <cellStyle name="Normal 26 4 3 4 2" xfId="38169" xr:uid="{00000000-0005-0000-0000-0000975F0000}"/>
    <cellStyle name="Normal 26 4 3 5" xfId="25864" xr:uid="{00000000-0005-0000-0000-0000985F0000}"/>
    <cellStyle name="Normal 26 4 4" xfId="7435" xr:uid="{00000000-0005-0000-0000-0000995F0000}"/>
    <cellStyle name="Normal 26 4 4 2" xfId="13629" xr:uid="{00000000-0005-0000-0000-00009A5F0000}"/>
    <cellStyle name="Normal 26 4 4 2 2" xfId="33549" xr:uid="{00000000-0005-0000-0000-00009B5F0000}"/>
    <cellStyle name="Normal 26 4 4 3" xfId="19781" xr:uid="{00000000-0005-0000-0000-00009C5F0000}"/>
    <cellStyle name="Normal 26 4 4 3 2" xfId="39701" xr:uid="{00000000-0005-0000-0000-00009D5F0000}"/>
    <cellStyle name="Normal 26 4 4 4" xfId="27396" xr:uid="{00000000-0005-0000-0000-00009E5F0000}"/>
    <cellStyle name="Normal 26 4 5" xfId="10563" xr:uid="{00000000-0005-0000-0000-00009F5F0000}"/>
    <cellStyle name="Normal 26 4 5 2" xfId="30483" xr:uid="{00000000-0005-0000-0000-0000A05F0000}"/>
    <cellStyle name="Normal 26 4 6" xfId="16715" xr:uid="{00000000-0005-0000-0000-0000A15F0000}"/>
    <cellStyle name="Normal 26 4 6 2" xfId="36635" xr:uid="{00000000-0005-0000-0000-0000A25F0000}"/>
    <cellStyle name="Normal 26 4 7" xfId="24330" xr:uid="{00000000-0005-0000-0000-0000A35F0000}"/>
    <cellStyle name="Normal 26 5" xfId="3593" xr:uid="{00000000-0005-0000-0000-0000A45F0000}"/>
    <cellStyle name="Normal 26 5 2" xfId="5029" xr:uid="{00000000-0005-0000-0000-0000A55F0000}"/>
    <cellStyle name="Normal 26 5 2 2" xfId="6654" xr:uid="{00000000-0005-0000-0000-0000A65F0000}"/>
    <cellStyle name="Normal 26 5 2 2 2" xfId="9740" xr:uid="{00000000-0005-0000-0000-0000A75F0000}"/>
    <cellStyle name="Normal 26 5 2 2 2 2" xfId="15933" xr:uid="{00000000-0005-0000-0000-0000A85F0000}"/>
    <cellStyle name="Normal 26 5 2 2 2 2 2" xfId="35853" xr:uid="{00000000-0005-0000-0000-0000A95F0000}"/>
    <cellStyle name="Normal 26 5 2 2 2 3" xfId="22085" xr:uid="{00000000-0005-0000-0000-0000AA5F0000}"/>
    <cellStyle name="Normal 26 5 2 2 2 3 2" xfId="42005" xr:uid="{00000000-0005-0000-0000-0000AB5F0000}"/>
    <cellStyle name="Normal 26 5 2 2 2 4" xfId="29700" xr:uid="{00000000-0005-0000-0000-0000AC5F0000}"/>
    <cellStyle name="Normal 26 5 2 2 3" xfId="12867" xr:uid="{00000000-0005-0000-0000-0000AD5F0000}"/>
    <cellStyle name="Normal 26 5 2 2 3 2" xfId="32787" xr:uid="{00000000-0005-0000-0000-0000AE5F0000}"/>
    <cellStyle name="Normal 26 5 2 2 4" xfId="19019" xr:uid="{00000000-0005-0000-0000-0000AF5F0000}"/>
    <cellStyle name="Normal 26 5 2 2 4 2" xfId="38939" xr:uid="{00000000-0005-0000-0000-0000B05F0000}"/>
    <cellStyle name="Normal 26 5 2 2 5" xfId="26634" xr:uid="{00000000-0005-0000-0000-0000B15F0000}"/>
    <cellStyle name="Normal 26 5 2 3" xfId="8205" xr:uid="{00000000-0005-0000-0000-0000B25F0000}"/>
    <cellStyle name="Normal 26 5 2 3 2" xfId="14399" xr:uid="{00000000-0005-0000-0000-0000B35F0000}"/>
    <cellStyle name="Normal 26 5 2 3 2 2" xfId="34319" xr:uid="{00000000-0005-0000-0000-0000B45F0000}"/>
    <cellStyle name="Normal 26 5 2 3 3" xfId="20551" xr:uid="{00000000-0005-0000-0000-0000B55F0000}"/>
    <cellStyle name="Normal 26 5 2 3 3 2" xfId="40471" xr:uid="{00000000-0005-0000-0000-0000B65F0000}"/>
    <cellStyle name="Normal 26 5 2 3 4" xfId="28166" xr:uid="{00000000-0005-0000-0000-0000B75F0000}"/>
    <cellStyle name="Normal 26 5 2 4" xfId="11333" xr:uid="{00000000-0005-0000-0000-0000B85F0000}"/>
    <cellStyle name="Normal 26 5 2 4 2" xfId="31253" xr:uid="{00000000-0005-0000-0000-0000B95F0000}"/>
    <cellStyle name="Normal 26 5 2 5" xfId="17485" xr:uid="{00000000-0005-0000-0000-0000BA5F0000}"/>
    <cellStyle name="Normal 26 5 2 5 2" xfId="37405" xr:uid="{00000000-0005-0000-0000-0000BB5F0000}"/>
    <cellStyle name="Normal 26 5 2 6" xfId="25100" xr:uid="{00000000-0005-0000-0000-0000BC5F0000}"/>
    <cellStyle name="Normal 26 5 3" xfId="5871" xr:uid="{00000000-0005-0000-0000-0000BD5F0000}"/>
    <cellStyle name="Normal 26 5 3 2" xfId="8971" xr:uid="{00000000-0005-0000-0000-0000BE5F0000}"/>
    <cellStyle name="Normal 26 5 3 2 2" xfId="15164" xr:uid="{00000000-0005-0000-0000-0000BF5F0000}"/>
    <cellStyle name="Normal 26 5 3 2 2 2" xfId="35084" xr:uid="{00000000-0005-0000-0000-0000C05F0000}"/>
    <cellStyle name="Normal 26 5 3 2 3" xfId="21316" xr:uid="{00000000-0005-0000-0000-0000C15F0000}"/>
    <cellStyle name="Normal 26 5 3 2 3 2" xfId="41236" xr:uid="{00000000-0005-0000-0000-0000C25F0000}"/>
    <cellStyle name="Normal 26 5 3 2 4" xfId="28931" xr:uid="{00000000-0005-0000-0000-0000C35F0000}"/>
    <cellStyle name="Normal 26 5 3 3" xfId="12098" xr:uid="{00000000-0005-0000-0000-0000C45F0000}"/>
    <cellStyle name="Normal 26 5 3 3 2" xfId="32018" xr:uid="{00000000-0005-0000-0000-0000C55F0000}"/>
    <cellStyle name="Normal 26 5 3 4" xfId="18250" xr:uid="{00000000-0005-0000-0000-0000C65F0000}"/>
    <cellStyle name="Normal 26 5 3 4 2" xfId="38170" xr:uid="{00000000-0005-0000-0000-0000C75F0000}"/>
    <cellStyle name="Normal 26 5 3 5" xfId="25865" xr:uid="{00000000-0005-0000-0000-0000C85F0000}"/>
    <cellStyle name="Normal 26 5 4" xfId="7436" xr:uid="{00000000-0005-0000-0000-0000C95F0000}"/>
    <cellStyle name="Normal 26 5 4 2" xfId="13630" xr:uid="{00000000-0005-0000-0000-0000CA5F0000}"/>
    <cellStyle name="Normal 26 5 4 2 2" xfId="33550" xr:uid="{00000000-0005-0000-0000-0000CB5F0000}"/>
    <cellStyle name="Normal 26 5 4 3" xfId="19782" xr:uid="{00000000-0005-0000-0000-0000CC5F0000}"/>
    <cellStyle name="Normal 26 5 4 3 2" xfId="39702" xr:uid="{00000000-0005-0000-0000-0000CD5F0000}"/>
    <cellStyle name="Normal 26 5 4 4" xfId="27397" xr:uid="{00000000-0005-0000-0000-0000CE5F0000}"/>
    <cellStyle name="Normal 26 5 5" xfId="10564" xr:uid="{00000000-0005-0000-0000-0000CF5F0000}"/>
    <cellStyle name="Normal 26 5 5 2" xfId="30484" xr:uid="{00000000-0005-0000-0000-0000D05F0000}"/>
    <cellStyle name="Normal 26 5 6" xfId="16716" xr:uid="{00000000-0005-0000-0000-0000D15F0000}"/>
    <cellStyle name="Normal 26 5 6 2" xfId="36636" xr:uid="{00000000-0005-0000-0000-0000D25F0000}"/>
    <cellStyle name="Normal 26 5 7" xfId="24331" xr:uid="{00000000-0005-0000-0000-0000D35F0000}"/>
    <cellStyle name="Normal 26 6" xfId="3594" xr:uid="{00000000-0005-0000-0000-0000D45F0000}"/>
    <cellStyle name="Normal 26 6 2" xfId="5030" xr:uid="{00000000-0005-0000-0000-0000D55F0000}"/>
    <cellStyle name="Normal 26 6 2 2" xfId="6655" xr:uid="{00000000-0005-0000-0000-0000D65F0000}"/>
    <cellStyle name="Normal 26 6 2 2 2" xfId="9741" xr:uid="{00000000-0005-0000-0000-0000D75F0000}"/>
    <cellStyle name="Normal 26 6 2 2 2 2" xfId="15934" xr:uid="{00000000-0005-0000-0000-0000D85F0000}"/>
    <cellStyle name="Normal 26 6 2 2 2 2 2" xfId="35854" xr:uid="{00000000-0005-0000-0000-0000D95F0000}"/>
    <cellStyle name="Normal 26 6 2 2 2 3" xfId="22086" xr:uid="{00000000-0005-0000-0000-0000DA5F0000}"/>
    <cellStyle name="Normal 26 6 2 2 2 3 2" xfId="42006" xr:uid="{00000000-0005-0000-0000-0000DB5F0000}"/>
    <cellStyle name="Normal 26 6 2 2 2 4" xfId="29701" xr:uid="{00000000-0005-0000-0000-0000DC5F0000}"/>
    <cellStyle name="Normal 26 6 2 2 3" xfId="12868" xr:uid="{00000000-0005-0000-0000-0000DD5F0000}"/>
    <cellStyle name="Normal 26 6 2 2 3 2" xfId="32788" xr:uid="{00000000-0005-0000-0000-0000DE5F0000}"/>
    <cellStyle name="Normal 26 6 2 2 4" xfId="19020" xr:uid="{00000000-0005-0000-0000-0000DF5F0000}"/>
    <cellStyle name="Normal 26 6 2 2 4 2" xfId="38940" xr:uid="{00000000-0005-0000-0000-0000E05F0000}"/>
    <cellStyle name="Normal 26 6 2 2 5" xfId="26635" xr:uid="{00000000-0005-0000-0000-0000E15F0000}"/>
    <cellStyle name="Normal 26 6 2 3" xfId="8206" xr:uid="{00000000-0005-0000-0000-0000E25F0000}"/>
    <cellStyle name="Normal 26 6 2 3 2" xfId="14400" xr:uid="{00000000-0005-0000-0000-0000E35F0000}"/>
    <cellStyle name="Normal 26 6 2 3 2 2" xfId="34320" xr:uid="{00000000-0005-0000-0000-0000E45F0000}"/>
    <cellStyle name="Normal 26 6 2 3 3" xfId="20552" xr:uid="{00000000-0005-0000-0000-0000E55F0000}"/>
    <cellStyle name="Normal 26 6 2 3 3 2" xfId="40472" xr:uid="{00000000-0005-0000-0000-0000E65F0000}"/>
    <cellStyle name="Normal 26 6 2 3 4" xfId="28167" xr:uid="{00000000-0005-0000-0000-0000E75F0000}"/>
    <cellStyle name="Normal 26 6 2 4" xfId="11334" xr:uid="{00000000-0005-0000-0000-0000E85F0000}"/>
    <cellStyle name="Normal 26 6 2 4 2" xfId="31254" xr:uid="{00000000-0005-0000-0000-0000E95F0000}"/>
    <cellStyle name="Normal 26 6 2 5" xfId="17486" xr:uid="{00000000-0005-0000-0000-0000EA5F0000}"/>
    <cellStyle name="Normal 26 6 2 5 2" xfId="37406" xr:uid="{00000000-0005-0000-0000-0000EB5F0000}"/>
    <cellStyle name="Normal 26 6 2 6" xfId="25101" xr:uid="{00000000-0005-0000-0000-0000EC5F0000}"/>
    <cellStyle name="Normal 26 6 3" xfId="5872" xr:uid="{00000000-0005-0000-0000-0000ED5F0000}"/>
    <cellStyle name="Normal 26 6 3 2" xfId="8972" xr:uid="{00000000-0005-0000-0000-0000EE5F0000}"/>
    <cellStyle name="Normal 26 6 3 2 2" xfId="15165" xr:uid="{00000000-0005-0000-0000-0000EF5F0000}"/>
    <cellStyle name="Normal 26 6 3 2 2 2" xfId="35085" xr:uid="{00000000-0005-0000-0000-0000F05F0000}"/>
    <cellStyle name="Normal 26 6 3 2 3" xfId="21317" xr:uid="{00000000-0005-0000-0000-0000F15F0000}"/>
    <cellStyle name="Normal 26 6 3 2 3 2" xfId="41237" xr:uid="{00000000-0005-0000-0000-0000F25F0000}"/>
    <cellStyle name="Normal 26 6 3 2 4" xfId="28932" xr:uid="{00000000-0005-0000-0000-0000F35F0000}"/>
    <cellStyle name="Normal 26 6 3 3" xfId="12099" xr:uid="{00000000-0005-0000-0000-0000F45F0000}"/>
    <cellStyle name="Normal 26 6 3 3 2" xfId="32019" xr:uid="{00000000-0005-0000-0000-0000F55F0000}"/>
    <cellStyle name="Normal 26 6 3 4" xfId="18251" xr:uid="{00000000-0005-0000-0000-0000F65F0000}"/>
    <cellStyle name="Normal 26 6 3 4 2" xfId="38171" xr:uid="{00000000-0005-0000-0000-0000F75F0000}"/>
    <cellStyle name="Normal 26 6 3 5" xfId="25866" xr:uid="{00000000-0005-0000-0000-0000F85F0000}"/>
    <cellStyle name="Normal 26 6 4" xfId="7437" xr:uid="{00000000-0005-0000-0000-0000F95F0000}"/>
    <cellStyle name="Normal 26 6 4 2" xfId="13631" xr:uid="{00000000-0005-0000-0000-0000FA5F0000}"/>
    <cellStyle name="Normal 26 6 4 2 2" xfId="33551" xr:uid="{00000000-0005-0000-0000-0000FB5F0000}"/>
    <cellStyle name="Normal 26 6 4 3" xfId="19783" xr:uid="{00000000-0005-0000-0000-0000FC5F0000}"/>
    <cellStyle name="Normal 26 6 4 3 2" xfId="39703" xr:uid="{00000000-0005-0000-0000-0000FD5F0000}"/>
    <cellStyle name="Normal 26 6 4 4" xfId="27398" xr:uid="{00000000-0005-0000-0000-0000FE5F0000}"/>
    <cellStyle name="Normal 26 6 5" xfId="10565" xr:uid="{00000000-0005-0000-0000-0000FF5F0000}"/>
    <cellStyle name="Normal 26 6 5 2" xfId="30485" xr:uid="{00000000-0005-0000-0000-000000600000}"/>
    <cellStyle name="Normal 26 6 6" xfId="16717" xr:uid="{00000000-0005-0000-0000-000001600000}"/>
    <cellStyle name="Normal 26 6 6 2" xfId="36637" xr:uid="{00000000-0005-0000-0000-000002600000}"/>
    <cellStyle name="Normal 26 6 7" xfId="24332" xr:uid="{00000000-0005-0000-0000-000003600000}"/>
    <cellStyle name="Normal 26 7" xfId="3595" xr:uid="{00000000-0005-0000-0000-000004600000}"/>
    <cellStyle name="Normal 26 8" xfId="5021" xr:uid="{00000000-0005-0000-0000-000005600000}"/>
    <cellStyle name="Normal 26 8 2" xfId="6646" xr:uid="{00000000-0005-0000-0000-000006600000}"/>
    <cellStyle name="Normal 26 8 2 2" xfId="9732" xr:uid="{00000000-0005-0000-0000-000007600000}"/>
    <cellStyle name="Normal 26 8 2 2 2" xfId="15925" xr:uid="{00000000-0005-0000-0000-000008600000}"/>
    <cellStyle name="Normal 26 8 2 2 2 2" xfId="35845" xr:uid="{00000000-0005-0000-0000-000009600000}"/>
    <cellStyle name="Normal 26 8 2 2 3" xfId="22077" xr:uid="{00000000-0005-0000-0000-00000A600000}"/>
    <cellStyle name="Normal 26 8 2 2 3 2" xfId="41997" xr:uid="{00000000-0005-0000-0000-00000B600000}"/>
    <cellStyle name="Normal 26 8 2 2 4" xfId="29692" xr:uid="{00000000-0005-0000-0000-00000C600000}"/>
    <cellStyle name="Normal 26 8 2 3" xfId="12859" xr:uid="{00000000-0005-0000-0000-00000D600000}"/>
    <cellStyle name="Normal 26 8 2 3 2" xfId="32779" xr:uid="{00000000-0005-0000-0000-00000E600000}"/>
    <cellStyle name="Normal 26 8 2 4" xfId="19011" xr:uid="{00000000-0005-0000-0000-00000F600000}"/>
    <cellStyle name="Normal 26 8 2 4 2" xfId="38931" xr:uid="{00000000-0005-0000-0000-000010600000}"/>
    <cellStyle name="Normal 26 8 2 5" xfId="26626" xr:uid="{00000000-0005-0000-0000-000011600000}"/>
    <cellStyle name="Normal 26 8 3" xfId="8197" xr:uid="{00000000-0005-0000-0000-000012600000}"/>
    <cellStyle name="Normal 26 8 3 2" xfId="14391" xr:uid="{00000000-0005-0000-0000-000013600000}"/>
    <cellStyle name="Normal 26 8 3 2 2" xfId="34311" xr:uid="{00000000-0005-0000-0000-000014600000}"/>
    <cellStyle name="Normal 26 8 3 3" xfId="20543" xr:uid="{00000000-0005-0000-0000-000015600000}"/>
    <cellStyle name="Normal 26 8 3 3 2" xfId="40463" xr:uid="{00000000-0005-0000-0000-000016600000}"/>
    <cellStyle name="Normal 26 8 3 4" xfId="28158" xr:uid="{00000000-0005-0000-0000-000017600000}"/>
    <cellStyle name="Normal 26 8 4" xfId="11325" xr:uid="{00000000-0005-0000-0000-000018600000}"/>
    <cellStyle name="Normal 26 8 4 2" xfId="31245" xr:uid="{00000000-0005-0000-0000-000019600000}"/>
    <cellStyle name="Normal 26 8 5" xfId="17477" xr:uid="{00000000-0005-0000-0000-00001A600000}"/>
    <cellStyle name="Normal 26 8 5 2" xfId="37397" xr:uid="{00000000-0005-0000-0000-00001B600000}"/>
    <cellStyle name="Normal 26 8 6" xfId="25092" xr:uid="{00000000-0005-0000-0000-00001C600000}"/>
    <cellStyle name="Normal 26 9" xfId="5863" xr:uid="{00000000-0005-0000-0000-00001D600000}"/>
    <cellStyle name="Normal 26 9 2" xfId="8963" xr:uid="{00000000-0005-0000-0000-00001E600000}"/>
    <cellStyle name="Normal 26 9 2 2" xfId="15156" xr:uid="{00000000-0005-0000-0000-00001F600000}"/>
    <cellStyle name="Normal 26 9 2 2 2" xfId="35076" xr:uid="{00000000-0005-0000-0000-000020600000}"/>
    <cellStyle name="Normal 26 9 2 3" xfId="21308" xr:uid="{00000000-0005-0000-0000-000021600000}"/>
    <cellStyle name="Normal 26 9 2 3 2" xfId="41228" xr:uid="{00000000-0005-0000-0000-000022600000}"/>
    <cellStyle name="Normal 26 9 2 4" xfId="28923" xr:uid="{00000000-0005-0000-0000-000023600000}"/>
    <cellStyle name="Normal 26 9 3" xfId="12090" xr:uid="{00000000-0005-0000-0000-000024600000}"/>
    <cellStyle name="Normal 26 9 3 2" xfId="32010" xr:uid="{00000000-0005-0000-0000-000025600000}"/>
    <cellStyle name="Normal 26 9 4" xfId="18242" xr:uid="{00000000-0005-0000-0000-000026600000}"/>
    <cellStyle name="Normal 26 9 4 2" xfId="38162" xr:uid="{00000000-0005-0000-0000-000027600000}"/>
    <cellStyle name="Normal 26 9 5" xfId="25857" xr:uid="{00000000-0005-0000-0000-000028600000}"/>
    <cellStyle name="Normal 27" xfId="3596" xr:uid="{00000000-0005-0000-0000-000029600000}"/>
    <cellStyle name="Normal 28" xfId="3597" xr:uid="{00000000-0005-0000-0000-00002A600000}"/>
    <cellStyle name="Normal 28 2" xfId="3598" xr:uid="{00000000-0005-0000-0000-00002B600000}"/>
    <cellStyle name="Normal 29" xfId="646" xr:uid="{00000000-0005-0000-0000-00002C600000}"/>
    <cellStyle name="Normal 29 2" xfId="3600" xr:uid="{00000000-0005-0000-0000-00002D600000}"/>
    <cellStyle name="Normal 29 3" xfId="3599" xr:uid="{00000000-0005-0000-0000-00002E600000}"/>
    <cellStyle name="Normal 3" xfId="5" xr:uid="{00000000-0005-0000-0000-00002F600000}"/>
    <cellStyle name="Normal 3 10" xfId="244" xr:uid="{00000000-0005-0000-0000-000030600000}"/>
    <cellStyle name="Normal 3 10 2" xfId="5031" xr:uid="{00000000-0005-0000-0000-000031600000}"/>
    <cellStyle name="Normal 3 10 2 2" xfId="6656" xr:uid="{00000000-0005-0000-0000-000032600000}"/>
    <cellStyle name="Normal 3 10 2 2 2" xfId="9742" xr:uid="{00000000-0005-0000-0000-000033600000}"/>
    <cellStyle name="Normal 3 10 2 2 2 2" xfId="15935" xr:uid="{00000000-0005-0000-0000-000034600000}"/>
    <cellStyle name="Normal 3 10 2 2 2 2 2" xfId="35855" xr:uid="{00000000-0005-0000-0000-000035600000}"/>
    <cellStyle name="Normal 3 10 2 2 2 3" xfId="22087" xr:uid="{00000000-0005-0000-0000-000036600000}"/>
    <cellStyle name="Normal 3 10 2 2 2 3 2" xfId="42007" xr:uid="{00000000-0005-0000-0000-000037600000}"/>
    <cellStyle name="Normal 3 10 2 2 2 4" xfId="29702" xr:uid="{00000000-0005-0000-0000-000038600000}"/>
    <cellStyle name="Normal 3 10 2 2 3" xfId="12869" xr:uid="{00000000-0005-0000-0000-000039600000}"/>
    <cellStyle name="Normal 3 10 2 2 3 2" xfId="32789" xr:uid="{00000000-0005-0000-0000-00003A600000}"/>
    <cellStyle name="Normal 3 10 2 2 4" xfId="19021" xr:uid="{00000000-0005-0000-0000-00003B600000}"/>
    <cellStyle name="Normal 3 10 2 2 4 2" xfId="38941" xr:uid="{00000000-0005-0000-0000-00003C600000}"/>
    <cellStyle name="Normal 3 10 2 2 5" xfId="26636" xr:uid="{00000000-0005-0000-0000-00003D600000}"/>
    <cellStyle name="Normal 3 10 2 3" xfId="8207" xr:uid="{00000000-0005-0000-0000-00003E600000}"/>
    <cellStyle name="Normal 3 10 2 3 2" xfId="14401" xr:uid="{00000000-0005-0000-0000-00003F600000}"/>
    <cellStyle name="Normal 3 10 2 3 2 2" xfId="34321" xr:uid="{00000000-0005-0000-0000-000040600000}"/>
    <cellStyle name="Normal 3 10 2 3 3" xfId="20553" xr:uid="{00000000-0005-0000-0000-000041600000}"/>
    <cellStyle name="Normal 3 10 2 3 3 2" xfId="40473" xr:uid="{00000000-0005-0000-0000-000042600000}"/>
    <cellStyle name="Normal 3 10 2 3 4" xfId="28168" xr:uid="{00000000-0005-0000-0000-000043600000}"/>
    <cellStyle name="Normal 3 10 2 4" xfId="11335" xr:uid="{00000000-0005-0000-0000-000044600000}"/>
    <cellStyle name="Normal 3 10 2 4 2" xfId="31255" xr:uid="{00000000-0005-0000-0000-000045600000}"/>
    <cellStyle name="Normal 3 10 2 5" xfId="17487" xr:uid="{00000000-0005-0000-0000-000046600000}"/>
    <cellStyle name="Normal 3 10 2 5 2" xfId="37407" xr:uid="{00000000-0005-0000-0000-000047600000}"/>
    <cellStyle name="Normal 3 10 2 6" xfId="25102" xr:uid="{00000000-0005-0000-0000-000048600000}"/>
    <cellStyle name="Normal 3 10 3" xfId="5873" xr:uid="{00000000-0005-0000-0000-000049600000}"/>
    <cellStyle name="Normal 3 10 3 2" xfId="8973" xr:uid="{00000000-0005-0000-0000-00004A600000}"/>
    <cellStyle name="Normal 3 10 3 2 2" xfId="15166" xr:uid="{00000000-0005-0000-0000-00004B600000}"/>
    <cellStyle name="Normal 3 10 3 2 2 2" xfId="35086" xr:uid="{00000000-0005-0000-0000-00004C600000}"/>
    <cellStyle name="Normal 3 10 3 2 3" xfId="21318" xr:uid="{00000000-0005-0000-0000-00004D600000}"/>
    <cellStyle name="Normal 3 10 3 2 3 2" xfId="41238" xr:uid="{00000000-0005-0000-0000-00004E600000}"/>
    <cellStyle name="Normal 3 10 3 2 4" xfId="28933" xr:uid="{00000000-0005-0000-0000-00004F600000}"/>
    <cellStyle name="Normal 3 10 3 3" xfId="12100" xr:uid="{00000000-0005-0000-0000-000050600000}"/>
    <cellStyle name="Normal 3 10 3 3 2" xfId="32020" xr:uid="{00000000-0005-0000-0000-000051600000}"/>
    <cellStyle name="Normal 3 10 3 4" xfId="18252" xr:uid="{00000000-0005-0000-0000-000052600000}"/>
    <cellStyle name="Normal 3 10 3 4 2" xfId="38172" xr:uid="{00000000-0005-0000-0000-000053600000}"/>
    <cellStyle name="Normal 3 10 3 5" xfId="25867" xr:uid="{00000000-0005-0000-0000-000054600000}"/>
    <cellStyle name="Normal 3 10 4" xfId="7438" xr:uid="{00000000-0005-0000-0000-000055600000}"/>
    <cellStyle name="Normal 3 10 4 2" xfId="13632" xr:uid="{00000000-0005-0000-0000-000056600000}"/>
    <cellStyle name="Normal 3 10 4 2 2" xfId="33552" xr:uid="{00000000-0005-0000-0000-000057600000}"/>
    <cellStyle name="Normal 3 10 4 3" xfId="19784" xr:uid="{00000000-0005-0000-0000-000058600000}"/>
    <cellStyle name="Normal 3 10 4 3 2" xfId="39704" xr:uid="{00000000-0005-0000-0000-000059600000}"/>
    <cellStyle name="Normal 3 10 4 4" xfId="27399" xr:uid="{00000000-0005-0000-0000-00005A600000}"/>
    <cellStyle name="Normal 3 10 5" xfId="10566" xr:uid="{00000000-0005-0000-0000-00005B600000}"/>
    <cellStyle name="Normal 3 10 5 2" xfId="30486" xr:uid="{00000000-0005-0000-0000-00005C600000}"/>
    <cellStyle name="Normal 3 10 6" xfId="16718" xr:uid="{00000000-0005-0000-0000-00005D600000}"/>
    <cellStyle name="Normal 3 10 6 2" xfId="36638" xr:uid="{00000000-0005-0000-0000-00005E600000}"/>
    <cellStyle name="Normal 3 10 7" xfId="3601" xr:uid="{00000000-0005-0000-0000-00005F600000}"/>
    <cellStyle name="Normal 3 10 7 2" xfId="24333" xr:uid="{00000000-0005-0000-0000-000060600000}"/>
    <cellStyle name="Normal 3 11" xfId="259" xr:uid="{00000000-0005-0000-0000-000061600000}"/>
    <cellStyle name="Normal 3 11 2" xfId="5032" xr:uid="{00000000-0005-0000-0000-000062600000}"/>
    <cellStyle name="Normal 3 11 2 2" xfId="6657" xr:uid="{00000000-0005-0000-0000-000063600000}"/>
    <cellStyle name="Normal 3 11 2 2 2" xfId="9743" xr:uid="{00000000-0005-0000-0000-000064600000}"/>
    <cellStyle name="Normal 3 11 2 2 2 2" xfId="15936" xr:uid="{00000000-0005-0000-0000-000065600000}"/>
    <cellStyle name="Normal 3 11 2 2 2 2 2" xfId="35856" xr:uid="{00000000-0005-0000-0000-000066600000}"/>
    <cellStyle name="Normal 3 11 2 2 2 3" xfId="22088" xr:uid="{00000000-0005-0000-0000-000067600000}"/>
    <cellStyle name="Normal 3 11 2 2 2 3 2" xfId="42008" xr:uid="{00000000-0005-0000-0000-000068600000}"/>
    <cellStyle name="Normal 3 11 2 2 2 4" xfId="29703" xr:uid="{00000000-0005-0000-0000-000069600000}"/>
    <cellStyle name="Normal 3 11 2 2 3" xfId="12870" xr:uid="{00000000-0005-0000-0000-00006A600000}"/>
    <cellStyle name="Normal 3 11 2 2 3 2" xfId="32790" xr:uid="{00000000-0005-0000-0000-00006B600000}"/>
    <cellStyle name="Normal 3 11 2 2 4" xfId="19022" xr:uid="{00000000-0005-0000-0000-00006C600000}"/>
    <cellStyle name="Normal 3 11 2 2 4 2" xfId="38942" xr:uid="{00000000-0005-0000-0000-00006D600000}"/>
    <cellStyle name="Normal 3 11 2 2 5" xfId="26637" xr:uid="{00000000-0005-0000-0000-00006E600000}"/>
    <cellStyle name="Normal 3 11 2 3" xfId="8208" xr:uid="{00000000-0005-0000-0000-00006F600000}"/>
    <cellStyle name="Normal 3 11 2 3 2" xfId="14402" xr:uid="{00000000-0005-0000-0000-000070600000}"/>
    <cellStyle name="Normal 3 11 2 3 2 2" xfId="34322" xr:uid="{00000000-0005-0000-0000-000071600000}"/>
    <cellStyle name="Normal 3 11 2 3 3" xfId="20554" xr:uid="{00000000-0005-0000-0000-000072600000}"/>
    <cellStyle name="Normal 3 11 2 3 3 2" xfId="40474" xr:uid="{00000000-0005-0000-0000-000073600000}"/>
    <cellStyle name="Normal 3 11 2 3 4" xfId="28169" xr:uid="{00000000-0005-0000-0000-000074600000}"/>
    <cellStyle name="Normal 3 11 2 4" xfId="11336" xr:uid="{00000000-0005-0000-0000-000075600000}"/>
    <cellStyle name="Normal 3 11 2 4 2" xfId="31256" xr:uid="{00000000-0005-0000-0000-000076600000}"/>
    <cellStyle name="Normal 3 11 2 5" xfId="17488" xr:uid="{00000000-0005-0000-0000-000077600000}"/>
    <cellStyle name="Normal 3 11 2 5 2" xfId="37408" xr:uid="{00000000-0005-0000-0000-000078600000}"/>
    <cellStyle name="Normal 3 11 2 6" xfId="25103" xr:uid="{00000000-0005-0000-0000-000079600000}"/>
    <cellStyle name="Normal 3 11 3" xfId="5874" xr:uid="{00000000-0005-0000-0000-00007A600000}"/>
    <cellStyle name="Normal 3 11 3 2" xfId="8974" xr:uid="{00000000-0005-0000-0000-00007B600000}"/>
    <cellStyle name="Normal 3 11 3 2 2" xfId="15167" xr:uid="{00000000-0005-0000-0000-00007C600000}"/>
    <cellStyle name="Normal 3 11 3 2 2 2" xfId="35087" xr:uid="{00000000-0005-0000-0000-00007D600000}"/>
    <cellStyle name="Normal 3 11 3 2 3" xfId="21319" xr:uid="{00000000-0005-0000-0000-00007E600000}"/>
    <cellStyle name="Normal 3 11 3 2 3 2" xfId="41239" xr:uid="{00000000-0005-0000-0000-00007F600000}"/>
    <cellStyle name="Normal 3 11 3 2 4" xfId="28934" xr:uid="{00000000-0005-0000-0000-000080600000}"/>
    <cellStyle name="Normal 3 11 3 3" xfId="12101" xr:uid="{00000000-0005-0000-0000-000081600000}"/>
    <cellStyle name="Normal 3 11 3 3 2" xfId="32021" xr:uid="{00000000-0005-0000-0000-000082600000}"/>
    <cellStyle name="Normal 3 11 3 4" xfId="18253" xr:uid="{00000000-0005-0000-0000-000083600000}"/>
    <cellStyle name="Normal 3 11 3 4 2" xfId="38173" xr:uid="{00000000-0005-0000-0000-000084600000}"/>
    <cellStyle name="Normal 3 11 3 5" xfId="25868" xr:uid="{00000000-0005-0000-0000-000085600000}"/>
    <cellStyle name="Normal 3 11 4" xfId="7439" xr:uid="{00000000-0005-0000-0000-000086600000}"/>
    <cellStyle name="Normal 3 11 4 2" xfId="13633" xr:uid="{00000000-0005-0000-0000-000087600000}"/>
    <cellStyle name="Normal 3 11 4 2 2" xfId="33553" xr:uid="{00000000-0005-0000-0000-000088600000}"/>
    <cellStyle name="Normal 3 11 4 3" xfId="19785" xr:uid="{00000000-0005-0000-0000-000089600000}"/>
    <cellStyle name="Normal 3 11 4 3 2" xfId="39705" xr:uid="{00000000-0005-0000-0000-00008A600000}"/>
    <cellStyle name="Normal 3 11 4 4" xfId="27400" xr:uid="{00000000-0005-0000-0000-00008B600000}"/>
    <cellStyle name="Normal 3 11 5" xfId="10567" xr:uid="{00000000-0005-0000-0000-00008C600000}"/>
    <cellStyle name="Normal 3 11 5 2" xfId="30487" xr:uid="{00000000-0005-0000-0000-00008D600000}"/>
    <cellStyle name="Normal 3 11 6" xfId="16719" xr:uid="{00000000-0005-0000-0000-00008E600000}"/>
    <cellStyle name="Normal 3 11 6 2" xfId="36639" xr:uid="{00000000-0005-0000-0000-00008F600000}"/>
    <cellStyle name="Normal 3 11 7" xfId="3602" xr:uid="{00000000-0005-0000-0000-000090600000}"/>
    <cellStyle name="Normal 3 11 7 2" xfId="24334" xr:uid="{00000000-0005-0000-0000-000091600000}"/>
    <cellStyle name="Normal 3 12" xfId="275" xr:uid="{00000000-0005-0000-0000-000092600000}"/>
    <cellStyle name="Normal 3 12 2" xfId="5033" xr:uid="{00000000-0005-0000-0000-000093600000}"/>
    <cellStyle name="Normal 3 12 2 2" xfId="6658" xr:uid="{00000000-0005-0000-0000-000094600000}"/>
    <cellStyle name="Normal 3 12 2 2 2" xfId="9744" xr:uid="{00000000-0005-0000-0000-000095600000}"/>
    <cellStyle name="Normal 3 12 2 2 2 2" xfId="15937" xr:uid="{00000000-0005-0000-0000-000096600000}"/>
    <cellStyle name="Normal 3 12 2 2 2 2 2" xfId="35857" xr:uid="{00000000-0005-0000-0000-000097600000}"/>
    <cellStyle name="Normal 3 12 2 2 2 3" xfId="22089" xr:uid="{00000000-0005-0000-0000-000098600000}"/>
    <cellStyle name="Normal 3 12 2 2 2 3 2" xfId="42009" xr:uid="{00000000-0005-0000-0000-000099600000}"/>
    <cellStyle name="Normal 3 12 2 2 2 4" xfId="29704" xr:uid="{00000000-0005-0000-0000-00009A600000}"/>
    <cellStyle name="Normal 3 12 2 2 3" xfId="12871" xr:uid="{00000000-0005-0000-0000-00009B600000}"/>
    <cellStyle name="Normal 3 12 2 2 3 2" xfId="32791" xr:uid="{00000000-0005-0000-0000-00009C600000}"/>
    <cellStyle name="Normal 3 12 2 2 4" xfId="19023" xr:uid="{00000000-0005-0000-0000-00009D600000}"/>
    <cellStyle name="Normal 3 12 2 2 4 2" xfId="38943" xr:uid="{00000000-0005-0000-0000-00009E600000}"/>
    <cellStyle name="Normal 3 12 2 2 5" xfId="26638" xr:uid="{00000000-0005-0000-0000-00009F600000}"/>
    <cellStyle name="Normal 3 12 2 3" xfId="8209" xr:uid="{00000000-0005-0000-0000-0000A0600000}"/>
    <cellStyle name="Normal 3 12 2 3 2" xfId="14403" xr:uid="{00000000-0005-0000-0000-0000A1600000}"/>
    <cellStyle name="Normal 3 12 2 3 2 2" xfId="34323" xr:uid="{00000000-0005-0000-0000-0000A2600000}"/>
    <cellStyle name="Normal 3 12 2 3 3" xfId="20555" xr:uid="{00000000-0005-0000-0000-0000A3600000}"/>
    <cellStyle name="Normal 3 12 2 3 3 2" xfId="40475" xr:uid="{00000000-0005-0000-0000-0000A4600000}"/>
    <cellStyle name="Normal 3 12 2 3 4" xfId="28170" xr:uid="{00000000-0005-0000-0000-0000A5600000}"/>
    <cellStyle name="Normal 3 12 2 4" xfId="11337" xr:uid="{00000000-0005-0000-0000-0000A6600000}"/>
    <cellStyle name="Normal 3 12 2 4 2" xfId="31257" xr:uid="{00000000-0005-0000-0000-0000A7600000}"/>
    <cellStyle name="Normal 3 12 2 5" xfId="17489" xr:uid="{00000000-0005-0000-0000-0000A8600000}"/>
    <cellStyle name="Normal 3 12 2 5 2" xfId="37409" xr:uid="{00000000-0005-0000-0000-0000A9600000}"/>
    <cellStyle name="Normal 3 12 2 6" xfId="25104" xr:uid="{00000000-0005-0000-0000-0000AA600000}"/>
    <cellStyle name="Normal 3 12 3" xfId="5875" xr:uid="{00000000-0005-0000-0000-0000AB600000}"/>
    <cellStyle name="Normal 3 12 3 2" xfId="8975" xr:uid="{00000000-0005-0000-0000-0000AC600000}"/>
    <cellStyle name="Normal 3 12 3 2 2" xfId="15168" xr:uid="{00000000-0005-0000-0000-0000AD600000}"/>
    <cellStyle name="Normal 3 12 3 2 2 2" xfId="35088" xr:uid="{00000000-0005-0000-0000-0000AE600000}"/>
    <cellStyle name="Normal 3 12 3 2 3" xfId="21320" xr:uid="{00000000-0005-0000-0000-0000AF600000}"/>
    <cellStyle name="Normal 3 12 3 2 3 2" xfId="41240" xr:uid="{00000000-0005-0000-0000-0000B0600000}"/>
    <cellStyle name="Normal 3 12 3 2 4" xfId="28935" xr:uid="{00000000-0005-0000-0000-0000B1600000}"/>
    <cellStyle name="Normal 3 12 3 3" xfId="12102" xr:uid="{00000000-0005-0000-0000-0000B2600000}"/>
    <cellStyle name="Normal 3 12 3 3 2" xfId="32022" xr:uid="{00000000-0005-0000-0000-0000B3600000}"/>
    <cellStyle name="Normal 3 12 3 4" xfId="18254" xr:uid="{00000000-0005-0000-0000-0000B4600000}"/>
    <cellStyle name="Normal 3 12 3 4 2" xfId="38174" xr:uid="{00000000-0005-0000-0000-0000B5600000}"/>
    <cellStyle name="Normal 3 12 3 5" xfId="25869" xr:uid="{00000000-0005-0000-0000-0000B6600000}"/>
    <cellStyle name="Normal 3 12 4" xfId="7440" xr:uid="{00000000-0005-0000-0000-0000B7600000}"/>
    <cellStyle name="Normal 3 12 4 2" xfId="13634" xr:uid="{00000000-0005-0000-0000-0000B8600000}"/>
    <cellStyle name="Normal 3 12 4 2 2" xfId="33554" xr:uid="{00000000-0005-0000-0000-0000B9600000}"/>
    <cellStyle name="Normal 3 12 4 3" xfId="19786" xr:uid="{00000000-0005-0000-0000-0000BA600000}"/>
    <cellStyle name="Normal 3 12 4 3 2" xfId="39706" xr:uid="{00000000-0005-0000-0000-0000BB600000}"/>
    <cellStyle name="Normal 3 12 4 4" xfId="27401" xr:uid="{00000000-0005-0000-0000-0000BC600000}"/>
    <cellStyle name="Normal 3 12 5" xfId="10568" xr:uid="{00000000-0005-0000-0000-0000BD600000}"/>
    <cellStyle name="Normal 3 12 5 2" xfId="30488" xr:uid="{00000000-0005-0000-0000-0000BE600000}"/>
    <cellStyle name="Normal 3 12 6" xfId="16720" xr:uid="{00000000-0005-0000-0000-0000BF600000}"/>
    <cellStyle name="Normal 3 12 6 2" xfId="36640" xr:uid="{00000000-0005-0000-0000-0000C0600000}"/>
    <cellStyle name="Normal 3 12 7" xfId="3603" xr:uid="{00000000-0005-0000-0000-0000C1600000}"/>
    <cellStyle name="Normal 3 12 7 2" xfId="24335" xr:uid="{00000000-0005-0000-0000-0000C2600000}"/>
    <cellStyle name="Normal 3 13" xfId="288" xr:uid="{00000000-0005-0000-0000-0000C3600000}"/>
    <cellStyle name="Normal 3 13 2" xfId="5034" xr:uid="{00000000-0005-0000-0000-0000C4600000}"/>
    <cellStyle name="Normal 3 13 2 2" xfId="6659" xr:uid="{00000000-0005-0000-0000-0000C5600000}"/>
    <cellStyle name="Normal 3 13 2 2 2" xfId="9745" xr:uid="{00000000-0005-0000-0000-0000C6600000}"/>
    <cellStyle name="Normal 3 13 2 2 2 2" xfId="15938" xr:uid="{00000000-0005-0000-0000-0000C7600000}"/>
    <cellStyle name="Normal 3 13 2 2 2 2 2" xfId="35858" xr:uid="{00000000-0005-0000-0000-0000C8600000}"/>
    <cellStyle name="Normal 3 13 2 2 2 3" xfId="22090" xr:uid="{00000000-0005-0000-0000-0000C9600000}"/>
    <cellStyle name="Normal 3 13 2 2 2 3 2" xfId="42010" xr:uid="{00000000-0005-0000-0000-0000CA600000}"/>
    <cellStyle name="Normal 3 13 2 2 2 4" xfId="29705" xr:uid="{00000000-0005-0000-0000-0000CB600000}"/>
    <cellStyle name="Normal 3 13 2 2 3" xfId="12872" xr:uid="{00000000-0005-0000-0000-0000CC600000}"/>
    <cellStyle name="Normal 3 13 2 2 3 2" xfId="32792" xr:uid="{00000000-0005-0000-0000-0000CD600000}"/>
    <cellStyle name="Normal 3 13 2 2 4" xfId="19024" xr:uid="{00000000-0005-0000-0000-0000CE600000}"/>
    <cellStyle name="Normal 3 13 2 2 4 2" xfId="38944" xr:uid="{00000000-0005-0000-0000-0000CF600000}"/>
    <cellStyle name="Normal 3 13 2 2 5" xfId="26639" xr:uid="{00000000-0005-0000-0000-0000D0600000}"/>
    <cellStyle name="Normal 3 13 2 3" xfId="8210" xr:uid="{00000000-0005-0000-0000-0000D1600000}"/>
    <cellStyle name="Normal 3 13 2 3 2" xfId="14404" xr:uid="{00000000-0005-0000-0000-0000D2600000}"/>
    <cellStyle name="Normal 3 13 2 3 2 2" xfId="34324" xr:uid="{00000000-0005-0000-0000-0000D3600000}"/>
    <cellStyle name="Normal 3 13 2 3 3" xfId="20556" xr:uid="{00000000-0005-0000-0000-0000D4600000}"/>
    <cellStyle name="Normal 3 13 2 3 3 2" xfId="40476" xr:uid="{00000000-0005-0000-0000-0000D5600000}"/>
    <cellStyle name="Normal 3 13 2 3 4" xfId="28171" xr:uid="{00000000-0005-0000-0000-0000D6600000}"/>
    <cellStyle name="Normal 3 13 2 4" xfId="11338" xr:uid="{00000000-0005-0000-0000-0000D7600000}"/>
    <cellStyle name="Normal 3 13 2 4 2" xfId="31258" xr:uid="{00000000-0005-0000-0000-0000D8600000}"/>
    <cellStyle name="Normal 3 13 2 5" xfId="17490" xr:uid="{00000000-0005-0000-0000-0000D9600000}"/>
    <cellStyle name="Normal 3 13 2 5 2" xfId="37410" xr:uid="{00000000-0005-0000-0000-0000DA600000}"/>
    <cellStyle name="Normal 3 13 2 6" xfId="25105" xr:uid="{00000000-0005-0000-0000-0000DB600000}"/>
    <cellStyle name="Normal 3 13 3" xfId="5876" xr:uid="{00000000-0005-0000-0000-0000DC600000}"/>
    <cellStyle name="Normal 3 13 3 2" xfId="8976" xr:uid="{00000000-0005-0000-0000-0000DD600000}"/>
    <cellStyle name="Normal 3 13 3 2 2" xfId="15169" xr:uid="{00000000-0005-0000-0000-0000DE600000}"/>
    <cellStyle name="Normal 3 13 3 2 2 2" xfId="35089" xr:uid="{00000000-0005-0000-0000-0000DF600000}"/>
    <cellStyle name="Normal 3 13 3 2 3" xfId="21321" xr:uid="{00000000-0005-0000-0000-0000E0600000}"/>
    <cellStyle name="Normal 3 13 3 2 3 2" xfId="41241" xr:uid="{00000000-0005-0000-0000-0000E1600000}"/>
    <cellStyle name="Normal 3 13 3 2 4" xfId="28936" xr:uid="{00000000-0005-0000-0000-0000E2600000}"/>
    <cellStyle name="Normal 3 13 3 3" xfId="12103" xr:uid="{00000000-0005-0000-0000-0000E3600000}"/>
    <cellStyle name="Normal 3 13 3 3 2" xfId="32023" xr:uid="{00000000-0005-0000-0000-0000E4600000}"/>
    <cellStyle name="Normal 3 13 3 4" xfId="18255" xr:uid="{00000000-0005-0000-0000-0000E5600000}"/>
    <cellStyle name="Normal 3 13 3 4 2" xfId="38175" xr:uid="{00000000-0005-0000-0000-0000E6600000}"/>
    <cellStyle name="Normal 3 13 3 5" xfId="25870" xr:uid="{00000000-0005-0000-0000-0000E7600000}"/>
    <cellStyle name="Normal 3 13 4" xfId="7441" xr:uid="{00000000-0005-0000-0000-0000E8600000}"/>
    <cellStyle name="Normal 3 13 4 2" xfId="13635" xr:uid="{00000000-0005-0000-0000-0000E9600000}"/>
    <cellStyle name="Normal 3 13 4 2 2" xfId="33555" xr:uid="{00000000-0005-0000-0000-0000EA600000}"/>
    <cellStyle name="Normal 3 13 4 3" xfId="19787" xr:uid="{00000000-0005-0000-0000-0000EB600000}"/>
    <cellStyle name="Normal 3 13 4 3 2" xfId="39707" xr:uid="{00000000-0005-0000-0000-0000EC600000}"/>
    <cellStyle name="Normal 3 13 4 4" xfId="27402" xr:uid="{00000000-0005-0000-0000-0000ED600000}"/>
    <cellStyle name="Normal 3 13 5" xfId="10569" xr:uid="{00000000-0005-0000-0000-0000EE600000}"/>
    <cellStyle name="Normal 3 13 5 2" xfId="30489" xr:uid="{00000000-0005-0000-0000-0000EF600000}"/>
    <cellStyle name="Normal 3 13 6" xfId="16721" xr:uid="{00000000-0005-0000-0000-0000F0600000}"/>
    <cellStyle name="Normal 3 13 6 2" xfId="36641" xr:uid="{00000000-0005-0000-0000-0000F1600000}"/>
    <cellStyle name="Normal 3 13 7" xfId="3604" xr:uid="{00000000-0005-0000-0000-0000F2600000}"/>
    <cellStyle name="Normal 3 13 7 2" xfId="24336" xr:uid="{00000000-0005-0000-0000-0000F3600000}"/>
    <cellStyle name="Normal 3 14" xfId="300" xr:uid="{00000000-0005-0000-0000-0000F4600000}"/>
    <cellStyle name="Normal 3 14 2" xfId="5035" xr:uid="{00000000-0005-0000-0000-0000F5600000}"/>
    <cellStyle name="Normal 3 14 2 2" xfId="6660" xr:uid="{00000000-0005-0000-0000-0000F6600000}"/>
    <cellStyle name="Normal 3 14 2 2 2" xfId="9746" xr:uid="{00000000-0005-0000-0000-0000F7600000}"/>
    <cellStyle name="Normal 3 14 2 2 2 2" xfId="15939" xr:uid="{00000000-0005-0000-0000-0000F8600000}"/>
    <cellStyle name="Normal 3 14 2 2 2 2 2" xfId="35859" xr:uid="{00000000-0005-0000-0000-0000F9600000}"/>
    <cellStyle name="Normal 3 14 2 2 2 3" xfId="22091" xr:uid="{00000000-0005-0000-0000-0000FA600000}"/>
    <cellStyle name="Normal 3 14 2 2 2 3 2" xfId="42011" xr:uid="{00000000-0005-0000-0000-0000FB600000}"/>
    <cellStyle name="Normal 3 14 2 2 2 4" xfId="29706" xr:uid="{00000000-0005-0000-0000-0000FC600000}"/>
    <cellStyle name="Normal 3 14 2 2 3" xfId="12873" xr:uid="{00000000-0005-0000-0000-0000FD600000}"/>
    <cellStyle name="Normal 3 14 2 2 3 2" xfId="32793" xr:uid="{00000000-0005-0000-0000-0000FE600000}"/>
    <cellStyle name="Normal 3 14 2 2 4" xfId="19025" xr:uid="{00000000-0005-0000-0000-0000FF600000}"/>
    <cellStyle name="Normal 3 14 2 2 4 2" xfId="38945" xr:uid="{00000000-0005-0000-0000-000000610000}"/>
    <cellStyle name="Normal 3 14 2 2 5" xfId="26640" xr:uid="{00000000-0005-0000-0000-000001610000}"/>
    <cellStyle name="Normal 3 14 2 3" xfId="8211" xr:uid="{00000000-0005-0000-0000-000002610000}"/>
    <cellStyle name="Normal 3 14 2 3 2" xfId="14405" xr:uid="{00000000-0005-0000-0000-000003610000}"/>
    <cellStyle name="Normal 3 14 2 3 2 2" xfId="34325" xr:uid="{00000000-0005-0000-0000-000004610000}"/>
    <cellStyle name="Normal 3 14 2 3 3" xfId="20557" xr:uid="{00000000-0005-0000-0000-000005610000}"/>
    <cellStyle name="Normal 3 14 2 3 3 2" xfId="40477" xr:uid="{00000000-0005-0000-0000-000006610000}"/>
    <cellStyle name="Normal 3 14 2 3 4" xfId="28172" xr:uid="{00000000-0005-0000-0000-000007610000}"/>
    <cellStyle name="Normal 3 14 2 4" xfId="11339" xr:uid="{00000000-0005-0000-0000-000008610000}"/>
    <cellStyle name="Normal 3 14 2 4 2" xfId="31259" xr:uid="{00000000-0005-0000-0000-000009610000}"/>
    <cellStyle name="Normal 3 14 2 5" xfId="17491" xr:uid="{00000000-0005-0000-0000-00000A610000}"/>
    <cellStyle name="Normal 3 14 2 5 2" xfId="37411" xr:uid="{00000000-0005-0000-0000-00000B610000}"/>
    <cellStyle name="Normal 3 14 2 6" xfId="25106" xr:uid="{00000000-0005-0000-0000-00000C610000}"/>
    <cellStyle name="Normal 3 14 3" xfId="5877" xr:uid="{00000000-0005-0000-0000-00000D610000}"/>
    <cellStyle name="Normal 3 14 3 2" xfId="8977" xr:uid="{00000000-0005-0000-0000-00000E610000}"/>
    <cellStyle name="Normal 3 14 3 2 2" xfId="15170" xr:uid="{00000000-0005-0000-0000-00000F610000}"/>
    <cellStyle name="Normal 3 14 3 2 2 2" xfId="35090" xr:uid="{00000000-0005-0000-0000-000010610000}"/>
    <cellStyle name="Normal 3 14 3 2 3" xfId="21322" xr:uid="{00000000-0005-0000-0000-000011610000}"/>
    <cellStyle name="Normal 3 14 3 2 3 2" xfId="41242" xr:uid="{00000000-0005-0000-0000-000012610000}"/>
    <cellStyle name="Normal 3 14 3 2 4" xfId="28937" xr:uid="{00000000-0005-0000-0000-000013610000}"/>
    <cellStyle name="Normal 3 14 3 3" xfId="12104" xr:uid="{00000000-0005-0000-0000-000014610000}"/>
    <cellStyle name="Normal 3 14 3 3 2" xfId="32024" xr:uid="{00000000-0005-0000-0000-000015610000}"/>
    <cellStyle name="Normal 3 14 3 4" xfId="18256" xr:uid="{00000000-0005-0000-0000-000016610000}"/>
    <cellStyle name="Normal 3 14 3 4 2" xfId="38176" xr:uid="{00000000-0005-0000-0000-000017610000}"/>
    <cellStyle name="Normal 3 14 3 5" xfId="25871" xr:uid="{00000000-0005-0000-0000-000018610000}"/>
    <cellStyle name="Normal 3 14 4" xfId="7442" xr:uid="{00000000-0005-0000-0000-000019610000}"/>
    <cellStyle name="Normal 3 14 4 2" xfId="13636" xr:uid="{00000000-0005-0000-0000-00001A610000}"/>
    <cellStyle name="Normal 3 14 4 2 2" xfId="33556" xr:uid="{00000000-0005-0000-0000-00001B610000}"/>
    <cellStyle name="Normal 3 14 4 3" xfId="19788" xr:uid="{00000000-0005-0000-0000-00001C610000}"/>
    <cellStyle name="Normal 3 14 4 3 2" xfId="39708" xr:uid="{00000000-0005-0000-0000-00001D610000}"/>
    <cellStyle name="Normal 3 14 4 4" xfId="27403" xr:uid="{00000000-0005-0000-0000-00001E610000}"/>
    <cellStyle name="Normal 3 14 5" xfId="10570" xr:uid="{00000000-0005-0000-0000-00001F610000}"/>
    <cellStyle name="Normal 3 14 5 2" xfId="30490" xr:uid="{00000000-0005-0000-0000-000020610000}"/>
    <cellStyle name="Normal 3 14 6" xfId="16722" xr:uid="{00000000-0005-0000-0000-000021610000}"/>
    <cellStyle name="Normal 3 14 6 2" xfId="36642" xr:uid="{00000000-0005-0000-0000-000022610000}"/>
    <cellStyle name="Normal 3 14 7" xfId="3605" xr:uid="{00000000-0005-0000-0000-000023610000}"/>
    <cellStyle name="Normal 3 14 7 2" xfId="24337" xr:uid="{00000000-0005-0000-0000-000024610000}"/>
    <cellStyle name="Normal 3 15" xfId="311" xr:uid="{00000000-0005-0000-0000-000025610000}"/>
    <cellStyle name="Normal 3 15 2" xfId="5036" xr:uid="{00000000-0005-0000-0000-000026610000}"/>
    <cellStyle name="Normal 3 15 2 2" xfId="6661" xr:uid="{00000000-0005-0000-0000-000027610000}"/>
    <cellStyle name="Normal 3 15 2 2 2" xfId="9747" xr:uid="{00000000-0005-0000-0000-000028610000}"/>
    <cellStyle name="Normal 3 15 2 2 2 2" xfId="15940" xr:uid="{00000000-0005-0000-0000-000029610000}"/>
    <cellStyle name="Normal 3 15 2 2 2 2 2" xfId="35860" xr:uid="{00000000-0005-0000-0000-00002A610000}"/>
    <cellStyle name="Normal 3 15 2 2 2 3" xfId="22092" xr:uid="{00000000-0005-0000-0000-00002B610000}"/>
    <cellStyle name="Normal 3 15 2 2 2 3 2" xfId="42012" xr:uid="{00000000-0005-0000-0000-00002C610000}"/>
    <cellStyle name="Normal 3 15 2 2 2 4" xfId="29707" xr:uid="{00000000-0005-0000-0000-00002D610000}"/>
    <cellStyle name="Normal 3 15 2 2 3" xfId="12874" xr:uid="{00000000-0005-0000-0000-00002E610000}"/>
    <cellStyle name="Normal 3 15 2 2 3 2" xfId="32794" xr:uid="{00000000-0005-0000-0000-00002F610000}"/>
    <cellStyle name="Normal 3 15 2 2 4" xfId="19026" xr:uid="{00000000-0005-0000-0000-000030610000}"/>
    <cellStyle name="Normal 3 15 2 2 4 2" xfId="38946" xr:uid="{00000000-0005-0000-0000-000031610000}"/>
    <cellStyle name="Normal 3 15 2 2 5" xfId="26641" xr:uid="{00000000-0005-0000-0000-000032610000}"/>
    <cellStyle name="Normal 3 15 2 3" xfId="8212" xr:uid="{00000000-0005-0000-0000-000033610000}"/>
    <cellStyle name="Normal 3 15 2 3 2" xfId="14406" xr:uid="{00000000-0005-0000-0000-000034610000}"/>
    <cellStyle name="Normal 3 15 2 3 2 2" xfId="34326" xr:uid="{00000000-0005-0000-0000-000035610000}"/>
    <cellStyle name="Normal 3 15 2 3 3" xfId="20558" xr:uid="{00000000-0005-0000-0000-000036610000}"/>
    <cellStyle name="Normal 3 15 2 3 3 2" xfId="40478" xr:uid="{00000000-0005-0000-0000-000037610000}"/>
    <cellStyle name="Normal 3 15 2 3 4" xfId="28173" xr:uid="{00000000-0005-0000-0000-000038610000}"/>
    <cellStyle name="Normal 3 15 2 4" xfId="11340" xr:uid="{00000000-0005-0000-0000-000039610000}"/>
    <cellStyle name="Normal 3 15 2 4 2" xfId="31260" xr:uid="{00000000-0005-0000-0000-00003A610000}"/>
    <cellStyle name="Normal 3 15 2 5" xfId="17492" xr:uid="{00000000-0005-0000-0000-00003B610000}"/>
    <cellStyle name="Normal 3 15 2 5 2" xfId="37412" xr:uid="{00000000-0005-0000-0000-00003C610000}"/>
    <cellStyle name="Normal 3 15 2 6" xfId="25107" xr:uid="{00000000-0005-0000-0000-00003D610000}"/>
    <cellStyle name="Normal 3 15 3" xfId="5878" xr:uid="{00000000-0005-0000-0000-00003E610000}"/>
    <cellStyle name="Normal 3 15 3 2" xfId="8978" xr:uid="{00000000-0005-0000-0000-00003F610000}"/>
    <cellStyle name="Normal 3 15 3 2 2" xfId="15171" xr:uid="{00000000-0005-0000-0000-000040610000}"/>
    <cellStyle name="Normal 3 15 3 2 2 2" xfId="35091" xr:uid="{00000000-0005-0000-0000-000041610000}"/>
    <cellStyle name="Normal 3 15 3 2 3" xfId="21323" xr:uid="{00000000-0005-0000-0000-000042610000}"/>
    <cellStyle name="Normal 3 15 3 2 3 2" xfId="41243" xr:uid="{00000000-0005-0000-0000-000043610000}"/>
    <cellStyle name="Normal 3 15 3 2 4" xfId="28938" xr:uid="{00000000-0005-0000-0000-000044610000}"/>
    <cellStyle name="Normal 3 15 3 3" xfId="12105" xr:uid="{00000000-0005-0000-0000-000045610000}"/>
    <cellStyle name="Normal 3 15 3 3 2" xfId="32025" xr:uid="{00000000-0005-0000-0000-000046610000}"/>
    <cellStyle name="Normal 3 15 3 4" xfId="18257" xr:uid="{00000000-0005-0000-0000-000047610000}"/>
    <cellStyle name="Normal 3 15 3 4 2" xfId="38177" xr:uid="{00000000-0005-0000-0000-000048610000}"/>
    <cellStyle name="Normal 3 15 3 5" xfId="25872" xr:uid="{00000000-0005-0000-0000-000049610000}"/>
    <cellStyle name="Normal 3 15 4" xfId="7443" xr:uid="{00000000-0005-0000-0000-00004A610000}"/>
    <cellStyle name="Normal 3 15 4 2" xfId="13637" xr:uid="{00000000-0005-0000-0000-00004B610000}"/>
    <cellStyle name="Normal 3 15 4 2 2" xfId="33557" xr:uid="{00000000-0005-0000-0000-00004C610000}"/>
    <cellStyle name="Normal 3 15 4 3" xfId="19789" xr:uid="{00000000-0005-0000-0000-00004D610000}"/>
    <cellStyle name="Normal 3 15 4 3 2" xfId="39709" xr:uid="{00000000-0005-0000-0000-00004E610000}"/>
    <cellStyle name="Normal 3 15 4 4" xfId="27404" xr:uid="{00000000-0005-0000-0000-00004F610000}"/>
    <cellStyle name="Normal 3 15 5" xfId="10571" xr:uid="{00000000-0005-0000-0000-000050610000}"/>
    <cellStyle name="Normal 3 15 5 2" xfId="30491" xr:uid="{00000000-0005-0000-0000-000051610000}"/>
    <cellStyle name="Normal 3 15 6" xfId="16723" xr:uid="{00000000-0005-0000-0000-000052610000}"/>
    <cellStyle name="Normal 3 15 6 2" xfId="36643" xr:uid="{00000000-0005-0000-0000-000053610000}"/>
    <cellStyle name="Normal 3 15 7" xfId="3606" xr:uid="{00000000-0005-0000-0000-000054610000}"/>
    <cellStyle name="Normal 3 15 7 2" xfId="24338" xr:uid="{00000000-0005-0000-0000-000055610000}"/>
    <cellStyle name="Normal 3 16" xfId="319" xr:uid="{00000000-0005-0000-0000-000056610000}"/>
    <cellStyle name="Normal 3 16 2" xfId="5037" xr:uid="{00000000-0005-0000-0000-000057610000}"/>
    <cellStyle name="Normal 3 16 2 2" xfId="6662" xr:uid="{00000000-0005-0000-0000-000058610000}"/>
    <cellStyle name="Normal 3 16 2 2 2" xfId="9748" xr:uid="{00000000-0005-0000-0000-000059610000}"/>
    <cellStyle name="Normal 3 16 2 2 2 2" xfId="15941" xr:uid="{00000000-0005-0000-0000-00005A610000}"/>
    <cellStyle name="Normal 3 16 2 2 2 2 2" xfId="35861" xr:uid="{00000000-0005-0000-0000-00005B610000}"/>
    <cellStyle name="Normal 3 16 2 2 2 3" xfId="22093" xr:uid="{00000000-0005-0000-0000-00005C610000}"/>
    <cellStyle name="Normal 3 16 2 2 2 3 2" xfId="42013" xr:uid="{00000000-0005-0000-0000-00005D610000}"/>
    <cellStyle name="Normal 3 16 2 2 2 4" xfId="29708" xr:uid="{00000000-0005-0000-0000-00005E610000}"/>
    <cellStyle name="Normal 3 16 2 2 3" xfId="12875" xr:uid="{00000000-0005-0000-0000-00005F610000}"/>
    <cellStyle name="Normal 3 16 2 2 3 2" xfId="32795" xr:uid="{00000000-0005-0000-0000-000060610000}"/>
    <cellStyle name="Normal 3 16 2 2 4" xfId="19027" xr:uid="{00000000-0005-0000-0000-000061610000}"/>
    <cellStyle name="Normal 3 16 2 2 4 2" xfId="38947" xr:uid="{00000000-0005-0000-0000-000062610000}"/>
    <cellStyle name="Normal 3 16 2 2 5" xfId="26642" xr:uid="{00000000-0005-0000-0000-000063610000}"/>
    <cellStyle name="Normal 3 16 2 3" xfId="8213" xr:uid="{00000000-0005-0000-0000-000064610000}"/>
    <cellStyle name="Normal 3 16 2 3 2" xfId="14407" xr:uid="{00000000-0005-0000-0000-000065610000}"/>
    <cellStyle name="Normal 3 16 2 3 2 2" xfId="34327" xr:uid="{00000000-0005-0000-0000-000066610000}"/>
    <cellStyle name="Normal 3 16 2 3 3" xfId="20559" xr:uid="{00000000-0005-0000-0000-000067610000}"/>
    <cellStyle name="Normal 3 16 2 3 3 2" xfId="40479" xr:uid="{00000000-0005-0000-0000-000068610000}"/>
    <cellStyle name="Normal 3 16 2 3 4" xfId="28174" xr:uid="{00000000-0005-0000-0000-000069610000}"/>
    <cellStyle name="Normal 3 16 2 4" xfId="11341" xr:uid="{00000000-0005-0000-0000-00006A610000}"/>
    <cellStyle name="Normal 3 16 2 4 2" xfId="31261" xr:uid="{00000000-0005-0000-0000-00006B610000}"/>
    <cellStyle name="Normal 3 16 2 5" xfId="17493" xr:uid="{00000000-0005-0000-0000-00006C610000}"/>
    <cellStyle name="Normal 3 16 2 5 2" xfId="37413" xr:uid="{00000000-0005-0000-0000-00006D610000}"/>
    <cellStyle name="Normal 3 16 2 6" xfId="25108" xr:uid="{00000000-0005-0000-0000-00006E610000}"/>
    <cellStyle name="Normal 3 16 3" xfId="5879" xr:uid="{00000000-0005-0000-0000-00006F610000}"/>
    <cellStyle name="Normal 3 16 3 2" xfId="8979" xr:uid="{00000000-0005-0000-0000-000070610000}"/>
    <cellStyle name="Normal 3 16 3 2 2" xfId="15172" xr:uid="{00000000-0005-0000-0000-000071610000}"/>
    <cellStyle name="Normal 3 16 3 2 2 2" xfId="35092" xr:uid="{00000000-0005-0000-0000-000072610000}"/>
    <cellStyle name="Normal 3 16 3 2 3" xfId="21324" xr:uid="{00000000-0005-0000-0000-000073610000}"/>
    <cellStyle name="Normal 3 16 3 2 3 2" xfId="41244" xr:uid="{00000000-0005-0000-0000-000074610000}"/>
    <cellStyle name="Normal 3 16 3 2 4" xfId="28939" xr:uid="{00000000-0005-0000-0000-000075610000}"/>
    <cellStyle name="Normal 3 16 3 3" xfId="12106" xr:uid="{00000000-0005-0000-0000-000076610000}"/>
    <cellStyle name="Normal 3 16 3 3 2" xfId="32026" xr:uid="{00000000-0005-0000-0000-000077610000}"/>
    <cellStyle name="Normal 3 16 3 4" xfId="18258" xr:uid="{00000000-0005-0000-0000-000078610000}"/>
    <cellStyle name="Normal 3 16 3 4 2" xfId="38178" xr:uid="{00000000-0005-0000-0000-000079610000}"/>
    <cellStyle name="Normal 3 16 3 5" xfId="25873" xr:uid="{00000000-0005-0000-0000-00007A610000}"/>
    <cellStyle name="Normal 3 16 4" xfId="7444" xr:uid="{00000000-0005-0000-0000-00007B610000}"/>
    <cellStyle name="Normal 3 16 4 2" xfId="13638" xr:uid="{00000000-0005-0000-0000-00007C610000}"/>
    <cellStyle name="Normal 3 16 4 2 2" xfId="33558" xr:uid="{00000000-0005-0000-0000-00007D610000}"/>
    <cellStyle name="Normal 3 16 4 3" xfId="19790" xr:uid="{00000000-0005-0000-0000-00007E610000}"/>
    <cellStyle name="Normal 3 16 4 3 2" xfId="39710" xr:uid="{00000000-0005-0000-0000-00007F610000}"/>
    <cellStyle name="Normal 3 16 4 4" xfId="27405" xr:uid="{00000000-0005-0000-0000-000080610000}"/>
    <cellStyle name="Normal 3 16 5" xfId="10572" xr:uid="{00000000-0005-0000-0000-000081610000}"/>
    <cellStyle name="Normal 3 16 5 2" xfId="30492" xr:uid="{00000000-0005-0000-0000-000082610000}"/>
    <cellStyle name="Normal 3 16 6" xfId="16724" xr:uid="{00000000-0005-0000-0000-000083610000}"/>
    <cellStyle name="Normal 3 16 6 2" xfId="36644" xr:uid="{00000000-0005-0000-0000-000084610000}"/>
    <cellStyle name="Normal 3 16 7" xfId="3607" xr:uid="{00000000-0005-0000-0000-000085610000}"/>
    <cellStyle name="Normal 3 16 7 2" xfId="24339" xr:uid="{00000000-0005-0000-0000-000086610000}"/>
    <cellStyle name="Normal 3 17" xfId="294" xr:uid="{00000000-0005-0000-0000-000087610000}"/>
    <cellStyle name="Normal 3 17 2" xfId="5038" xr:uid="{00000000-0005-0000-0000-000088610000}"/>
    <cellStyle name="Normal 3 17 2 2" xfId="6663" xr:uid="{00000000-0005-0000-0000-000089610000}"/>
    <cellStyle name="Normal 3 17 2 2 2" xfId="9749" xr:uid="{00000000-0005-0000-0000-00008A610000}"/>
    <cellStyle name="Normal 3 17 2 2 2 2" xfId="15942" xr:uid="{00000000-0005-0000-0000-00008B610000}"/>
    <cellStyle name="Normal 3 17 2 2 2 2 2" xfId="35862" xr:uid="{00000000-0005-0000-0000-00008C610000}"/>
    <cellStyle name="Normal 3 17 2 2 2 3" xfId="22094" xr:uid="{00000000-0005-0000-0000-00008D610000}"/>
    <cellStyle name="Normal 3 17 2 2 2 3 2" xfId="42014" xr:uid="{00000000-0005-0000-0000-00008E610000}"/>
    <cellStyle name="Normal 3 17 2 2 2 4" xfId="29709" xr:uid="{00000000-0005-0000-0000-00008F610000}"/>
    <cellStyle name="Normal 3 17 2 2 3" xfId="12876" xr:uid="{00000000-0005-0000-0000-000090610000}"/>
    <cellStyle name="Normal 3 17 2 2 3 2" xfId="32796" xr:uid="{00000000-0005-0000-0000-000091610000}"/>
    <cellStyle name="Normal 3 17 2 2 4" xfId="19028" xr:uid="{00000000-0005-0000-0000-000092610000}"/>
    <cellStyle name="Normal 3 17 2 2 4 2" xfId="38948" xr:uid="{00000000-0005-0000-0000-000093610000}"/>
    <cellStyle name="Normal 3 17 2 2 5" xfId="26643" xr:uid="{00000000-0005-0000-0000-000094610000}"/>
    <cellStyle name="Normal 3 17 2 3" xfId="8214" xr:uid="{00000000-0005-0000-0000-000095610000}"/>
    <cellStyle name="Normal 3 17 2 3 2" xfId="14408" xr:uid="{00000000-0005-0000-0000-000096610000}"/>
    <cellStyle name="Normal 3 17 2 3 2 2" xfId="34328" xr:uid="{00000000-0005-0000-0000-000097610000}"/>
    <cellStyle name="Normal 3 17 2 3 3" xfId="20560" xr:uid="{00000000-0005-0000-0000-000098610000}"/>
    <cellStyle name="Normal 3 17 2 3 3 2" xfId="40480" xr:uid="{00000000-0005-0000-0000-000099610000}"/>
    <cellStyle name="Normal 3 17 2 3 4" xfId="28175" xr:uid="{00000000-0005-0000-0000-00009A610000}"/>
    <cellStyle name="Normal 3 17 2 4" xfId="11342" xr:uid="{00000000-0005-0000-0000-00009B610000}"/>
    <cellStyle name="Normal 3 17 2 4 2" xfId="31262" xr:uid="{00000000-0005-0000-0000-00009C610000}"/>
    <cellStyle name="Normal 3 17 2 5" xfId="17494" xr:uid="{00000000-0005-0000-0000-00009D610000}"/>
    <cellStyle name="Normal 3 17 2 5 2" xfId="37414" xr:uid="{00000000-0005-0000-0000-00009E610000}"/>
    <cellStyle name="Normal 3 17 2 6" xfId="25109" xr:uid="{00000000-0005-0000-0000-00009F610000}"/>
    <cellStyle name="Normal 3 17 3" xfId="5880" xr:uid="{00000000-0005-0000-0000-0000A0610000}"/>
    <cellStyle name="Normal 3 17 3 2" xfId="8980" xr:uid="{00000000-0005-0000-0000-0000A1610000}"/>
    <cellStyle name="Normal 3 17 3 2 2" xfId="15173" xr:uid="{00000000-0005-0000-0000-0000A2610000}"/>
    <cellStyle name="Normal 3 17 3 2 2 2" xfId="35093" xr:uid="{00000000-0005-0000-0000-0000A3610000}"/>
    <cellStyle name="Normal 3 17 3 2 3" xfId="21325" xr:uid="{00000000-0005-0000-0000-0000A4610000}"/>
    <cellStyle name="Normal 3 17 3 2 3 2" xfId="41245" xr:uid="{00000000-0005-0000-0000-0000A5610000}"/>
    <cellStyle name="Normal 3 17 3 2 4" xfId="28940" xr:uid="{00000000-0005-0000-0000-0000A6610000}"/>
    <cellStyle name="Normal 3 17 3 3" xfId="12107" xr:uid="{00000000-0005-0000-0000-0000A7610000}"/>
    <cellStyle name="Normal 3 17 3 3 2" xfId="32027" xr:uid="{00000000-0005-0000-0000-0000A8610000}"/>
    <cellStyle name="Normal 3 17 3 4" xfId="18259" xr:uid="{00000000-0005-0000-0000-0000A9610000}"/>
    <cellStyle name="Normal 3 17 3 4 2" xfId="38179" xr:uid="{00000000-0005-0000-0000-0000AA610000}"/>
    <cellStyle name="Normal 3 17 3 5" xfId="25874" xr:uid="{00000000-0005-0000-0000-0000AB610000}"/>
    <cellStyle name="Normal 3 17 4" xfId="7445" xr:uid="{00000000-0005-0000-0000-0000AC610000}"/>
    <cellStyle name="Normal 3 17 4 2" xfId="13639" xr:uid="{00000000-0005-0000-0000-0000AD610000}"/>
    <cellStyle name="Normal 3 17 4 2 2" xfId="33559" xr:uid="{00000000-0005-0000-0000-0000AE610000}"/>
    <cellStyle name="Normal 3 17 4 3" xfId="19791" xr:uid="{00000000-0005-0000-0000-0000AF610000}"/>
    <cellStyle name="Normal 3 17 4 3 2" xfId="39711" xr:uid="{00000000-0005-0000-0000-0000B0610000}"/>
    <cellStyle name="Normal 3 17 4 4" xfId="27406" xr:uid="{00000000-0005-0000-0000-0000B1610000}"/>
    <cellStyle name="Normal 3 17 5" xfId="10573" xr:uid="{00000000-0005-0000-0000-0000B2610000}"/>
    <cellStyle name="Normal 3 17 5 2" xfId="30493" xr:uid="{00000000-0005-0000-0000-0000B3610000}"/>
    <cellStyle name="Normal 3 17 6" xfId="16725" xr:uid="{00000000-0005-0000-0000-0000B4610000}"/>
    <cellStyle name="Normal 3 17 6 2" xfId="36645" xr:uid="{00000000-0005-0000-0000-0000B5610000}"/>
    <cellStyle name="Normal 3 17 7" xfId="3608" xr:uid="{00000000-0005-0000-0000-0000B6610000}"/>
    <cellStyle name="Normal 3 17 7 2" xfId="24340" xr:uid="{00000000-0005-0000-0000-0000B7610000}"/>
    <cellStyle name="Normal 3 18" xfId="331" xr:uid="{00000000-0005-0000-0000-0000B8610000}"/>
    <cellStyle name="Normal 3 18 2" xfId="5039" xr:uid="{00000000-0005-0000-0000-0000B9610000}"/>
    <cellStyle name="Normal 3 18 2 2" xfId="6664" xr:uid="{00000000-0005-0000-0000-0000BA610000}"/>
    <cellStyle name="Normal 3 18 2 2 2" xfId="9750" xr:uid="{00000000-0005-0000-0000-0000BB610000}"/>
    <cellStyle name="Normal 3 18 2 2 2 2" xfId="15943" xr:uid="{00000000-0005-0000-0000-0000BC610000}"/>
    <cellStyle name="Normal 3 18 2 2 2 2 2" xfId="35863" xr:uid="{00000000-0005-0000-0000-0000BD610000}"/>
    <cellStyle name="Normal 3 18 2 2 2 3" xfId="22095" xr:uid="{00000000-0005-0000-0000-0000BE610000}"/>
    <cellStyle name="Normal 3 18 2 2 2 3 2" xfId="42015" xr:uid="{00000000-0005-0000-0000-0000BF610000}"/>
    <cellStyle name="Normal 3 18 2 2 2 4" xfId="29710" xr:uid="{00000000-0005-0000-0000-0000C0610000}"/>
    <cellStyle name="Normal 3 18 2 2 3" xfId="12877" xr:uid="{00000000-0005-0000-0000-0000C1610000}"/>
    <cellStyle name="Normal 3 18 2 2 3 2" xfId="32797" xr:uid="{00000000-0005-0000-0000-0000C2610000}"/>
    <cellStyle name="Normal 3 18 2 2 4" xfId="19029" xr:uid="{00000000-0005-0000-0000-0000C3610000}"/>
    <cellStyle name="Normal 3 18 2 2 4 2" xfId="38949" xr:uid="{00000000-0005-0000-0000-0000C4610000}"/>
    <cellStyle name="Normal 3 18 2 2 5" xfId="26644" xr:uid="{00000000-0005-0000-0000-0000C5610000}"/>
    <cellStyle name="Normal 3 18 2 3" xfId="8215" xr:uid="{00000000-0005-0000-0000-0000C6610000}"/>
    <cellStyle name="Normal 3 18 2 3 2" xfId="14409" xr:uid="{00000000-0005-0000-0000-0000C7610000}"/>
    <cellStyle name="Normal 3 18 2 3 2 2" xfId="34329" xr:uid="{00000000-0005-0000-0000-0000C8610000}"/>
    <cellStyle name="Normal 3 18 2 3 3" xfId="20561" xr:uid="{00000000-0005-0000-0000-0000C9610000}"/>
    <cellStyle name="Normal 3 18 2 3 3 2" xfId="40481" xr:uid="{00000000-0005-0000-0000-0000CA610000}"/>
    <cellStyle name="Normal 3 18 2 3 4" xfId="28176" xr:uid="{00000000-0005-0000-0000-0000CB610000}"/>
    <cellStyle name="Normal 3 18 2 4" xfId="11343" xr:uid="{00000000-0005-0000-0000-0000CC610000}"/>
    <cellStyle name="Normal 3 18 2 4 2" xfId="31263" xr:uid="{00000000-0005-0000-0000-0000CD610000}"/>
    <cellStyle name="Normal 3 18 2 5" xfId="17495" xr:uid="{00000000-0005-0000-0000-0000CE610000}"/>
    <cellStyle name="Normal 3 18 2 5 2" xfId="37415" xr:uid="{00000000-0005-0000-0000-0000CF610000}"/>
    <cellStyle name="Normal 3 18 2 6" xfId="25110" xr:uid="{00000000-0005-0000-0000-0000D0610000}"/>
    <cellStyle name="Normal 3 18 3" xfId="5881" xr:uid="{00000000-0005-0000-0000-0000D1610000}"/>
    <cellStyle name="Normal 3 18 3 2" xfId="8981" xr:uid="{00000000-0005-0000-0000-0000D2610000}"/>
    <cellStyle name="Normal 3 18 3 2 2" xfId="15174" xr:uid="{00000000-0005-0000-0000-0000D3610000}"/>
    <cellStyle name="Normal 3 18 3 2 2 2" xfId="35094" xr:uid="{00000000-0005-0000-0000-0000D4610000}"/>
    <cellStyle name="Normal 3 18 3 2 3" xfId="21326" xr:uid="{00000000-0005-0000-0000-0000D5610000}"/>
    <cellStyle name="Normal 3 18 3 2 3 2" xfId="41246" xr:uid="{00000000-0005-0000-0000-0000D6610000}"/>
    <cellStyle name="Normal 3 18 3 2 4" xfId="28941" xr:uid="{00000000-0005-0000-0000-0000D7610000}"/>
    <cellStyle name="Normal 3 18 3 3" xfId="12108" xr:uid="{00000000-0005-0000-0000-0000D8610000}"/>
    <cellStyle name="Normal 3 18 3 3 2" xfId="32028" xr:uid="{00000000-0005-0000-0000-0000D9610000}"/>
    <cellStyle name="Normal 3 18 3 4" xfId="18260" xr:uid="{00000000-0005-0000-0000-0000DA610000}"/>
    <cellStyle name="Normal 3 18 3 4 2" xfId="38180" xr:uid="{00000000-0005-0000-0000-0000DB610000}"/>
    <cellStyle name="Normal 3 18 3 5" xfId="25875" xr:uid="{00000000-0005-0000-0000-0000DC610000}"/>
    <cellStyle name="Normal 3 18 4" xfId="7446" xr:uid="{00000000-0005-0000-0000-0000DD610000}"/>
    <cellStyle name="Normal 3 18 4 2" xfId="13640" xr:uid="{00000000-0005-0000-0000-0000DE610000}"/>
    <cellStyle name="Normal 3 18 4 2 2" xfId="33560" xr:uid="{00000000-0005-0000-0000-0000DF610000}"/>
    <cellStyle name="Normal 3 18 4 3" xfId="19792" xr:uid="{00000000-0005-0000-0000-0000E0610000}"/>
    <cellStyle name="Normal 3 18 4 3 2" xfId="39712" xr:uid="{00000000-0005-0000-0000-0000E1610000}"/>
    <cellStyle name="Normal 3 18 4 4" xfId="27407" xr:uid="{00000000-0005-0000-0000-0000E2610000}"/>
    <cellStyle name="Normal 3 18 5" xfId="10574" xr:uid="{00000000-0005-0000-0000-0000E3610000}"/>
    <cellStyle name="Normal 3 18 5 2" xfId="30494" xr:uid="{00000000-0005-0000-0000-0000E4610000}"/>
    <cellStyle name="Normal 3 18 6" xfId="16726" xr:uid="{00000000-0005-0000-0000-0000E5610000}"/>
    <cellStyle name="Normal 3 18 6 2" xfId="36646" xr:uid="{00000000-0005-0000-0000-0000E6610000}"/>
    <cellStyle name="Normal 3 18 7" xfId="3609" xr:uid="{00000000-0005-0000-0000-0000E7610000}"/>
    <cellStyle name="Normal 3 18 7 2" xfId="24341" xr:uid="{00000000-0005-0000-0000-0000E8610000}"/>
    <cellStyle name="Normal 3 19" xfId="329" xr:uid="{00000000-0005-0000-0000-0000E9610000}"/>
    <cellStyle name="Normal 3 19 2" xfId="5040" xr:uid="{00000000-0005-0000-0000-0000EA610000}"/>
    <cellStyle name="Normal 3 19 2 2" xfId="6665" xr:uid="{00000000-0005-0000-0000-0000EB610000}"/>
    <cellStyle name="Normal 3 19 2 2 2" xfId="9751" xr:uid="{00000000-0005-0000-0000-0000EC610000}"/>
    <cellStyle name="Normal 3 19 2 2 2 2" xfId="15944" xr:uid="{00000000-0005-0000-0000-0000ED610000}"/>
    <cellStyle name="Normal 3 19 2 2 2 2 2" xfId="35864" xr:uid="{00000000-0005-0000-0000-0000EE610000}"/>
    <cellStyle name="Normal 3 19 2 2 2 3" xfId="22096" xr:uid="{00000000-0005-0000-0000-0000EF610000}"/>
    <cellStyle name="Normal 3 19 2 2 2 3 2" xfId="42016" xr:uid="{00000000-0005-0000-0000-0000F0610000}"/>
    <cellStyle name="Normal 3 19 2 2 2 4" xfId="29711" xr:uid="{00000000-0005-0000-0000-0000F1610000}"/>
    <cellStyle name="Normal 3 19 2 2 3" xfId="12878" xr:uid="{00000000-0005-0000-0000-0000F2610000}"/>
    <cellStyle name="Normal 3 19 2 2 3 2" xfId="32798" xr:uid="{00000000-0005-0000-0000-0000F3610000}"/>
    <cellStyle name="Normal 3 19 2 2 4" xfId="19030" xr:uid="{00000000-0005-0000-0000-0000F4610000}"/>
    <cellStyle name="Normal 3 19 2 2 4 2" xfId="38950" xr:uid="{00000000-0005-0000-0000-0000F5610000}"/>
    <cellStyle name="Normal 3 19 2 2 5" xfId="26645" xr:uid="{00000000-0005-0000-0000-0000F6610000}"/>
    <cellStyle name="Normal 3 19 2 3" xfId="8216" xr:uid="{00000000-0005-0000-0000-0000F7610000}"/>
    <cellStyle name="Normal 3 19 2 3 2" xfId="14410" xr:uid="{00000000-0005-0000-0000-0000F8610000}"/>
    <cellStyle name="Normal 3 19 2 3 2 2" xfId="34330" xr:uid="{00000000-0005-0000-0000-0000F9610000}"/>
    <cellStyle name="Normal 3 19 2 3 3" xfId="20562" xr:uid="{00000000-0005-0000-0000-0000FA610000}"/>
    <cellStyle name="Normal 3 19 2 3 3 2" xfId="40482" xr:uid="{00000000-0005-0000-0000-0000FB610000}"/>
    <cellStyle name="Normal 3 19 2 3 4" xfId="28177" xr:uid="{00000000-0005-0000-0000-0000FC610000}"/>
    <cellStyle name="Normal 3 19 2 4" xfId="11344" xr:uid="{00000000-0005-0000-0000-0000FD610000}"/>
    <cellStyle name="Normal 3 19 2 4 2" xfId="31264" xr:uid="{00000000-0005-0000-0000-0000FE610000}"/>
    <cellStyle name="Normal 3 19 2 5" xfId="17496" xr:uid="{00000000-0005-0000-0000-0000FF610000}"/>
    <cellStyle name="Normal 3 19 2 5 2" xfId="37416" xr:uid="{00000000-0005-0000-0000-000000620000}"/>
    <cellStyle name="Normal 3 19 2 6" xfId="25111" xr:uid="{00000000-0005-0000-0000-000001620000}"/>
    <cellStyle name="Normal 3 19 3" xfId="5882" xr:uid="{00000000-0005-0000-0000-000002620000}"/>
    <cellStyle name="Normal 3 19 3 2" xfId="8982" xr:uid="{00000000-0005-0000-0000-000003620000}"/>
    <cellStyle name="Normal 3 19 3 2 2" xfId="15175" xr:uid="{00000000-0005-0000-0000-000004620000}"/>
    <cellStyle name="Normal 3 19 3 2 2 2" xfId="35095" xr:uid="{00000000-0005-0000-0000-000005620000}"/>
    <cellStyle name="Normal 3 19 3 2 3" xfId="21327" xr:uid="{00000000-0005-0000-0000-000006620000}"/>
    <cellStyle name="Normal 3 19 3 2 3 2" xfId="41247" xr:uid="{00000000-0005-0000-0000-000007620000}"/>
    <cellStyle name="Normal 3 19 3 2 4" xfId="28942" xr:uid="{00000000-0005-0000-0000-000008620000}"/>
    <cellStyle name="Normal 3 19 3 3" xfId="12109" xr:uid="{00000000-0005-0000-0000-000009620000}"/>
    <cellStyle name="Normal 3 19 3 3 2" xfId="32029" xr:uid="{00000000-0005-0000-0000-00000A620000}"/>
    <cellStyle name="Normal 3 19 3 4" xfId="18261" xr:uid="{00000000-0005-0000-0000-00000B620000}"/>
    <cellStyle name="Normal 3 19 3 4 2" xfId="38181" xr:uid="{00000000-0005-0000-0000-00000C620000}"/>
    <cellStyle name="Normal 3 19 3 5" xfId="25876" xr:uid="{00000000-0005-0000-0000-00000D620000}"/>
    <cellStyle name="Normal 3 19 4" xfId="7447" xr:uid="{00000000-0005-0000-0000-00000E620000}"/>
    <cellStyle name="Normal 3 19 4 2" xfId="13641" xr:uid="{00000000-0005-0000-0000-00000F620000}"/>
    <cellStyle name="Normal 3 19 4 2 2" xfId="33561" xr:uid="{00000000-0005-0000-0000-000010620000}"/>
    <cellStyle name="Normal 3 19 4 3" xfId="19793" xr:uid="{00000000-0005-0000-0000-000011620000}"/>
    <cellStyle name="Normal 3 19 4 3 2" xfId="39713" xr:uid="{00000000-0005-0000-0000-000012620000}"/>
    <cellStyle name="Normal 3 19 4 4" xfId="27408" xr:uid="{00000000-0005-0000-0000-000013620000}"/>
    <cellStyle name="Normal 3 19 5" xfId="10575" xr:uid="{00000000-0005-0000-0000-000014620000}"/>
    <cellStyle name="Normal 3 19 5 2" xfId="30495" xr:uid="{00000000-0005-0000-0000-000015620000}"/>
    <cellStyle name="Normal 3 19 6" xfId="16727" xr:uid="{00000000-0005-0000-0000-000016620000}"/>
    <cellStyle name="Normal 3 19 6 2" xfId="36647" xr:uid="{00000000-0005-0000-0000-000017620000}"/>
    <cellStyle name="Normal 3 19 7" xfId="3610" xr:uid="{00000000-0005-0000-0000-000018620000}"/>
    <cellStyle name="Normal 3 19 7 2" xfId="24342" xr:uid="{00000000-0005-0000-0000-000019620000}"/>
    <cellStyle name="Normal 3 2" xfId="14" xr:uid="{00000000-0005-0000-0000-00001A620000}"/>
    <cellStyle name="Normal 3 2 2" xfId="3612" xr:uid="{00000000-0005-0000-0000-00001B620000}"/>
    <cellStyle name="Normal 3 2 2 2" xfId="5041" xr:uid="{00000000-0005-0000-0000-00001C620000}"/>
    <cellStyle name="Normal 3 2 2 2 2" xfId="6666" xr:uid="{00000000-0005-0000-0000-00001D620000}"/>
    <cellStyle name="Normal 3 2 2 2 2 2" xfId="9752" xr:uid="{00000000-0005-0000-0000-00001E620000}"/>
    <cellStyle name="Normal 3 2 2 2 2 2 2" xfId="15945" xr:uid="{00000000-0005-0000-0000-00001F620000}"/>
    <cellStyle name="Normal 3 2 2 2 2 2 2 2" xfId="35865" xr:uid="{00000000-0005-0000-0000-000020620000}"/>
    <cellStyle name="Normal 3 2 2 2 2 2 3" xfId="22097" xr:uid="{00000000-0005-0000-0000-000021620000}"/>
    <cellStyle name="Normal 3 2 2 2 2 2 3 2" xfId="42017" xr:uid="{00000000-0005-0000-0000-000022620000}"/>
    <cellStyle name="Normal 3 2 2 2 2 2 4" xfId="29712" xr:uid="{00000000-0005-0000-0000-000023620000}"/>
    <cellStyle name="Normal 3 2 2 2 2 3" xfId="12879" xr:uid="{00000000-0005-0000-0000-000024620000}"/>
    <cellStyle name="Normal 3 2 2 2 2 3 2" xfId="32799" xr:uid="{00000000-0005-0000-0000-000025620000}"/>
    <cellStyle name="Normal 3 2 2 2 2 4" xfId="19031" xr:uid="{00000000-0005-0000-0000-000026620000}"/>
    <cellStyle name="Normal 3 2 2 2 2 4 2" xfId="38951" xr:uid="{00000000-0005-0000-0000-000027620000}"/>
    <cellStyle name="Normal 3 2 2 2 2 5" xfId="26646" xr:uid="{00000000-0005-0000-0000-000028620000}"/>
    <cellStyle name="Normal 3 2 2 2 3" xfId="8217" xr:uid="{00000000-0005-0000-0000-000029620000}"/>
    <cellStyle name="Normal 3 2 2 2 3 2" xfId="14411" xr:uid="{00000000-0005-0000-0000-00002A620000}"/>
    <cellStyle name="Normal 3 2 2 2 3 2 2" xfId="34331" xr:uid="{00000000-0005-0000-0000-00002B620000}"/>
    <cellStyle name="Normal 3 2 2 2 3 3" xfId="20563" xr:uid="{00000000-0005-0000-0000-00002C620000}"/>
    <cellStyle name="Normal 3 2 2 2 3 3 2" xfId="40483" xr:uid="{00000000-0005-0000-0000-00002D620000}"/>
    <cellStyle name="Normal 3 2 2 2 3 4" xfId="28178" xr:uid="{00000000-0005-0000-0000-00002E620000}"/>
    <cellStyle name="Normal 3 2 2 2 4" xfId="11345" xr:uid="{00000000-0005-0000-0000-00002F620000}"/>
    <cellStyle name="Normal 3 2 2 2 4 2" xfId="31265" xr:uid="{00000000-0005-0000-0000-000030620000}"/>
    <cellStyle name="Normal 3 2 2 2 5" xfId="17497" xr:uid="{00000000-0005-0000-0000-000031620000}"/>
    <cellStyle name="Normal 3 2 2 2 5 2" xfId="37417" xr:uid="{00000000-0005-0000-0000-000032620000}"/>
    <cellStyle name="Normal 3 2 2 2 6" xfId="25112" xr:uid="{00000000-0005-0000-0000-000033620000}"/>
    <cellStyle name="Normal 3 2 2 3" xfId="5883" xr:uid="{00000000-0005-0000-0000-000034620000}"/>
    <cellStyle name="Normal 3 2 2 3 2" xfId="8983" xr:uid="{00000000-0005-0000-0000-000035620000}"/>
    <cellStyle name="Normal 3 2 2 3 2 2" xfId="15176" xr:uid="{00000000-0005-0000-0000-000036620000}"/>
    <cellStyle name="Normal 3 2 2 3 2 2 2" xfId="35096" xr:uid="{00000000-0005-0000-0000-000037620000}"/>
    <cellStyle name="Normal 3 2 2 3 2 3" xfId="21328" xr:uid="{00000000-0005-0000-0000-000038620000}"/>
    <cellStyle name="Normal 3 2 2 3 2 3 2" xfId="41248" xr:uid="{00000000-0005-0000-0000-000039620000}"/>
    <cellStyle name="Normal 3 2 2 3 2 4" xfId="28943" xr:uid="{00000000-0005-0000-0000-00003A620000}"/>
    <cellStyle name="Normal 3 2 2 3 3" xfId="12110" xr:uid="{00000000-0005-0000-0000-00003B620000}"/>
    <cellStyle name="Normal 3 2 2 3 3 2" xfId="32030" xr:uid="{00000000-0005-0000-0000-00003C620000}"/>
    <cellStyle name="Normal 3 2 2 3 4" xfId="18262" xr:uid="{00000000-0005-0000-0000-00003D620000}"/>
    <cellStyle name="Normal 3 2 2 3 4 2" xfId="38182" xr:uid="{00000000-0005-0000-0000-00003E620000}"/>
    <cellStyle name="Normal 3 2 2 3 5" xfId="25877" xr:uid="{00000000-0005-0000-0000-00003F620000}"/>
    <cellStyle name="Normal 3 2 2 4" xfId="7448" xr:uid="{00000000-0005-0000-0000-000040620000}"/>
    <cellStyle name="Normal 3 2 2 4 2" xfId="13642" xr:uid="{00000000-0005-0000-0000-000041620000}"/>
    <cellStyle name="Normal 3 2 2 4 2 2" xfId="33562" xr:uid="{00000000-0005-0000-0000-000042620000}"/>
    <cellStyle name="Normal 3 2 2 4 3" xfId="19794" xr:uid="{00000000-0005-0000-0000-000043620000}"/>
    <cellStyle name="Normal 3 2 2 4 3 2" xfId="39714" xr:uid="{00000000-0005-0000-0000-000044620000}"/>
    <cellStyle name="Normal 3 2 2 4 4" xfId="27409" xr:uid="{00000000-0005-0000-0000-000045620000}"/>
    <cellStyle name="Normal 3 2 2 5" xfId="10576" xr:uid="{00000000-0005-0000-0000-000046620000}"/>
    <cellStyle name="Normal 3 2 2 5 2" xfId="30496" xr:uid="{00000000-0005-0000-0000-000047620000}"/>
    <cellStyle name="Normal 3 2 2 6" xfId="16728" xr:uid="{00000000-0005-0000-0000-000048620000}"/>
    <cellStyle name="Normal 3 2 2 6 2" xfId="36648" xr:uid="{00000000-0005-0000-0000-000049620000}"/>
    <cellStyle name="Normal 3 2 2 7" xfId="24343" xr:uid="{00000000-0005-0000-0000-00004A620000}"/>
    <cellStyle name="Normal 3 2 3" xfId="3613" xr:uid="{00000000-0005-0000-0000-00004B620000}"/>
    <cellStyle name="Normal 3 2 3 2" xfId="5042" xr:uid="{00000000-0005-0000-0000-00004C620000}"/>
    <cellStyle name="Normal 3 2 3 2 2" xfId="6667" xr:uid="{00000000-0005-0000-0000-00004D620000}"/>
    <cellStyle name="Normal 3 2 3 2 2 2" xfId="9753" xr:uid="{00000000-0005-0000-0000-00004E620000}"/>
    <cellStyle name="Normal 3 2 3 2 2 2 2" xfId="15946" xr:uid="{00000000-0005-0000-0000-00004F620000}"/>
    <cellStyle name="Normal 3 2 3 2 2 2 2 2" xfId="35866" xr:uid="{00000000-0005-0000-0000-000050620000}"/>
    <cellStyle name="Normal 3 2 3 2 2 2 3" xfId="22098" xr:uid="{00000000-0005-0000-0000-000051620000}"/>
    <cellStyle name="Normal 3 2 3 2 2 2 3 2" xfId="42018" xr:uid="{00000000-0005-0000-0000-000052620000}"/>
    <cellStyle name="Normal 3 2 3 2 2 2 4" xfId="29713" xr:uid="{00000000-0005-0000-0000-000053620000}"/>
    <cellStyle name="Normal 3 2 3 2 2 3" xfId="12880" xr:uid="{00000000-0005-0000-0000-000054620000}"/>
    <cellStyle name="Normal 3 2 3 2 2 3 2" xfId="32800" xr:uid="{00000000-0005-0000-0000-000055620000}"/>
    <cellStyle name="Normal 3 2 3 2 2 4" xfId="19032" xr:uid="{00000000-0005-0000-0000-000056620000}"/>
    <cellStyle name="Normal 3 2 3 2 2 4 2" xfId="38952" xr:uid="{00000000-0005-0000-0000-000057620000}"/>
    <cellStyle name="Normal 3 2 3 2 2 5" xfId="26647" xr:uid="{00000000-0005-0000-0000-000058620000}"/>
    <cellStyle name="Normal 3 2 3 2 3" xfId="8218" xr:uid="{00000000-0005-0000-0000-000059620000}"/>
    <cellStyle name="Normal 3 2 3 2 3 2" xfId="14412" xr:uid="{00000000-0005-0000-0000-00005A620000}"/>
    <cellStyle name="Normal 3 2 3 2 3 2 2" xfId="34332" xr:uid="{00000000-0005-0000-0000-00005B620000}"/>
    <cellStyle name="Normal 3 2 3 2 3 3" xfId="20564" xr:uid="{00000000-0005-0000-0000-00005C620000}"/>
    <cellStyle name="Normal 3 2 3 2 3 3 2" xfId="40484" xr:uid="{00000000-0005-0000-0000-00005D620000}"/>
    <cellStyle name="Normal 3 2 3 2 3 4" xfId="28179" xr:uid="{00000000-0005-0000-0000-00005E620000}"/>
    <cellStyle name="Normal 3 2 3 2 4" xfId="11346" xr:uid="{00000000-0005-0000-0000-00005F620000}"/>
    <cellStyle name="Normal 3 2 3 2 4 2" xfId="31266" xr:uid="{00000000-0005-0000-0000-000060620000}"/>
    <cellStyle name="Normal 3 2 3 2 5" xfId="17498" xr:uid="{00000000-0005-0000-0000-000061620000}"/>
    <cellStyle name="Normal 3 2 3 2 5 2" xfId="37418" xr:uid="{00000000-0005-0000-0000-000062620000}"/>
    <cellStyle name="Normal 3 2 3 2 6" xfId="25113" xr:uid="{00000000-0005-0000-0000-000063620000}"/>
    <cellStyle name="Normal 3 2 3 3" xfId="5884" xr:uid="{00000000-0005-0000-0000-000064620000}"/>
    <cellStyle name="Normal 3 2 3 3 2" xfId="8984" xr:uid="{00000000-0005-0000-0000-000065620000}"/>
    <cellStyle name="Normal 3 2 3 3 2 2" xfId="15177" xr:uid="{00000000-0005-0000-0000-000066620000}"/>
    <cellStyle name="Normal 3 2 3 3 2 2 2" xfId="35097" xr:uid="{00000000-0005-0000-0000-000067620000}"/>
    <cellStyle name="Normal 3 2 3 3 2 3" xfId="21329" xr:uid="{00000000-0005-0000-0000-000068620000}"/>
    <cellStyle name="Normal 3 2 3 3 2 3 2" xfId="41249" xr:uid="{00000000-0005-0000-0000-000069620000}"/>
    <cellStyle name="Normal 3 2 3 3 2 4" xfId="28944" xr:uid="{00000000-0005-0000-0000-00006A620000}"/>
    <cellStyle name="Normal 3 2 3 3 3" xfId="12111" xr:uid="{00000000-0005-0000-0000-00006B620000}"/>
    <cellStyle name="Normal 3 2 3 3 3 2" xfId="32031" xr:uid="{00000000-0005-0000-0000-00006C620000}"/>
    <cellStyle name="Normal 3 2 3 3 4" xfId="18263" xr:uid="{00000000-0005-0000-0000-00006D620000}"/>
    <cellStyle name="Normal 3 2 3 3 4 2" xfId="38183" xr:uid="{00000000-0005-0000-0000-00006E620000}"/>
    <cellStyle name="Normal 3 2 3 3 5" xfId="25878" xr:uid="{00000000-0005-0000-0000-00006F620000}"/>
    <cellStyle name="Normal 3 2 3 4" xfId="7449" xr:uid="{00000000-0005-0000-0000-000070620000}"/>
    <cellStyle name="Normal 3 2 3 4 2" xfId="13643" xr:uid="{00000000-0005-0000-0000-000071620000}"/>
    <cellStyle name="Normal 3 2 3 4 2 2" xfId="33563" xr:uid="{00000000-0005-0000-0000-000072620000}"/>
    <cellStyle name="Normal 3 2 3 4 3" xfId="19795" xr:uid="{00000000-0005-0000-0000-000073620000}"/>
    <cellStyle name="Normal 3 2 3 4 3 2" xfId="39715" xr:uid="{00000000-0005-0000-0000-000074620000}"/>
    <cellStyle name="Normal 3 2 3 4 4" xfId="27410" xr:uid="{00000000-0005-0000-0000-000075620000}"/>
    <cellStyle name="Normal 3 2 3 5" xfId="10577" xr:uid="{00000000-0005-0000-0000-000076620000}"/>
    <cellStyle name="Normal 3 2 3 5 2" xfId="30497" xr:uid="{00000000-0005-0000-0000-000077620000}"/>
    <cellStyle name="Normal 3 2 3 6" xfId="16729" xr:uid="{00000000-0005-0000-0000-000078620000}"/>
    <cellStyle name="Normal 3 2 3 6 2" xfId="36649" xr:uid="{00000000-0005-0000-0000-000079620000}"/>
    <cellStyle name="Normal 3 2 3 7" xfId="24344" xr:uid="{00000000-0005-0000-0000-00007A620000}"/>
    <cellStyle name="Normal 3 2 4" xfId="3614" xr:uid="{00000000-0005-0000-0000-00007B620000}"/>
    <cellStyle name="Normal 3 2 4 2" xfId="5043" xr:uid="{00000000-0005-0000-0000-00007C620000}"/>
    <cellStyle name="Normal 3 2 4 2 2" xfId="6668" xr:uid="{00000000-0005-0000-0000-00007D620000}"/>
    <cellStyle name="Normal 3 2 4 2 2 2" xfId="9754" xr:uid="{00000000-0005-0000-0000-00007E620000}"/>
    <cellStyle name="Normal 3 2 4 2 2 2 2" xfId="15947" xr:uid="{00000000-0005-0000-0000-00007F620000}"/>
    <cellStyle name="Normal 3 2 4 2 2 2 2 2" xfId="35867" xr:uid="{00000000-0005-0000-0000-000080620000}"/>
    <cellStyle name="Normal 3 2 4 2 2 2 3" xfId="22099" xr:uid="{00000000-0005-0000-0000-000081620000}"/>
    <cellStyle name="Normal 3 2 4 2 2 2 3 2" xfId="42019" xr:uid="{00000000-0005-0000-0000-000082620000}"/>
    <cellStyle name="Normal 3 2 4 2 2 2 4" xfId="29714" xr:uid="{00000000-0005-0000-0000-000083620000}"/>
    <cellStyle name="Normal 3 2 4 2 2 3" xfId="12881" xr:uid="{00000000-0005-0000-0000-000084620000}"/>
    <cellStyle name="Normal 3 2 4 2 2 3 2" xfId="32801" xr:uid="{00000000-0005-0000-0000-000085620000}"/>
    <cellStyle name="Normal 3 2 4 2 2 4" xfId="19033" xr:uid="{00000000-0005-0000-0000-000086620000}"/>
    <cellStyle name="Normal 3 2 4 2 2 4 2" xfId="38953" xr:uid="{00000000-0005-0000-0000-000087620000}"/>
    <cellStyle name="Normal 3 2 4 2 2 5" xfId="26648" xr:uid="{00000000-0005-0000-0000-000088620000}"/>
    <cellStyle name="Normal 3 2 4 2 3" xfId="8219" xr:uid="{00000000-0005-0000-0000-000089620000}"/>
    <cellStyle name="Normal 3 2 4 2 3 2" xfId="14413" xr:uid="{00000000-0005-0000-0000-00008A620000}"/>
    <cellStyle name="Normal 3 2 4 2 3 2 2" xfId="34333" xr:uid="{00000000-0005-0000-0000-00008B620000}"/>
    <cellStyle name="Normal 3 2 4 2 3 3" xfId="20565" xr:uid="{00000000-0005-0000-0000-00008C620000}"/>
    <cellStyle name="Normal 3 2 4 2 3 3 2" xfId="40485" xr:uid="{00000000-0005-0000-0000-00008D620000}"/>
    <cellStyle name="Normal 3 2 4 2 3 4" xfId="28180" xr:uid="{00000000-0005-0000-0000-00008E620000}"/>
    <cellStyle name="Normal 3 2 4 2 4" xfId="11347" xr:uid="{00000000-0005-0000-0000-00008F620000}"/>
    <cellStyle name="Normal 3 2 4 2 4 2" xfId="31267" xr:uid="{00000000-0005-0000-0000-000090620000}"/>
    <cellStyle name="Normal 3 2 4 2 5" xfId="17499" xr:uid="{00000000-0005-0000-0000-000091620000}"/>
    <cellStyle name="Normal 3 2 4 2 5 2" xfId="37419" xr:uid="{00000000-0005-0000-0000-000092620000}"/>
    <cellStyle name="Normal 3 2 4 2 6" xfId="25114" xr:uid="{00000000-0005-0000-0000-000093620000}"/>
    <cellStyle name="Normal 3 2 4 3" xfId="5885" xr:uid="{00000000-0005-0000-0000-000094620000}"/>
    <cellStyle name="Normal 3 2 4 3 2" xfId="8985" xr:uid="{00000000-0005-0000-0000-000095620000}"/>
    <cellStyle name="Normal 3 2 4 3 2 2" xfId="15178" xr:uid="{00000000-0005-0000-0000-000096620000}"/>
    <cellStyle name="Normal 3 2 4 3 2 2 2" xfId="35098" xr:uid="{00000000-0005-0000-0000-000097620000}"/>
    <cellStyle name="Normal 3 2 4 3 2 3" xfId="21330" xr:uid="{00000000-0005-0000-0000-000098620000}"/>
    <cellStyle name="Normal 3 2 4 3 2 3 2" xfId="41250" xr:uid="{00000000-0005-0000-0000-000099620000}"/>
    <cellStyle name="Normal 3 2 4 3 2 4" xfId="28945" xr:uid="{00000000-0005-0000-0000-00009A620000}"/>
    <cellStyle name="Normal 3 2 4 3 3" xfId="12112" xr:uid="{00000000-0005-0000-0000-00009B620000}"/>
    <cellStyle name="Normal 3 2 4 3 3 2" xfId="32032" xr:uid="{00000000-0005-0000-0000-00009C620000}"/>
    <cellStyle name="Normal 3 2 4 3 4" xfId="18264" xr:uid="{00000000-0005-0000-0000-00009D620000}"/>
    <cellStyle name="Normal 3 2 4 3 4 2" xfId="38184" xr:uid="{00000000-0005-0000-0000-00009E620000}"/>
    <cellStyle name="Normal 3 2 4 3 5" xfId="25879" xr:uid="{00000000-0005-0000-0000-00009F620000}"/>
    <cellStyle name="Normal 3 2 4 4" xfId="7450" xr:uid="{00000000-0005-0000-0000-0000A0620000}"/>
    <cellStyle name="Normal 3 2 4 4 2" xfId="13644" xr:uid="{00000000-0005-0000-0000-0000A1620000}"/>
    <cellStyle name="Normal 3 2 4 4 2 2" xfId="33564" xr:uid="{00000000-0005-0000-0000-0000A2620000}"/>
    <cellStyle name="Normal 3 2 4 4 3" xfId="19796" xr:uid="{00000000-0005-0000-0000-0000A3620000}"/>
    <cellStyle name="Normal 3 2 4 4 3 2" xfId="39716" xr:uid="{00000000-0005-0000-0000-0000A4620000}"/>
    <cellStyle name="Normal 3 2 4 4 4" xfId="27411" xr:uid="{00000000-0005-0000-0000-0000A5620000}"/>
    <cellStyle name="Normal 3 2 4 5" xfId="10578" xr:uid="{00000000-0005-0000-0000-0000A6620000}"/>
    <cellStyle name="Normal 3 2 4 5 2" xfId="30498" xr:uid="{00000000-0005-0000-0000-0000A7620000}"/>
    <cellStyle name="Normal 3 2 4 6" xfId="16730" xr:uid="{00000000-0005-0000-0000-0000A8620000}"/>
    <cellStyle name="Normal 3 2 4 6 2" xfId="36650" xr:uid="{00000000-0005-0000-0000-0000A9620000}"/>
    <cellStyle name="Normal 3 2 4 7" xfId="24345" xr:uid="{00000000-0005-0000-0000-0000AA620000}"/>
    <cellStyle name="Normal 3 2 5" xfId="3615" xr:uid="{00000000-0005-0000-0000-0000AB620000}"/>
    <cellStyle name="Normal 3 2 5 2" xfId="5044" xr:uid="{00000000-0005-0000-0000-0000AC620000}"/>
    <cellStyle name="Normal 3 2 5 2 2" xfId="6669" xr:uid="{00000000-0005-0000-0000-0000AD620000}"/>
    <cellStyle name="Normal 3 2 5 2 2 2" xfId="9755" xr:uid="{00000000-0005-0000-0000-0000AE620000}"/>
    <cellStyle name="Normal 3 2 5 2 2 2 2" xfId="15948" xr:uid="{00000000-0005-0000-0000-0000AF620000}"/>
    <cellStyle name="Normal 3 2 5 2 2 2 2 2" xfId="35868" xr:uid="{00000000-0005-0000-0000-0000B0620000}"/>
    <cellStyle name="Normal 3 2 5 2 2 2 3" xfId="22100" xr:uid="{00000000-0005-0000-0000-0000B1620000}"/>
    <cellStyle name="Normal 3 2 5 2 2 2 3 2" xfId="42020" xr:uid="{00000000-0005-0000-0000-0000B2620000}"/>
    <cellStyle name="Normal 3 2 5 2 2 2 4" xfId="29715" xr:uid="{00000000-0005-0000-0000-0000B3620000}"/>
    <cellStyle name="Normal 3 2 5 2 2 3" xfId="12882" xr:uid="{00000000-0005-0000-0000-0000B4620000}"/>
    <cellStyle name="Normal 3 2 5 2 2 3 2" xfId="32802" xr:uid="{00000000-0005-0000-0000-0000B5620000}"/>
    <cellStyle name="Normal 3 2 5 2 2 4" xfId="19034" xr:uid="{00000000-0005-0000-0000-0000B6620000}"/>
    <cellStyle name="Normal 3 2 5 2 2 4 2" xfId="38954" xr:uid="{00000000-0005-0000-0000-0000B7620000}"/>
    <cellStyle name="Normal 3 2 5 2 2 5" xfId="26649" xr:uid="{00000000-0005-0000-0000-0000B8620000}"/>
    <cellStyle name="Normal 3 2 5 2 3" xfId="8220" xr:uid="{00000000-0005-0000-0000-0000B9620000}"/>
    <cellStyle name="Normal 3 2 5 2 3 2" xfId="14414" xr:uid="{00000000-0005-0000-0000-0000BA620000}"/>
    <cellStyle name="Normal 3 2 5 2 3 2 2" xfId="34334" xr:uid="{00000000-0005-0000-0000-0000BB620000}"/>
    <cellStyle name="Normal 3 2 5 2 3 3" xfId="20566" xr:uid="{00000000-0005-0000-0000-0000BC620000}"/>
    <cellStyle name="Normal 3 2 5 2 3 3 2" xfId="40486" xr:uid="{00000000-0005-0000-0000-0000BD620000}"/>
    <cellStyle name="Normal 3 2 5 2 3 4" xfId="28181" xr:uid="{00000000-0005-0000-0000-0000BE620000}"/>
    <cellStyle name="Normal 3 2 5 2 4" xfId="11348" xr:uid="{00000000-0005-0000-0000-0000BF620000}"/>
    <cellStyle name="Normal 3 2 5 2 4 2" xfId="31268" xr:uid="{00000000-0005-0000-0000-0000C0620000}"/>
    <cellStyle name="Normal 3 2 5 2 5" xfId="17500" xr:uid="{00000000-0005-0000-0000-0000C1620000}"/>
    <cellStyle name="Normal 3 2 5 2 5 2" xfId="37420" xr:uid="{00000000-0005-0000-0000-0000C2620000}"/>
    <cellStyle name="Normal 3 2 5 2 6" xfId="25115" xr:uid="{00000000-0005-0000-0000-0000C3620000}"/>
    <cellStyle name="Normal 3 2 5 3" xfId="5886" xr:uid="{00000000-0005-0000-0000-0000C4620000}"/>
    <cellStyle name="Normal 3 2 5 3 2" xfId="8986" xr:uid="{00000000-0005-0000-0000-0000C5620000}"/>
    <cellStyle name="Normal 3 2 5 3 2 2" xfId="15179" xr:uid="{00000000-0005-0000-0000-0000C6620000}"/>
    <cellStyle name="Normal 3 2 5 3 2 2 2" xfId="35099" xr:uid="{00000000-0005-0000-0000-0000C7620000}"/>
    <cellStyle name="Normal 3 2 5 3 2 3" xfId="21331" xr:uid="{00000000-0005-0000-0000-0000C8620000}"/>
    <cellStyle name="Normal 3 2 5 3 2 3 2" xfId="41251" xr:uid="{00000000-0005-0000-0000-0000C9620000}"/>
    <cellStyle name="Normal 3 2 5 3 2 4" xfId="28946" xr:uid="{00000000-0005-0000-0000-0000CA620000}"/>
    <cellStyle name="Normal 3 2 5 3 3" xfId="12113" xr:uid="{00000000-0005-0000-0000-0000CB620000}"/>
    <cellStyle name="Normal 3 2 5 3 3 2" xfId="32033" xr:uid="{00000000-0005-0000-0000-0000CC620000}"/>
    <cellStyle name="Normal 3 2 5 3 4" xfId="18265" xr:uid="{00000000-0005-0000-0000-0000CD620000}"/>
    <cellStyle name="Normal 3 2 5 3 4 2" xfId="38185" xr:uid="{00000000-0005-0000-0000-0000CE620000}"/>
    <cellStyle name="Normal 3 2 5 3 5" xfId="25880" xr:uid="{00000000-0005-0000-0000-0000CF620000}"/>
    <cellStyle name="Normal 3 2 5 4" xfId="7451" xr:uid="{00000000-0005-0000-0000-0000D0620000}"/>
    <cellStyle name="Normal 3 2 5 4 2" xfId="13645" xr:uid="{00000000-0005-0000-0000-0000D1620000}"/>
    <cellStyle name="Normal 3 2 5 4 2 2" xfId="33565" xr:uid="{00000000-0005-0000-0000-0000D2620000}"/>
    <cellStyle name="Normal 3 2 5 4 3" xfId="19797" xr:uid="{00000000-0005-0000-0000-0000D3620000}"/>
    <cellStyle name="Normal 3 2 5 4 3 2" xfId="39717" xr:uid="{00000000-0005-0000-0000-0000D4620000}"/>
    <cellStyle name="Normal 3 2 5 4 4" xfId="27412" xr:uid="{00000000-0005-0000-0000-0000D5620000}"/>
    <cellStyle name="Normal 3 2 5 5" xfId="10579" xr:uid="{00000000-0005-0000-0000-0000D6620000}"/>
    <cellStyle name="Normal 3 2 5 5 2" xfId="30499" xr:uid="{00000000-0005-0000-0000-0000D7620000}"/>
    <cellStyle name="Normal 3 2 5 6" xfId="16731" xr:uid="{00000000-0005-0000-0000-0000D8620000}"/>
    <cellStyle name="Normal 3 2 5 6 2" xfId="36651" xr:uid="{00000000-0005-0000-0000-0000D9620000}"/>
    <cellStyle name="Normal 3 2 5 7" xfId="24346" xr:uid="{00000000-0005-0000-0000-0000DA620000}"/>
    <cellStyle name="Normal 3 2 6" xfId="3616" xr:uid="{00000000-0005-0000-0000-0000DB620000}"/>
    <cellStyle name="Normal 3 2 6 2" xfId="5045" xr:uid="{00000000-0005-0000-0000-0000DC620000}"/>
    <cellStyle name="Normal 3 2 6 2 2" xfId="6670" xr:uid="{00000000-0005-0000-0000-0000DD620000}"/>
    <cellStyle name="Normal 3 2 6 2 2 2" xfId="9756" xr:uid="{00000000-0005-0000-0000-0000DE620000}"/>
    <cellStyle name="Normal 3 2 6 2 2 2 2" xfId="15949" xr:uid="{00000000-0005-0000-0000-0000DF620000}"/>
    <cellStyle name="Normal 3 2 6 2 2 2 2 2" xfId="35869" xr:uid="{00000000-0005-0000-0000-0000E0620000}"/>
    <cellStyle name="Normal 3 2 6 2 2 2 3" xfId="22101" xr:uid="{00000000-0005-0000-0000-0000E1620000}"/>
    <cellStyle name="Normal 3 2 6 2 2 2 3 2" xfId="42021" xr:uid="{00000000-0005-0000-0000-0000E2620000}"/>
    <cellStyle name="Normal 3 2 6 2 2 2 4" xfId="29716" xr:uid="{00000000-0005-0000-0000-0000E3620000}"/>
    <cellStyle name="Normal 3 2 6 2 2 3" xfId="12883" xr:uid="{00000000-0005-0000-0000-0000E4620000}"/>
    <cellStyle name="Normal 3 2 6 2 2 3 2" xfId="32803" xr:uid="{00000000-0005-0000-0000-0000E5620000}"/>
    <cellStyle name="Normal 3 2 6 2 2 4" xfId="19035" xr:uid="{00000000-0005-0000-0000-0000E6620000}"/>
    <cellStyle name="Normal 3 2 6 2 2 4 2" xfId="38955" xr:uid="{00000000-0005-0000-0000-0000E7620000}"/>
    <cellStyle name="Normal 3 2 6 2 2 5" xfId="26650" xr:uid="{00000000-0005-0000-0000-0000E8620000}"/>
    <cellStyle name="Normal 3 2 6 2 3" xfId="8221" xr:uid="{00000000-0005-0000-0000-0000E9620000}"/>
    <cellStyle name="Normal 3 2 6 2 3 2" xfId="14415" xr:uid="{00000000-0005-0000-0000-0000EA620000}"/>
    <cellStyle name="Normal 3 2 6 2 3 2 2" xfId="34335" xr:uid="{00000000-0005-0000-0000-0000EB620000}"/>
    <cellStyle name="Normal 3 2 6 2 3 3" xfId="20567" xr:uid="{00000000-0005-0000-0000-0000EC620000}"/>
    <cellStyle name="Normal 3 2 6 2 3 3 2" xfId="40487" xr:uid="{00000000-0005-0000-0000-0000ED620000}"/>
    <cellStyle name="Normal 3 2 6 2 3 4" xfId="28182" xr:uid="{00000000-0005-0000-0000-0000EE620000}"/>
    <cellStyle name="Normal 3 2 6 2 4" xfId="11349" xr:uid="{00000000-0005-0000-0000-0000EF620000}"/>
    <cellStyle name="Normal 3 2 6 2 4 2" xfId="31269" xr:uid="{00000000-0005-0000-0000-0000F0620000}"/>
    <cellStyle name="Normal 3 2 6 2 5" xfId="17501" xr:uid="{00000000-0005-0000-0000-0000F1620000}"/>
    <cellStyle name="Normal 3 2 6 2 5 2" xfId="37421" xr:uid="{00000000-0005-0000-0000-0000F2620000}"/>
    <cellStyle name="Normal 3 2 6 2 6" xfId="25116" xr:uid="{00000000-0005-0000-0000-0000F3620000}"/>
    <cellStyle name="Normal 3 2 6 3" xfId="5887" xr:uid="{00000000-0005-0000-0000-0000F4620000}"/>
    <cellStyle name="Normal 3 2 6 3 2" xfId="8987" xr:uid="{00000000-0005-0000-0000-0000F5620000}"/>
    <cellStyle name="Normal 3 2 6 3 2 2" xfId="15180" xr:uid="{00000000-0005-0000-0000-0000F6620000}"/>
    <cellStyle name="Normal 3 2 6 3 2 2 2" xfId="35100" xr:uid="{00000000-0005-0000-0000-0000F7620000}"/>
    <cellStyle name="Normal 3 2 6 3 2 3" xfId="21332" xr:uid="{00000000-0005-0000-0000-0000F8620000}"/>
    <cellStyle name="Normal 3 2 6 3 2 3 2" xfId="41252" xr:uid="{00000000-0005-0000-0000-0000F9620000}"/>
    <cellStyle name="Normal 3 2 6 3 2 4" xfId="28947" xr:uid="{00000000-0005-0000-0000-0000FA620000}"/>
    <cellStyle name="Normal 3 2 6 3 3" xfId="12114" xr:uid="{00000000-0005-0000-0000-0000FB620000}"/>
    <cellStyle name="Normal 3 2 6 3 3 2" xfId="32034" xr:uid="{00000000-0005-0000-0000-0000FC620000}"/>
    <cellStyle name="Normal 3 2 6 3 4" xfId="18266" xr:uid="{00000000-0005-0000-0000-0000FD620000}"/>
    <cellStyle name="Normal 3 2 6 3 4 2" xfId="38186" xr:uid="{00000000-0005-0000-0000-0000FE620000}"/>
    <cellStyle name="Normal 3 2 6 3 5" xfId="25881" xr:uid="{00000000-0005-0000-0000-0000FF620000}"/>
    <cellStyle name="Normal 3 2 6 4" xfId="7452" xr:uid="{00000000-0005-0000-0000-000000630000}"/>
    <cellStyle name="Normal 3 2 6 4 2" xfId="13646" xr:uid="{00000000-0005-0000-0000-000001630000}"/>
    <cellStyle name="Normal 3 2 6 4 2 2" xfId="33566" xr:uid="{00000000-0005-0000-0000-000002630000}"/>
    <cellStyle name="Normal 3 2 6 4 3" xfId="19798" xr:uid="{00000000-0005-0000-0000-000003630000}"/>
    <cellStyle name="Normal 3 2 6 4 3 2" xfId="39718" xr:uid="{00000000-0005-0000-0000-000004630000}"/>
    <cellStyle name="Normal 3 2 6 4 4" xfId="27413" xr:uid="{00000000-0005-0000-0000-000005630000}"/>
    <cellStyle name="Normal 3 2 6 5" xfId="10580" xr:uid="{00000000-0005-0000-0000-000006630000}"/>
    <cellStyle name="Normal 3 2 6 5 2" xfId="30500" xr:uid="{00000000-0005-0000-0000-000007630000}"/>
    <cellStyle name="Normal 3 2 6 6" xfId="16732" xr:uid="{00000000-0005-0000-0000-000008630000}"/>
    <cellStyle name="Normal 3 2 6 6 2" xfId="36652" xr:uid="{00000000-0005-0000-0000-000009630000}"/>
    <cellStyle name="Normal 3 2 6 7" xfId="24347" xr:uid="{00000000-0005-0000-0000-00000A630000}"/>
    <cellStyle name="Normal 3 2 7" xfId="3611" xr:uid="{00000000-0005-0000-0000-00000B630000}"/>
    <cellStyle name="Normal 3 20" xfId="352" xr:uid="{00000000-0005-0000-0000-00000C630000}"/>
    <cellStyle name="Normal 3 20 2" xfId="5046" xr:uid="{00000000-0005-0000-0000-00000D630000}"/>
    <cellStyle name="Normal 3 20 2 2" xfId="6671" xr:uid="{00000000-0005-0000-0000-00000E630000}"/>
    <cellStyle name="Normal 3 20 2 2 2" xfId="9757" xr:uid="{00000000-0005-0000-0000-00000F630000}"/>
    <cellStyle name="Normal 3 20 2 2 2 2" xfId="15950" xr:uid="{00000000-0005-0000-0000-000010630000}"/>
    <cellStyle name="Normal 3 20 2 2 2 2 2" xfId="35870" xr:uid="{00000000-0005-0000-0000-000011630000}"/>
    <cellStyle name="Normal 3 20 2 2 2 3" xfId="22102" xr:uid="{00000000-0005-0000-0000-000012630000}"/>
    <cellStyle name="Normal 3 20 2 2 2 3 2" xfId="42022" xr:uid="{00000000-0005-0000-0000-000013630000}"/>
    <cellStyle name="Normal 3 20 2 2 2 4" xfId="29717" xr:uid="{00000000-0005-0000-0000-000014630000}"/>
    <cellStyle name="Normal 3 20 2 2 3" xfId="12884" xr:uid="{00000000-0005-0000-0000-000015630000}"/>
    <cellStyle name="Normal 3 20 2 2 3 2" xfId="32804" xr:uid="{00000000-0005-0000-0000-000016630000}"/>
    <cellStyle name="Normal 3 20 2 2 4" xfId="19036" xr:uid="{00000000-0005-0000-0000-000017630000}"/>
    <cellStyle name="Normal 3 20 2 2 4 2" xfId="38956" xr:uid="{00000000-0005-0000-0000-000018630000}"/>
    <cellStyle name="Normal 3 20 2 2 5" xfId="26651" xr:uid="{00000000-0005-0000-0000-000019630000}"/>
    <cellStyle name="Normal 3 20 2 3" xfId="8222" xr:uid="{00000000-0005-0000-0000-00001A630000}"/>
    <cellStyle name="Normal 3 20 2 3 2" xfId="14416" xr:uid="{00000000-0005-0000-0000-00001B630000}"/>
    <cellStyle name="Normal 3 20 2 3 2 2" xfId="34336" xr:uid="{00000000-0005-0000-0000-00001C630000}"/>
    <cellStyle name="Normal 3 20 2 3 3" xfId="20568" xr:uid="{00000000-0005-0000-0000-00001D630000}"/>
    <cellStyle name="Normal 3 20 2 3 3 2" xfId="40488" xr:uid="{00000000-0005-0000-0000-00001E630000}"/>
    <cellStyle name="Normal 3 20 2 3 4" xfId="28183" xr:uid="{00000000-0005-0000-0000-00001F630000}"/>
    <cellStyle name="Normal 3 20 2 4" xfId="11350" xr:uid="{00000000-0005-0000-0000-000020630000}"/>
    <cellStyle name="Normal 3 20 2 4 2" xfId="31270" xr:uid="{00000000-0005-0000-0000-000021630000}"/>
    <cellStyle name="Normal 3 20 2 5" xfId="17502" xr:uid="{00000000-0005-0000-0000-000022630000}"/>
    <cellStyle name="Normal 3 20 2 5 2" xfId="37422" xr:uid="{00000000-0005-0000-0000-000023630000}"/>
    <cellStyle name="Normal 3 20 2 6" xfId="25117" xr:uid="{00000000-0005-0000-0000-000024630000}"/>
    <cellStyle name="Normal 3 20 3" xfId="5888" xr:uid="{00000000-0005-0000-0000-000025630000}"/>
    <cellStyle name="Normal 3 20 3 2" xfId="8988" xr:uid="{00000000-0005-0000-0000-000026630000}"/>
    <cellStyle name="Normal 3 20 3 2 2" xfId="15181" xr:uid="{00000000-0005-0000-0000-000027630000}"/>
    <cellStyle name="Normal 3 20 3 2 2 2" xfId="35101" xr:uid="{00000000-0005-0000-0000-000028630000}"/>
    <cellStyle name="Normal 3 20 3 2 3" xfId="21333" xr:uid="{00000000-0005-0000-0000-000029630000}"/>
    <cellStyle name="Normal 3 20 3 2 3 2" xfId="41253" xr:uid="{00000000-0005-0000-0000-00002A630000}"/>
    <cellStyle name="Normal 3 20 3 2 4" xfId="28948" xr:uid="{00000000-0005-0000-0000-00002B630000}"/>
    <cellStyle name="Normal 3 20 3 3" xfId="12115" xr:uid="{00000000-0005-0000-0000-00002C630000}"/>
    <cellStyle name="Normal 3 20 3 3 2" xfId="32035" xr:uid="{00000000-0005-0000-0000-00002D630000}"/>
    <cellStyle name="Normal 3 20 3 4" xfId="18267" xr:uid="{00000000-0005-0000-0000-00002E630000}"/>
    <cellStyle name="Normal 3 20 3 4 2" xfId="38187" xr:uid="{00000000-0005-0000-0000-00002F630000}"/>
    <cellStyle name="Normal 3 20 3 5" xfId="25882" xr:uid="{00000000-0005-0000-0000-000030630000}"/>
    <cellStyle name="Normal 3 20 4" xfId="7453" xr:uid="{00000000-0005-0000-0000-000031630000}"/>
    <cellStyle name="Normal 3 20 4 2" xfId="13647" xr:uid="{00000000-0005-0000-0000-000032630000}"/>
    <cellStyle name="Normal 3 20 4 2 2" xfId="33567" xr:uid="{00000000-0005-0000-0000-000033630000}"/>
    <cellStyle name="Normal 3 20 4 3" xfId="19799" xr:uid="{00000000-0005-0000-0000-000034630000}"/>
    <cellStyle name="Normal 3 20 4 3 2" xfId="39719" xr:uid="{00000000-0005-0000-0000-000035630000}"/>
    <cellStyle name="Normal 3 20 4 4" xfId="27414" xr:uid="{00000000-0005-0000-0000-000036630000}"/>
    <cellStyle name="Normal 3 20 5" xfId="10581" xr:uid="{00000000-0005-0000-0000-000037630000}"/>
    <cellStyle name="Normal 3 20 5 2" xfId="30501" xr:uid="{00000000-0005-0000-0000-000038630000}"/>
    <cellStyle name="Normal 3 20 6" xfId="16733" xr:uid="{00000000-0005-0000-0000-000039630000}"/>
    <cellStyle name="Normal 3 20 6 2" xfId="36653" xr:uid="{00000000-0005-0000-0000-00003A630000}"/>
    <cellStyle name="Normal 3 20 7" xfId="3617" xr:uid="{00000000-0005-0000-0000-00003B630000}"/>
    <cellStyle name="Normal 3 20 7 2" xfId="24348" xr:uid="{00000000-0005-0000-0000-00003C630000}"/>
    <cellStyle name="Normal 3 21" xfId="350" xr:uid="{00000000-0005-0000-0000-00003D630000}"/>
    <cellStyle name="Normal 3 21 2" xfId="5047" xr:uid="{00000000-0005-0000-0000-00003E630000}"/>
    <cellStyle name="Normal 3 21 2 2" xfId="6672" xr:uid="{00000000-0005-0000-0000-00003F630000}"/>
    <cellStyle name="Normal 3 21 2 2 2" xfId="9758" xr:uid="{00000000-0005-0000-0000-000040630000}"/>
    <cellStyle name="Normal 3 21 2 2 2 2" xfId="15951" xr:uid="{00000000-0005-0000-0000-000041630000}"/>
    <cellStyle name="Normal 3 21 2 2 2 2 2" xfId="35871" xr:uid="{00000000-0005-0000-0000-000042630000}"/>
    <cellStyle name="Normal 3 21 2 2 2 3" xfId="22103" xr:uid="{00000000-0005-0000-0000-000043630000}"/>
    <cellStyle name="Normal 3 21 2 2 2 3 2" xfId="42023" xr:uid="{00000000-0005-0000-0000-000044630000}"/>
    <cellStyle name="Normal 3 21 2 2 2 4" xfId="29718" xr:uid="{00000000-0005-0000-0000-000045630000}"/>
    <cellStyle name="Normal 3 21 2 2 3" xfId="12885" xr:uid="{00000000-0005-0000-0000-000046630000}"/>
    <cellStyle name="Normal 3 21 2 2 3 2" xfId="32805" xr:uid="{00000000-0005-0000-0000-000047630000}"/>
    <cellStyle name="Normal 3 21 2 2 4" xfId="19037" xr:uid="{00000000-0005-0000-0000-000048630000}"/>
    <cellStyle name="Normal 3 21 2 2 4 2" xfId="38957" xr:uid="{00000000-0005-0000-0000-000049630000}"/>
    <cellStyle name="Normal 3 21 2 2 5" xfId="26652" xr:uid="{00000000-0005-0000-0000-00004A630000}"/>
    <cellStyle name="Normal 3 21 2 3" xfId="8223" xr:uid="{00000000-0005-0000-0000-00004B630000}"/>
    <cellStyle name="Normal 3 21 2 3 2" xfId="14417" xr:uid="{00000000-0005-0000-0000-00004C630000}"/>
    <cellStyle name="Normal 3 21 2 3 2 2" xfId="34337" xr:uid="{00000000-0005-0000-0000-00004D630000}"/>
    <cellStyle name="Normal 3 21 2 3 3" xfId="20569" xr:uid="{00000000-0005-0000-0000-00004E630000}"/>
    <cellStyle name="Normal 3 21 2 3 3 2" xfId="40489" xr:uid="{00000000-0005-0000-0000-00004F630000}"/>
    <cellStyle name="Normal 3 21 2 3 4" xfId="28184" xr:uid="{00000000-0005-0000-0000-000050630000}"/>
    <cellStyle name="Normal 3 21 2 4" xfId="11351" xr:uid="{00000000-0005-0000-0000-000051630000}"/>
    <cellStyle name="Normal 3 21 2 4 2" xfId="31271" xr:uid="{00000000-0005-0000-0000-000052630000}"/>
    <cellStyle name="Normal 3 21 2 5" xfId="17503" xr:uid="{00000000-0005-0000-0000-000053630000}"/>
    <cellStyle name="Normal 3 21 2 5 2" xfId="37423" xr:uid="{00000000-0005-0000-0000-000054630000}"/>
    <cellStyle name="Normal 3 21 2 6" xfId="25118" xr:uid="{00000000-0005-0000-0000-000055630000}"/>
    <cellStyle name="Normal 3 21 3" xfId="5889" xr:uid="{00000000-0005-0000-0000-000056630000}"/>
    <cellStyle name="Normal 3 21 3 2" xfId="8989" xr:uid="{00000000-0005-0000-0000-000057630000}"/>
    <cellStyle name="Normal 3 21 3 2 2" xfId="15182" xr:uid="{00000000-0005-0000-0000-000058630000}"/>
    <cellStyle name="Normal 3 21 3 2 2 2" xfId="35102" xr:uid="{00000000-0005-0000-0000-000059630000}"/>
    <cellStyle name="Normal 3 21 3 2 3" xfId="21334" xr:uid="{00000000-0005-0000-0000-00005A630000}"/>
    <cellStyle name="Normal 3 21 3 2 3 2" xfId="41254" xr:uid="{00000000-0005-0000-0000-00005B630000}"/>
    <cellStyle name="Normal 3 21 3 2 4" xfId="28949" xr:uid="{00000000-0005-0000-0000-00005C630000}"/>
    <cellStyle name="Normal 3 21 3 3" xfId="12116" xr:uid="{00000000-0005-0000-0000-00005D630000}"/>
    <cellStyle name="Normal 3 21 3 3 2" xfId="32036" xr:uid="{00000000-0005-0000-0000-00005E630000}"/>
    <cellStyle name="Normal 3 21 3 4" xfId="18268" xr:uid="{00000000-0005-0000-0000-00005F630000}"/>
    <cellStyle name="Normal 3 21 3 4 2" xfId="38188" xr:uid="{00000000-0005-0000-0000-000060630000}"/>
    <cellStyle name="Normal 3 21 3 5" xfId="25883" xr:uid="{00000000-0005-0000-0000-000061630000}"/>
    <cellStyle name="Normal 3 21 4" xfId="7454" xr:uid="{00000000-0005-0000-0000-000062630000}"/>
    <cellStyle name="Normal 3 21 4 2" xfId="13648" xr:uid="{00000000-0005-0000-0000-000063630000}"/>
    <cellStyle name="Normal 3 21 4 2 2" xfId="33568" xr:uid="{00000000-0005-0000-0000-000064630000}"/>
    <cellStyle name="Normal 3 21 4 3" xfId="19800" xr:uid="{00000000-0005-0000-0000-000065630000}"/>
    <cellStyle name="Normal 3 21 4 3 2" xfId="39720" xr:uid="{00000000-0005-0000-0000-000066630000}"/>
    <cellStyle name="Normal 3 21 4 4" xfId="27415" xr:uid="{00000000-0005-0000-0000-000067630000}"/>
    <cellStyle name="Normal 3 21 5" xfId="10582" xr:uid="{00000000-0005-0000-0000-000068630000}"/>
    <cellStyle name="Normal 3 21 5 2" xfId="30502" xr:uid="{00000000-0005-0000-0000-000069630000}"/>
    <cellStyle name="Normal 3 21 6" xfId="16734" xr:uid="{00000000-0005-0000-0000-00006A630000}"/>
    <cellStyle name="Normal 3 21 6 2" xfId="36654" xr:uid="{00000000-0005-0000-0000-00006B630000}"/>
    <cellStyle name="Normal 3 21 7" xfId="3618" xr:uid="{00000000-0005-0000-0000-00006C630000}"/>
    <cellStyle name="Normal 3 21 7 2" xfId="24349" xr:uid="{00000000-0005-0000-0000-00006D630000}"/>
    <cellStyle name="Normal 3 22" xfId="381" xr:uid="{00000000-0005-0000-0000-00006E630000}"/>
    <cellStyle name="Normal 3 22 2" xfId="5048" xr:uid="{00000000-0005-0000-0000-00006F630000}"/>
    <cellStyle name="Normal 3 22 2 2" xfId="6673" xr:uid="{00000000-0005-0000-0000-000070630000}"/>
    <cellStyle name="Normal 3 22 2 2 2" xfId="9759" xr:uid="{00000000-0005-0000-0000-000071630000}"/>
    <cellStyle name="Normal 3 22 2 2 2 2" xfId="15952" xr:uid="{00000000-0005-0000-0000-000072630000}"/>
    <cellStyle name="Normal 3 22 2 2 2 2 2" xfId="35872" xr:uid="{00000000-0005-0000-0000-000073630000}"/>
    <cellStyle name="Normal 3 22 2 2 2 3" xfId="22104" xr:uid="{00000000-0005-0000-0000-000074630000}"/>
    <cellStyle name="Normal 3 22 2 2 2 3 2" xfId="42024" xr:uid="{00000000-0005-0000-0000-000075630000}"/>
    <cellStyle name="Normal 3 22 2 2 2 4" xfId="29719" xr:uid="{00000000-0005-0000-0000-000076630000}"/>
    <cellStyle name="Normal 3 22 2 2 3" xfId="12886" xr:uid="{00000000-0005-0000-0000-000077630000}"/>
    <cellStyle name="Normal 3 22 2 2 3 2" xfId="32806" xr:uid="{00000000-0005-0000-0000-000078630000}"/>
    <cellStyle name="Normal 3 22 2 2 4" xfId="19038" xr:uid="{00000000-0005-0000-0000-000079630000}"/>
    <cellStyle name="Normal 3 22 2 2 4 2" xfId="38958" xr:uid="{00000000-0005-0000-0000-00007A630000}"/>
    <cellStyle name="Normal 3 22 2 2 5" xfId="26653" xr:uid="{00000000-0005-0000-0000-00007B630000}"/>
    <cellStyle name="Normal 3 22 2 3" xfId="8224" xr:uid="{00000000-0005-0000-0000-00007C630000}"/>
    <cellStyle name="Normal 3 22 2 3 2" xfId="14418" xr:uid="{00000000-0005-0000-0000-00007D630000}"/>
    <cellStyle name="Normal 3 22 2 3 2 2" xfId="34338" xr:uid="{00000000-0005-0000-0000-00007E630000}"/>
    <cellStyle name="Normal 3 22 2 3 3" xfId="20570" xr:uid="{00000000-0005-0000-0000-00007F630000}"/>
    <cellStyle name="Normal 3 22 2 3 3 2" xfId="40490" xr:uid="{00000000-0005-0000-0000-000080630000}"/>
    <cellStyle name="Normal 3 22 2 3 4" xfId="28185" xr:uid="{00000000-0005-0000-0000-000081630000}"/>
    <cellStyle name="Normal 3 22 2 4" xfId="11352" xr:uid="{00000000-0005-0000-0000-000082630000}"/>
    <cellStyle name="Normal 3 22 2 4 2" xfId="31272" xr:uid="{00000000-0005-0000-0000-000083630000}"/>
    <cellStyle name="Normal 3 22 2 5" xfId="17504" xr:uid="{00000000-0005-0000-0000-000084630000}"/>
    <cellStyle name="Normal 3 22 2 5 2" xfId="37424" xr:uid="{00000000-0005-0000-0000-000085630000}"/>
    <cellStyle name="Normal 3 22 2 6" xfId="25119" xr:uid="{00000000-0005-0000-0000-000086630000}"/>
    <cellStyle name="Normal 3 22 3" xfId="5890" xr:uid="{00000000-0005-0000-0000-000087630000}"/>
    <cellStyle name="Normal 3 22 3 2" xfId="8990" xr:uid="{00000000-0005-0000-0000-000088630000}"/>
    <cellStyle name="Normal 3 22 3 2 2" xfId="15183" xr:uid="{00000000-0005-0000-0000-000089630000}"/>
    <cellStyle name="Normal 3 22 3 2 2 2" xfId="35103" xr:uid="{00000000-0005-0000-0000-00008A630000}"/>
    <cellStyle name="Normal 3 22 3 2 3" xfId="21335" xr:uid="{00000000-0005-0000-0000-00008B630000}"/>
    <cellStyle name="Normal 3 22 3 2 3 2" xfId="41255" xr:uid="{00000000-0005-0000-0000-00008C630000}"/>
    <cellStyle name="Normal 3 22 3 2 4" xfId="28950" xr:uid="{00000000-0005-0000-0000-00008D630000}"/>
    <cellStyle name="Normal 3 22 3 3" xfId="12117" xr:uid="{00000000-0005-0000-0000-00008E630000}"/>
    <cellStyle name="Normal 3 22 3 3 2" xfId="32037" xr:uid="{00000000-0005-0000-0000-00008F630000}"/>
    <cellStyle name="Normal 3 22 3 4" xfId="18269" xr:uid="{00000000-0005-0000-0000-000090630000}"/>
    <cellStyle name="Normal 3 22 3 4 2" xfId="38189" xr:uid="{00000000-0005-0000-0000-000091630000}"/>
    <cellStyle name="Normal 3 22 3 5" xfId="25884" xr:uid="{00000000-0005-0000-0000-000092630000}"/>
    <cellStyle name="Normal 3 22 4" xfId="7455" xr:uid="{00000000-0005-0000-0000-000093630000}"/>
    <cellStyle name="Normal 3 22 4 2" xfId="13649" xr:uid="{00000000-0005-0000-0000-000094630000}"/>
    <cellStyle name="Normal 3 22 4 2 2" xfId="33569" xr:uid="{00000000-0005-0000-0000-000095630000}"/>
    <cellStyle name="Normal 3 22 4 3" xfId="19801" xr:uid="{00000000-0005-0000-0000-000096630000}"/>
    <cellStyle name="Normal 3 22 4 3 2" xfId="39721" xr:uid="{00000000-0005-0000-0000-000097630000}"/>
    <cellStyle name="Normal 3 22 4 4" xfId="27416" xr:uid="{00000000-0005-0000-0000-000098630000}"/>
    <cellStyle name="Normal 3 22 5" xfId="10583" xr:uid="{00000000-0005-0000-0000-000099630000}"/>
    <cellStyle name="Normal 3 22 5 2" xfId="30503" xr:uid="{00000000-0005-0000-0000-00009A630000}"/>
    <cellStyle name="Normal 3 22 6" xfId="16735" xr:uid="{00000000-0005-0000-0000-00009B630000}"/>
    <cellStyle name="Normal 3 22 6 2" xfId="36655" xr:uid="{00000000-0005-0000-0000-00009C630000}"/>
    <cellStyle name="Normal 3 22 7" xfId="3619" xr:uid="{00000000-0005-0000-0000-00009D630000}"/>
    <cellStyle name="Normal 3 22 7 2" xfId="24350" xr:uid="{00000000-0005-0000-0000-00009E630000}"/>
    <cellStyle name="Normal 3 23" xfId="368" xr:uid="{00000000-0005-0000-0000-00009F630000}"/>
    <cellStyle name="Normal 3 23 2" xfId="5049" xr:uid="{00000000-0005-0000-0000-0000A0630000}"/>
    <cellStyle name="Normal 3 23 2 2" xfId="6674" xr:uid="{00000000-0005-0000-0000-0000A1630000}"/>
    <cellStyle name="Normal 3 23 2 2 2" xfId="9760" xr:uid="{00000000-0005-0000-0000-0000A2630000}"/>
    <cellStyle name="Normal 3 23 2 2 2 2" xfId="15953" xr:uid="{00000000-0005-0000-0000-0000A3630000}"/>
    <cellStyle name="Normal 3 23 2 2 2 2 2" xfId="35873" xr:uid="{00000000-0005-0000-0000-0000A4630000}"/>
    <cellStyle name="Normal 3 23 2 2 2 3" xfId="22105" xr:uid="{00000000-0005-0000-0000-0000A5630000}"/>
    <cellStyle name="Normal 3 23 2 2 2 3 2" xfId="42025" xr:uid="{00000000-0005-0000-0000-0000A6630000}"/>
    <cellStyle name="Normal 3 23 2 2 2 4" xfId="29720" xr:uid="{00000000-0005-0000-0000-0000A7630000}"/>
    <cellStyle name="Normal 3 23 2 2 3" xfId="12887" xr:uid="{00000000-0005-0000-0000-0000A8630000}"/>
    <cellStyle name="Normal 3 23 2 2 3 2" xfId="32807" xr:uid="{00000000-0005-0000-0000-0000A9630000}"/>
    <cellStyle name="Normal 3 23 2 2 4" xfId="19039" xr:uid="{00000000-0005-0000-0000-0000AA630000}"/>
    <cellStyle name="Normal 3 23 2 2 4 2" xfId="38959" xr:uid="{00000000-0005-0000-0000-0000AB630000}"/>
    <cellStyle name="Normal 3 23 2 2 5" xfId="26654" xr:uid="{00000000-0005-0000-0000-0000AC630000}"/>
    <cellStyle name="Normal 3 23 2 3" xfId="8225" xr:uid="{00000000-0005-0000-0000-0000AD630000}"/>
    <cellStyle name="Normal 3 23 2 3 2" xfId="14419" xr:uid="{00000000-0005-0000-0000-0000AE630000}"/>
    <cellStyle name="Normal 3 23 2 3 2 2" xfId="34339" xr:uid="{00000000-0005-0000-0000-0000AF630000}"/>
    <cellStyle name="Normal 3 23 2 3 3" xfId="20571" xr:uid="{00000000-0005-0000-0000-0000B0630000}"/>
    <cellStyle name="Normal 3 23 2 3 3 2" xfId="40491" xr:uid="{00000000-0005-0000-0000-0000B1630000}"/>
    <cellStyle name="Normal 3 23 2 3 4" xfId="28186" xr:uid="{00000000-0005-0000-0000-0000B2630000}"/>
    <cellStyle name="Normal 3 23 2 4" xfId="11353" xr:uid="{00000000-0005-0000-0000-0000B3630000}"/>
    <cellStyle name="Normal 3 23 2 4 2" xfId="31273" xr:uid="{00000000-0005-0000-0000-0000B4630000}"/>
    <cellStyle name="Normal 3 23 2 5" xfId="17505" xr:uid="{00000000-0005-0000-0000-0000B5630000}"/>
    <cellStyle name="Normal 3 23 2 5 2" xfId="37425" xr:uid="{00000000-0005-0000-0000-0000B6630000}"/>
    <cellStyle name="Normal 3 23 2 6" xfId="25120" xr:uid="{00000000-0005-0000-0000-0000B7630000}"/>
    <cellStyle name="Normal 3 23 3" xfId="5891" xr:uid="{00000000-0005-0000-0000-0000B8630000}"/>
    <cellStyle name="Normal 3 23 3 2" xfId="8991" xr:uid="{00000000-0005-0000-0000-0000B9630000}"/>
    <cellStyle name="Normal 3 23 3 2 2" xfId="15184" xr:uid="{00000000-0005-0000-0000-0000BA630000}"/>
    <cellStyle name="Normal 3 23 3 2 2 2" xfId="35104" xr:uid="{00000000-0005-0000-0000-0000BB630000}"/>
    <cellStyle name="Normal 3 23 3 2 3" xfId="21336" xr:uid="{00000000-0005-0000-0000-0000BC630000}"/>
    <cellStyle name="Normal 3 23 3 2 3 2" xfId="41256" xr:uid="{00000000-0005-0000-0000-0000BD630000}"/>
    <cellStyle name="Normal 3 23 3 2 4" xfId="28951" xr:uid="{00000000-0005-0000-0000-0000BE630000}"/>
    <cellStyle name="Normal 3 23 3 3" xfId="12118" xr:uid="{00000000-0005-0000-0000-0000BF630000}"/>
    <cellStyle name="Normal 3 23 3 3 2" xfId="32038" xr:uid="{00000000-0005-0000-0000-0000C0630000}"/>
    <cellStyle name="Normal 3 23 3 4" xfId="18270" xr:uid="{00000000-0005-0000-0000-0000C1630000}"/>
    <cellStyle name="Normal 3 23 3 4 2" xfId="38190" xr:uid="{00000000-0005-0000-0000-0000C2630000}"/>
    <cellStyle name="Normal 3 23 3 5" xfId="25885" xr:uid="{00000000-0005-0000-0000-0000C3630000}"/>
    <cellStyle name="Normal 3 23 4" xfId="7456" xr:uid="{00000000-0005-0000-0000-0000C4630000}"/>
    <cellStyle name="Normal 3 23 4 2" xfId="13650" xr:uid="{00000000-0005-0000-0000-0000C5630000}"/>
    <cellStyle name="Normal 3 23 4 2 2" xfId="33570" xr:uid="{00000000-0005-0000-0000-0000C6630000}"/>
    <cellStyle name="Normal 3 23 4 3" xfId="19802" xr:uid="{00000000-0005-0000-0000-0000C7630000}"/>
    <cellStyle name="Normal 3 23 4 3 2" xfId="39722" xr:uid="{00000000-0005-0000-0000-0000C8630000}"/>
    <cellStyle name="Normal 3 23 4 4" xfId="27417" xr:uid="{00000000-0005-0000-0000-0000C9630000}"/>
    <cellStyle name="Normal 3 23 5" xfId="10584" xr:uid="{00000000-0005-0000-0000-0000CA630000}"/>
    <cellStyle name="Normal 3 23 5 2" xfId="30504" xr:uid="{00000000-0005-0000-0000-0000CB630000}"/>
    <cellStyle name="Normal 3 23 6" xfId="16736" xr:uid="{00000000-0005-0000-0000-0000CC630000}"/>
    <cellStyle name="Normal 3 23 6 2" xfId="36656" xr:uid="{00000000-0005-0000-0000-0000CD630000}"/>
    <cellStyle name="Normal 3 23 7" xfId="3620" xr:uid="{00000000-0005-0000-0000-0000CE630000}"/>
    <cellStyle name="Normal 3 23 7 2" xfId="24351" xr:uid="{00000000-0005-0000-0000-0000CF630000}"/>
    <cellStyle name="Normal 3 24" xfId="494" xr:uid="{00000000-0005-0000-0000-0000D0630000}"/>
    <cellStyle name="Normal 3 24 2" xfId="5050" xr:uid="{00000000-0005-0000-0000-0000D1630000}"/>
    <cellStyle name="Normal 3 24 2 2" xfId="6675" xr:uid="{00000000-0005-0000-0000-0000D2630000}"/>
    <cellStyle name="Normal 3 24 2 2 2" xfId="9761" xr:uid="{00000000-0005-0000-0000-0000D3630000}"/>
    <cellStyle name="Normal 3 24 2 2 2 2" xfId="15954" xr:uid="{00000000-0005-0000-0000-0000D4630000}"/>
    <cellStyle name="Normal 3 24 2 2 2 2 2" xfId="35874" xr:uid="{00000000-0005-0000-0000-0000D5630000}"/>
    <cellStyle name="Normal 3 24 2 2 2 3" xfId="22106" xr:uid="{00000000-0005-0000-0000-0000D6630000}"/>
    <cellStyle name="Normal 3 24 2 2 2 3 2" xfId="42026" xr:uid="{00000000-0005-0000-0000-0000D7630000}"/>
    <cellStyle name="Normal 3 24 2 2 2 4" xfId="29721" xr:uid="{00000000-0005-0000-0000-0000D8630000}"/>
    <cellStyle name="Normal 3 24 2 2 3" xfId="12888" xr:uid="{00000000-0005-0000-0000-0000D9630000}"/>
    <cellStyle name="Normal 3 24 2 2 3 2" xfId="32808" xr:uid="{00000000-0005-0000-0000-0000DA630000}"/>
    <cellStyle name="Normal 3 24 2 2 4" xfId="19040" xr:uid="{00000000-0005-0000-0000-0000DB630000}"/>
    <cellStyle name="Normal 3 24 2 2 4 2" xfId="38960" xr:uid="{00000000-0005-0000-0000-0000DC630000}"/>
    <cellStyle name="Normal 3 24 2 2 5" xfId="26655" xr:uid="{00000000-0005-0000-0000-0000DD630000}"/>
    <cellStyle name="Normal 3 24 2 3" xfId="8226" xr:uid="{00000000-0005-0000-0000-0000DE630000}"/>
    <cellStyle name="Normal 3 24 2 3 2" xfId="14420" xr:uid="{00000000-0005-0000-0000-0000DF630000}"/>
    <cellStyle name="Normal 3 24 2 3 2 2" xfId="34340" xr:uid="{00000000-0005-0000-0000-0000E0630000}"/>
    <cellStyle name="Normal 3 24 2 3 3" xfId="20572" xr:uid="{00000000-0005-0000-0000-0000E1630000}"/>
    <cellStyle name="Normal 3 24 2 3 3 2" xfId="40492" xr:uid="{00000000-0005-0000-0000-0000E2630000}"/>
    <cellStyle name="Normal 3 24 2 3 4" xfId="28187" xr:uid="{00000000-0005-0000-0000-0000E3630000}"/>
    <cellStyle name="Normal 3 24 2 4" xfId="11354" xr:uid="{00000000-0005-0000-0000-0000E4630000}"/>
    <cellStyle name="Normal 3 24 2 4 2" xfId="31274" xr:uid="{00000000-0005-0000-0000-0000E5630000}"/>
    <cellStyle name="Normal 3 24 2 5" xfId="17506" xr:uid="{00000000-0005-0000-0000-0000E6630000}"/>
    <cellStyle name="Normal 3 24 2 5 2" xfId="37426" xr:uid="{00000000-0005-0000-0000-0000E7630000}"/>
    <cellStyle name="Normal 3 24 2 6" xfId="25121" xr:uid="{00000000-0005-0000-0000-0000E8630000}"/>
    <cellStyle name="Normal 3 24 3" xfId="5892" xr:uid="{00000000-0005-0000-0000-0000E9630000}"/>
    <cellStyle name="Normal 3 24 3 2" xfId="8992" xr:uid="{00000000-0005-0000-0000-0000EA630000}"/>
    <cellStyle name="Normal 3 24 3 2 2" xfId="15185" xr:uid="{00000000-0005-0000-0000-0000EB630000}"/>
    <cellStyle name="Normal 3 24 3 2 2 2" xfId="35105" xr:uid="{00000000-0005-0000-0000-0000EC630000}"/>
    <cellStyle name="Normal 3 24 3 2 3" xfId="21337" xr:uid="{00000000-0005-0000-0000-0000ED630000}"/>
    <cellStyle name="Normal 3 24 3 2 3 2" xfId="41257" xr:uid="{00000000-0005-0000-0000-0000EE630000}"/>
    <cellStyle name="Normal 3 24 3 2 4" xfId="28952" xr:uid="{00000000-0005-0000-0000-0000EF630000}"/>
    <cellStyle name="Normal 3 24 3 3" xfId="12119" xr:uid="{00000000-0005-0000-0000-0000F0630000}"/>
    <cellStyle name="Normal 3 24 3 3 2" xfId="32039" xr:uid="{00000000-0005-0000-0000-0000F1630000}"/>
    <cellStyle name="Normal 3 24 3 4" xfId="18271" xr:uid="{00000000-0005-0000-0000-0000F2630000}"/>
    <cellStyle name="Normal 3 24 3 4 2" xfId="38191" xr:uid="{00000000-0005-0000-0000-0000F3630000}"/>
    <cellStyle name="Normal 3 24 3 5" xfId="25886" xr:uid="{00000000-0005-0000-0000-0000F4630000}"/>
    <cellStyle name="Normal 3 24 4" xfId="7457" xr:uid="{00000000-0005-0000-0000-0000F5630000}"/>
    <cellStyle name="Normal 3 24 4 2" xfId="13651" xr:uid="{00000000-0005-0000-0000-0000F6630000}"/>
    <cellStyle name="Normal 3 24 4 2 2" xfId="33571" xr:uid="{00000000-0005-0000-0000-0000F7630000}"/>
    <cellStyle name="Normal 3 24 4 3" xfId="19803" xr:uid="{00000000-0005-0000-0000-0000F8630000}"/>
    <cellStyle name="Normal 3 24 4 3 2" xfId="39723" xr:uid="{00000000-0005-0000-0000-0000F9630000}"/>
    <cellStyle name="Normal 3 24 4 4" xfId="27418" xr:uid="{00000000-0005-0000-0000-0000FA630000}"/>
    <cellStyle name="Normal 3 24 5" xfId="10585" xr:uid="{00000000-0005-0000-0000-0000FB630000}"/>
    <cellStyle name="Normal 3 24 5 2" xfId="30505" xr:uid="{00000000-0005-0000-0000-0000FC630000}"/>
    <cellStyle name="Normal 3 24 6" xfId="16737" xr:uid="{00000000-0005-0000-0000-0000FD630000}"/>
    <cellStyle name="Normal 3 24 6 2" xfId="36657" xr:uid="{00000000-0005-0000-0000-0000FE630000}"/>
    <cellStyle name="Normal 3 24 7" xfId="3621" xr:uid="{00000000-0005-0000-0000-0000FF630000}"/>
    <cellStyle name="Normal 3 24 7 2" xfId="24352" xr:uid="{00000000-0005-0000-0000-000000640000}"/>
    <cellStyle name="Normal 3 25" xfId="512" xr:uid="{00000000-0005-0000-0000-000001640000}"/>
    <cellStyle name="Normal 3 25 2" xfId="3622" xr:uid="{00000000-0005-0000-0000-000002640000}"/>
    <cellStyle name="Normal 3 26" xfId="476" xr:uid="{00000000-0005-0000-0000-000003640000}"/>
    <cellStyle name="Normal 3 26 2" xfId="3624" xr:uid="{00000000-0005-0000-0000-000004640000}"/>
    <cellStyle name="Normal 3 26 3" xfId="3625" xr:uid="{00000000-0005-0000-0000-000005640000}"/>
    <cellStyle name="Normal 3 26 4" xfId="3626" xr:uid="{00000000-0005-0000-0000-000006640000}"/>
    <cellStyle name="Normal 3 26 5" xfId="3623" xr:uid="{00000000-0005-0000-0000-000007640000}"/>
    <cellStyle name="Normal 3 27" xfId="554" xr:uid="{00000000-0005-0000-0000-000008640000}"/>
    <cellStyle name="Normal 3 27 2" xfId="3627" xr:uid="{00000000-0005-0000-0000-000009640000}"/>
    <cellStyle name="Normal 3 28" xfId="490" xr:uid="{00000000-0005-0000-0000-00000A640000}"/>
    <cellStyle name="Normal 3 28 2" xfId="4499" xr:uid="{00000000-0005-0000-0000-00000B640000}"/>
    <cellStyle name="Normal 3 29" xfId="556" xr:uid="{00000000-0005-0000-0000-00000C640000}"/>
    <cellStyle name="Normal 3 29 2" xfId="1207" xr:uid="{00000000-0005-0000-0000-00000D640000}"/>
    <cellStyle name="Normal 3 3" xfId="86" xr:uid="{00000000-0005-0000-0000-00000E640000}"/>
    <cellStyle name="Normal 3 3 10" xfId="3628" xr:uid="{00000000-0005-0000-0000-00000F640000}"/>
    <cellStyle name="Normal 3 3 10 2" xfId="24353" xr:uid="{00000000-0005-0000-0000-000010640000}"/>
    <cellStyle name="Normal 3 3 11" xfId="1048" xr:uid="{00000000-0005-0000-0000-000011640000}"/>
    <cellStyle name="Normal 3 3 12" xfId="22712" xr:uid="{00000000-0005-0000-0000-000012640000}"/>
    <cellStyle name="Normal 3 3 12 2" xfId="42623" xr:uid="{00000000-0005-0000-0000-000013640000}"/>
    <cellStyle name="Normal 3 3 13" xfId="23015" xr:uid="{00000000-0005-0000-0000-000014640000}"/>
    <cellStyle name="Normal 3 3 13 2" xfId="42926" xr:uid="{00000000-0005-0000-0000-000015640000}"/>
    <cellStyle name="Normal 3 3 14" xfId="23326" xr:uid="{00000000-0005-0000-0000-000016640000}"/>
    <cellStyle name="Normal 3 3 2" xfId="747" xr:uid="{00000000-0005-0000-0000-000017640000}"/>
    <cellStyle name="Normal 3 3 2 2" xfId="5052" xr:uid="{00000000-0005-0000-0000-000018640000}"/>
    <cellStyle name="Normal 3 3 2 2 2" xfId="6677" xr:uid="{00000000-0005-0000-0000-000019640000}"/>
    <cellStyle name="Normal 3 3 2 2 2 2" xfId="9763" xr:uid="{00000000-0005-0000-0000-00001A640000}"/>
    <cellStyle name="Normal 3 3 2 2 2 2 2" xfId="15956" xr:uid="{00000000-0005-0000-0000-00001B640000}"/>
    <cellStyle name="Normal 3 3 2 2 2 2 2 2" xfId="35876" xr:uid="{00000000-0005-0000-0000-00001C640000}"/>
    <cellStyle name="Normal 3 3 2 2 2 2 3" xfId="22108" xr:uid="{00000000-0005-0000-0000-00001D640000}"/>
    <cellStyle name="Normal 3 3 2 2 2 2 3 2" xfId="42028" xr:uid="{00000000-0005-0000-0000-00001E640000}"/>
    <cellStyle name="Normal 3 3 2 2 2 2 4" xfId="29723" xr:uid="{00000000-0005-0000-0000-00001F640000}"/>
    <cellStyle name="Normal 3 3 2 2 2 3" xfId="12890" xr:uid="{00000000-0005-0000-0000-000020640000}"/>
    <cellStyle name="Normal 3 3 2 2 2 3 2" xfId="32810" xr:uid="{00000000-0005-0000-0000-000021640000}"/>
    <cellStyle name="Normal 3 3 2 2 2 4" xfId="19042" xr:uid="{00000000-0005-0000-0000-000022640000}"/>
    <cellStyle name="Normal 3 3 2 2 2 4 2" xfId="38962" xr:uid="{00000000-0005-0000-0000-000023640000}"/>
    <cellStyle name="Normal 3 3 2 2 2 5" xfId="26657" xr:uid="{00000000-0005-0000-0000-000024640000}"/>
    <cellStyle name="Normal 3 3 2 2 3" xfId="8228" xr:uid="{00000000-0005-0000-0000-000025640000}"/>
    <cellStyle name="Normal 3 3 2 2 3 2" xfId="14422" xr:uid="{00000000-0005-0000-0000-000026640000}"/>
    <cellStyle name="Normal 3 3 2 2 3 2 2" xfId="34342" xr:uid="{00000000-0005-0000-0000-000027640000}"/>
    <cellStyle name="Normal 3 3 2 2 3 3" xfId="20574" xr:uid="{00000000-0005-0000-0000-000028640000}"/>
    <cellStyle name="Normal 3 3 2 2 3 3 2" xfId="40494" xr:uid="{00000000-0005-0000-0000-000029640000}"/>
    <cellStyle name="Normal 3 3 2 2 3 4" xfId="28189" xr:uid="{00000000-0005-0000-0000-00002A640000}"/>
    <cellStyle name="Normal 3 3 2 2 4" xfId="11356" xr:uid="{00000000-0005-0000-0000-00002B640000}"/>
    <cellStyle name="Normal 3 3 2 2 4 2" xfId="31276" xr:uid="{00000000-0005-0000-0000-00002C640000}"/>
    <cellStyle name="Normal 3 3 2 2 5" xfId="17508" xr:uid="{00000000-0005-0000-0000-00002D640000}"/>
    <cellStyle name="Normal 3 3 2 2 5 2" xfId="37428" xr:uid="{00000000-0005-0000-0000-00002E640000}"/>
    <cellStyle name="Normal 3 3 2 2 6" xfId="25123" xr:uid="{00000000-0005-0000-0000-00002F640000}"/>
    <cellStyle name="Normal 3 3 2 3" xfId="5894" xr:uid="{00000000-0005-0000-0000-000030640000}"/>
    <cellStyle name="Normal 3 3 2 3 2" xfId="8994" xr:uid="{00000000-0005-0000-0000-000031640000}"/>
    <cellStyle name="Normal 3 3 2 3 2 2" xfId="15187" xr:uid="{00000000-0005-0000-0000-000032640000}"/>
    <cellStyle name="Normal 3 3 2 3 2 2 2" xfId="35107" xr:uid="{00000000-0005-0000-0000-000033640000}"/>
    <cellStyle name="Normal 3 3 2 3 2 3" xfId="21339" xr:uid="{00000000-0005-0000-0000-000034640000}"/>
    <cellStyle name="Normal 3 3 2 3 2 3 2" xfId="41259" xr:uid="{00000000-0005-0000-0000-000035640000}"/>
    <cellStyle name="Normal 3 3 2 3 2 4" xfId="28954" xr:uid="{00000000-0005-0000-0000-000036640000}"/>
    <cellStyle name="Normal 3 3 2 3 3" xfId="12121" xr:uid="{00000000-0005-0000-0000-000037640000}"/>
    <cellStyle name="Normal 3 3 2 3 3 2" xfId="32041" xr:uid="{00000000-0005-0000-0000-000038640000}"/>
    <cellStyle name="Normal 3 3 2 3 4" xfId="18273" xr:uid="{00000000-0005-0000-0000-000039640000}"/>
    <cellStyle name="Normal 3 3 2 3 4 2" xfId="38193" xr:uid="{00000000-0005-0000-0000-00003A640000}"/>
    <cellStyle name="Normal 3 3 2 3 5" xfId="25888" xr:uid="{00000000-0005-0000-0000-00003B640000}"/>
    <cellStyle name="Normal 3 3 2 4" xfId="7459" xr:uid="{00000000-0005-0000-0000-00003C640000}"/>
    <cellStyle name="Normal 3 3 2 4 2" xfId="13653" xr:uid="{00000000-0005-0000-0000-00003D640000}"/>
    <cellStyle name="Normal 3 3 2 4 2 2" xfId="33573" xr:uid="{00000000-0005-0000-0000-00003E640000}"/>
    <cellStyle name="Normal 3 3 2 4 3" xfId="19805" xr:uid="{00000000-0005-0000-0000-00003F640000}"/>
    <cellStyle name="Normal 3 3 2 4 3 2" xfId="39725" xr:uid="{00000000-0005-0000-0000-000040640000}"/>
    <cellStyle name="Normal 3 3 2 4 4" xfId="27420" xr:uid="{00000000-0005-0000-0000-000041640000}"/>
    <cellStyle name="Normal 3 3 2 5" xfId="10587" xr:uid="{00000000-0005-0000-0000-000042640000}"/>
    <cellStyle name="Normal 3 3 2 5 2" xfId="30507" xr:uid="{00000000-0005-0000-0000-000043640000}"/>
    <cellStyle name="Normal 3 3 2 6" xfId="16739" xr:uid="{00000000-0005-0000-0000-000044640000}"/>
    <cellStyle name="Normal 3 3 2 6 2" xfId="36659" xr:uid="{00000000-0005-0000-0000-000045640000}"/>
    <cellStyle name="Normal 3 3 2 7" xfId="3629" xr:uid="{00000000-0005-0000-0000-000046640000}"/>
    <cellStyle name="Normal 3 3 2 7 2" xfId="24354" xr:uid="{00000000-0005-0000-0000-000047640000}"/>
    <cellStyle name="Normal 3 3 2 8" xfId="23629" xr:uid="{00000000-0005-0000-0000-000048640000}"/>
    <cellStyle name="Normal 3 3 3" xfId="3630" xr:uid="{00000000-0005-0000-0000-000049640000}"/>
    <cellStyle name="Normal 3 3 3 2" xfId="5053" xr:uid="{00000000-0005-0000-0000-00004A640000}"/>
    <cellStyle name="Normal 3 3 3 2 2" xfId="6678" xr:uid="{00000000-0005-0000-0000-00004B640000}"/>
    <cellStyle name="Normal 3 3 3 2 2 2" xfId="9764" xr:uid="{00000000-0005-0000-0000-00004C640000}"/>
    <cellStyle name="Normal 3 3 3 2 2 2 2" xfId="15957" xr:uid="{00000000-0005-0000-0000-00004D640000}"/>
    <cellStyle name="Normal 3 3 3 2 2 2 2 2" xfId="35877" xr:uid="{00000000-0005-0000-0000-00004E640000}"/>
    <cellStyle name="Normal 3 3 3 2 2 2 3" xfId="22109" xr:uid="{00000000-0005-0000-0000-00004F640000}"/>
    <cellStyle name="Normal 3 3 3 2 2 2 3 2" xfId="42029" xr:uid="{00000000-0005-0000-0000-000050640000}"/>
    <cellStyle name="Normal 3 3 3 2 2 2 4" xfId="29724" xr:uid="{00000000-0005-0000-0000-000051640000}"/>
    <cellStyle name="Normal 3 3 3 2 2 3" xfId="12891" xr:uid="{00000000-0005-0000-0000-000052640000}"/>
    <cellStyle name="Normal 3 3 3 2 2 3 2" xfId="32811" xr:uid="{00000000-0005-0000-0000-000053640000}"/>
    <cellStyle name="Normal 3 3 3 2 2 4" xfId="19043" xr:uid="{00000000-0005-0000-0000-000054640000}"/>
    <cellStyle name="Normal 3 3 3 2 2 4 2" xfId="38963" xr:uid="{00000000-0005-0000-0000-000055640000}"/>
    <cellStyle name="Normal 3 3 3 2 2 5" xfId="26658" xr:uid="{00000000-0005-0000-0000-000056640000}"/>
    <cellStyle name="Normal 3 3 3 2 3" xfId="8229" xr:uid="{00000000-0005-0000-0000-000057640000}"/>
    <cellStyle name="Normal 3 3 3 2 3 2" xfId="14423" xr:uid="{00000000-0005-0000-0000-000058640000}"/>
    <cellStyle name="Normal 3 3 3 2 3 2 2" xfId="34343" xr:uid="{00000000-0005-0000-0000-000059640000}"/>
    <cellStyle name="Normal 3 3 3 2 3 3" xfId="20575" xr:uid="{00000000-0005-0000-0000-00005A640000}"/>
    <cellStyle name="Normal 3 3 3 2 3 3 2" xfId="40495" xr:uid="{00000000-0005-0000-0000-00005B640000}"/>
    <cellStyle name="Normal 3 3 3 2 3 4" xfId="28190" xr:uid="{00000000-0005-0000-0000-00005C640000}"/>
    <cellStyle name="Normal 3 3 3 2 4" xfId="11357" xr:uid="{00000000-0005-0000-0000-00005D640000}"/>
    <cellStyle name="Normal 3 3 3 2 4 2" xfId="31277" xr:uid="{00000000-0005-0000-0000-00005E640000}"/>
    <cellStyle name="Normal 3 3 3 2 5" xfId="17509" xr:uid="{00000000-0005-0000-0000-00005F640000}"/>
    <cellStyle name="Normal 3 3 3 2 5 2" xfId="37429" xr:uid="{00000000-0005-0000-0000-000060640000}"/>
    <cellStyle name="Normal 3 3 3 2 6" xfId="25124" xr:uid="{00000000-0005-0000-0000-000061640000}"/>
    <cellStyle name="Normal 3 3 3 3" xfId="5895" xr:uid="{00000000-0005-0000-0000-000062640000}"/>
    <cellStyle name="Normal 3 3 3 3 2" xfId="8995" xr:uid="{00000000-0005-0000-0000-000063640000}"/>
    <cellStyle name="Normal 3 3 3 3 2 2" xfId="15188" xr:uid="{00000000-0005-0000-0000-000064640000}"/>
    <cellStyle name="Normal 3 3 3 3 2 2 2" xfId="35108" xr:uid="{00000000-0005-0000-0000-000065640000}"/>
    <cellStyle name="Normal 3 3 3 3 2 3" xfId="21340" xr:uid="{00000000-0005-0000-0000-000066640000}"/>
    <cellStyle name="Normal 3 3 3 3 2 3 2" xfId="41260" xr:uid="{00000000-0005-0000-0000-000067640000}"/>
    <cellStyle name="Normal 3 3 3 3 2 4" xfId="28955" xr:uid="{00000000-0005-0000-0000-000068640000}"/>
    <cellStyle name="Normal 3 3 3 3 3" xfId="12122" xr:uid="{00000000-0005-0000-0000-000069640000}"/>
    <cellStyle name="Normal 3 3 3 3 3 2" xfId="32042" xr:uid="{00000000-0005-0000-0000-00006A640000}"/>
    <cellStyle name="Normal 3 3 3 3 4" xfId="18274" xr:uid="{00000000-0005-0000-0000-00006B640000}"/>
    <cellStyle name="Normal 3 3 3 3 4 2" xfId="38194" xr:uid="{00000000-0005-0000-0000-00006C640000}"/>
    <cellStyle name="Normal 3 3 3 3 5" xfId="25889" xr:uid="{00000000-0005-0000-0000-00006D640000}"/>
    <cellStyle name="Normal 3 3 3 4" xfId="7460" xr:uid="{00000000-0005-0000-0000-00006E640000}"/>
    <cellStyle name="Normal 3 3 3 4 2" xfId="13654" xr:uid="{00000000-0005-0000-0000-00006F640000}"/>
    <cellStyle name="Normal 3 3 3 4 2 2" xfId="33574" xr:uid="{00000000-0005-0000-0000-000070640000}"/>
    <cellStyle name="Normal 3 3 3 4 3" xfId="19806" xr:uid="{00000000-0005-0000-0000-000071640000}"/>
    <cellStyle name="Normal 3 3 3 4 3 2" xfId="39726" xr:uid="{00000000-0005-0000-0000-000072640000}"/>
    <cellStyle name="Normal 3 3 3 4 4" xfId="27421" xr:uid="{00000000-0005-0000-0000-000073640000}"/>
    <cellStyle name="Normal 3 3 3 5" xfId="10588" xr:uid="{00000000-0005-0000-0000-000074640000}"/>
    <cellStyle name="Normal 3 3 3 5 2" xfId="30508" xr:uid="{00000000-0005-0000-0000-000075640000}"/>
    <cellStyle name="Normal 3 3 3 6" xfId="16740" xr:uid="{00000000-0005-0000-0000-000076640000}"/>
    <cellStyle name="Normal 3 3 3 6 2" xfId="36660" xr:uid="{00000000-0005-0000-0000-000077640000}"/>
    <cellStyle name="Normal 3 3 3 7" xfId="24355" xr:uid="{00000000-0005-0000-0000-000078640000}"/>
    <cellStyle name="Normal 3 3 4" xfId="3631" xr:uid="{00000000-0005-0000-0000-000079640000}"/>
    <cellStyle name="Normal 3 3 5" xfId="5051" xr:uid="{00000000-0005-0000-0000-00007A640000}"/>
    <cellStyle name="Normal 3 3 5 2" xfId="6676" xr:uid="{00000000-0005-0000-0000-00007B640000}"/>
    <cellStyle name="Normal 3 3 5 2 2" xfId="9762" xr:uid="{00000000-0005-0000-0000-00007C640000}"/>
    <cellStyle name="Normal 3 3 5 2 2 2" xfId="15955" xr:uid="{00000000-0005-0000-0000-00007D640000}"/>
    <cellStyle name="Normal 3 3 5 2 2 2 2" xfId="35875" xr:uid="{00000000-0005-0000-0000-00007E640000}"/>
    <cellStyle name="Normal 3 3 5 2 2 3" xfId="22107" xr:uid="{00000000-0005-0000-0000-00007F640000}"/>
    <cellStyle name="Normal 3 3 5 2 2 3 2" xfId="42027" xr:uid="{00000000-0005-0000-0000-000080640000}"/>
    <cellStyle name="Normal 3 3 5 2 2 4" xfId="29722" xr:uid="{00000000-0005-0000-0000-000081640000}"/>
    <cellStyle name="Normal 3 3 5 2 3" xfId="12889" xr:uid="{00000000-0005-0000-0000-000082640000}"/>
    <cellStyle name="Normal 3 3 5 2 3 2" xfId="32809" xr:uid="{00000000-0005-0000-0000-000083640000}"/>
    <cellStyle name="Normal 3 3 5 2 4" xfId="19041" xr:uid="{00000000-0005-0000-0000-000084640000}"/>
    <cellStyle name="Normal 3 3 5 2 4 2" xfId="38961" xr:uid="{00000000-0005-0000-0000-000085640000}"/>
    <cellStyle name="Normal 3 3 5 2 5" xfId="26656" xr:uid="{00000000-0005-0000-0000-000086640000}"/>
    <cellStyle name="Normal 3 3 5 3" xfId="8227" xr:uid="{00000000-0005-0000-0000-000087640000}"/>
    <cellStyle name="Normal 3 3 5 3 2" xfId="14421" xr:uid="{00000000-0005-0000-0000-000088640000}"/>
    <cellStyle name="Normal 3 3 5 3 2 2" xfId="34341" xr:uid="{00000000-0005-0000-0000-000089640000}"/>
    <cellStyle name="Normal 3 3 5 3 3" xfId="20573" xr:uid="{00000000-0005-0000-0000-00008A640000}"/>
    <cellStyle name="Normal 3 3 5 3 3 2" xfId="40493" xr:uid="{00000000-0005-0000-0000-00008B640000}"/>
    <cellStyle name="Normal 3 3 5 3 4" xfId="28188" xr:uid="{00000000-0005-0000-0000-00008C640000}"/>
    <cellStyle name="Normal 3 3 5 4" xfId="11355" xr:uid="{00000000-0005-0000-0000-00008D640000}"/>
    <cellStyle name="Normal 3 3 5 4 2" xfId="31275" xr:uid="{00000000-0005-0000-0000-00008E640000}"/>
    <cellStyle name="Normal 3 3 5 5" xfId="17507" xr:uid="{00000000-0005-0000-0000-00008F640000}"/>
    <cellStyle name="Normal 3 3 5 5 2" xfId="37427" xr:uid="{00000000-0005-0000-0000-000090640000}"/>
    <cellStyle name="Normal 3 3 5 6" xfId="25122" xr:uid="{00000000-0005-0000-0000-000091640000}"/>
    <cellStyle name="Normal 3 3 6" xfId="5893" xr:uid="{00000000-0005-0000-0000-000092640000}"/>
    <cellStyle name="Normal 3 3 6 2" xfId="8993" xr:uid="{00000000-0005-0000-0000-000093640000}"/>
    <cellStyle name="Normal 3 3 6 2 2" xfId="15186" xr:uid="{00000000-0005-0000-0000-000094640000}"/>
    <cellStyle name="Normal 3 3 6 2 2 2" xfId="35106" xr:uid="{00000000-0005-0000-0000-000095640000}"/>
    <cellStyle name="Normal 3 3 6 2 3" xfId="21338" xr:uid="{00000000-0005-0000-0000-000096640000}"/>
    <cellStyle name="Normal 3 3 6 2 3 2" xfId="41258" xr:uid="{00000000-0005-0000-0000-000097640000}"/>
    <cellStyle name="Normal 3 3 6 2 4" xfId="28953" xr:uid="{00000000-0005-0000-0000-000098640000}"/>
    <cellStyle name="Normal 3 3 6 3" xfId="12120" xr:uid="{00000000-0005-0000-0000-000099640000}"/>
    <cellStyle name="Normal 3 3 6 3 2" xfId="32040" xr:uid="{00000000-0005-0000-0000-00009A640000}"/>
    <cellStyle name="Normal 3 3 6 4" xfId="18272" xr:uid="{00000000-0005-0000-0000-00009B640000}"/>
    <cellStyle name="Normal 3 3 6 4 2" xfId="38192" xr:uid="{00000000-0005-0000-0000-00009C640000}"/>
    <cellStyle name="Normal 3 3 6 5" xfId="25887" xr:uid="{00000000-0005-0000-0000-00009D640000}"/>
    <cellStyle name="Normal 3 3 7" xfId="7458" xr:uid="{00000000-0005-0000-0000-00009E640000}"/>
    <cellStyle name="Normal 3 3 7 2" xfId="13652" xr:uid="{00000000-0005-0000-0000-00009F640000}"/>
    <cellStyle name="Normal 3 3 7 2 2" xfId="33572" xr:uid="{00000000-0005-0000-0000-0000A0640000}"/>
    <cellStyle name="Normal 3 3 7 3" xfId="19804" xr:uid="{00000000-0005-0000-0000-0000A1640000}"/>
    <cellStyle name="Normal 3 3 7 3 2" xfId="39724" xr:uid="{00000000-0005-0000-0000-0000A2640000}"/>
    <cellStyle name="Normal 3 3 7 4" xfId="27419" xr:uid="{00000000-0005-0000-0000-0000A3640000}"/>
    <cellStyle name="Normal 3 3 8" xfId="10586" xr:uid="{00000000-0005-0000-0000-0000A4640000}"/>
    <cellStyle name="Normal 3 3 8 2" xfId="30506" xr:uid="{00000000-0005-0000-0000-0000A5640000}"/>
    <cellStyle name="Normal 3 3 9" xfId="16738" xr:uid="{00000000-0005-0000-0000-0000A6640000}"/>
    <cellStyle name="Normal 3 3 9 2" xfId="36658" xr:uid="{00000000-0005-0000-0000-0000A7640000}"/>
    <cellStyle name="Normal 3 30" xfId="575" xr:uid="{00000000-0005-0000-0000-0000A8640000}"/>
    <cellStyle name="Normal 3 30 2" xfId="10115" xr:uid="{00000000-0005-0000-0000-0000A9640000}"/>
    <cellStyle name="Normal 3 31" xfId="607" xr:uid="{00000000-0005-0000-0000-0000AA640000}"/>
    <cellStyle name="Normal 3 4" xfId="99" xr:uid="{00000000-0005-0000-0000-0000AB640000}"/>
    <cellStyle name="Normal 3 4 2" xfId="3633" xr:uid="{00000000-0005-0000-0000-0000AC640000}"/>
    <cellStyle name="Normal 3 4 2 2" xfId="5055" xr:uid="{00000000-0005-0000-0000-0000AD640000}"/>
    <cellStyle name="Normal 3 4 2 2 2" xfId="6680" xr:uid="{00000000-0005-0000-0000-0000AE640000}"/>
    <cellStyle name="Normal 3 4 2 2 2 2" xfId="9766" xr:uid="{00000000-0005-0000-0000-0000AF640000}"/>
    <cellStyle name="Normal 3 4 2 2 2 2 2" xfId="15959" xr:uid="{00000000-0005-0000-0000-0000B0640000}"/>
    <cellStyle name="Normal 3 4 2 2 2 2 2 2" xfId="35879" xr:uid="{00000000-0005-0000-0000-0000B1640000}"/>
    <cellStyle name="Normal 3 4 2 2 2 2 3" xfId="22111" xr:uid="{00000000-0005-0000-0000-0000B2640000}"/>
    <cellStyle name="Normal 3 4 2 2 2 2 3 2" xfId="42031" xr:uid="{00000000-0005-0000-0000-0000B3640000}"/>
    <cellStyle name="Normal 3 4 2 2 2 2 4" xfId="29726" xr:uid="{00000000-0005-0000-0000-0000B4640000}"/>
    <cellStyle name="Normal 3 4 2 2 2 3" xfId="12893" xr:uid="{00000000-0005-0000-0000-0000B5640000}"/>
    <cellStyle name="Normal 3 4 2 2 2 3 2" xfId="32813" xr:uid="{00000000-0005-0000-0000-0000B6640000}"/>
    <cellStyle name="Normal 3 4 2 2 2 4" xfId="19045" xr:uid="{00000000-0005-0000-0000-0000B7640000}"/>
    <cellStyle name="Normal 3 4 2 2 2 4 2" xfId="38965" xr:uid="{00000000-0005-0000-0000-0000B8640000}"/>
    <cellStyle name="Normal 3 4 2 2 2 5" xfId="26660" xr:uid="{00000000-0005-0000-0000-0000B9640000}"/>
    <cellStyle name="Normal 3 4 2 2 3" xfId="8231" xr:uid="{00000000-0005-0000-0000-0000BA640000}"/>
    <cellStyle name="Normal 3 4 2 2 3 2" xfId="14425" xr:uid="{00000000-0005-0000-0000-0000BB640000}"/>
    <cellStyle name="Normal 3 4 2 2 3 2 2" xfId="34345" xr:uid="{00000000-0005-0000-0000-0000BC640000}"/>
    <cellStyle name="Normal 3 4 2 2 3 3" xfId="20577" xr:uid="{00000000-0005-0000-0000-0000BD640000}"/>
    <cellStyle name="Normal 3 4 2 2 3 3 2" xfId="40497" xr:uid="{00000000-0005-0000-0000-0000BE640000}"/>
    <cellStyle name="Normal 3 4 2 2 3 4" xfId="28192" xr:uid="{00000000-0005-0000-0000-0000BF640000}"/>
    <cellStyle name="Normal 3 4 2 2 4" xfId="11359" xr:uid="{00000000-0005-0000-0000-0000C0640000}"/>
    <cellStyle name="Normal 3 4 2 2 4 2" xfId="31279" xr:uid="{00000000-0005-0000-0000-0000C1640000}"/>
    <cellStyle name="Normal 3 4 2 2 5" xfId="17511" xr:uid="{00000000-0005-0000-0000-0000C2640000}"/>
    <cellStyle name="Normal 3 4 2 2 5 2" xfId="37431" xr:uid="{00000000-0005-0000-0000-0000C3640000}"/>
    <cellStyle name="Normal 3 4 2 2 6" xfId="25126" xr:uid="{00000000-0005-0000-0000-0000C4640000}"/>
    <cellStyle name="Normal 3 4 2 3" xfId="5897" xr:uid="{00000000-0005-0000-0000-0000C5640000}"/>
    <cellStyle name="Normal 3 4 2 3 2" xfId="8997" xr:uid="{00000000-0005-0000-0000-0000C6640000}"/>
    <cellStyle name="Normal 3 4 2 3 2 2" xfId="15190" xr:uid="{00000000-0005-0000-0000-0000C7640000}"/>
    <cellStyle name="Normal 3 4 2 3 2 2 2" xfId="35110" xr:uid="{00000000-0005-0000-0000-0000C8640000}"/>
    <cellStyle name="Normal 3 4 2 3 2 3" xfId="21342" xr:uid="{00000000-0005-0000-0000-0000C9640000}"/>
    <cellStyle name="Normal 3 4 2 3 2 3 2" xfId="41262" xr:uid="{00000000-0005-0000-0000-0000CA640000}"/>
    <cellStyle name="Normal 3 4 2 3 2 4" xfId="28957" xr:uid="{00000000-0005-0000-0000-0000CB640000}"/>
    <cellStyle name="Normal 3 4 2 3 3" xfId="12124" xr:uid="{00000000-0005-0000-0000-0000CC640000}"/>
    <cellStyle name="Normal 3 4 2 3 3 2" xfId="32044" xr:uid="{00000000-0005-0000-0000-0000CD640000}"/>
    <cellStyle name="Normal 3 4 2 3 4" xfId="18276" xr:uid="{00000000-0005-0000-0000-0000CE640000}"/>
    <cellStyle name="Normal 3 4 2 3 4 2" xfId="38196" xr:uid="{00000000-0005-0000-0000-0000CF640000}"/>
    <cellStyle name="Normal 3 4 2 3 5" xfId="25891" xr:uid="{00000000-0005-0000-0000-0000D0640000}"/>
    <cellStyle name="Normal 3 4 2 4" xfId="7462" xr:uid="{00000000-0005-0000-0000-0000D1640000}"/>
    <cellStyle name="Normal 3 4 2 4 2" xfId="13656" xr:uid="{00000000-0005-0000-0000-0000D2640000}"/>
    <cellStyle name="Normal 3 4 2 4 2 2" xfId="33576" xr:uid="{00000000-0005-0000-0000-0000D3640000}"/>
    <cellStyle name="Normal 3 4 2 4 3" xfId="19808" xr:uid="{00000000-0005-0000-0000-0000D4640000}"/>
    <cellStyle name="Normal 3 4 2 4 3 2" xfId="39728" xr:uid="{00000000-0005-0000-0000-0000D5640000}"/>
    <cellStyle name="Normal 3 4 2 4 4" xfId="27423" xr:uid="{00000000-0005-0000-0000-0000D6640000}"/>
    <cellStyle name="Normal 3 4 2 5" xfId="10590" xr:uid="{00000000-0005-0000-0000-0000D7640000}"/>
    <cellStyle name="Normal 3 4 2 5 2" xfId="30510" xr:uid="{00000000-0005-0000-0000-0000D8640000}"/>
    <cellStyle name="Normal 3 4 2 6" xfId="16742" xr:uid="{00000000-0005-0000-0000-0000D9640000}"/>
    <cellStyle name="Normal 3 4 2 6 2" xfId="36662" xr:uid="{00000000-0005-0000-0000-0000DA640000}"/>
    <cellStyle name="Normal 3 4 2 7" xfId="24357" xr:uid="{00000000-0005-0000-0000-0000DB640000}"/>
    <cellStyle name="Normal 3 4 3" xfId="5054" xr:uid="{00000000-0005-0000-0000-0000DC640000}"/>
    <cellStyle name="Normal 3 4 3 2" xfId="6679" xr:uid="{00000000-0005-0000-0000-0000DD640000}"/>
    <cellStyle name="Normal 3 4 3 2 2" xfId="9765" xr:uid="{00000000-0005-0000-0000-0000DE640000}"/>
    <cellStyle name="Normal 3 4 3 2 2 2" xfId="15958" xr:uid="{00000000-0005-0000-0000-0000DF640000}"/>
    <cellStyle name="Normal 3 4 3 2 2 2 2" xfId="35878" xr:uid="{00000000-0005-0000-0000-0000E0640000}"/>
    <cellStyle name="Normal 3 4 3 2 2 3" xfId="22110" xr:uid="{00000000-0005-0000-0000-0000E1640000}"/>
    <cellStyle name="Normal 3 4 3 2 2 3 2" xfId="42030" xr:uid="{00000000-0005-0000-0000-0000E2640000}"/>
    <cellStyle name="Normal 3 4 3 2 2 4" xfId="29725" xr:uid="{00000000-0005-0000-0000-0000E3640000}"/>
    <cellStyle name="Normal 3 4 3 2 3" xfId="12892" xr:uid="{00000000-0005-0000-0000-0000E4640000}"/>
    <cellStyle name="Normal 3 4 3 2 3 2" xfId="32812" xr:uid="{00000000-0005-0000-0000-0000E5640000}"/>
    <cellStyle name="Normal 3 4 3 2 4" xfId="19044" xr:uid="{00000000-0005-0000-0000-0000E6640000}"/>
    <cellStyle name="Normal 3 4 3 2 4 2" xfId="38964" xr:uid="{00000000-0005-0000-0000-0000E7640000}"/>
    <cellStyle name="Normal 3 4 3 2 5" xfId="26659" xr:uid="{00000000-0005-0000-0000-0000E8640000}"/>
    <cellStyle name="Normal 3 4 3 3" xfId="8230" xr:uid="{00000000-0005-0000-0000-0000E9640000}"/>
    <cellStyle name="Normal 3 4 3 3 2" xfId="14424" xr:uid="{00000000-0005-0000-0000-0000EA640000}"/>
    <cellStyle name="Normal 3 4 3 3 2 2" xfId="34344" xr:uid="{00000000-0005-0000-0000-0000EB640000}"/>
    <cellStyle name="Normal 3 4 3 3 3" xfId="20576" xr:uid="{00000000-0005-0000-0000-0000EC640000}"/>
    <cellStyle name="Normal 3 4 3 3 3 2" xfId="40496" xr:uid="{00000000-0005-0000-0000-0000ED640000}"/>
    <cellStyle name="Normal 3 4 3 3 4" xfId="28191" xr:uid="{00000000-0005-0000-0000-0000EE640000}"/>
    <cellStyle name="Normal 3 4 3 4" xfId="11358" xr:uid="{00000000-0005-0000-0000-0000EF640000}"/>
    <cellStyle name="Normal 3 4 3 4 2" xfId="31278" xr:uid="{00000000-0005-0000-0000-0000F0640000}"/>
    <cellStyle name="Normal 3 4 3 5" xfId="17510" xr:uid="{00000000-0005-0000-0000-0000F1640000}"/>
    <cellStyle name="Normal 3 4 3 5 2" xfId="37430" xr:uid="{00000000-0005-0000-0000-0000F2640000}"/>
    <cellStyle name="Normal 3 4 3 6" xfId="25125" xr:uid="{00000000-0005-0000-0000-0000F3640000}"/>
    <cellStyle name="Normal 3 4 4" xfId="5896" xr:uid="{00000000-0005-0000-0000-0000F4640000}"/>
    <cellStyle name="Normal 3 4 4 2" xfId="8996" xr:uid="{00000000-0005-0000-0000-0000F5640000}"/>
    <cellStyle name="Normal 3 4 4 2 2" xfId="15189" xr:uid="{00000000-0005-0000-0000-0000F6640000}"/>
    <cellStyle name="Normal 3 4 4 2 2 2" xfId="35109" xr:uid="{00000000-0005-0000-0000-0000F7640000}"/>
    <cellStyle name="Normal 3 4 4 2 3" xfId="21341" xr:uid="{00000000-0005-0000-0000-0000F8640000}"/>
    <cellStyle name="Normal 3 4 4 2 3 2" xfId="41261" xr:uid="{00000000-0005-0000-0000-0000F9640000}"/>
    <cellStyle name="Normal 3 4 4 2 4" xfId="28956" xr:uid="{00000000-0005-0000-0000-0000FA640000}"/>
    <cellStyle name="Normal 3 4 4 3" xfId="12123" xr:uid="{00000000-0005-0000-0000-0000FB640000}"/>
    <cellStyle name="Normal 3 4 4 3 2" xfId="32043" xr:uid="{00000000-0005-0000-0000-0000FC640000}"/>
    <cellStyle name="Normal 3 4 4 4" xfId="18275" xr:uid="{00000000-0005-0000-0000-0000FD640000}"/>
    <cellStyle name="Normal 3 4 4 4 2" xfId="38195" xr:uid="{00000000-0005-0000-0000-0000FE640000}"/>
    <cellStyle name="Normal 3 4 4 5" xfId="25890" xr:uid="{00000000-0005-0000-0000-0000FF640000}"/>
    <cellStyle name="Normal 3 4 5" xfId="7461" xr:uid="{00000000-0005-0000-0000-000000650000}"/>
    <cellStyle name="Normal 3 4 5 2" xfId="13655" xr:uid="{00000000-0005-0000-0000-000001650000}"/>
    <cellStyle name="Normal 3 4 5 2 2" xfId="33575" xr:uid="{00000000-0005-0000-0000-000002650000}"/>
    <cellStyle name="Normal 3 4 5 3" xfId="19807" xr:uid="{00000000-0005-0000-0000-000003650000}"/>
    <cellStyle name="Normal 3 4 5 3 2" xfId="39727" xr:uid="{00000000-0005-0000-0000-000004650000}"/>
    <cellStyle name="Normal 3 4 5 4" xfId="27422" xr:uid="{00000000-0005-0000-0000-000005650000}"/>
    <cellStyle name="Normal 3 4 6" xfId="10589" xr:uid="{00000000-0005-0000-0000-000006650000}"/>
    <cellStyle name="Normal 3 4 6 2" xfId="30509" xr:uid="{00000000-0005-0000-0000-000007650000}"/>
    <cellStyle name="Normal 3 4 7" xfId="16741" xr:uid="{00000000-0005-0000-0000-000008650000}"/>
    <cellStyle name="Normal 3 4 7 2" xfId="36661" xr:uid="{00000000-0005-0000-0000-000009650000}"/>
    <cellStyle name="Normal 3 4 8" xfId="3632" xr:uid="{00000000-0005-0000-0000-00000A650000}"/>
    <cellStyle name="Normal 3 4 8 2" xfId="24356" xr:uid="{00000000-0005-0000-0000-00000B650000}"/>
    <cellStyle name="Normal 3 5" xfId="122" xr:uid="{00000000-0005-0000-0000-00000C650000}"/>
    <cellStyle name="Normal 3 5 2" xfId="3635" xr:uid="{00000000-0005-0000-0000-00000D650000}"/>
    <cellStyle name="Normal 3 5 2 2" xfId="5057" xr:uid="{00000000-0005-0000-0000-00000E650000}"/>
    <cellStyle name="Normal 3 5 2 2 2" xfId="6682" xr:uid="{00000000-0005-0000-0000-00000F650000}"/>
    <cellStyle name="Normal 3 5 2 2 2 2" xfId="9768" xr:uid="{00000000-0005-0000-0000-000010650000}"/>
    <cellStyle name="Normal 3 5 2 2 2 2 2" xfId="15961" xr:uid="{00000000-0005-0000-0000-000011650000}"/>
    <cellStyle name="Normal 3 5 2 2 2 2 2 2" xfId="35881" xr:uid="{00000000-0005-0000-0000-000012650000}"/>
    <cellStyle name="Normal 3 5 2 2 2 2 3" xfId="22113" xr:uid="{00000000-0005-0000-0000-000013650000}"/>
    <cellStyle name="Normal 3 5 2 2 2 2 3 2" xfId="42033" xr:uid="{00000000-0005-0000-0000-000014650000}"/>
    <cellStyle name="Normal 3 5 2 2 2 2 4" xfId="29728" xr:uid="{00000000-0005-0000-0000-000015650000}"/>
    <cellStyle name="Normal 3 5 2 2 2 3" xfId="12895" xr:uid="{00000000-0005-0000-0000-000016650000}"/>
    <cellStyle name="Normal 3 5 2 2 2 3 2" xfId="32815" xr:uid="{00000000-0005-0000-0000-000017650000}"/>
    <cellStyle name="Normal 3 5 2 2 2 4" xfId="19047" xr:uid="{00000000-0005-0000-0000-000018650000}"/>
    <cellStyle name="Normal 3 5 2 2 2 4 2" xfId="38967" xr:uid="{00000000-0005-0000-0000-000019650000}"/>
    <cellStyle name="Normal 3 5 2 2 2 5" xfId="26662" xr:uid="{00000000-0005-0000-0000-00001A650000}"/>
    <cellStyle name="Normal 3 5 2 2 3" xfId="8233" xr:uid="{00000000-0005-0000-0000-00001B650000}"/>
    <cellStyle name="Normal 3 5 2 2 3 2" xfId="14427" xr:uid="{00000000-0005-0000-0000-00001C650000}"/>
    <cellStyle name="Normal 3 5 2 2 3 2 2" xfId="34347" xr:uid="{00000000-0005-0000-0000-00001D650000}"/>
    <cellStyle name="Normal 3 5 2 2 3 3" xfId="20579" xr:uid="{00000000-0005-0000-0000-00001E650000}"/>
    <cellStyle name="Normal 3 5 2 2 3 3 2" xfId="40499" xr:uid="{00000000-0005-0000-0000-00001F650000}"/>
    <cellStyle name="Normal 3 5 2 2 3 4" xfId="28194" xr:uid="{00000000-0005-0000-0000-000020650000}"/>
    <cellStyle name="Normal 3 5 2 2 4" xfId="11361" xr:uid="{00000000-0005-0000-0000-000021650000}"/>
    <cellStyle name="Normal 3 5 2 2 4 2" xfId="31281" xr:uid="{00000000-0005-0000-0000-000022650000}"/>
    <cellStyle name="Normal 3 5 2 2 5" xfId="17513" xr:uid="{00000000-0005-0000-0000-000023650000}"/>
    <cellStyle name="Normal 3 5 2 2 5 2" xfId="37433" xr:uid="{00000000-0005-0000-0000-000024650000}"/>
    <cellStyle name="Normal 3 5 2 2 6" xfId="25128" xr:uid="{00000000-0005-0000-0000-000025650000}"/>
    <cellStyle name="Normal 3 5 2 3" xfId="5899" xr:uid="{00000000-0005-0000-0000-000026650000}"/>
    <cellStyle name="Normal 3 5 2 3 2" xfId="8999" xr:uid="{00000000-0005-0000-0000-000027650000}"/>
    <cellStyle name="Normal 3 5 2 3 2 2" xfId="15192" xr:uid="{00000000-0005-0000-0000-000028650000}"/>
    <cellStyle name="Normal 3 5 2 3 2 2 2" xfId="35112" xr:uid="{00000000-0005-0000-0000-000029650000}"/>
    <cellStyle name="Normal 3 5 2 3 2 3" xfId="21344" xr:uid="{00000000-0005-0000-0000-00002A650000}"/>
    <cellStyle name="Normal 3 5 2 3 2 3 2" xfId="41264" xr:uid="{00000000-0005-0000-0000-00002B650000}"/>
    <cellStyle name="Normal 3 5 2 3 2 4" xfId="28959" xr:uid="{00000000-0005-0000-0000-00002C650000}"/>
    <cellStyle name="Normal 3 5 2 3 3" xfId="12126" xr:uid="{00000000-0005-0000-0000-00002D650000}"/>
    <cellStyle name="Normal 3 5 2 3 3 2" xfId="32046" xr:uid="{00000000-0005-0000-0000-00002E650000}"/>
    <cellStyle name="Normal 3 5 2 3 4" xfId="18278" xr:uid="{00000000-0005-0000-0000-00002F650000}"/>
    <cellStyle name="Normal 3 5 2 3 4 2" xfId="38198" xr:uid="{00000000-0005-0000-0000-000030650000}"/>
    <cellStyle name="Normal 3 5 2 3 5" xfId="25893" xr:uid="{00000000-0005-0000-0000-000031650000}"/>
    <cellStyle name="Normal 3 5 2 4" xfId="7464" xr:uid="{00000000-0005-0000-0000-000032650000}"/>
    <cellStyle name="Normal 3 5 2 4 2" xfId="13658" xr:uid="{00000000-0005-0000-0000-000033650000}"/>
    <cellStyle name="Normal 3 5 2 4 2 2" xfId="33578" xr:uid="{00000000-0005-0000-0000-000034650000}"/>
    <cellStyle name="Normal 3 5 2 4 3" xfId="19810" xr:uid="{00000000-0005-0000-0000-000035650000}"/>
    <cellStyle name="Normal 3 5 2 4 3 2" xfId="39730" xr:uid="{00000000-0005-0000-0000-000036650000}"/>
    <cellStyle name="Normal 3 5 2 4 4" xfId="27425" xr:uid="{00000000-0005-0000-0000-000037650000}"/>
    <cellStyle name="Normal 3 5 2 5" xfId="10592" xr:uid="{00000000-0005-0000-0000-000038650000}"/>
    <cellStyle name="Normal 3 5 2 5 2" xfId="30512" xr:uid="{00000000-0005-0000-0000-000039650000}"/>
    <cellStyle name="Normal 3 5 2 6" xfId="16744" xr:uid="{00000000-0005-0000-0000-00003A650000}"/>
    <cellStyle name="Normal 3 5 2 6 2" xfId="36664" xr:uid="{00000000-0005-0000-0000-00003B650000}"/>
    <cellStyle name="Normal 3 5 2 7" xfId="24359" xr:uid="{00000000-0005-0000-0000-00003C650000}"/>
    <cellStyle name="Normal 3 5 3" xfId="5056" xr:uid="{00000000-0005-0000-0000-00003D650000}"/>
    <cellStyle name="Normal 3 5 3 2" xfId="6681" xr:uid="{00000000-0005-0000-0000-00003E650000}"/>
    <cellStyle name="Normal 3 5 3 2 2" xfId="9767" xr:uid="{00000000-0005-0000-0000-00003F650000}"/>
    <cellStyle name="Normal 3 5 3 2 2 2" xfId="15960" xr:uid="{00000000-0005-0000-0000-000040650000}"/>
    <cellStyle name="Normal 3 5 3 2 2 2 2" xfId="35880" xr:uid="{00000000-0005-0000-0000-000041650000}"/>
    <cellStyle name="Normal 3 5 3 2 2 3" xfId="22112" xr:uid="{00000000-0005-0000-0000-000042650000}"/>
    <cellStyle name="Normal 3 5 3 2 2 3 2" xfId="42032" xr:uid="{00000000-0005-0000-0000-000043650000}"/>
    <cellStyle name="Normal 3 5 3 2 2 4" xfId="29727" xr:uid="{00000000-0005-0000-0000-000044650000}"/>
    <cellStyle name="Normal 3 5 3 2 3" xfId="12894" xr:uid="{00000000-0005-0000-0000-000045650000}"/>
    <cellStyle name="Normal 3 5 3 2 3 2" xfId="32814" xr:uid="{00000000-0005-0000-0000-000046650000}"/>
    <cellStyle name="Normal 3 5 3 2 4" xfId="19046" xr:uid="{00000000-0005-0000-0000-000047650000}"/>
    <cellStyle name="Normal 3 5 3 2 4 2" xfId="38966" xr:uid="{00000000-0005-0000-0000-000048650000}"/>
    <cellStyle name="Normal 3 5 3 2 5" xfId="26661" xr:uid="{00000000-0005-0000-0000-000049650000}"/>
    <cellStyle name="Normal 3 5 3 3" xfId="8232" xr:uid="{00000000-0005-0000-0000-00004A650000}"/>
    <cellStyle name="Normal 3 5 3 3 2" xfId="14426" xr:uid="{00000000-0005-0000-0000-00004B650000}"/>
    <cellStyle name="Normal 3 5 3 3 2 2" xfId="34346" xr:uid="{00000000-0005-0000-0000-00004C650000}"/>
    <cellStyle name="Normal 3 5 3 3 3" xfId="20578" xr:uid="{00000000-0005-0000-0000-00004D650000}"/>
    <cellStyle name="Normal 3 5 3 3 3 2" xfId="40498" xr:uid="{00000000-0005-0000-0000-00004E650000}"/>
    <cellStyle name="Normal 3 5 3 3 4" xfId="28193" xr:uid="{00000000-0005-0000-0000-00004F650000}"/>
    <cellStyle name="Normal 3 5 3 4" xfId="11360" xr:uid="{00000000-0005-0000-0000-000050650000}"/>
    <cellStyle name="Normal 3 5 3 4 2" xfId="31280" xr:uid="{00000000-0005-0000-0000-000051650000}"/>
    <cellStyle name="Normal 3 5 3 5" xfId="17512" xr:uid="{00000000-0005-0000-0000-000052650000}"/>
    <cellStyle name="Normal 3 5 3 5 2" xfId="37432" xr:uid="{00000000-0005-0000-0000-000053650000}"/>
    <cellStyle name="Normal 3 5 3 6" xfId="25127" xr:uid="{00000000-0005-0000-0000-000054650000}"/>
    <cellStyle name="Normal 3 5 4" xfId="5898" xr:uid="{00000000-0005-0000-0000-000055650000}"/>
    <cellStyle name="Normal 3 5 4 2" xfId="8998" xr:uid="{00000000-0005-0000-0000-000056650000}"/>
    <cellStyle name="Normal 3 5 4 2 2" xfId="15191" xr:uid="{00000000-0005-0000-0000-000057650000}"/>
    <cellStyle name="Normal 3 5 4 2 2 2" xfId="35111" xr:uid="{00000000-0005-0000-0000-000058650000}"/>
    <cellStyle name="Normal 3 5 4 2 3" xfId="21343" xr:uid="{00000000-0005-0000-0000-000059650000}"/>
    <cellStyle name="Normal 3 5 4 2 3 2" xfId="41263" xr:uid="{00000000-0005-0000-0000-00005A650000}"/>
    <cellStyle name="Normal 3 5 4 2 4" xfId="28958" xr:uid="{00000000-0005-0000-0000-00005B650000}"/>
    <cellStyle name="Normal 3 5 4 3" xfId="12125" xr:uid="{00000000-0005-0000-0000-00005C650000}"/>
    <cellStyle name="Normal 3 5 4 3 2" xfId="32045" xr:uid="{00000000-0005-0000-0000-00005D650000}"/>
    <cellStyle name="Normal 3 5 4 4" xfId="18277" xr:uid="{00000000-0005-0000-0000-00005E650000}"/>
    <cellStyle name="Normal 3 5 4 4 2" xfId="38197" xr:uid="{00000000-0005-0000-0000-00005F650000}"/>
    <cellStyle name="Normal 3 5 4 5" xfId="25892" xr:uid="{00000000-0005-0000-0000-000060650000}"/>
    <cellStyle name="Normal 3 5 5" xfId="7463" xr:uid="{00000000-0005-0000-0000-000061650000}"/>
    <cellStyle name="Normal 3 5 5 2" xfId="13657" xr:uid="{00000000-0005-0000-0000-000062650000}"/>
    <cellStyle name="Normal 3 5 5 2 2" xfId="33577" xr:uid="{00000000-0005-0000-0000-000063650000}"/>
    <cellStyle name="Normal 3 5 5 3" xfId="19809" xr:uid="{00000000-0005-0000-0000-000064650000}"/>
    <cellStyle name="Normal 3 5 5 3 2" xfId="39729" xr:uid="{00000000-0005-0000-0000-000065650000}"/>
    <cellStyle name="Normal 3 5 5 4" xfId="27424" xr:uid="{00000000-0005-0000-0000-000066650000}"/>
    <cellStyle name="Normal 3 5 6" xfId="10591" xr:uid="{00000000-0005-0000-0000-000067650000}"/>
    <cellStyle name="Normal 3 5 6 2" xfId="30511" xr:uid="{00000000-0005-0000-0000-000068650000}"/>
    <cellStyle name="Normal 3 5 7" xfId="16743" xr:uid="{00000000-0005-0000-0000-000069650000}"/>
    <cellStyle name="Normal 3 5 7 2" xfId="36663" xr:uid="{00000000-0005-0000-0000-00006A650000}"/>
    <cellStyle name="Normal 3 5 8" xfId="3634" xr:uid="{00000000-0005-0000-0000-00006B650000}"/>
    <cellStyle name="Normal 3 5 8 2" xfId="24358" xr:uid="{00000000-0005-0000-0000-00006C650000}"/>
    <cellStyle name="Normal 3 6" xfId="120" xr:uid="{00000000-0005-0000-0000-00006D650000}"/>
    <cellStyle name="Normal 3 6 2" xfId="5058" xr:uid="{00000000-0005-0000-0000-00006E650000}"/>
    <cellStyle name="Normal 3 6 2 2" xfId="6683" xr:uid="{00000000-0005-0000-0000-00006F650000}"/>
    <cellStyle name="Normal 3 6 2 2 2" xfId="9769" xr:uid="{00000000-0005-0000-0000-000070650000}"/>
    <cellStyle name="Normal 3 6 2 2 2 2" xfId="15962" xr:uid="{00000000-0005-0000-0000-000071650000}"/>
    <cellStyle name="Normal 3 6 2 2 2 2 2" xfId="35882" xr:uid="{00000000-0005-0000-0000-000072650000}"/>
    <cellStyle name="Normal 3 6 2 2 2 3" xfId="22114" xr:uid="{00000000-0005-0000-0000-000073650000}"/>
    <cellStyle name="Normal 3 6 2 2 2 3 2" xfId="42034" xr:uid="{00000000-0005-0000-0000-000074650000}"/>
    <cellStyle name="Normal 3 6 2 2 2 4" xfId="29729" xr:uid="{00000000-0005-0000-0000-000075650000}"/>
    <cellStyle name="Normal 3 6 2 2 3" xfId="12896" xr:uid="{00000000-0005-0000-0000-000076650000}"/>
    <cellStyle name="Normal 3 6 2 2 3 2" xfId="32816" xr:uid="{00000000-0005-0000-0000-000077650000}"/>
    <cellStyle name="Normal 3 6 2 2 4" xfId="19048" xr:uid="{00000000-0005-0000-0000-000078650000}"/>
    <cellStyle name="Normal 3 6 2 2 4 2" xfId="38968" xr:uid="{00000000-0005-0000-0000-000079650000}"/>
    <cellStyle name="Normal 3 6 2 2 5" xfId="26663" xr:uid="{00000000-0005-0000-0000-00007A650000}"/>
    <cellStyle name="Normal 3 6 2 3" xfId="8234" xr:uid="{00000000-0005-0000-0000-00007B650000}"/>
    <cellStyle name="Normal 3 6 2 3 2" xfId="14428" xr:uid="{00000000-0005-0000-0000-00007C650000}"/>
    <cellStyle name="Normal 3 6 2 3 2 2" xfId="34348" xr:uid="{00000000-0005-0000-0000-00007D650000}"/>
    <cellStyle name="Normal 3 6 2 3 3" xfId="20580" xr:uid="{00000000-0005-0000-0000-00007E650000}"/>
    <cellStyle name="Normal 3 6 2 3 3 2" xfId="40500" xr:uid="{00000000-0005-0000-0000-00007F650000}"/>
    <cellStyle name="Normal 3 6 2 3 4" xfId="28195" xr:uid="{00000000-0005-0000-0000-000080650000}"/>
    <cellStyle name="Normal 3 6 2 4" xfId="11362" xr:uid="{00000000-0005-0000-0000-000081650000}"/>
    <cellStyle name="Normal 3 6 2 4 2" xfId="31282" xr:uid="{00000000-0005-0000-0000-000082650000}"/>
    <cellStyle name="Normal 3 6 2 5" xfId="17514" xr:uid="{00000000-0005-0000-0000-000083650000}"/>
    <cellStyle name="Normal 3 6 2 5 2" xfId="37434" xr:uid="{00000000-0005-0000-0000-000084650000}"/>
    <cellStyle name="Normal 3 6 2 6" xfId="25129" xr:uid="{00000000-0005-0000-0000-000085650000}"/>
    <cellStyle name="Normal 3 6 3" xfId="5900" xr:uid="{00000000-0005-0000-0000-000086650000}"/>
    <cellStyle name="Normal 3 6 3 2" xfId="9000" xr:uid="{00000000-0005-0000-0000-000087650000}"/>
    <cellStyle name="Normal 3 6 3 2 2" xfId="15193" xr:uid="{00000000-0005-0000-0000-000088650000}"/>
    <cellStyle name="Normal 3 6 3 2 2 2" xfId="35113" xr:uid="{00000000-0005-0000-0000-000089650000}"/>
    <cellStyle name="Normal 3 6 3 2 3" xfId="21345" xr:uid="{00000000-0005-0000-0000-00008A650000}"/>
    <cellStyle name="Normal 3 6 3 2 3 2" xfId="41265" xr:uid="{00000000-0005-0000-0000-00008B650000}"/>
    <cellStyle name="Normal 3 6 3 2 4" xfId="28960" xr:uid="{00000000-0005-0000-0000-00008C650000}"/>
    <cellStyle name="Normal 3 6 3 3" xfId="12127" xr:uid="{00000000-0005-0000-0000-00008D650000}"/>
    <cellStyle name="Normal 3 6 3 3 2" xfId="32047" xr:uid="{00000000-0005-0000-0000-00008E650000}"/>
    <cellStyle name="Normal 3 6 3 4" xfId="18279" xr:uid="{00000000-0005-0000-0000-00008F650000}"/>
    <cellStyle name="Normal 3 6 3 4 2" xfId="38199" xr:uid="{00000000-0005-0000-0000-000090650000}"/>
    <cellStyle name="Normal 3 6 3 5" xfId="25894" xr:uid="{00000000-0005-0000-0000-000091650000}"/>
    <cellStyle name="Normal 3 6 4" xfId="7465" xr:uid="{00000000-0005-0000-0000-000092650000}"/>
    <cellStyle name="Normal 3 6 4 2" xfId="13659" xr:uid="{00000000-0005-0000-0000-000093650000}"/>
    <cellStyle name="Normal 3 6 4 2 2" xfId="33579" xr:uid="{00000000-0005-0000-0000-000094650000}"/>
    <cellStyle name="Normal 3 6 4 3" xfId="19811" xr:uid="{00000000-0005-0000-0000-000095650000}"/>
    <cellStyle name="Normal 3 6 4 3 2" xfId="39731" xr:uid="{00000000-0005-0000-0000-000096650000}"/>
    <cellStyle name="Normal 3 6 4 4" xfId="27426" xr:uid="{00000000-0005-0000-0000-000097650000}"/>
    <cellStyle name="Normal 3 6 5" xfId="10593" xr:uid="{00000000-0005-0000-0000-000098650000}"/>
    <cellStyle name="Normal 3 6 5 2" xfId="30513" xr:uid="{00000000-0005-0000-0000-000099650000}"/>
    <cellStyle name="Normal 3 6 6" xfId="16745" xr:uid="{00000000-0005-0000-0000-00009A650000}"/>
    <cellStyle name="Normal 3 6 6 2" xfId="36665" xr:uid="{00000000-0005-0000-0000-00009B650000}"/>
    <cellStyle name="Normal 3 6 7" xfId="3636" xr:uid="{00000000-0005-0000-0000-00009C650000}"/>
    <cellStyle name="Normal 3 6 7 2" xfId="24360" xr:uid="{00000000-0005-0000-0000-00009D650000}"/>
    <cellStyle name="Normal 3 7" xfId="199" xr:uid="{00000000-0005-0000-0000-00009E650000}"/>
    <cellStyle name="Normal 3 7 2" xfId="5059" xr:uid="{00000000-0005-0000-0000-00009F650000}"/>
    <cellStyle name="Normal 3 7 2 2" xfId="6684" xr:uid="{00000000-0005-0000-0000-0000A0650000}"/>
    <cellStyle name="Normal 3 7 2 2 2" xfId="9770" xr:uid="{00000000-0005-0000-0000-0000A1650000}"/>
    <cellStyle name="Normal 3 7 2 2 2 2" xfId="15963" xr:uid="{00000000-0005-0000-0000-0000A2650000}"/>
    <cellStyle name="Normal 3 7 2 2 2 2 2" xfId="35883" xr:uid="{00000000-0005-0000-0000-0000A3650000}"/>
    <cellStyle name="Normal 3 7 2 2 2 3" xfId="22115" xr:uid="{00000000-0005-0000-0000-0000A4650000}"/>
    <cellStyle name="Normal 3 7 2 2 2 3 2" xfId="42035" xr:uid="{00000000-0005-0000-0000-0000A5650000}"/>
    <cellStyle name="Normal 3 7 2 2 2 4" xfId="29730" xr:uid="{00000000-0005-0000-0000-0000A6650000}"/>
    <cellStyle name="Normal 3 7 2 2 3" xfId="12897" xr:uid="{00000000-0005-0000-0000-0000A7650000}"/>
    <cellStyle name="Normal 3 7 2 2 3 2" xfId="32817" xr:uid="{00000000-0005-0000-0000-0000A8650000}"/>
    <cellStyle name="Normal 3 7 2 2 4" xfId="19049" xr:uid="{00000000-0005-0000-0000-0000A9650000}"/>
    <cellStyle name="Normal 3 7 2 2 4 2" xfId="38969" xr:uid="{00000000-0005-0000-0000-0000AA650000}"/>
    <cellStyle name="Normal 3 7 2 2 5" xfId="26664" xr:uid="{00000000-0005-0000-0000-0000AB650000}"/>
    <cellStyle name="Normal 3 7 2 3" xfId="8235" xr:uid="{00000000-0005-0000-0000-0000AC650000}"/>
    <cellStyle name="Normal 3 7 2 3 2" xfId="14429" xr:uid="{00000000-0005-0000-0000-0000AD650000}"/>
    <cellStyle name="Normal 3 7 2 3 2 2" xfId="34349" xr:uid="{00000000-0005-0000-0000-0000AE650000}"/>
    <cellStyle name="Normal 3 7 2 3 3" xfId="20581" xr:uid="{00000000-0005-0000-0000-0000AF650000}"/>
    <cellStyle name="Normal 3 7 2 3 3 2" xfId="40501" xr:uid="{00000000-0005-0000-0000-0000B0650000}"/>
    <cellStyle name="Normal 3 7 2 3 4" xfId="28196" xr:uid="{00000000-0005-0000-0000-0000B1650000}"/>
    <cellStyle name="Normal 3 7 2 4" xfId="11363" xr:uid="{00000000-0005-0000-0000-0000B2650000}"/>
    <cellStyle name="Normal 3 7 2 4 2" xfId="31283" xr:uid="{00000000-0005-0000-0000-0000B3650000}"/>
    <cellStyle name="Normal 3 7 2 5" xfId="17515" xr:uid="{00000000-0005-0000-0000-0000B4650000}"/>
    <cellStyle name="Normal 3 7 2 5 2" xfId="37435" xr:uid="{00000000-0005-0000-0000-0000B5650000}"/>
    <cellStyle name="Normal 3 7 2 6" xfId="25130" xr:uid="{00000000-0005-0000-0000-0000B6650000}"/>
    <cellStyle name="Normal 3 7 3" xfId="5901" xr:uid="{00000000-0005-0000-0000-0000B7650000}"/>
    <cellStyle name="Normal 3 7 3 2" xfId="9001" xr:uid="{00000000-0005-0000-0000-0000B8650000}"/>
    <cellStyle name="Normal 3 7 3 2 2" xfId="15194" xr:uid="{00000000-0005-0000-0000-0000B9650000}"/>
    <cellStyle name="Normal 3 7 3 2 2 2" xfId="35114" xr:uid="{00000000-0005-0000-0000-0000BA650000}"/>
    <cellStyle name="Normal 3 7 3 2 3" xfId="21346" xr:uid="{00000000-0005-0000-0000-0000BB650000}"/>
    <cellStyle name="Normal 3 7 3 2 3 2" xfId="41266" xr:uid="{00000000-0005-0000-0000-0000BC650000}"/>
    <cellStyle name="Normal 3 7 3 2 4" xfId="28961" xr:uid="{00000000-0005-0000-0000-0000BD650000}"/>
    <cellStyle name="Normal 3 7 3 3" xfId="12128" xr:uid="{00000000-0005-0000-0000-0000BE650000}"/>
    <cellStyle name="Normal 3 7 3 3 2" xfId="32048" xr:uid="{00000000-0005-0000-0000-0000BF650000}"/>
    <cellStyle name="Normal 3 7 3 4" xfId="18280" xr:uid="{00000000-0005-0000-0000-0000C0650000}"/>
    <cellStyle name="Normal 3 7 3 4 2" xfId="38200" xr:uid="{00000000-0005-0000-0000-0000C1650000}"/>
    <cellStyle name="Normal 3 7 3 5" xfId="25895" xr:uid="{00000000-0005-0000-0000-0000C2650000}"/>
    <cellStyle name="Normal 3 7 4" xfId="7466" xr:uid="{00000000-0005-0000-0000-0000C3650000}"/>
    <cellStyle name="Normal 3 7 4 2" xfId="13660" xr:uid="{00000000-0005-0000-0000-0000C4650000}"/>
    <cellStyle name="Normal 3 7 4 2 2" xfId="33580" xr:uid="{00000000-0005-0000-0000-0000C5650000}"/>
    <cellStyle name="Normal 3 7 4 3" xfId="19812" xr:uid="{00000000-0005-0000-0000-0000C6650000}"/>
    <cellStyle name="Normal 3 7 4 3 2" xfId="39732" xr:uid="{00000000-0005-0000-0000-0000C7650000}"/>
    <cellStyle name="Normal 3 7 4 4" xfId="27427" xr:uid="{00000000-0005-0000-0000-0000C8650000}"/>
    <cellStyle name="Normal 3 7 5" xfId="10594" xr:uid="{00000000-0005-0000-0000-0000C9650000}"/>
    <cellStyle name="Normal 3 7 5 2" xfId="30514" xr:uid="{00000000-0005-0000-0000-0000CA650000}"/>
    <cellStyle name="Normal 3 7 6" xfId="16746" xr:uid="{00000000-0005-0000-0000-0000CB650000}"/>
    <cellStyle name="Normal 3 7 6 2" xfId="36666" xr:uid="{00000000-0005-0000-0000-0000CC650000}"/>
    <cellStyle name="Normal 3 7 7" xfId="3637" xr:uid="{00000000-0005-0000-0000-0000CD650000}"/>
    <cellStyle name="Normal 3 7 7 2" xfId="24361" xr:uid="{00000000-0005-0000-0000-0000CE650000}"/>
    <cellStyle name="Normal 3 8" xfId="197" xr:uid="{00000000-0005-0000-0000-0000CF650000}"/>
    <cellStyle name="Normal 3 8 2" xfId="5060" xr:uid="{00000000-0005-0000-0000-0000D0650000}"/>
    <cellStyle name="Normal 3 8 2 2" xfId="6685" xr:uid="{00000000-0005-0000-0000-0000D1650000}"/>
    <cellStyle name="Normal 3 8 2 2 2" xfId="9771" xr:uid="{00000000-0005-0000-0000-0000D2650000}"/>
    <cellStyle name="Normal 3 8 2 2 2 2" xfId="15964" xr:uid="{00000000-0005-0000-0000-0000D3650000}"/>
    <cellStyle name="Normal 3 8 2 2 2 2 2" xfId="35884" xr:uid="{00000000-0005-0000-0000-0000D4650000}"/>
    <cellStyle name="Normal 3 8 2 2 2 3" xfId="22116" xr:uid="{00000000-0005-0000-0000-0000D5650000}"/>
    <cellStyle name="Normal 3 8 2 2 2 3 2" xfId="42036" xr:uid="{00000000-0005-0000-0000-0000D6650000}"/>
    <cellStyle name="Normal 3 8 2 2 2 4" xfId="29731" xr:uid="{00000000-0005-0000-0000-0000D7650000}"/>
    <cellStyle name="Normal 3 8 2 2 3" xfId="12898" xr:uid="{00000000-0005-0000-0000-0000D8650000}"/>
    <cellStyle name="Normal 3 8 2 2 3 2" xfId="32818" xr:uid="{00000000-0005-0000-0000-0000D9650000}"/>
    <cellStyle name="Normal 3 8 2 2 4" xfId="19050" xr:uid="{00000000-0005-0000-0000-0000DA650000}"/>
    <cellStyle name="Normal 3 8 2 2 4 2" xfId="38970" xr:uid="{00000000-0005-0000-0000-0000DB650000}"/>
    <cellStyle name="Normal 3 8 2 2 5" xfId="26665" xr:uid="{00000000-0005-0000-0000-0000DC650000}"/>
    <cellStyle name="Normal 3 8 2 3" xfId="8236" xr:uid="{00000000-0005-0000-0000-0000DD650000}"/>
    <cellStyle name="Normal 3 8 2 3 2" xfId="14430" xr:uid="{00000000-0005-0000-0000-0000DE650000}"/>
    <cellStyle name="Normal 3 8 2 3 2 2" xfId="34350" xr:uid="{00000000-0005-0000-0000-0000DF650000}"/>
    <cellStyle name="Normal 3 8 2 3 3" xfId="20582" xr:uid="{00000000-0005-0000-0000-0000E0650000}"/>
    <cellStyle name="Normal 3 8 2 3 3 2" xfId="40502" xr:uid="{00000000-0005-0000-0000-0000E1650000}"/>
    <cellStyle name="Normal 3 8 2 3 4" xfId="28197" xr:uid="{00000000-0005-0000-0000-0000E2650000}"/>
    <cellStyle name="Normal 3 8 2 4" xfId="11364" xr:uid="{00000000-0005-0000-0000-0000E3650000}"/>
    <cellStyle name="Normal 3 8 2 4 2" xfId="31284" xr:uid="{00000000-0005-0000-0000-0000E4650000}"/>
    <cellStyle name="Normal 3 8 2 5" xfId="17516" xr:uid="{00000000-0005-0000-0000-0000E5650000}"/>
    <cellStyle name="Normal 3 8 2 5 2" xfId="37436" xr:uid="{00000000-0005-0000-0000-0000E6650000}"/>
    <cellStyle name="Normal 3 8 2 6" xfId="25131" xr:uid="{00000000-0005-0000-0000-0000E7650000}"/>
    <cellStyle name="Normal 3 8 3" xfId="5902" xr:uid="{00000000-0005-0000-0000-0000E8650000}"/>
    <cellStyle name="Normal 3 8 3 2" xfId="9002" xr:uid="{00000000-0005-0000-0000-0000E9650000}"/>
    <cellStyle name="Normal 3 8 3 2 2" xfId="15195" xr:uid="{00000000-0005-0000-0000-0000EA650000}"/>
    <cellStyle name="Normal 3 8 3 2 2 2" xfId="35115" xr:uid="{00000000-0005-0000-0000-0000EB650000}"/>
    <cellStyle name="Normal 3 8 3 2 3" xfId="21347" xr:uid="{00000000-0005-0000-0000-0000EC650000}"/>
    <cellStyle name="Normal 3 8 3 2 3 2" xfId="41267" xr:uid="{00000000-0005-0000-0000-0000ED650000}"/>
    <cellStyle name="Normal 3 8 3 2 4" xfId="28962" xr:uid="{00000000-0005-0000-0000-0000EE650000}"/>
    <cellStyle name="Normal 3 8 3 3" xfId="12129" xr:uid="{00000000-0005-0000-0000-0000EF650000}"/>
    <cellStyle name="Normal 3 8 3 3 2" xfId="32049" xr:uid="{00000000-0005-0000-0000-0000F0650000}"/>
    <cellStyle name="Normal 3 8 3 4" xfId="18281" xr:uid="{00000000-0005-0000-0000-0000F1650000}"/>
    <cellStyle name="Normal 3 8 3 4 2" xfId="38201" xr:uid="{00000000-0005-0000-0000-0000F2650000}"/>
    <cellStyle name="Normal 3 8 3 5" xfId="25896" xr:uid="{00000000-0005-0000-0000-0000F3650000}"/>
    <cellStyle name="Normal 3 8 4" xfId="7467" xr:uid="{00000000-0005-0000-0000-0000F4650000}"/>
    <cellStyle name="Normal 3 8 4 2" xfId="13661" xr:uid="{00000000-0005-0000-0000-0000F5650000}"/>
    <cellStyle name="Normal 3 8 4 2 2" xfId="33581" xr:uid="{00000000-0005-0000-0000-0000F6650000}"/>
    <cellStyle name="Normal 3 8 4 3" xfId="19813" xr:uid="{00000000-0005-0000-0000-0000F7650000}"/>
    <cellStyle name="Normal 3 8 4 3 2" xfId="39733" xr:uid="{00000000-0005-0000-0000-0000F8650000}"/>
    <cellStyle name="Normal 3 8 4 4" xfId="27428" xr:uid="{00000000-0005-0000-0000-0000F9650000}"/>
    <cellStyle name="Normal 3 8 5" xfId="10595" xr:uid="{00000000-0005-0000-0000-0000FA650000}"/>
    <cellStyle name="Normal 3 8 5 2" xfId="30515" xr:uid="{00000000-0005-0000-0000-0000FB650000}"/>
    <cellStyle name="Normal 3 8 6" xfId="16747" xr:uid="{00000000-0005-0000-0000-0000FC650000}"/>
    <cellStyle name="Normal 3 8 6 2" xfId="36667" xr:uid="{00000000-0005-0000-0000-0000FD650000}"/>
    <cellStyle name="Normal 3 8 7" xfId="3638" xr:uid="{00000000-0005-0000-0000-0000FE650000}"/>
    <cellStyle name="Normal 3 8 7 2" xfId="24362" xr:uid="{00000000-0005-0000-0000-0000FF650000}"/>
    <cellStyle name="Normal 3 9" xfId="158" xr:uid="{00000000-0005-0000-0000-000000660000}"/>
    <cellStyle name="Normal 3 9 2" xfId="5061" xr:uid="{00000000-0005-0000-0000-000001660000}"/>
    <cellStyle name="Normal 3 9 2 2" xfId="6686" xr:uid="{00000000-0005-0000-0000-000002660000}"/>
    <cellStyle name="Normal 3 9 2 2 2" xfId="9772" xr:uid="{00000000-0005-0000-0000-000003660000}"/>
    <cellStyle name="Normal 3 9 2 2 2 2" xfId="15965" xr:uid="{00000000-0005-0000-0000-000004660000}"/>
    <cellStyle name="Normal 3 9 2 2 2 2 2" xfId="35885" xr:uid="{00000000-0005-0000-0000-000005660000}"/>
    <cellStyle name="Normal 3 9 2 2 2 3" xfId="22117" xr:uid="{00000000-0005-0000-0000-000006660000}"/>
    <cellStyle name="Normal 3 9 2 2 2 3 2" xfId="42037" xr:uid="{00000000-0005-0000-0000-000007660000}"/>
    <cellStyle name="Normal 3 9 2 2 2 4" xfId="29732" xr:uid="{00000000-0005-0000-0000-000008660000}"/>
    <cellStyle name="Normal 3 9 2 2 3" xfId="12899" xr:uid="{00000000-0005-0000-0000-000009660000}"/>
    <cellStyle name="Normal 3 9 2 2 3 2" xfId="32819" xr:uid="{00000000-0005-0000-0000-00000A660000}"/>
    <cellStyle name="Normal 3 9 2 2 4" xfId="19051" xr:uid="{00000000-0005-0000-0000-00000B660000}"/>
    <cellStyle name="Normal 3 9 2 2 4 2" xfId="38971" xr:uid="{00000000-0005-0000-0000-00000C660000}"/>
    <cellStyle name="Normal 3 9 2 2 5" xfId="26666" xr:uid="{00000000-0005-0000-0000-00000D660000}"/>
    <cellStyle name="Normal 3 9 2 3" xfId="8237" xr:uid="{00000000-0005-0000-0000-00000E660000}"/>
    <cellStyle name="Normal 3 9 2 3 2" xfId="14431" xr:uid="{00000000-0005-0000-0000-00000F660000}"/>
    <cellStyle name="Normal 3 9 2 3 2 2" xfId="34351" xr:uid="{00000000-0005-0000-0000-000010660000}"/>
    <cellStyle name="Normal 3 9 2 3 3" xfId="20583" xr:uid="{00000000-0005-0000-0000-000011660000}"/>
    <cellStyle name="Normal 3 9 2 3 3 2" xfId="40503" xr:uid="{00000000-0005-0000-0000-000012660000}"/>
    <cellStyle name="Normal 3 9 2 3 4" xfId="28198" xr:uid="{00000000-0005-0000-0000-000013660000}"/>
    <cellStyle name="Normal 3 9 2 4" xfId="11365" xr:uid="{00000000-0005-0000-0000-000014660000}"/>
    <cellStyle name="Normal 3 9 2 4 2" xfId="31285" xr:uid="{00000000-0005-0000-0000-000015660000}"/>
    <cellStyle name="Normal 3 9 2 5" xfId="17517" xr:uid="{00000000-0005-0000-0000-000016660000}"/>
    <cellStyle name="Normal 3 9 2 5 2" xfId="37437" xr:uid="{00000000-0005-0000-0000-000017660000}"/>
    <cellStyle name="Normal 3 9 2 6" xfId="25132" xr:uid="{00000000-0005-0000-0000-000018660000}"/>
    <cellStyle name="Normal 3 9 3" xfId="5903" xr:uid="{00000000-0005-0000-0000-000019660000}"/>
    <cellStyle name="Normal 3 9 3 2" xfId="9003" xr:uid="{00000000-0005-0000-0000-00001A660000}"/>
    <cellStyle name="Normal 3 9 3 2 2" xfId="15196" xr:uid="{00000000-0005-0000-0000-00001B660000}"/>
    <cellStyle name="Normal 3 9 3 2 2 2" xfId="35116" xr:uid="{00000000-0005-0000-0000-00001C660000}"/>
    <cellStyle name="Normal 3 9 3 2 3" xfId="21348" xr:uid="{00000000-0005-0000-0000-00001D660000}"/>
    <cellStyle name="Normal 3 9 3 2 3 2" xfId="41268" xr:uid="{00000000-0005-0000-0000-00001E660000}"/>
    <cellStyle name="Normal 3 9 3 2 4" xfId="28963" xr:uid="{00000000-0005-0000-0000-00001F660000}"/>
    <cellStyle name="Normal 3 9 3 3" xfId="12130" xr:uid="{00000000-0005-0000-0000-000020660000}"/>
    <cellStyle name="Normal 3 9 3 3 2" xfId="32050" xr:uid="{00000000-0005-0000-0000-000021660000}"/>
    <cellStyle name="Normal 3 9 3 4" xfId="18282" xr:uid="{00000000-0005-0000-0000-000022660000}"/>
    <cellStyle name="Normal 3 9 3 4 2" xfId="38202" xr:uid="{00000000-0005-0000-0000-000023660000}"/>
    <cellStyle name="Normal 3 9 3 5" xfId="25897" xr:uid="{00000000-0005-0000-0000-000024660000}"/>
    <cellStyle name="Normal 3 9 4" xfId="7468" xr:uid="{00000000-0005-0000-0000-000025660000}"/>
    <cellStyle name="Normal 3 9 4 2" xfId="13662" xr:uid="{00000000-0005-0000-0000-000026660000}"/>
    <cellStyle name="Normal 3 9 4 2 2" xfId="33582" xr:uid="{00000000-0005-0000-0000-000027660000}"/>
    <cellStyle name="Normal 3 9 4 3" xfId="19814" xr:uid="{00000000-0005-0000-0000-000028660000}"/>
    <cellStyle name="Normal 3 9 4 3 2" xfId="39734" xr:uid="{00000000-0005-0000-0000-000029660000}"/>
    <cellStyle name="Normal 3 9 4 4" xfId="27429" xr:uid="{00000000-0005-0000-0000-00002A660000}"/>
    <cellStyle name="Normal 3 9 5" xfId="10596" xr:uid="{00000000-0005-0000-0000-00002B660000}"/>
    <cellStyle name="Normal 3 9 5 2" xfId="30516" xr:uid="{00000000-0005-0000-0000-00002C660000}"/>
    <cellStyle name="Normal 3 9 6" xfId="16748" xr:uid="{00000000-0005-0000-0000-00002D660000}"/>
    <cellStyle name="Normal 3 9 6 2" xfId="36668" xr:uid="{00000000-0005-0000-0000-00002E660000}"/>
    <cellStyle name="Normal 3 9 7" xfId="3639" xr:uid="{00000000-0005-0000-0000-00002F660000}"/>
    <cellStyle name="Normal 3 9 7 2" xfId="24363" xr:uid="{00000000-0005-0000-0000-000030660000}"/>
    <cellStyle name="Normal 3_GRCW" xfId="24" xr:uid="{00000000-0005-0000-0000-000031660000}"/>
    <cellStyle name="Normal 30" xfId="671" xr:uid="{00000000-0005-0000-0000-000032660000}"/>
    <cellStyle name="Normal 31" xfId="3640" xr:uid="{00000000-0005-0000-0000-000033660000}"/>
    <cellStyle name="Normal 31 2" xfId="3641" xr:uid="{00000000-0005-0000-0000-000034660000}"/>
    <cellStyle name="Normal 32" xfId="3642" xr:uid="{00000000-0005-0000-0000-000035660000}"/>
    <cellStyle name="Normal 32 2" xfId="3643" xr:uid="{00000000-0005-0000-0000-000036660000}"/>
    <cellStyle name="Normal 33" xfId="3644" xr:uid="{00000000-0005-0000-0000-000037660000}"/>
    <cellStyle name="Normal 33 2" xfId="3645" xr:uid="{00000000-0005-0000-0000-000038660000}"/>
    <cellStyle name="Normal 34" xfId="3646" xr:uid="{00000000-0005-0000-0000-000039660000}"/>
    <cellStyle name="Normal 34 10" xfId="3647" xr:uid="{00000000-0005-0000-0000-00003A660000}"/>
    <cellStyle name="Normal 34 10 2" xfId="3648" xr:uid="{00000000-0005-0000-0000-00003B660000}"/>
    <cellStyle name="Normal 34 11" xfId="3649" xr:uid="{00000000-0005-0000-0000-00003C660000}"/>
    <cellStyle name="Normal 34 11 2" xfId="3650" xr:uid="{00000000-0005-0000-0000-00003D660000}"/>
    <cellStyle name="Normal 34 12" xfId="3651" xr:uid="{00000000-0005-0000-0000-00003E660000}"/>
    <cellStyle name="Normal 34 2" xfId="3652" xr:uid="{00000000-0005-0000-0000-00003F660000}"/>
    <cellStyle name="Normal 34 2 2" xfId="3653" xr:uid="{00000000-0005-0000-0000-000040660000}"/>
    <cellStyle name="Normal 34 2 2 2" xfId="3654" xr:uid="{00000000-0005-0000-0000-000041660000}"/>
    <cellStyle name="Normal 34 2 2 2 2" xfId="3655" xr:uid="{00000000-0005-0000-0000-000042660000}"/>
    <cellStyle name="Normal 34 2 2 3" xfId="3656" xr:uid="{00000000-0005-0000-0000-000043660000}"/>
    <cellStyle name="Normal 34 2 3" xfId="3657" xr:uid="{00000000-0005-0000-0000-000044660000}"/>
    <cellStyle name="Normal 34 2 3 2" xfId="3658" xr:uid="{00000000-0005-0000-0000-000045660000}"/>
    <cellStyle name="Normal 34 2 4" xfId="3659" xr:uid="{00000000-0005-0000-0000-000046660000}"/>
    <cellStyle name="Normal 34 2 4 2" xfId="3660" xr:uid="{00000000-0005-0000-0000-000047660000}"/>
    <cellStyle name="Normal 34 2 5" xfId="3661" xr:uid="{00000000-0005-0000-0000-000048660000}"/>
    <cellStyle name="Normal 34 3" xfId="3662" xr:uid="{00000000-0005-0000-0000-000049660000}"/>
    <cellStyle name="Normal 34 3 2" xfId="3663" xr:uid="{00000000-0005-0000-0000-00004A660000}"/>
    <cellStyle name="Normal 34 3 2 2" xfId="3664" xr:uid="{00000000-0005-0000-0000-00004B660000}"/>
    <cellStyle name="Normal 34 3 2 2 2" xfId="3665" xr:uid="{00000000-0005-0000-0000-00004C660000}"/>
    <cellStyle name="Normal 34 3 2 3" xfId="3666" xr:uid="{00000000-0005-0000-0000-00004D660000}"/>
    <cellStyle name="Normal 34 3 3" xfId="3667" xr:uid="{00000000-0005-0000-0000-00004E660000}"/>
    <cellStyle name="Normal 34 3 3 2" xfId="3668" xr:uid="{00000000-0005-0000-0000-00004F660000}"/>
    <cellStyle name="Normal 34 3 4" xfId="3669" xr:uid="{00000000-0005-0000-0000-000050660000}"/>
    <cellStyle name="Normal 34 3 4 2" xfId="3670" xr:uid="{00000000-0005-0000-0000-000051660000}"/>
    <cellStyle name="Normal 34 3 5" xfId="3671" xr:uid="{00000000-0005-0000-0000-000052660000}"/>
    <cellStyle name="Normal 34 4" xfId="3672" xr:uid="{00000000-0005-0000-0000-000053660000}"/>
    <cellStyle name="Normal 34 4 2" xfId="3673" xr:uid="{00000000-0005-0000-0000-000054660000}"/>
    <cellStyle name="Normal 34 4 2 2" xfId="3674" xr:uid="{00000000-0005-0000-0000-000055660000}"/>
    <cellStyle name="Normal 34 4 2 2 2" xfId="3675" xr:uid="{00000000-0005-0000-0000-000056660000}"/>
    <cellStyle name="Normal 34 4 2 3" xfId="3676" xr:uid="{00000000-0005-0000-0000-000057660000}"/>
    <cellStyle name="Normal 34 4 3" xfId="3677" xr:uid="{00000000-0005-0000-0000-000058660000}"/>
    <cellStyle name="Normal 34 4 3 2" xfId="3678" xr:uid="{00000000-0005-0000-0000-000059660000}"/>
    <cellStyle name="Normal 34 4 4" xfId="3679" xr:uid="{00000000-0005-0000-0000-00005A660000}"/>
    <cellStyle name="Normal 34 4 4 2" xfId="3680" xr:uid="{00000000-0005-0000-0000-00005B660000}"/>
    <cellStyle name="Normal 34 4 5" xfId="3681" xr:uid="{00000000-0005-0000-0000-00005C660000}"/>
    <cellStyle name="Normal 34 5" xfId="3682" xr:uid="{00000000-0005-0000-0000-00005D660000}"/>
    <cellStyle name="Normal 34 5 2" xfId="3683" xr:uid="{00000000-0005-0000-0000-00005E660000}"/>
    <cellStyle name="Normal 34 5 2 2" xfId="3684" xr:uid="{00000000-0005-0000-0000-00005F660000}"/>
    <cellStyle name="Normal 34 5 2 2 2" xfId="3685" xr:uid="{00000000-0005-0000-0000-000060660000}"/>
    <cellStyle name="Normal 34 5 2 3" xfId="3686" xr:uid="{00000000-0005-0000-0000-000061660000}"/>
    <cellStyle name="Normal 34 5 3" xfId="3687" xr:uid="{00000000-0005-0000-0000-000062660000}"/>
    <cellStyle name="Normal 34 5 3 2" xfId="3688" xr:uid="{00000000-0005-0000-0000-000063660000}"/>
    <cellStyle name="Normal 34 5 4" xfId="3689" xr:uid="{00000000-0005-0000-0000-000064660000}"/>
    <cellStyle name="Normal 34 5 4 2" xfId="3690" xr:uid="{00000000-0005-0000-0000-000065660000}"/>
    <cellStyle name="Normal 34 5 5" xfId="3691" xr:uid="{00000000-0005-0000-0000-000066660000}"/>
    <cellStyle name="Normal 34 6" xfId="3692" xr:uid="{00000000-0005-0000-0000-000067660000}"/>
    <cellStyle name="Normal 34 6 2" xfId="3693" xr:uid="{00000000-0005-0000-0000-000068660000}"/>
    <cellStyle name="Normal 34 6 2 2" xfId="3694" xr:uid="{00000000-0005-0000-0000-000069660000}"/>
    <cellStyle name="Normal 34 6 2 2 2" xfId="3695" xr:uid="{00000000-0005-0000-0000-00006A660000}"/>
    <cellStyle name="Normal 34 6 2 3" xfId="3696" xr:uid="{00000000-0005-0000-0000-00006B660000}"/>
    <cellStyle name="Normal 34 6 3" xfId="3697" xr:uid="{00000000-0005-0000-0000-00006C660000}"/>
    <cellStyle name="Normal 34 6 3 2" xfId="3698" xr:uid="{00000000-0005-0000-0000-00006D660000}"/>
    <cellStyle name="Normal 34 6 4" xfId="3699" xr:uid="{00000000-0005-0000-0000-00006E660000}"/>
    <cellStyle name="Normal 34 6 4 2" xfId="3700" xr:uid="{00000000-0005-0000-0000-00006F660000}"/>
    <cellStyle name="Normal 34 6 5" xfId="3701" xr:uid="{00000000-0005-0000-0000-000070660000}"/>
    <cellStyle name="Normal 34 7" xfId="3702" xr:uid="{00000000-0005-0000-0000-000071660000}"/>
    <cellStyle name="Normal 34 7 2" xfId="3703" xr:uid="{00000000-0005-0000-0000-000072660000}"/>
    <cellStyle name="Normal 34 7 2 2" xfId="3704" xr:uid="{00000000-0005-0000-0000-000073660000}"/>
    <cellStyle name="Normal 34 7 2 2 2" xfId="3705" xr:uid="{00000000-0005-0000-0000-000074660000}"/>
    <cellStyle name="Normal 34 7 2 3" xfId="3706" xr:uid="{00000000-0005-0000-0000-000075660000}"/>
    <cellStyle name="Normal 34 7 3" xfId="3707" xr:uid="{00000000-0005-0000-0000-000076660000}"/>
    <cellStyle name="Normal 34 7 3 2" xfId="3708" xr:uid="{00000000-0005-0000-0000-000077660000}"/>
    <cellStyle name="Normal 34 7 4" xfId="3709" xr:uid="{00000000-0005-0000-0000-000078660000}"/>
    <cellStyle name="Normal 34 8" xfId="3710" xr:uid="{00000000-0005-0000-0000-000079660000}"/>
    <cellStyle name="Normal 34 8 2" xfId="3711" xr:uid="{00000000-0005-0000-0000-00007A660000}"/>
    <cellStyle name="Normal 34 8 2 2" xfId="3712" xr:uid="{00000000-0005-0000-0000-00007B660000}"/>
    <cellStyle name="Normal 34 8 2 2 2" xfId="3713" xr:uid="{00000000-0005-0000-0000-00007C660000}"/>
    <cellStyle name="Normal 34 8 2 3" xfId="3714" xr:uid="{00000000-0005-0000-0000-00007D660000}"/>
    <cellStyle name="Normal 34 8 3" xfId="3715" xr:uid="{00000000-0005-0000-0000-00007E660000}"/>
    <cellStyle name="Normal 34 8 3 2" xfId="3716" xr:uid="{00000000-0005-0000-0000-00007F660000}"/>
    <cellStyle name="Normal 34 8 4" xfId="3717" xr:uid="{00000000-0005-0000-0000-000080660000}"/>
    <cellStyle name="Normal 34 9" xfId="3718" xr:uid="{00000000-0005-0000-0000-000081660000}"/>
    <cellStyle name="Normal 34 9 2" xfId="3719" xr:uid="{00000000-0005-0000-0000-000082660000}"/>
    <cellStyle name="Normal 34 9 2 2" xfId="3720" xr:uid="{00000000-0005-0000-0000-000083660000}"/>
    <cellStyle name="Normal 34 9 3" xfId="3721" xr:uid="{00000000-0005-0000-0000-000084660000}"/>
    <cellStyle name="Normal 35" xfId="3722" xr:uid="{00000000-0005-0000-0000-000085660000}"/>
    <cellStyle name="Normal 35 10" xfId="3723" xr:uid="{00000000-0005-0000-0000-000086660000}"/>
    <cellStyle name="Normal 35 10 2" xfId="3724" xr:uid="{00000000-0005-0000-0000-000087660000}"/>
    <cellStyle name="Normal 35 11" xfId="3725" xr:uid="{00000000-0005-0000-0000-000088660000}"/>
    <cellStyle name="Normal 35 11 2" xfId="3726" xr:uid="{00000000-0005-0000-0000-000089660000}"/>
    <cellStyle name="Normal 35 12" xfId="3727" xr:uid="{00000000-0005-0000-0000-00008A660000}"/>
    <cellStyle name="Normal 35 2" xfId="3728" xr:uid="{00000000-0005-0000-0000-00008B660000}"/>
    <cellStyle name="Normal 35 2 2" xfId="3729" xr:uid="{00000000-0005-0000-0000-00008C660000}"/>
    <cellStyle name="Normal 35 2 2 2" xfId="3730" xr:uid="{00000000-0005-0000-0000-00008D660000}"/>
    <cellStyle name="Normal 35 2 2 2 2" xfId="3731" xr:uid="{00000000-0005-0000-0000-00008E660000}"/>
    <cellStyle name="Normal 35 2 2 3" xfId="3732" xr:uid="{00000000-0005-0000-0000-00008F660000}"/>
    <cellStyle name="Normal 35 2 3" xfId="3733" xr:uid="{00000000-0005-0000-0000-000090660000}"/>
    <cellStyle name="Normal 35 2 3 2" xfId="3734" xr:uid="{00000000-0005-0000-0000-000091660000}"/>
    <cellStyle name="Normal 35 2 4" xfId="3735" xr:uid="{00000000-0005-0000-0000-000092660000}"/>
    <cellStyle name="Normal 35 2 4 2" xfId="3736" xr:uid="{00000000-0005-0000-0000-000093660000}"/>
    <cellStyle name="Normal 35 2 5" xfId="3737" xr:uid="{00000000-0005-0000-0000-000094660000}"/>
    <cellStyle name="Normal 35 3" xfId="3738" xr:uid="{00000000-0005-0000-0000-000095660000}"/>
    <cellStyle name="Normal 35 3 2" xfId="3739" xr:uid="{00000000-0005-0000-0000-000096660000}"/>
    <cellStyle name="Normal 35 3 2 2" xfId="3740" xr:uid="{00000000-0005-0000-0000-000097660000}"/>
    <cellStyle name="Normal 35 3 2 2 2" xfId="3741" xr:uid="{00000000-0005-0000-0000-000098660000}"/>
    <cellStyle name="Normal 35 3 2 3" xfId="3742" xr:uid="{00000000-0005-0000-0000-000099660000}"/>
    <cellStyle name="Normal 35 3 3" xfId="3743" xr:uid="{00000000-0005-0000-0000-00009A660000}"/>
    <cellStyle name="Normal 35 3 3 2" xfId="3744" xr:uid="{00000000-0005-0000-0000-00009B660000}"/>
    <cellStyle name="Normal 35 3 4" xfId="3745" xr:uid="{00000000-0005-0000-0000-00009C660000}"/>
    <cellStyle name="Normal 35 3 4 2" xfId="3746" xr:uid="{00000000-0005-0000-0000-00009D660000}"/>
    <cellStyle name="Normal 35 3 5" xfId="3747" xr:uid="{00000000-0005-0000-0000-00009E660000}"/>
    <cellStyle name="Normal 35 4" xfId="3748" xr:uid="{00000000-0005-0000-0000-00009F660000}"/>
    <cellStyle name="Normal 35 4 2" xfId="3749" xr:uid="{00000000-0005-0000-0000-0000A0660000}"/>
    <cellStyle name="Normal 35 4 2 2" xfId="3750" xr:uid="{00000000-0005-0000-0000-0000A1660000}"/>
    <cellStyle name="Normal 35 4 2 2 2" xfId="3751" xr:uid="{00000000-0005-0000-0000-0000A2660000}"/>
    <cellStyle name="Normal 35 4 2 3" xfId="3752" xr:uid="{00000000-0005-0000-0000-0000A3660000}"/>
    <cellStyle name="Normal 35 4 3" xfId="3753" xr:uid="{00000000-0005-0000-0000-0000A4660000}"/>
    <cellStyle name="Normal 35 4 3 2" xfId="3754" xr:uid="{00000000-0005-0000-0000-0000A5660000}"/>
    <cellStyle name="Normal 35 4 4" xfId="3755" xr:uid="{00000000-0005-0000-0000-0000A6660000}"/>
    <cellStyle name="Normal 35 4 4 2" xfId="3756" xr:uid="{00000000-0005-0000-0000-0000A7660000}"/>
    <cellStyle name="Normal 35 4 5" xfId="3757" xr:uid="{00000000-0005-0000-0000-0000A8660000}"/>
    <cellStyle name="Normal 35 5" xfId="3758" xr:uid="{00000000-0005-0000-0000-0000A9660000}"/>
    <cellStyle name="Normal 35 5 2" xfId="3759" xr:uid="{00000000-0005-0000-0000-0000AA660000}"/>
    <cellStyle name="Normal 35 5 2 2" xfId="3760" xr:uid="{00000000-0005-0000-0000-0000AB660000}"/>
    <cellStyle name="Normal 35 5 2 2 2" xfId="3761" xr:uid="{00000000-0005-0000-0000-0000AC660000}"/>
    <cellStyle name="Normal 35 5 2 3" xfId="3762" xr:uid="{00000000-0005-0000-0000-0000AD660000}"/>
    <cellStyle name="Normal 35 5 3" xfId="3763" xr:uid="{00000000-0005-0000-0000-0000AE660000}"/>
    <cellStyle name="Normal 35 5 3 2" xfId="3764" xr:uid="{00000000-0005-0000-0000-0000AF660000}"/>
    <cellStyle name="Normal 35 5 4" xfId="3765" xr:uid="{00000000-0005-0000-0000-0000B0660000}"/>
    <cellStyle name="Normal 35 5 4 2" xfId="3766" xr:uid="{00000000-0005-0000-0000-0000B1660000}"/>
    <cellStyle name="Normal 35 5 5" xfId="3767" xr:uid="{00000000-0005-0000-0000-0000B2660000}"/>
    <cellStyle name="Normal 35 6" xfId="3768" xr:uid="{00000000-0005-0000-0000-0000B3660000}"/>
    <cellStyle name="Normal 35 6 2" xfId="3769" xr:uid="{00000000-0005-0000-0000-0000B4660000}"/>
    <cellStyle name="Normal 35 6 2 2" xfId="3770" xr:uid="{00000000-0005-0000-0000-0000B5660000}"/>
    <cellStyle name="Normal 35 6 2 2 2" xfId="3771" xr:uid="{00000000-0005-0000-0000-0000B6660000}"/>
    <cellStyle name="Normal 35 6 2 3" xfId="3772" xr:uid="{00000000-0005-0000-0000-0000B7660000}"/>
    <cellStyle name="Normal 35 6 3" xfId="3773" xr:uid="{00000000-0005-0000-0000-0000B8660000}"/>
    <cellStyle name="Normal 35 6 3 2" xfId="3774" xr:uid="{00000000-0005-0000-0000-0000B9660000}"/>
    <cellStyle name="Normal 35 6 4" xfId="3775" xr:uid="{00000000-0005-0000-0000-0000BA660000}"/>
    <cellStyle name="Normal 35 6 4 2" xfId="3776" xr:uid="{00000000-0005-0000-0000-0000BB660000}"/>
    <cellStyle name="Normal 35 6 5" xfId="3777" xr:uid="{00000000-0005-0000-0000-0000BC660000}"/>
    <cellStyle name="Normal 35 7" xfId="3778" xr:uid="{00000000-0005-0000-0000-0000BD660000}"/>
    <cellStyle name="Normal 35 7 2" xfId="3779" xr:uid="{00000000-0005-0000-0000-0000BE660000}"/>
    <cellStyle name="Normal 35 7 2 2" xfId="3780" xr:uid="{00000000-0005-0000-0000-0000BF660000}"/>
    <cellStyle name="Normal 35 7 2 2 2" xfId="3781" xr:uid="{00000000-0005-0000-0000-0000C0660000}"/>
    <cellStyle name="Normal 35 7 2 3" xfId="3782" xr:uid="{00000000-0005-0000-0000-0000C1660000}"/>
    <cellStyle name="Normal 35 7 3" xfId="3783" xr:uid="{00000000-0005-0000-0000-0000C2660000}"/>
    <cellStyle name="Normal 35 7 3 2" xfId="3784" xr:uid="{00000000-0005-0000-0000-0000C3660000}"/>
    <cellStyle name="Normal 35 7 4" xfId="3785" xr:uid="{00000000-0005-0000-0000-0000C4660000}"/>
    <cellStyle name="Normal 35 8" xfId="3786" xr:uid="{00000000-0005-0000-0000-0000C5660000}"/>
    <cellStyle name="Normal 35 8 2" xfId="3787" xr:uid="{00000000-0005-0000-0000-0000C6660000}"/>
    <cellStyle name="Normal 35 8 2 2" xfId="3788" xr:uid="{00000000-0005-0000-0000-0000C7660000}"/>
    <cellStyle name="Normal 35 8 2 2 2" xfId="3789" xr:uid="{00000000-0005-0000-0000-0000C8660000}"/>
    <cellStyle name="Normal 35 8 2 3" xfId="3790" xr:uid="{00000000-0005-0000-0000-0000C9660000}"/>
    <cellStyle name="Normal 35 8 3" xfId="3791" xr:uid="{00000000-0005-0000-0000-0000CA660000}"/>
    <cellStyle name="Normal 35 8 3 2" xfId="3792" xr:uid="{00000000-0005-0000-0000-0000CB660000}"/>
    <cellStyle name="Normal 35 8 4" xfId="3793" xr:uid="{00000000-0005-0000-0000-0000CC660000}"/>
    <cellStyle name="Normal 35 9" xfId="3794" xr:uid="{00000000-0005-0000-0000-0000CD660000}"/>
    <cellStyle name="Normal 35 9 2" xfId="3795" xr:uid="{00000000-0005-0000-0000-0000CE660000}"/>
    <cellStyle name="Normal 35 9 2 2" xfId="3796" xr:uid="{00000000-0005-0000-0000-0000CF660000}"/>
    <cellStyle name="Normal 35 9 3" xfId="3797" xr:uid="{00000000-0005-0000-0000-0000D0660000}"/>
    <cellStyle name="Normal 36" xfId="3798" xr:uid="{00000000-0005-0000-0000-0000D1660000}"/>
    <cellStyle name="Normal 36 2" xfId="3799" xr:uid="{00000000-0005-0000-0000-0000D2660000}"/>
    <cellStyle name="Normal 37" xfId="3800" xr:uid="{00000000-0005-0000-0000-0000D3660000}"/>
    <cellStyle name="Normal 37 2" xfId="3801" xr:uid="{00000000-0005-0000-0000-0000D4660000}"/>
    <cellStyle name="Normal 38" xfId="3802" xr:uid="{00000000-0005-0000-0000-0000D5660000}"/>
    <cellStyle name="Normal 38 2" xfId="3803" xr:uid="{00000000-0005-0000-0000-0000D6660000}"/>
    <cellStyle name="Normal 38 2 2" xfId="3804" xr:uid="{00000000-0005-0000-0000-0000D7660000}"/>
    <cellStyle name="Normal 38 2 2 2" xfId="3805" xr:uid="{00000000-0005-0000-0000-0000D8660000}"/>
    <cellStyle name="Normal 38 2 3" xfId="3806" xr:uid="{00000000-0005-0000-0000-0000D9660000}"/>
    <cellStyle name="Normal 38 3" xfId="3807" xr:uid="{00000000-0005-0000-0000-0000DA660000}"/>
    <cellStyle name="Normal 38 3 2" xfId="3808" xr:uid="{00000000-0005-0000-0000-0000DB660000}"/>
    <cellStyle name="Normal 38 4" xfId="3809" xr:uid="{00000000-0005-0000-0000-0000DC660000}"/>
    <cellStyle name="Normal 38 4 2" xfId="3810" xr:uid="{00000000-0005-0000-0000-0000DD660000}"/>
    <cellStyle name="Normal 38 5" xfId="3811" xr:uid="{00000000-0005-0000-0000-0000DE660000}"/>
    <cellStyle name="Normal 39" xfId="3812" xr:uid="{00000000-0005-0000-0000-0000DF660000}"/>
    <cellStyle name="Normal 39 2" xfId="3813" xr:uid="{00000000-0005-0000-0000-0000E0660000}"/>
    <cellStyle name="Normal 4" xfId="6" xr:uid="{00000000-0005-0000-0000-0000E1660000}"/>
    <cellStyle name="Normal 4 10" xfId="254" xr:uid="{00000000-0005-0000-0000-0000E2660000}"/>
    <cellStyle name="Normal 4 10 2" xfId="3814" xr:uid="{00000000-0005-0000-0000-0000E3660000}"/>
    <cellStyle name="Normal 4 11" xfId="270" xr:uid="{00000000-0005-0000-0000-0000E4660000}"/>
    <cellStyle name="Normal 4 12" xfId="284" xr:uid="{00000000-0005-0000-0000-0000E5660000}"/>
    <cellStyle name="Normal 4 12 2" xfId="3816" xr:uid="{00000000-0005-0000-0000-0000E6660000}"/>
    <cellStyle name="Normal 4 12 3" xfId="3815" xr:uid="{00000000-0005-0000-0000-0000E7660000}"/>
    <cellStyle name="Normal 4 13" xfId="296" xr:uid="{00000000-0005-0000-0000-0000E8660000}"/>
    <cellStyle name="Normal 4 13 2" xfId="3818" xr:uid="{00000000-0005-0000-0000-0000E9660000}"/>
    <cellStyle name="Normal 4 13 3" xfId="3817" xr:uid="{00000000-0005-0000-0000-0000EA660000}"/>
    <cellStyle name="Normal 4 14" xfId="308" xr:uid="{00000000-0005-0000-0000-0000EB660000}"/>
    <cellStyle name="Normal 4 14 2" xfId="4500" xr:uid="{00000000-0005-0000-0000-0000EC660000}"/>
    <cellStyle name="Normal 4 15" xfId="271" xr:uid="{00000000-0005-0000-0000-0000ED660000}"/>
    <cellStyle name="Normal 4 16" xfId="339" xr:uid="{00000000-0005-0000-0000-0000EE660000}"/>
    <cellStyle name="Normal 4 16 2" xfId="10116" xr:uid="{00000000-0005-0000-0000-0000EF660000}"/>
    <cellStyle name="Normal 4 17" xfId="346" xr:uid="{00000000-0005-0000-0000-0000F0660000}"/>
    <cellStyle name="Normal 4 17 2" xfId="1058" xr:uid="{00000000-0005-0000-0000-0000F1660000}"/>
    <cellStyle name="Normal 4 18" xfId="373" xr:uid="{00000000-0005-0000-0000-0000F2660000}"/>
    <cellStyle name="Normal 4 19" xfId="415" xr:uid="{00000000-0005-0000-0000-0000F3660000}"/>
    <cellStyle name="Normal 4 2" xfId="95" xr:uid="{00000000-0005-0000-0000-0000F4660000}"/>
    <cellStyle name="Normal 4 2 10" xfId="3820" xr:uid="{00000000-0005-0000-0000-0000F5660000}"/>
    <cellStyle name="Normal 4 2 10 2" xfId="5062" xr:uid="{00000000-0005-0000-0000-0000F6660000}"/>
    <cellStyle name="Normal 4 2 10 2 2" xfId="6687" xr:uid="{00000000-0005-0000-0000-0000F7660000}"/>
    <cellStyle name="Normal 4 2 10 2 2 2" xfId="9773" xr:uid="{00000000-0005-0000-0000-0000F8660000}"/>
    <cellStyle name="Normal 4 2 10 2 2 2 2" xfId="15966" xr:uid="{00000000-0005-0000-0000-0000F9660000}"/>
    <cellStyle name="Normal 4 2 10 2 2 2 2 2" xfId="35886" xr:uid="{00000000-0005-0000-0000-0000FA660000}"/>
    <cellStyle name="Normal 4 2 10 2 2 2 3" xfId="22118" xr:uid="{00000000-0005-0000-0000-0000FB660000}"/>
    <cellStyle name="Normal 4 2 10 2 2 2 3 2" xfId="42038" xr:uid="{00000000-0005-0000-0000-0000FC660000}"/>
    <cellStyle name="Normal 4 2 10 2 2 2 4" xfId="29733" xr:uid="{00000000-0005-0000-0000-0000FD660000}"/>
    <cellStyle name="Normal 4 2 10 2 2 3" xfId="12900" xr:uid="{00000000-0005-0000-0000-0000FE660000}"/>
    <cellStyle name="Normal 4 2 10 2 2 3 2" xfId="32820" xr:uid="{00000000-0005-0000-0000-0000FF660000}"/>
    <cellStyle name="Normal 4 2 10 2 2 4" xfId="19052" xr:uid="{00000000-0005-0000-0000-000000670000}"/>
    <cellStyle name="Normal 4 2 10 2 2 4 2" xfId="38972" xr:uid="{00000000-0005-0000-0000-000001670000}"/>
    <cellStyle name="Normal 4 2 10 2 2 5" xfId="26667" xr:uid="{00000000-0005-0000-0000-000002670000}"/>
    <cellStyle name="Normal 4 2 10 2 3" xfId="8238" xr:uid="{00000000-0005-0000-0000-000003670000}"/>
    <cellStyle name="Normal 4 2 10 2 3 2" xfId="14432" xr:uid="{00000000-0005-0000-0000-000004670000}"/>
    <cellStyle name="Normal 4 2 10 2 3 2 2" xfId="34352" xr:uid="{00000000-0005-0000-0000-000005670000}"/>
    <cellStyle name="Normal 4 2 10 2 3 3" xfId="20584" xr:uid="{00000000-0005-0000-0000-000006670000}"/>
    <cellStyle name="Normal 4 2 10 2 3 3 2" xfId="40504" xr:uid="{00000000-0005-0000-0000-000007670000}"/>
    <cellStyle name="Normal 4 2 10 2 3 4" xfId="28199" xr:uid="{00000000-0005-0000-0000-000008670000}"/>
    <cellStyle name="Normal 4 2 10 2 4" xfId="11366" xr:uid="{00000000-0005-0000-0000-000009670000}"/>
    <cellStyle name="Normal 4 2 10 2 4 2" xfId="31286" xr:uid="{00000000-0005-0000-0000-00000A670000}"/>
    <cellStyle name="Normal 4 2 10 2 5" xfId="17518" xr:uid="{00000000-0005-0000-0000-00000B670000}"/>
    <cellStyle name="Normal 4 2 10 2 5 2" xfId="37438" xr:uid="{00000000-0005-0000-0000-00000C670000}"/>
    <cellStyle name="Normal 4 2 10 2 6" xfId="25133" xr:uid="{00000000-0005-0000-0000-00000D670000}"/>
    <cellStyle name="Normal 4 2 10 3" xfId="5904" xr:uid="{00000000-0005-0000-0000-00000E670000}"/>
    <cellStyle name="Normal 4 2 10 3 2" xfId="9004" xr:uid="{00000000-0005-0000-0000-00000F670000}"/>
    <cellStyle name="Normal 4 2 10 3 2 2" xfId="15197" xr:uid="{00000000-0005-0000-0000-000010670000}"/>
    <cellStyle name="Normal 4 2 10 3 2 2 2" xfId="35117" xr:uid="{00000000-0005-0000-0000-000011670000}"/>
    <cellStyle name="Normal 4 2 10 3 2 3" xfId="21349" xr:uid="{00000000-0005-0000-0000-000012670000}"/>
    <cellStyle name="Normal 4 2 10 3 2 3 2" xfId="41269" xr:uid="{00000000-0005-0000-0000-000013670000}"/>
    <cellStyle name="Normal 4 2 10 3 2 4" xfId="28964" xr:uid="{00000000-0005-0000-0000-000014670000}"/>
    <cellStyle name="Normal 4 2 10 3 3" xfId="12131" xr:uid="{00000000-0005-0000-0000-000015670000}"/>
    <cellStyle name="Normal 4 2 10 3 3 2" xfId="32051" xr:uid="{00000000-0005-0000-0000-000016670000}"/>
    <cellStyle name="Normal 4 2 10 3 4" xfId="18283" xr:uid="{00000000-0005-0000-0000-000017670000}"/>
    <cellStyle name="Normal 4 2 10 3 4 2" xfId="38203" xr:uid="{00000000-0005-0000-0000-000018670000}"/>
    <cellStyle name="Normal 4 2 10 3 5" xfId="25898" xr:uid="{00000000-0005-0000-0000-000019670000}"/>
    <cellStyle name="Normal 4 2 10 4" xfId="7469" xr:uid="{00000000-0005-0000-0000-00001A670000}"/>
    <cellStyle name="Normal 4 2 10 4 2" xfId="13663" xr:uid="{00000000-0005-0000-0000-00001B670000}"/>
    <cellStyle name="Normal 4 2 10 4 2 2" xfId="33583" xr:uid="{00000000-0005-0000-0000-00001C670000}"/>
    <cellStyle name="Normal 4 2 10 4 3" xfId="19815" xr:uid="{00000000-0005-0000-0000-00001D670000}"/>
    <cellStyle name="Normal 4 2 10 4 3 2" xfId="39735" xr:uid="{00000000-0005-0000-0000-00001E670000}"/>
    <cellStyle name="Normal 4 2 10 4 4" xfId="27430" xr:uid="{00000000-0005-0000-0000-00001F670000}"/>
    <cellStyle name="Normal 4 2 10 5" xfId="10597" xr:uid="{00000000-0005-0000-0000-000020670000}"/>
    <cellStyle name="Normal 4 2 10 5 2" xfId="30517" xr:uid="{00000000-0005-0000-0000-000021670000}"/>
    <cellStyle name="Normal 4 2 10 6" xfId="16749" xr:uid="{00000000-0005-0000-0000-000022670000}"/>
    <cellStyle name="Normal 4 2 10 6 2" xfId="36669" xr:uid="{00000000-0005-0000-0000-000023670000}"/>
    <cellStyle name="Normal 4 2 10 7" xfId="24364" xr:uid="{00000000-0005-0000-0000-000024670000}"/>
    <cellStyle name="Normal 4 2 11" xfId="3821" xr:uid="{00000000-0005-0000-0000-000025670000}"/>
    <cellStyle name="Normal 4 2 11 2" xfId="5063" xr:uid="{00000000-0005-0000-0000-000026670000}"/>
    <cellStyle name="Normal 4 2 11 2 2" xfId="6688" xr:uid="{00000000-0005-0000-0000-000027670000}"/>
    <cellStyle name="Normal 4 2 11 2 2 2" xfId="9774" xr:uid="{00000000-0005-0000-0000-000028670000}"/>
    <cellStyle name="Normal 4 2 11 2 2 2 2" xfId="15967" xr:uid="{00000000-0005-0000-0000-000029670000}"/>
    <cellStyle name="Normal 4 2 11 2 2 2 2 2" xfId="35887" xr:uid="{00000000-0005-0000-0000-00002A670000}"/>
    <cellStyle name="Normal 4 2 11 2 2 2 3" xfId="22119" xr:uid="{00000000-0005-0000-0000-00002B670000}"/>
    <cellStyle name="Normal 4 2 11 2 2 2 3 2" xfId="42039" xr:uid="{00000000-0005-0000-0000-00002C670000}"/>
    <cellStyle name="Normal 4 2 11 2 2 2 4" xfId="29734" xr:uid="{00000000-0005-0000-0000-00002D670000}"/>
    <cellStyle name="Normal 4 2 11 2 2 3" xfId="12901" xr:uid="{00000000-0005-0000-0000-00002E670000}"/>
    <cellStyle name="Normal 4 2 11 2 2 3 2" xfId="32821" xr:uid="{00000000-0005-0000-0000-00002F670000}"/>
    <cellStyle name="Normal 4 2 11 2 2 4" xfId="19053" xr:uid="{00000000-0005-0000-0000-000030670000}"/>
    <cellStyle name="Normal 4 2 11 2 2 4 2" xfId="38973" xr:uid="{00000000-0005-0000-0000-000031670000}"/>
    <cellStyle name="Normal 4 2 11 2 2 5" xfId="26668" xr:uid="{00000000-0005-0000-0000-000032670000}"/>
    <cellStyle name="Normal 4 2 11 2 3" xfId="8239" xr:uid="{00000000-0005-0000-0000-000033670000}"/>
    <cellStyle name="Normal 4 2 11 2 3 2" xfId="14433" xr:uid="{00000000-0005-0000-0000-000034670000}"/>
    <cellStyle name="Normal 4 2 11 2 3 2 2" xfId="34353" xr:uid="{00000000-0005-0000-0000-000035670000}"/>
    <cellStyle name="Normal 4 2 11 2 3 3" xfId="20585" xr:uid="{00000000-0005-0000-0000-000036670000}"/>
    <cellStyle name="Normal 4 2 11 2 3 3 2" xfId="40505" xr:uid="{00000000-0005-0000-0000-000037670000}"/>
    <cellStyle name="Normal 4 2 11 2 3 4" xfId="28200" xr:uid="{00000000-0005-0000-0000-000038670000}"/>
    <cellStyle name="Normal 4 2 11 2 4" xfId="11367" xr:uid="{00000000-0005-0000-0000-000039670000}"/>
    <cellStyle name="Normal 4 2 11 2 4 2" xfId="31287" xr:uid="{00000000-0005-0000-0000-00003A670000}"/>
    <cellStyle name="Normal 4 2 11 2 5" xfId="17519" xr:uid="{00000000-0005-0000-0000-00003B670000}"/>
    <cellStyle name="Normal 4 2 11 2 5 2" xfId="37439" xr:uid="{00000000-0005-0000-0000-00003C670000}"/>
    <cellStyle name="Normal 4 2 11 2 6" xfId="25134" xr:uid="{00000000-0005-0000-0000-00003D670000}"/>
    <cellStyle name="Normal 4 2 11 3" xfId="5905" xr:uid="{00000000-0005-0000-0000-00003E670000}"/>
    <cellStyle name="Normal 4 2 11 3 2" xfId="9005" xr:uid="{00000000-0005-0000-0000-00003F670000}"/>
    <cellStyle name="Normal 4 2 11 3 2 2" xfId="15198" xr:uid="{00000000-0005-0000-0000-000040670000}"/>
    <cellStyle name="Normal 4 2 11 3 2 2 2" xfId="35118" xr:uid="{00000000-0005-0000-0000-000041670000}"/>
    <cellStyle name="Normal 4 2 11 3 2 3" xfId="21350" xr:uid="{00000000-0005-0000-0000-000042670000}"/>
    <cellStyle name="Normal 4 2 11 3 2 3 2" xfId="41270" xr:uid="{00000000-0005-0000-0000-000043670000}"/>
    <cellStyle name="Normal 4 2 11 3 2 4" xfId="28965" xr:uid="{00000000-0005-0000-0000-000044670000}"/>
    <cellStyle name="Normal 4 2 11 3 3" xfId="12132" xr:uid="{00000000-0005-0000-0000-000045670000}"/>
    <cellStyle name="Normal 4 2 11 3 3 2" xfId="32052" xr:uid="{00000000-0005-0000-0000-000046670000}"/>
    <cellStyle name="Normal 4 2 11 3 4" xfId="18284" xr:uid="{00000000-0005-0000-0000-000047670000}"/>
    <cellStyle name="Normal 4 2 11 3 4 2" xfId="38204" xr:uid="{00000000-0005-0000-0000-000048670000}"/>
    <cellStyle name="Normal 4 2 11 3 5" xfId="25899" xr:uid="{00000000-0005-0000-0000-000049670000}"/>
    <cellStyle name="Normal 4 2 11 4" xfId="7470" xr:uid="{00000000-0005-0000-0000-00004A670000}"/>
    <cellStyle name="Normal 4 2 11 4 2" xfId="13664" xr:uid="{00000000-0005-0000-0000-00004B670000}"/>
    <cellStyle name="Normal 4 2 11 4 2 2" xfId="33584" xr:uid="{00000000-0005-0000-0000-00004C670000}"/>
    <cellStyle name="Normal 4 2 11 4 3" xfId="19816" xr:uid="{00000000-0005-0000-0000-00004D670000}"/>
    <cellStyle name="Normal 4 2 11 4 3 2" xfId="39736" xr:uid="{00000000-0005-0000-0000-00004E670000}"/>
    <cellStyle name="Normal 4 2 11 4 4" xfId="27431" xr:uid="{00000000-0005-0000-0000-00004F670000}"/>
    <cellStyle name="Normal 4 2 11 5" xfId="10598" xr:uid="{00000000-0005-0000-0000-000050670000}"/>
    <cellStyle name="Normal 4 2 11 5 2" xfId="30518" xr:uid="{00000000-0005-0000-0000-000051670000}"/>
    <cellStyle name="Normal 4 2 11 6" xfId="16750" xr:uid="{00000000-0005-0000-0000-000052670000}"/>
    <cellStyle name="Normal 4 2 11 6 2" xfId="36670" xr:uid="{00000000-0005-0000-0000-000053670000}"/>
    <cellStyle name="Normal 4 2 11 7" xfId="24365" xr:uid="{00000000-0005-0000-0000-000054670000}"/>
    <cellStyle name="Normal 4 2 12" xfId="3822" xr:uid="{00000000-0005-0000-0000-000055670000}"/>
    <cellStyle name="Normal 4 2 12 2" xfId="5064" xr:uid="{00000000-0005-0000-0000-000056670000}"/>
    <cellStyle name="Normal 4 2 12 2 2" xfId="6689" xr:uid="{00000000-0005-0000-0000-000057670000}"/>
    <cellStyle name="Normal 4 2 12 2 2 2" xfId="9775" xr:uid="{00000000-0005-0000-0000-000058670000}"/>
    <cellStyle name="Normal 4 2 12 2 2 2 2" xfId="15968" xr:uid="{00000000-0005-0000-0000-000059670000}"/>
    <cellStyle name="Normal 4 2 12 2 2 2 2 2" xfId="35888" xr:uid="{00000000-0005-0000-0000-00005A670000}"/>
    <cellStyle name="Normal 4 2 12 2 2 2 3" xfId="22120" xr:uid="{00000000-0005-0000-0000-00005B670000}"/>
    <cellStyle name="Normal 4 2 12 2 2 2 3 2" xfId="42040" xr:uid="{00000000-0005-0000-0000-00005C670000}"/>
    <cellStyle name="Normal 4 2 12 2 2 2 4" xfId="29735" xr:uid="{00000000-0005-0000-0000-00005D670000}"/>
    <cellStyle name="Normal 4 2 12 2 2 3" xfId="12902" xr:uid="{00000000-0005-0000-0000-00005E670000}"/>
    <cellStyle name="Normal 4 2 12 2 2 3 2" xfId="32822" xr:uid="{00000000-0005-0000-0000-00005F670000}"/>
    <cellStyle name="Normal 4 2 12 2 2 4" xfId="19054" xr:uid="{00000000-0005-0000-0000-000060670000}"/>
    <cellStyle name="Normal 4 2 12 2 2 4 2" xfId="38974" xr:uid="{00000000-0005-0000-0000-000061670000}"/>
    <cellStyle name="Normal 4 2 12 2 2 5" xfId="26669" xr:uid="{00000000-0005-0000-0000-000062670000}"/>
    <cellStyle name="Normal 4 2 12 2 3" xfId="8240" xr:uid="{00000000-0005-0000-0000-000063670000}"/>
    <cellStyle name="Normal 4 2 12 2 3 2" xfId="14434" xr:uid="{00000000-0005-0000-0000-000064670000}"/>
    <cellStyle name="Normal 4 2 12 2 3 2 2" xfId="34354" xr:uid="{00000000-0005-0000-0000-000065670000}"/>
    <cellStyle name="Normal 4 2 12 2 3 3" xfId="20586" xr:uid="{00000000-0005-0000-0000-000066670000}"/>
    <cellStyle name="Normal 4 2 12 2 3 3 2" xfId="40506" xr:uid="{00000000-0005-0000-0000-000067670000}"/>
    <cellStyle name="Normal 4 2 12 2 3 4" xfId="28201" xr:uid="{00000000-0005-0000-0000-000068670000}"/>
    <cellStyle name="Normal 4 2 12 2 4" xfId="11368" xr:uid="{00000000-0005-0000-0000-000069670000}"/>
    <cellStyle name="Normal 4 2 12 2 4 2" xfId="31288" xr:uid="{00000000-0005-0000-0000-00006A670000}"/>
    <cellStyle name="Normal 4 2 12 2 5" xfId="17520" xr:uid="{00000000-0005-0000-0000-00006B670000}"/>
    <cellStyle name="Normal 4 2 12 2 5 2" xfId="37440" xr:uid="{00000000-0005-0000-0000-00006C670000}"/>
    <cellStyle name="Normal 4 2 12 2 6" xfId="25135" xr:uid="{00000000-0005-0000-0000-00006D670000}"/>
    <cellStyle name="Normal 4 2 12 3" xfId="5906" xr:uid="{00000000-0005-0000-0000-00006E670000}"/>
    <cellStyle name="Normal 4 2 12 3 2" xfId="9006" xr:uid="{00000000-0005-0000-0000-00006F670000}"/>
    <cellStyle name="Normal 4 2 12 3 2 2" xfId="15199" xr:uid="{00000000-0005-0000-0000-000070670000}"/>
    <cellStyle name="Normal 4 2 12 3 2 2 2" xfId="35119" xr:uid="{00000000-0005-0000-0000-000071670000}"/>
    <cellStyle name="Normal 4 2 12 3 2 3" xfId="21351" xr:uid="{00000000-0005-0000-0000-000072670000}"/>
    <cellStyle name="Normal 4 2 12 3 2 3 2" xfId="41271" xr:uid="{00000000-0005-0000-0000-000073670000}"/>
    <cellStyle name="Normal 4 2 12 3 2 4" xfId="28966" xr:uid="{00000000-0005-0000-0000-000074670000}"/>
    <cellStyle name="Normal 4 2 12 3 3" xfId="12133" xr:uid="{00000000-0005-0000-0000-000075670000}"/>
    <cellStyle name="Normal 4 2 12 3 3 2" xfId="32053" xr:uid="{00000000-0005-0000-0000-000076670000}"/>
    <cellStyle name="Normal 4 2 12 3 4" xfId="18285" xr:uid="{00000000-0005-0000-0000-000077670000}"/>
    <cellStyle name="Normal 4 2 12 3 4 2" xfId="38205" xr:uid="{00000000-0005-0000-0000-000078670000}"/>
    <cellStyle name="Normal 4 2 12 3 5" xfId="25900" xr:uid="{00000000-0005-0000-0000-000079670000}"/>
    <cellStyle name="Normal 4 2 12 4" xfId="7471" xr:uid="{00000000-0005-0000-0000-00007A670000}"/>
    <cellStyle name="Normal 4 2 12 4 2" xfId="13665" xr:uid="{00000000-0005-0000-0000-00007B670000}"/>
    <cellStyle name="Normal 4 2 12 4 2 2" xfId="33585" xr:uid="{00000000-0005-0000-0000-00007C670000}"/>
    <cellStyle name="Normal 4 2 12 4 3" xfId="19817" xr:uid="{00000000-0005-0000-0000-00007D670000}"/>
    <cellStyle name="Normal 4 2 12 4 3 2" xfId="39737" xr:uid="{00000000-0005-0000-0000-00007E670000}"/>
    <cellStyle name="Normal 4 2 12 4 4" xfId="27432" xr:uid="{00000000-0005-0000-0000-00007F670000}"/>
    <cellStyle name="Normal 4 2 12 5" xfId="10599" xr:uid="{00000000-0005-0000-0000-000080670000}"/>
    <cellStyle name="Normal 4 2 12 5 2" xfId="30519" xr:uid="{00000000-0005-0000-0000-000081670000}"/>
    <cellStyle name="Normal 4 2 12 6" xfId="16751" xr:uid="{00000000-0005-0000-0000-000082670000}"/>
    <cellStyle name="Normal 4 2 12 6 2" xfId="36671" xr:uid="{00000000-0005-0000-0000-000083670000}"/>
    <cellStyle name="Normal 4 2 12 7" xfId="24366" xr:uid="{00000000-0005-0000-0000-000084670000}"/>
    <cellStyle name="Normal 4 2 13" xfId="3823" xr:uid="{00000000-0005-0000-0000-000085670000}"/>
    <cellStyle name="Normal 4 2 13 2" xfId="5065" xr:uid="{00000000-0005-0000-0000-000086670000}"/>
    <cellStyle name="Normal 4 2 13 2 2" xfId="6690" xr:uid="{00000000-0005-0000-0000-000087670000}"/>
    <cellStyle name="Normal 4 2 13 2 2 2" xfId="9776" xr:uid="{00000000-0005-0000-0000-000088670000}"/>
    <cellStyle name="Normal 4 2 13 2 2 2 2" xfId="15969" xr:uid="{00000000-0005-0000-0000-000089670000}"/>
    <cellStyle name="Normal 4 2 13 2 2 2 2 2" xfId="35889" xr:uid="{00000000-0005-0000-0000-00008A670000}"/>
    <cellStyle name="Normal 4 2 13 2 2 2 3" xfId="22121" xr:uid="{00000000-0005-0000-0000-00008B670000}"/>
    <cellStyle name="Normal 4 2 13 2 2 2 3 2" xfId="42041" xr:uid="{00000000-0005-0000-0000-00008C670000}"/>
    <cellStyle name="Normal 4 2 13 2 2 2 4" xfId="29736" xr:uid="{00000000-0005-0000-0000-00008D670000}"/>
    <cellStyle name="Normal 4 2 13 2 2 3" xfId="12903" xr:uid="{00000000-0005-0000-0000-00008E670000}"/>
    <cellStyle name="Normal 4 2 13 2 2 3 2" xfId="32823" xr:uid="{00000000-0005-0000-0000-00008F670000}"/>
    <cellStyle name="Normal 4 2 13 2 2 4" xfId="19055" xr:uid="{00000000-0005-0000-0000-000090670000}"/>
    <cellStyle name="Normal 4 2 13 2 2 4 2" xfId="38975" xr:uid="{00000000-0005-0000-0000-000091670000}"/>
    <cellStyle name="Normal 4 2 13 2 2 5" xfId="26670" xr:uid="{00000000-0005-0000-0000-000092670000}"/>
    <cellStyle name="Normal 4 2 13 2 3" xfId="8241" xr:uid="{00000000-0005-0000-0000-000093670000}"/>
    <cellStyle name="Normal 4 2 13 2 3 2" xfId="14435" xr:uid="{00000000-0005-0000-0000-000094670000}"/>
    <cellStyle name="Normal 4 2 13 2 3 2 2" xfId="34355" xr:uid="{00000000-0005-0000-0000-000095670000}"/>
    <cellStyle name="Normal 4 2 13 2 3 3" xfId="20587" xr:uid="{00000000-0005-0000-0000-000096670000}"/>
    <cellStyle name="Normal 4 2 13 2 3 3 2" xfId="40507" xr:uid="{00000000-0005-0000-0000-000097670000}"/>
    <cellStyle name="Normal 4 2 13 2 3 4" xfId="28202" xr:uid="{00000000-0005-0000-0000-000098670000}"/>
    <cellStyle name="Normal 4 2 13 2 4" xfId="11369" xr:uid="{00000000-0005-0000-0000-000099670000}"/>
    <cellStyle name="Normal 4 2 13 2 4 2" xfId="31289" xr:uid="{00000000-0005-0000-0000-00009A670000}"/>
    <cellStyle name="Normal 4 2 13 2 5" xfId="17521" xr:uid="{00000000-0005-0000-0000-00009B670000}"/>
    <cellStyle name="Normal 4 2 13 2 5 2" xfId="37441" xr:uid="{00000000-0005-0000-0000-00009C670000}"/>
    <cellStyle name="Normal 4 2 13 2 6" xfId="25136" xr:uid="{00000000-0005-0000-0000-00009D670000}"/>
    <cellStyle name="Normal 4 2 13 3" xfId="5907" xr:uid="{00000000-0005-0000-0000-00009E670000}"/>
    <cellStyle name="Normal 4 2 13 3 2" xfId="9007" xr:uid="{00000000-0005-0000-0000-00009F670000}"/>
    <cellStyle name="Normal 4 2 13 3 2 2" xfId="15200" xr:uid="{00000000-0005-0000-0000-0000A0670000}"/>
    <cellStyle name="Normal 4 2 13 3 2 2 2" xfId="35120" xr:uid="{00000000-0005-0000-0000-0000A1670000}"/>
    <cellStyle name="Normal 4 2 13 3 2 3" xfId="21352" xr:uid="{00000000-0005-0000-0000-0000A2670000}"/>
    <cellStyle name="Normal 4 2 13 3 2 3 2" xfId="41272" xr:uid="{00000000-0005-0000-0000-0000A3670000}"/>
    <cellStyle name="Normal 4 2 13 3 2 4" xfId="28967" xr:uid="{00000000-0005-0000-0000-0000A4670000}"/>
    <cellStyle name="Normal 4 2 13 3 3" xfId="12134" xr:uid="{00000000-0005-0000-0000-0000A5670000}"/>
    <cellStyle name="Normal 4 2 13 3 3 2" xfId="32054" xr:uid="{00000000-0005-0000-0000-0000A6670000}"/>
    <cellStyle name="Normal 4 2 13 3 4" xfId="18286" xr:uid="{00000000-0005-0000-0000-0000A7670000}"/>
    <cellStyle name="Normal 4 2 13 3 4 2" xfId="38206" xr:uid="{00000000-0005-0000-0000-0000A8670000}"/>
    <cellStyle name="Normal 4 2 13 3 5" xfId="25901" xr:uid="{00000000-0005-0000-0000-0000A9670000}"/>
    <cellStyle name="Normal 4 2 13 4" xfId="7472" xr:uid="{00000000-0005-0000-0000-0000AA670000}"/>
    <cellStyle name="Normal 4 2 13 4 2" xfId="13666" xr:uid="{00000000-0005-0000-0000-0000AB670000}"/>
    <cellStyle name="Normal 4 2 13 4 2 2" xfId="33586" xr:uid="{00000000-0005-0000-0000-0000AC670000}"/>
    <cellStyle name="Normal 4 2 13 4 3" xfId="19818" xr:uid="{00000000-0005-0000-0000-0000AD670000}"/>
    <cellStyle name="Normal 4 2 13 4 3 2" xfId="39738" xr:uid="{00000000-0005-0000-0000-0000AE670000}"/>
    <cellStyle name="Normal 4 2 13 4 4" xfId="27433" xr:uid="{00000000-0005-0000-0000-0000AF670000}"/>
    <cellStyle name="Normal 4 2 13 5" xfId="10600" xr:uid="{00000000-0005-0000-0000-0000B0670000}"/>
    <cellStyle name="Normal 4 2 13 5 2" xfId="30520" xr:uid="{00000000-0005-0000-0000-0000B1670000}"/>
    <cellStyle name="Normal 4 2 13 6" xfId="16752" xr:uid="{00000000-0005-0000-0000-0000B2670000}"/>
    <cellStyle name="Normal 4 2 13 6 2" xfId="36672" xr:uid="{00000000-0005-0000-0000-0000B3670000}"/>
    <cellStyle name="Normal 4 2 13 7" xfId="24367" xr:uid="{00000000-0005-0000-0000-0000B4670000}"/>
    <cellStyle name="Normal 4 2 14" xfId="3824" xr:uid="{00000000-0005-0000-0000-0000B5670000}"/>
    <cellStyle name="Normal 4 2 14 2" xfId="5066" xr:uid="{00000000-0005-0000-0000-0000B6670000}"/>
    <cellStyle name="Normal 4 2 14 2 2" xfId="6691" xr:uid="{00000000-0005-0000-0000-0000B7670000}"/>
    <cellStyle name="Normal 4 2 14 2 2 2" xfId="9777" xr:uid="{00000000-0005-0000-0000-0000B8670000}"/>
    <cellStyle name="Normal 4 2 14 2 2 2 2" xfId="15970" xr:uid="{00000000-0005-0000-0000-0000B9670000}"/>
    <cellStyle name="Normal 4 2 14 2 2 2 2 2" xfId="35890" xr:uid="{00000000-0005-0000-0000-0000BA670000}"/>
    <cellStyle name="Normal 4 2 14 2 2 2 3" xfId="22122" xr:uid="{00000000-0005-0000-0000-0000BB670000}"/>
    <cellStyle name="Normal 4 2 14 2 2 2 3 2" xfId="42042" xr:uid="{00000000-0005-0000-0000-0000BC670000}"/>
    <cellStyle name="Normal 4 2 14 2 2 2 4" xfId="29737" xr:uid="{00000000-0005-0000-0000-0000BD670000}"/>
    <cellStyle name="Normal 4 2 14 2 2 3" xfId="12904" xr:uid="{00000000-0005-0000-0000-0000BE670000}"/>
    <cellStyle name="Normal 4 2 14 2 2 3 2" xfId="32824" xr:uid="{00000000-0005-0000-0000-0000BF670000}"/>
    <cellStyle name="Normal 4 2 14 2 2 4" xfId="19056" xr:uid="{00000000-0005-0000-0000-0000C0670000}"/>
    <cellStyle name="Normal 4 2 14 2 2 4 2" xfId="38976" xr:uid="{00000000-0005-0000-0000-0000C1670000}"/>
    <cellStyle name="Normal 4 2 14 2 2 5" xfId="26671" xr:uid="{00000000-0005-0000-0000-0000C2670000}"/>
    <cellStyle name="Normal 4 2 14 2 3" xfId="8242" xr:uid="{00000000-0005-0000-0000-0000C3670000}"/>
    <cellStyle name="Normal 4 2 14 2 3 2" xfId="14436" xr:uid="{00000000-0005-0000-0000-0000C4670000}"/>
    <cellStyle name="Normal 4 2 14 2 3 2 2" xfId="34356" xr:uid="{00000000-0005-0000-0000-0000C5670000}"/>
    <cellStyle name="Normal 4 2 14 2 3 3" xfId="20588" xr:uid="{00000000-0005-0000-0000-0000C6670000}"/>
    <cellStyle name="Normal 4 2 14 2 3 3 2" xfId="40508" xr:uid="{00000000-0005-0000-0000-0000C7670000}"/>
    <cellStyle name="Normal 4 2 14 2 3 4" xfId="28203" xr:uid="{00000000-0005-0000-0000-0000C8670000}"/>
    <cellStyle name="Normal 4 2 14 2 4" xfId="11370" xr:uid="{00000000-0005-0000-0000-0000C9670000}"/>
    <cellStyle name="Normal 4 2 14 2 4 2" xfId="31290" xr:uid="{00000000-0005-0000-0000-0000CA670000}"/>
    <cellStyle name="Normal 4 2 14 2 5" xfId="17522" xr:uid="{00000000-0005-0000-0000-0000CB670000}"/>
    <cellStyle name="Normal 4 2 14 2 5 2" xfId="37442" xr:uid="{00000000-0005-0000-0000-0000CC670000}"/>
    <cellStyle name="Normal 4 2 14 2 6" xfId="25137" xr:uid="{00000000-0005-0000-0000-0000CD670000}"/>
    <cellStyle name="Normal 4 2 14 3" xfId="5908" xr:uid="{00000000-0005-0000-0000-0000CE670000}"/>
    <cellStyle name="Normal 4 2 14 3 2" xfId="9008" xr:uid="{00000000-0005-0000-0000-0000CF670000}"/>
    <cellStyle name="Normal 4 2 14 3 2 2" xfId="15201" xr:uid="{00000000-0005-0000-0000-0000D0670000}"/>
    <cellStyle name="Normal 4 2 14 3 2 2 2" xfId="35121" xr:uid="{00000000-0005-0000-0000-0000D1670000}"/>
    <cellStyle name="Normal 4 2 14 3 2 3" xfId="21353" xr:uid="{00000000-0005-0000-0000-0000D2670000}"/>
    <cellStyle name="Normal 4 2 14 3 2 3 2" xfId="41273" xr:uid="{00000000-0005-0000-0000-0000D3670000}"/>
    <cellStyle name="Normal 4 2 14 3 2 4" xfId="28968" xr:uid="{00000000-0005-0000-0000-0000D4670000}"/>
    <cellStyle name="Normal 4 2 14 3 3" xfId="12135" xr:uid="{00000000-0005-0000-0000-0000D5670000}"/>
    <cellStyle name="Normal 4 2 14 3 3 2" xfId="32055" xr:uid="{00000000-0005-0000-0000-0000D6670000}"/>
    <cellStyle name="Normal 4 2 14 3 4" xfId="18287" xr:uid="{00000000-0005-0000-0000-0000D7670000}"/>
    <cellStyle name="Normal 4 2 14 3 4 2" xfId="38207" xr:uid="{00000000-0005-0000-0000-0000D8670000}"/>
    <cellStyle name="Normal 4 2 14 3 5" xfId="25902" xr:uid="{00000000-0005-0000-0000-0000D9670000}"/>
    <cellStyle name="Normal 4 2 14 4" xfId="7473" xr:uid="{00000000-0005-0000-0000-0000DA670000}"/>
    <cellStyle name="Normal 4 2 14 4 2" xfId="13667" xr:uid="{00000000-0005-0000-0000-0000DB670000}"/>
    <cellStyle name="Normal 4 2 14 4 2 2" xfId="33587" xr:uid="{00000000-0005-0000-0000-0000DC670000}"/>
    <cellStyle name="Normal 4 2 14 4 3" xfId="19819" xr:uid="{00000000-0005-0000-0000-0000DD670000}"/>
    <cellStyle name="Normal 4 2 14 4 3 2" xfId="39739" xr:uid="{00000000-0005-0000-0000-0000DE670000}"/>
    <cellStyle name="Normal 4 2 14 4 4" xfId="27434" xr:uid="{00000000-0005-0000-0000-0000DF670000}"/>
    <cellStyle name="Normal 4 2 14 5" xfId="10601" xr:uid="{00000000-0005-0000-0000-0000E0670000}"/>
    <cellStyle name="Normal 4 2 14 5 2" xfId="30521" xr:uid="{00000000-0005-0000-0000-0000E1670000}"/>
    <cellStyle name="Normal 4 2 14 6" xfId="16753" xr:uid="{00000000-0005-0000-0000-0000E2670000}"/>
    <cellStyle name="Normal 4 2 14 6 2" xfId="36673" xr:uid="{00000000-0005-0000-0000-0000E3670000}"/>
    <cellStyle name="Normal 4 2 14 7" xfId="24368" xr:uid="{00000000-0005-0000-0000-0000E4670000}"/>
    <cellStyle name="Normal 4 2 15" xfId="3825" xr:uid="{00000000-0005-0000-0000-0000E5670000}"/>
    <cellStyle name="Normal 4 2 15 2" xfId="5067" xr:uid="{00000000-0005-0000-0000-0000E6670000}"/>
    <cellStyle name="Normal 4 2 15 2 2" xfId="6692" xr:uid="{00000000-0005-0000-0000-0000E7670000}"/>
    <cellStyle name="Normal 4 2 15 2 2 2" xfId="9778" xr:uid="{00000000-0005-0000-0000-0000E8670000}"/>
    <cellStyle name="Normal 4 2 15 2 2 2 2" xfId="15971" xr:uid="{00000000-0005-0000-0000-0000E9670000}"/>
    <cellStyle name="Normal 4 2 15 2 2 2 2 2" xfId="35891" xr:uid="{00000000-0005-0000-0000-0000EA670000}"/>
    <cellStyle name="Normal 4 2 15 2 2 2 3" xfId="22123" xr:uid="{00000000-0005-0000-0000-0000EB670000}"/>
    <cellStyle name="Normal 4 2 15 2 2 2 3 2" xfId="42043" xr:uid="{00000000-0005-0000-0000-0000EC670000}"/>
    <cellStyle name="Normal 4 2 15 2 2 2 4" xfId="29738" xr:uid="{00000000-0005-0000-0000-0000ED670000}"/>
    <cellStyle name="Normal 4 2 15 2 2 3" xfId="12905" xr:uid="{00000000-0005-0000-0000-0000EE670000}"/>
    <cellStyle name="Normal 4 2 15 2 2 3 2" xfId="32825" xr:uid="{00000000-0005-0000-0000-0000EF670000}"/>
    <cellStyle name="Normal 4 2 15 2 2 4" xfId="19057" xr:uid="{00000000-0005-0000-0000-0000F0670000}"/>
    <cellStyle name="Normal 4 2 15 2 2 4 2" xfId="38977" xr:uid="{00000000-0005-0000-0000-0000F1670000}"/>
    <cellStyle name="Normal 4 2 15 2 2 5" xfId="26672" xr:uid="{00000000-0005-0000-0000-0000F2670000}"/>
    <cellStyle name="Normal 4 2 15 2 3" xfId="8243" xr:uid="{00000000-0005-0000-0000-0000F3670000}"/>
    <cellStyle name="Normal 4 2 15 2 3 2" xfId="14437" xr:uid="{00000000-0005-0000-0000-0000F4670000}"/>
    <cellStyle name="Normal 4 2 15 2 3 2 2" xfId="34357" xr:uid="{00000000-0005-0000-0000-0000F5670000}"/>
    <cellStyle name="Normal 4 2 15 2 3 3" xfId="20589" xr:uid="{00000000-0005-0000-0000-0000F6670000}"/>
    <cellStyle name="Normal 4 2 15 2 3 3 2" xfId="40509" xr:uid="{00000000-0005-0000-0000-0000F7670000}"/>
    <cellStyle name="Normal 4 2 15 2 3 4" xfId="28204" xr:uid="{00000000-0005-0000-0000-0000F8670000}"/>
    <cellStyle name="Normal 4 2 15 2 4" xfId="11371" xr:uid="{00000000-0005-0000-0000-0000F9670000}"/>
    <cellStyle name="Normal 4 2 15 2 4 2" xfId="31291" xr:uid="{00000000-0005-0000-0000-0000FA670000}"/>
    <cellStyle name="Normal 4 2 15 2 5" xfId="17523" xr:uid="{00000000-0005-0000-0000-0000FB670000}"/>
    <cellStyle name="Normal 4 2 15 2 5 2" xfId="37443" xr:uid="{00000000-0005-0000-0000-0000FC670000}"/>
    <cellStyle name="Normal 4 2 15 2 6" xfId="25138" xr:uid="{00000000-0005-0000-0000-0000FD670000}"/>
    <cellStyle name="Normal 4 2 15 3" xfId="5909" xr:uid="{00000000-0005-0000-0000-0000FE670000}"/>
    <cellStyle name="Normal 4 2 15 3 2" xfId="9009" xr:uid="{00000000-0005-0000-0000-0000FF670000}"/>
    <cellStyle name="Normal 4 2 15 3 2 2" xfId="15202" xr:uid="{00000000-0005-0000-0000-000000680000}"/>
    <cellStyle name="Normal 4 2 15 3 2 2 2" xfId="35122" xr:uid="{00000000-0005-0000-0000-000001680000}"/>
    <cellStyle name="Normal 4 2 15 3 2 3" xfId="21354" xr:uid="{00000000-0005-0000-0000-000002680000}"/>
    <cellStyle name="Normal 4 2 15 3 2 3 2" xfId="41274" xr:uid="{00000000-0005-0000-0000-000003680000}"/>
    <cellStyle name="Normal 4 2 15 3 2 4" xfId="28969" xr:uid="{00000000-0005-0000-0000-000004680000}"/>
    <cellStyle name="Normal 4 2 15 3 3" xfId="12136" xr:uid="{00000000-0005-0000-0000-000005680000}"/>
    <cellStyle name="Normal 4 2 15 3 3 2" xfId="32056" xr:uid="{00000000-0005-0000-0000-000006680000}"/>
    <cellStyle name="Normal 4 2 15 3 4" xfId="18288" xr:uid="{00000000-0005-0000-0000-000007680000}"/>
    <cellStyle name="Normal 4 2 15 3 4 2" xfId="38208" xr:uid="{00000000-0005-0000-0000-000008680000}"/>
    <cellStyle name="Normal 4 2 15 3 5" xfId="25903" xr:uid="{00000000-0005-0000-0000-000009680000}"/>
    <cellStyle name="Normal 4 2 15 4" xfId="7474" xr:uid="{00000000-0005-0000-0000-00000A680000}"/>
    <cellStyle name="Normal 4 2 15 4 2" xfId="13668" xr:uid="{00000000-0005-0000-0000-00000B680000}"/>
    <cellStyle name="Normal 4 2 15 4 2 2" xfId="33588" xr:uid="{00000000-0005-0000-0000-00000C680000}"/>
    <cellStyle name="Normal 4 2 15 4 3" xfId="19820" xr:uid="{00000000-0005-0000-0000-00000D680000}"/>
    <cellStyle name="Normal 4 2 15 4 3 2" xfId="39740" xr:uid="{00000000-0005-0000-0000-00000E680000}"/>
    <cellStyle name="Normal 4 2 15 4 4" xfId="27435" xr:uid="{00000000-0005-0000-0000-00000F680000}"/>
    <cellStyle name="Normal 4 2 15 5" xfId="10602" xr:uid="{00000000-0005-0000-0000-000010680000}"/>
    <cellStyle name="Normal 4 2 15 5 2" xfId="30522" xr:uid="{00000000-0005-0000-0000-000011680000}"/>
    <cellStyle name="Normal 4 2 15 6" xfId="16754" xr:uid="{00000000-0005-0000-0000-000012680000}"/>
    <cellStyle name="Normal 4 2 15 6 2" xfId="36674" xr:uid="{00000000-0005-0000-0000-000013680000}"/>
    <cellStyle name="Normal 4 2 15 7" xfId="24369" xr:uid="{00000000-0005-0000-0000-000014680000}"/>
    <cellStyle name="Normal 4 2 16" xfId="3826" xr:uid="{00000000-0005-0000-0000-000015680000}"/>
    <cellStyle name="Normal 4 2 16 2" xfId="5068" xr:uid="{00000000-0005-0000-0000-000016680000}"/>
    <cellStyle name="Normal 4 2 16 2 2" xfId="6693" xr:uid="{00000000-0005-0000-0000-000017680000}"/>
    <cellStyle name="Normal 4 2 16 2 2 2" xfId="9779" xr:uid="{00000000-0005-0000-0000-000018680000}"/>
    <cellStyle name="Normal 4 2 16 2 2 2 2" xfId="15972" xr:uid="{00000000-0005-0000-0000-000019680000}"/>
    <cellStyle name="Normal 4 2 16 2 2 2 2 2" xfId="35892" xr:uid="{00000000-0005-0000-0000-00001A680000}"/>
    <cellStyle name="Normal 4 2 16 2 2 2 3" xfId="22124" xr:uid="{00000000-0005-0000-0000-00001B680000}"/>
    <cellStyle name="Normal 4 2 16 2 2 2 3 2" xfId="42044" xr:uid="{00000000-0005-0000-0000-00001C680000}"/>
    <cellStyle name="Normal 4 2 16 2 2 2 4" xfId="29739" xr:uid="{00000000-0005-0000-0000-00001D680000}"/>
    <cellStyle name="Normal 4 2 16 2 2 3" xfId="12906" xr:uid="{00000000-0005-0000-0000-00001E680000}"/>
    <cellStyle name="Normal 4 2 16 2 2 3 2" xfId="32826" xr:uid="{00000000-0005-0000-0000-00001F680000}"/>
    <cellStyle name="Normal 4 2 16 2 2 4" xfId="19058" xr:uid="{00000000-0005-0000-0000-000020680000}"/>
    <cellStyle name="Normal 4 2 16 2 2 4 2" xfId="38978" xr:uid="{00000000-0005-0000-0000-000021680000}"/>
    <cellStyle name="Normal 4 2 16 2 2 5" xfId="26673" xr:uid="{00000000-0005-0000-0000-000022680000}"/>
    <cellStyle name="Normal 4 2 16 2 3" xfId="8244" xr:uid="{00000000-0005-0000-0000-000023680000}"/>
    <cellStyle name="Normal 4 2 16 2 3 2" xfId="14438" xr:uid="{00000000-0005-0000-0000-000024680000}"/>
    <cellStyle name="Normal 4 2 16 2 3 2 2" xfId="34358" xr:uid="{00000000-0005-0000-0000-000025680000}"/>
    <cellStyle name="Normal 4 2 16 2 3 3" xfId="20590" xr:uid="{00000000-0005-0000-0000-000026680000}"/>
    <cellStyle name="Normal 4 2 16 2 3 3 2" xfId="40510" xr:uid="{00000000-0005-0000-0000-000027680000}"/>
    <cellStyle name="Normal 4 2 16 2 3 4" xfId="28205" xr:uid="{00000000-0005-0000-0000-000028680000}"/>
    <cellStyle name="Normal 4 2 16 2 4" xfId="11372" xr:uid="{00000000-0005-0000-0000-000029680000}"/>
    <cellStyle name="Normal 4 2 16 2 4 2" xfId="31292" xr:uid="{00000000-0005-0000-0000-00002A680000}"/>
    <cellStyle name="Normal 4 2 16 2 5" xfId="17524" xr:uid="{00000000-0005-0000-0000-00002B680000}"/>
    <cellStyle name="Normal 4 2 16 2 5 2" xfId="37444" xr:uid="{00000000-0005-0000-0000-00002C680000}"/>
    <cellStyle name="Normal 4 2 16 2 6" xfId="25139" xr:uid="{00000000-0005-0000-0000-00002D680000}"/>
    <cellStyle name="Normal 4 2 16 3" xfId="5910" xr:uid="{00000000-0005-0000-0000-00002E680000}"/>
    <cellStyle name="Normal 4 2 16 3 2" xfId="9010" xr:uid="{00000000-0005-0000-0000-00002F680000}"/>
    <cellStyle name="Normal 4 2 16 3 2 2" xfId="15203" xr:uid="{00000000-0005-0000-0000-000030680000}"/>
    <cellStyle name="Normal 4 2 16 3 2 2 2" xfId="35123" xr:uid="{00000000-0005-0000-0000-000031680000}"/>
    <cellStyle name="Normal 4 2 16 3 2 3" xfId="21355" xr:uid="{00000000-0005-0000-0000-000032680000}"/>
    <cellStyle name="Normal 4 2 16 3 2 3 2" xfId="41275" xr:uid="{00000000-0005-0000-0000-000033680000}"/>
    <cellStyle name="Normal 4 2 16 3 2 4" xfId="28970" xr:uid="{00000000-0005-0000-0000-000034680000}"/>
    <cellStyle name="Normal 4 2 16 3 3" xfId="12137" xr:uid="{00000000-0005-0000-0000-000035680000}"/>
    <cellStyle name="Normal 4 2 16 3 3 2" xfId="32057" xr:uid="{00000000-0005-0000-0000-000036680000}"/>
    <cellStyle name="Normal 4 2 16 3 4" xfId="18289" xr:uid="{00000000-0005-0000-0000-000037680000}"/>
    <cellStyle name="Normal 4 2 16 3 4 2" xfId="38209" xr:uid="{00000000-0005-0000-0000-000038680000}"/>
    <cellStyle name="Normal 4 2 16 3 5" xfId="25904" xr:uid="{00000000-0005-0000-0000-000039680000}"/>
    <cellStyle name="Normal 4 2 16 4" xfId="7475" xr:uid="{00000000-0005-0000-0000-00003A680000}"/>
    <cellStyle name="Normal 4 2 16 4 2" xfId="13669" xr:uid="{00000000-0005-0000-0000-00003B680000}"/>
    <cellStyle name="Normal 4 2 16 4 2 2" xfId="33589" xr:uid="{00000000-0005-0000-0000-00003C680000}"/>
    <cellStyle name="Normal 4 2 16 4 3" xfId="19821" xr:uid="{00000000-0005-0000-0000-00003D680000}"/>
    <cellStyle name="Normal 4 2 16 4 3 2" xfId="39741" xr:uid="{00000000-0005-0000-0000-00003E680000}"/>
    <cellStyle name="Normal 4 2 16 4 4" xfId="27436" xr:uid="{00000000-0005-0000-0000-00003F680000}"/>
    <cellStyle name="Normal 4 2 16 5" xfId="10603" xr:uid="{00000000-0005-0000-0000-000040680000}"/>
    <cellStyle name="Normal 4 2 16 5 2" xfId="30523" xr:uid="{00000000-0005-0000-0000-000041680000}"/>
    <cellStyle name="Normal 4 2 16 6" xfId="16755" xr:uid="{00000000-0005-0000-0000-000042680000}"/>
    <cellStyle name="Normal 4 2 16 6 2" xfId="36675" xr:uid="{00000000-0005-0000-0000-000043680000}"/>
    <cellStyle name="Normal 4 2 16 7" xfId="24370" xr:uid="{00000000-0005-0000-0000-000044680000}"/>
    <cellStyle name="Normal 4 2 17" xfId="3827" xr:uid="{00000000-0005-0000-0000-000045680000}"/>
    <cellStyle name="Normal 4 2 17 2" xfId="5069" xr:uid="{00000000-0005-0000-0000-000046680000}"/>
    <cellStyle name="Normal 4 2 17 2 2" xfId="6694" xr:uid="{00000000-0005-0000-0000-000047680000}"/>
    <cellStyle name="Normal 4 2 17 2 2 2" xfId="9780" xr:uid="{00000000-0005-0000-0000-000048680000}"/>
    <cellStyle name="Normal 4 2 17 2 2 2 2" xfId="15973" xr:uid="{00000000-0005-0000-0000-000049680000}"/>
    <cellStyle name="Normal 4 2 17 2 2 2 2 2" xfId="35893" xr:uid="{00000000-0005-0000-0000-00004A680000}"/>
    <cellStyle name="Normal 4 2 17 2 2 2 3" xfId="22125" xr:uid="{00000000-0005-0000-0000-00004B680000}"/>
    <cellStyle name="Normal 4 2 17 2 2 2 3 2" xfId="42045" xr:uid="{00000000-0005-0000-0000-00004C680000}"/>
    <cellStyle name="Normal 4 2 17 2 2 2 4" xfId="29740" xr:uid="{00000000-0005-0000-0000-00004D680000}"/>
    <cellStyle name="Normal 4 2 17 2 2 3" xfId="12907" xr:uid="{00000000-0005-0000-0000-00004E680000}"/>
    <cellStyle name="Normal 4 2 17 2 2 3 2" xfId="32827" xr:uid="{00000000-0005-0000-0000-00004F680000}"/>
    <cellStyle name="Normal 4 2 17 2 2 4" xfId="19059" xr:uid="{00000000-0005-0000-0000-000050680000}"/>
    <cellStyle name="Normal 4 2 17 2 2 4 2" xfId="38979" xr:uid="{00000000-0005-0000-0000-000051680000}"/>
    <cellStyle name="Normal 4 2 17 2 2 5" xfId="26674" xr:uid="{00000000-0005-0000-0000-000052680000}"/>
    <cellStyle name="Normal 4 2 17 2 3" xfId="8245" xr:uid="{00000000-0005-0000-0000-000053680000}"/>
    <cellStyle name="Normal 4 2 17 2 3 2" xfId="14439" xr:uid="{00000000-0005-0000-0000-000054680000}"/>
    <cellStyle name="Normal 4 2 17 2 3 2 2" xfId="34359" xr:uid="{00000000-0005-0000-0000-000055680000}"/>
    <cellStyle name="Normal 4 2 17 2 3 3" xfId="20591" xr:uid="{00000000-0005-0000-0000-000056680000}"/>
    <cellStyle name="Normal 4 2 17 2 3 3 2" xfId="40511" xr:uid="{00000000-0005-0000-0000-000057680000}"/>
    <cellStyle name="Normal 4 2 17 2 3 4" xfId="28206" xr:uid="{00000000-0005-0000-0000-000058680000}"/>
    <cellStyle name="Normal 4 2 17 2 4" xfId="11373" xr:uid="{00000000-0005-0000-0000-000059680000}"/>
    <cellStyle name="Normal 4 2 17 2 4 2" xfId="31293" xr:uid="{00000000-0005-0000-0000-00005A680000}"/>
    <cellStyle name="Normal 4 2 17 2 5" xfId="17525" xr:uid="{00000000-0005-0000-0000-00005B680000}"/>
    <cellStyle name="Normal 4 2 17 2 5 2" xfId="37445" xr:uid="{00000000-0005-0000-0000-00005C680000}"/>
    <cellStyle name="Normal 4 2 17 2 6" xfId="25140" xr:uid="{00000000-0005-0000-0000-00005D680000}"/>
    <cellStyle name="Normal 4 2 17 3" xfId="5911" xr:uid="{00000000-0005-0000-0000-00005E680000}"/>
    <cellStyle name="Normal 4 2 17 3 2" xfId="9011" xr:uid="{00000000-0005-0000-0000-00005F680000}"/>
    <cellStyle name="Normal 4 2 17 3 2 2" xfId="15204" xr:uid="{00000000-0005-0000-0000-000060680000}"/>
    <cellStyle name="Normal 4 2 17 3 2 2 2" xfId="35124" xr:uid="{00000000-0005-0000-0000-000061680000}"/>
    <cellStyle name="Normal 4 2 17 3 2 3" xfId="21356" xr:uid="{00000000-0005-0000-0000-000062680000}"/>
    <cellStyle name="Normal 4 2 17 3 2 3 2" xfId="41276" xr:uid="{00000000-0005-0000-0000-000063680000}"/>
    <cellStyle name="Normal 4 2 17 3 2 4" xfId="28971" xr:uid="{00000000-0005-0000-0000-000064680000}"/>
    <cellStyle name="Normal 4 2 17 3 3" xfId="12138" xr:uid="{00000000-0005-0000-0000-000065680000}"/>
    <cellStyle name="Normal 4 2 17 3 3 2" xfId="32058" xr:uid="{00000000-0005-0000-0000-000066680000}"/>
    <cellStyle name="Normal 4 2 17 3 4" xfId="18290" xr:uid="{00000000-0005-0000-0000-000067680000}"/>
    <cellStyle name="Normal 4 2 17 3 4 2" xfId="38210" xr:uid="{00000000-0005-0000-0000-000068680000}"/>
    <cellStyle name="Normal 4 2 17 3 5" xfId="25905" xr:uid="{00000000-0005-0000-0000-000069680000}"/>
    <cellStyle name="Normal 4 2 17 4" xfId="7476" xr:uid="{00000000-0005-0000-0000-00006A680000}"/>
    <cellStyle name="Normal 4 2 17 4 2" xfId="13670" xr:uid="{00000000-0005-0000-0000-00006B680000}"/>
    <cellStyle name="Normal 4 2 17 4 2 2" xfId="33590" xr:uid="{00000000-0005-0000-0000-00006C680000}"/>
    <cellStyle name="Normal 4 2 17 4 3" xfId="19822" xr:uid="{00000000-0005-0000-0000-00006D680000}"/>
    <cellStyle name="Normal 4 2 17 4 3 2" xfId="39742" xr:uid="{00000000-0005-0000-0000-00006E680000}"/>
    <cellStyle name="Normal 4 2 17 4 4" xfId="27437" xr:uid="{00000000-0005-0000-0000-00006F680000}"/>
    <cellStyle name="Normal 4 2 17 5" xfId="10604" xr:uid="{00000000-0005-0000-0000-000070680000}"/>
    <cellStyle name="Normal 4 2 17 5 2" xfId="30524" xr:uid="{00000000-0005-0000-0000-000071680000}"/>
    <cellStyle name="Normal 4 2 17 6" xfId="16756" xr:uid="{00000000-0005-0000-0000-000072680000}"/>
    <cellStyle name="Normal 4 2 17 6 2" xfId="36676" xr:uid="{00000000-0005-0000-0000-000073680000}"/>
    <cellStyle name="Normal 4 2 17 7" xfId="24371" xr:uid="{00000000-0005-0000-0000-000074680000}"/>
    <cellStyle name="Normal 4 2 18" xfId="3828" xr:uid="{00000000-0005-0000-0000-000075680000}"/>
    <cellStyle name="Normal 4 2 18 2" xfId="5070" xr:uid="{00000000-0005-0000-0000-000076680000}"/>
    <cellStyle name="Normal 4 2 18 2 2" xfId="6695" xr:uid="{00000000-0005-0000-0000-000077680000}"/>
    <cellStyle name="Normal 4 2 18 2 2 2" xfId="9781" xr:uid="{00000000-0005-0000-0000-000078680000}"/>
    <cellStyle name="Normal 4 2 18 2 2 2 2" xfId="15974" xr:uid="{00000000-0005-0000-0000-000079680000}"/>
    <cellStyle name="Normal 4 2 18 2 2 2 2 2" xfId="35894" xr:uid="{00000000-0005-0000-0000-00007A680000}"/>
    <cellStyle name="Normal 4 2 18 2 2 2 3" xfId="22126" xr:uid="{00000000-0005-0000-0000-00007B680000}"/>
    <cellStyle name="Normal 4 2 18 2 2 2 3 2" xfId="42046" xr:uid="{00000000-0005-0000-0000-00007C680000}"/>
    <cellStyle name="Normal 4 2 18 2 2 2 4" xfId="29741" xr:uid="{00000000-0005-0000-0000-00007D680000}"/>
    <cellStyle name="Normal 4 2 18 2 2 3" xfId="12908" xr:uid="{00000000-0005-0000-0000-00007E680000}"/>
    <cellStyle name="Normal 4 2 18 2 2 3 2" xfId="32828" xr:uid="{00000000-0005-0000-0000-00007F680000}"/>
    <cellStyle name="Normal 4 2 18 2 2 4" xfId="19060" xr:uid="{00000000-0005-0000-0000-000080680000}"/>
    <cellStyle name="Normal 4 2 18 2 2 4 2" xfId="38980" xr:uid="{00000000-0005-0000-0000-000081680000}"/>
    <cellStyle name="Normal 4 2 18 2 2 5" xfId="26675" xr:uid="{00000000-0005-0000-0000-000082680000}"/>
    <cellStyle name="Normal 4 2 18 2 3" xfId="8246" xr:uid="{00000000-0005-0000-0000-000083680000}"/>
    <cellStyle name="Normal 4 2 18 2 3 2" xfId="14440" xr:uid="{00000000-0005-0000-0000-000084680000}"/>
    <cellStyle name="Normal 4 2 18 2 3 2 2" xfId="34360" xr:uid="{00000000-0005-0000-0000-000085680000}"/>
    <cellStyle name="Normal 4 2 18 2 3 3" xfId="20592" xr:uid="{00000000-0005-0000-0000-000086680000}"/>
    <cellStyle name="Normal 4 2 18 2 3 3 2" xfId="40512" xr:uid="{00000000-0005-0000-0000-000087680000}"/>
    <cellStyle name="Normal 4 2 18 2 3 4" xfId="28207" xr:uid="{00000000-0005-0000-0000-000088680000}"/>
    <cellStyle name="Normal 4 2 18 2 4" xfId="11374" xr:uid="{00000000-0005-0000-0000-000089680000}"/>
    <cellStyle name="Normal 4 2 18 2 4 2" xfId="31294" xr:uid="{00000000-0005-0000-0000-00008A680000}"/>
    <cellStyle name="Normal 4 2 18 2 5" xfId="17526" xr:uid="{00000000-0005-0000-0000-00008B680000}"/>
    <cellStyle name="Normal 4 2 18 2 5 2" xfId="37446" xr:uid="{00000000-0005-0000-0000-00008C680000}"/>
    <cellStyle name="Normal 4 2 18 2 6" xfId="25141" xr:uid="{00000000-0005-0000-0000-00008D680000}"/>
    <cellStyle name="Normal 4 2 18 3" xfId="5912" xr:uid="{00000000-0005-0000-0000-00008E680000}"/>
    <cellStyle name="Normal 4 2 18 3 2" xfId="9012" xr:uid="{00000000-0005-0000-0000-00008F680000}"/>
    <cellStyle name="Normal 4 2 18 3 2 2" xfId="15205" xr:uid="{00000000-0005-0000-0000-000090680000}"/>
    <cellStyle name="Normal 4 2 18 3 2 2 2" xfId="35125" xr:uid="{00000000-0005-0000-0000-000091680000}"/>
    <cellStyle name="Normal 4 2 18 3 2 3" xfId="21357" xr:uid="{00000000-0005-0000-0000-000092680000}"/>
    <cellStyle name="Normal 4 2 18 3 2 3 2" xfId="41277" xr:uid="{00000000-0005-0000-0000-000093680000}"/>
    <cellStyle name="Normal 4 2 18 3 2 4" xfId="28972" xr:uid="{00000000-0005-0000-0000-000094680000}"/>
    <cellStyle name="Normal 4 2 18 3 3" xfId="12139" xr:uid="{00000000-0005-0000-0000-000095680000}"/>
    <cellStyle name="Normal 4 2 18 3 3 2" xfId="32059" xr:uid="{00000000-0005-0000-0000-000096680000}"/>
    <cellStyle name="Normal 4 2 18 3 4" xfId="18291" xr:uid="{00000000-0005-0000-0000-000097680000}"/>
    <cellStyle name="Normal 4 2 18 3 4 2" xfId="38211" xr:uid="{00000000-0005-0000-0000-000098680000}"/>
    <cellStyle name="Normal 4 2 18 3 5" xfId="25906" xr:uid="{00000000-0005-0000-0000-000099680000}"/>
    <cellStyle name="Normal 4 2 18 4" xfId="7477" xr:uid="{00000000-0005-0000-0000-00009A680000}"/>
    <cellStyle name="Normal 4 2 18 4 2" xfId="13671" xr:uid="{00000000-0005-0000-0000-00009B680000}"/>
    <cellStyle name="Normal 4 2 18 4 2 2" xfId="33591" xr:uid="{00000000-0005-0000-0000-00009C680000}"/>
    <cellStyle name="Normal 4 2 18 4 3" xfId="19823" xr:uid="{00000000-0005-0000-0000-00009D680000}"/>
    <cellStyle name="Normal 4 2 18 4 3 2" xfId="39743" xr:uid="{00000000-0005-0000-0000-00009E680000}"/>
    <cellStyle name="Normal 4 2 18 4 4" xfId="27438" xr:uid="{00000000-0005-0000-0000-00009F680000}"/>
    <cellStyle name="Normal 4 2 18 5" xfId="10605" xr:uid="{00000000-0005-0000-0000-0000A0680000}"/>
    <cellStyle name="Normal 4 2 18 5 2" xfId="30525" xr:uid="{00000000-0005-0000-0000-0000A1680000}"/>
    <cellStyle name="Normal 4 2 18 6" xfId="16757" xr:uid="{00000000-0005-0000-0000-0000A2680000}"/>
    <cellStyle name="Normal 4 2 18 6 2" xfId="36677" xr:uid="{00000000-0005-0000-0000-0000A3680000}"/>
    <cellStyle name="Normal 4 2 18 7" xfId="24372" xr:uid="{00000000-0005-0000-0000-0000A4680000}"/>
    <cellStyle name="Normal 4 2 19" xfId="3829" xr:uid="{00000000-0005-0000-0000-0000A5680000}"/>
    <cellStyle name="Normal 4 2 19 2" xfId="5071" xr:uid="{00000000-0005-0000-0000-0000A6680000}"/>
    <cellStyle name="Normal 4 2 19 2 2" xfId="6696" xr:uid="{00000000-0005-0000-0000-0000A7680000}"/>
    <cellStyle name="Normal 4 2 19 2 2 2" xfId="9782" xr:uid="{00000000-0005-0000-0000-0000A8680000}"/>
    <cellStyle name="Normal 4 2 19 2 2 2 2" xfId="15975" xr:uid="{00000000-0005-0000-0000-0000A9680000}"/>
    <cellStyle name="Normal 4 2 19 2 2 2 2 2" xfId="35895" xr:uid="{00000000-0005-0000-0000-0000AA680000}"/>
    <cellStyle name="Normal 4 2 19 2 2 2 3" xfId="22127" xr:uid="{00000000-0005-0000-0000-0000AB680000}"/>
    <cellStyle name="Normal 4 2 19 2 2 2 3 2" xfId="42047" xr:uid="{00000000-0005-0000-0000-0000AC680000}"/>
    <cellStyle name="Normal 4 2 19 2 2 2 4" xfId="29742" xr:uid="{00000000-0005-0000-0000-0000AD680000}"/>
    <cellStyle name="Normal 4 2 19 2 2 3" xfId="12909" xr:uid="{00000000-0005-0000-0000-0000AE680000}"/>
    <cellStyle name="Normal 4 2 19 2 2 3 2" xfId="32829" xr:uid="{00000000-0005-0000-0000-0000AF680000}"/>
    <cellStyle name="Normal 4 2 19 2 2 4" xfId="19061" xr:uid="{00000000-0005-0000-0000-0000B0680000}"/>
    <cellStyle name="Normal 4 2 19 2 2 4 2" xfId="38981" xr:uid="{00000000-0005-0000-0000-0000B1680000}"/>
    <cellStyle name="Normal 4 2 19 2 2 5" xfId="26676" xr:uid="{00000000-0005-0000-0000-0000B2680000}"/>
    <cellStyle name="Normal 4 2 19 2 3" xfId="8247" xr:uid="{00000000-0005-0000-0000-0000B3680000}"/>
    <cellStyle name="Normal 4 2 19 2 3 2" xfId="14441" xr:uid="{00000000-0005-0000-0000-0000B4680000}"/>
    <cellStyle name="Normal 4 2 19 2 3 2 2" xfId="34361" xr:uid="{00000000-0005-0000-0000-0000B5680000}"/>
    <cellStyle name="Normal 4 2 19 2 3 3" xfId="20593" xr:uid="{00000000-0005-0000-0000-0000B6680000}"/>
    <cellStyle name="Normal 4 2 19 2 3 3 2" xfId="40513" xr:uid="{00000000-0005-0000-0000-0000B7680000}"/>
    <cellStyle name="Normal 4 2 19 2 3 4" xfId="28208" xr:uid="{00000000-0005-0000-0000-0000B8680000}"/>
    <cellStyle name="Normal 4 2 19 2 4" xfId="11375" xr:uid="{00000000-0005-0000-0000-0000B9680000}"/>
    <cellStyle name="Normal 4 2 19 2 4 2" xfId="31295" xr:uid="{00000000-0005-0000-0000-0000BA680000}"/>
    <cellStyle name="Normal 4 2 19 2 5" xfId="17527" xr:uid="{00000000-0005-0000-0000-0000BB680000}"/>
    <cellStyle name="Normal 4 2 19 2 5 2" xfId="37447" xr:uid="{00000000-0005-0000-0000-0000BC680000}"/>
    <cellStyle name="Normal 4 2 19 2 6" xfId="25142" xr:uid="{00000000-0005-0000-0000-0000BD680000}"/>
    <cellStyle name="Normal 4 2 19 3" xfId="5913" xr:uid="{00000000-0005-0000-0000-0000BE680000}"/>
    <cellStyle name="Normal 4 2 19 3 2" xfId="9013" xr:uid="{00000000-0005-0000-0000-0000BF680000}"/>
    <cellStyle name="Normal 4 2 19 3 2 2" xfId="15206" xr:uid="{00000000-0005-0000-0000-0000C0680000}"/>
    <cellStyle name="Normal 4 2 19 3 2 2 2" xfId="35126" xr:uid="{00000000-0005-0000-0000-0000C1680000}"/>
    <cellStyle name="Normal 4 2 19 3 2 3" xfId="21358" xr:uid="{00000000-0005-0000-0000-0000C2680000}"/>
    <cellStyle name="Normal 4 2 19 3 2 3 2" xfId="41278" xr:uid="{00000000-0005-0000-0000-0000C3680000}"/>
    <cellStyle name="Normal 4 2 19 3 2 4" xfId="28973" xr:uid="{00000000-0005-0000-0000-0000C4680000}"/>
    <cellStyle name="Normal 4 2 19 3 3" xfId="12140" xr:uid="{00000000-0005-0000-0000-0000C5680000}"/>
    <cellStyle name="Normal 4 2 19 3 3 2" xfId="32060" xr:uid="{00000000-0005-0000-0000-0000C6680000}"/>
    <cellStyle name="Normal 4 2 19 3 4" xfId="18292" xr:uid="{00000000-0005-0000-0000-0000C7680000}"/>
    <cellStyle name="Normal 4 2 19 3 4 2" xfId="38212" xr:uid="{00000000-0005-0000-0000-0000C8680000}"/>
    <cellStyle name="Normal 4 2 19 3 5" xfId="25907" xr:uid="{00000000-0005-0000-0000-0000C9680000}"/>
    <cellStyle name="Normal 4 2 19 4" xfId="7478" xr:uid="{00000000-0005-0000-0000-0000CA680000}"/>
    <cellStyle name="Normal 4 2 19 4 2" xfId="13672" xr:uid="{00000000-0005-0000-0000-0000CB680000}"/>
    <cellStyle name="Normal 4 2 19 4 2 2" xfId="33592" xr:uid="{00000000-0005-0000-0000-0000CC680000}"/>
    <cellStyle name="Normal 4 2 19 4 3" xfId="19824" xr:uid="{00000000-0005-0000-0000-0000CD680000}"/>
    <cellStyle name="Normal 4 2 19 4 3 2" xfId="39744" xr:uid="{00000000-0005-0000-0000-0000CE680000}"/>
    <cellStyle name="Normal 4 2 19 4 4" xfId="27439" xr:uid="{00000000-0005-0000-0000-0000CF680000}"/>
    <cellStyle name="Normal 4 2 19 5" xfId="10606" xr:uid="{00000000-0005-0000-0000-0000D0680000}"/>
    <cellStyle name="Normal 4 2 19 5 2" xfId="30526" xr:uid="{00000000-0005-0000-0000-0000D1680000}"/>
    <cellStyle name="Normal 4 2 19 6" xfId="16758" xr:uid="{00000000-0005-0000-0000-0000D2680000}"/>
    <cellStyle name="Normal 4 2 19 6 2" xfId="36678" xr:uid="{00000000-0005-0000-0000-0000D3680000}"/>
    <cellStyle name="Normal 4 2 19 7" xfId="24373" xr:uid="{00000000-0005-0000-0000-0000D4680000}"/>
    <cellStyle name="Normal 4 2 2" xfId="3830" xr:uid="{00000000-0005-0000-0000-0000D5680000}"/>
    <cellStyle name="Normal 4 2 2 10" xfId="16759" xr:uid="{00000000-0005-0000-0000-0000D6680000}"/>
    <cellStyle name="Normal 4 2 2 10 2" xfId="36679" xr:uid="{00000000-0005-0000-0000-0000D7680000}"/>
    <cellStyle name="Normal 4 2 2 11" xfId="24374" xr:uid="{00000000-0005-0000-0000-0000D8680000}"/>
    <cellStyle name="Normal 4 2 2 2" xfId="3831" xr:uid="{00000000-0005-0000-0000-0000D9680000}"/>
    <cellStyle name="Normal 4 2 2 2 2" xfId="5073" xr:uid="{00000000-0005-0000-0000-0000DA680000}"/>
    <cellStyle name="Normal 4 2 2 2 2 2" xfId="6698" xr:uid="{00000000-0005-0000-0000-0000DB680000}"/>
    <cellStyle name="Normal 4 2 2 2 2 2 2" xfId="9784" xr:uid="{00000000-0005-0000-0000-0000DC680000}"/>
    <cellStyle name="Normal 4 2 2 2 2 2 2 2" xfId="15977" xr:uid="{00000000-0005-0000-0000-0000DD680000}"/>
    <cellStyle name="Normal 4 2 2 2 2 2 2 2 2" xfId="35897" xr:uid="{00000000-0005-0000-0000-0000DE680000}"/>
    <cellStyle name="Normal 4 2 2 2 2 2 2 3" xfId="22129" xr:uid="{00000000-0005-0000-0000-0000DF680000}"/>
    <cellStyle name="Normal 4 2 2 2 2 2 2 3 2" xfId="42049" xr:uid="{00000000-0005-0000-0000-0000E0680000}"/>
    <cellStyle name="Normal 4 2 2 2 2 2 2 4" xfId="29744" xr:uid="{00000000-0005-0000-0000-0000E1680000}"/>
    <cellStyle name="Normal 4 2 2 2 2 2 3" xfId="12911" xr:uid="{00000000-0005-0000-0000-0000E2680000}"/>
    <cellStyle name="Normal 4 2 2 2 2 2 3 2" xfId="32831" xr:uid="{00000000-0005-0000-0000-0000E3680000}"/>
    <cellStyle name="Normal 4 2 2 2 2 2 4" xfId="19063" xr:uid="{00000000-0005-0000-0000-0000E4680000}"/>
    <cellStyle name="Normal 4 2 2 2 2 2 4 2" xfId="38983" xr:uid="{00000000-0005-0000-0000-0000E5680000}"/>
    <cellStyle name="Normal 4 2 2 2 2 2 5" xfId="26678" xr:uid="{00000000-0005-0000-0000-0000E6680000}"/>
    <cellStyle name="Normal 4 2 2 2 2 3" xfId="8249" xr:uid="{00000000-0005-0000-0000-0000E7680000}"/>
    <cellStyle name="Normal 4 2 2 2 2 3 2" xfId="14443" xr:uid="{00000000-0005-0000-0000-0000E8680000}"/>
    <cellStyle name="Normal 4 2 2 2 2 3 2 2" xfId="34363" xr:uid="{00000000-0005-0000-0000-0000E9680000}"/>
    <cellStyle name="Normal 4 2 2 2 2 3 3" xfId="20595" xr:uid="{00000000-0005-0000-0000-0000EA680000}"/>
    <cellStyle name="Normal 4 2 2 2 2 3 3 2" xfId="40515" xr:uid="{00000000-0005-0000-0000-0000EB680000}"/>
    <cellStyle name="Normal 4 2 2 2 2 3 4" xfId="28210" xr:uid="{00000000-0005-0000-0000-0000EC680000}"/>
    <cellStyle name="Normal 4 2 2 2 2 4" xfId="11377" xr:uid="{00000000-0005-0000-0000-0000ED680000}"/>
    <cellStyle name="Normal 4 2 2 2 2 4 2" xfId="31297" xr:uid="{00000000-0005-0000-0000-0000EE680000}"/>
    <cellStyle name="Normal 4 2 2 2 2 5" xfId="17529" xr:uid="{00000000-0005-0000-0000-0000EF680000}"/>
    <cellStyle name="Normal 4 2 2 2 2 5 2" xfId="37449" xr:uid="{00000000-0005-0000-0000-0000F0680000}"/>
    <cellStyle name="Normal 4 2 2 2 2 6" xfId="25144" xr:uid="{00000000-0005-0000-0000-0000F1680000}"/>
    <cellStyle name="Normal 4 2 2 2 3" xfId="5915" xr:uid="{00000000-0005-0000-0000-0000F2680000}"/>
    <cellStyle name="Normal 4 2 2 2 3 2" xfId="9015" xr:uid="{00000000-0005-0000-0000-0000F3680000}"/>
    <cellStyle name="Normal 4 2 2 2 3 2 2" xfId="15208" xr:uid="{00000000-0005-0000-0000-0000F4680000}"/>
    <cellStyle name="Normal 4 2 2 2 3 2 2 2" xfId="35128" xr:uid="{00000000-0005-0000-0000-0000F5680000}"/>
    <cellStyle name="Normal 4 2 2 2 3 2 3" xfId="21360" xr:uid="{00000000-0005-0000-0000-0000F6680000}"/>
    <cellStyle name="Normal 4 2 2 2 3 2 3 2" xfId="41280" xr:uid="{00000000-0005-0000-0000-0000F7680000}"/>
    <cellStyle name="Normal 4 2 2 2 3 2 4" xfId="28975" xr:uid="{00000000-0005-0000-0000-0000F8680000}"/>
    <cellStyle name="Normal 4 2 2 2 3 3" xfId="12142" xr:uid="{00000000-0005-0000-0000-0000F9680000}"/>
    <cellStyle name="Normal 4 2 2 2 3 3 2" xfId="32062" xr:uid="{00000000-0005-0000-0000-0000FA680000}"/>
    <cellStyle name="Normal 4 2 2 2 3 4" xfId="18294" xr:uid="{00000000-0005-0000-0000-0000FB680000}"/>
    <cellStyle name="Normal 4 2 2 2 3 4 2" xfId="38214" xr:uid="{00000000-0005-0000-0000-0000FC680000}"/>
    <cellStyle name="Normal 4 2 2 2 3 5" xfId="25909" xr:uid="{00000000-0005-0000-0000-0000FD680000}"/>
    <cellStyle name="Normal 4 2 2 2 4" xfId="7480" xr:uid="{00000000-0005-0000-0000-0000FE680000}"/>
    <cellStyle name="Normal 4 2 2 2 4 2" xfId="13674" xr:uid="{00000000-0005-0000-0000-0000FF680000}"/>
    <cellStyle name="Normal 4 2 2 2 4 2 2" xfId="33594" xr:uid="{00000000-0005-0000-0000-000000690000}"/>
    <cellStyle name="Normal 4 2 2 2 4 3" xfId="19826" xr:uid="{00000000-0005-0000-0000-000001690000}"/>
    <cellStyle name="Normal 4 2 2 2 4 3 2" xfId="39746" xr:uid="{00000000-0005-0000-0000-000002690000}"/>
    <cellStyle name="Normal 4 2 2 2 4 4" xfId="27441" xr:uid="{00000000-0005-0000-0000-000003690000}"/>
    <cellStyle name="Normal 4 2 2 2 5" xfId="10608" xr:uid="{00000000-0005-0000-0000-000004690000}"/>
    <cellStyle name="Normal 4 2 2 2 5 2" xfId="30528" xr:uid="{00000000-0005-0000-0000-000005690000}"/>
    <cellStyle name="Normal 4 2 2 2 6" xfId="16760" xr:uid="{00000000-0005-0000-0000-000006690000}"/>
    <cellStyle name="Normal 4 2 2 2 6 2" xfId="36680" xr:uid="{00000000-0005-0000-0000-000007690000}"/>
    <cellStyle name="Normal 4 2 2 2 7" xfId="24375" xr:uid="{00000000-0005-0000-0000-000008690000}"/>
    <cellStyle name="Normal 4 2 2 3" xfId="3832" xr:uid="{00000000-0005-0000-0000-000009690000}"/>
    <cellStyle name="Normal 4 2 2 3 2" xfId="5074" xr:uid="{00000000-0005-0000-0000-00000A690000}"/>
    <cellStyle name="Normal 4 2 2 3 2 2" xfId="6699" xr:uid="{00000000-0005-0000-0000-00000B690000}"/>
    <cellStyle name="Normal 4 2 2 3 2 2 2" xfId="9785" xr:uid="{00000000-0005-0000-0000-00000C690000}"/>
    <cellStyle name="Normal 4 2 2 3 2 2 2 2" xfId="15978" xr:uid="{00000000-0005-0000-0000-00000D690000}"/>
    <cellStyle name="Normal 4 2 2 3 2 2 2 2 2" xfId="35898" xr:uid="{00000000-0005-0000-0000-00000E690000}"/>
    <cellStyle name="Normal 4 2 2 3 2 2 2 3" xfId="22130" xr:uid="{00000000-0005-0000-0000-00000F690000}"/>
    <cellStyle name="Normal 4 2 2 3 2 2 2 3 2" xfId="42050" xr:uid="{00000000-0005-0000-0000-000010690000}"/>
    <cellStyle name="Normal 4 2 2 3 2 2 2 4" xfId="29745" xr:uid="{00000000-0005-0000-0000-000011690000}"/>
    <cellStyle name="Normal 4 2 2 3 2 2 3" xfId="12912" xr:uid="{00000000-0005-0000-0000-000012690000}"/>
    <cellStyle name="Normal 4 2 2 3 2 2 3 2" xfId="32832" xr:uid="{00000000-0005-0000-0000-000013690000}"/>
    <cellStyle name="Normal 4 2 2 3 2 2 4" xfId="19064" xr:uid="{00000000-0005-0000-0000-000014690000}"/>
    <cellStyle name="Normal 4 2 2 3 2 2 4 2" xfId="38984" xr:uid="{00000000-0005-0000-0000-000015690000}"/>
    <cellStyle name="Normal 4 2 2 3 2 2 5" xfId="26679" xr:uid="{00000000-0005-0000-0000-000016690000}"/>
    <cellStyle name="Normal 4 2 2 3 2 3" xfId="8250" xr:uid="{00000000-0005-0000-0000-000017690000}"/>
    <cellStyle name="Normal 4 2 2 3 2 3 2" xfId="14444" xr:uid="{00000000-0005-0000-0000-000018690000}"/>
    <cellStyle name="Normal 4 2 2 3 2 3 2 2" xfId="34364" xr:uid="{00000000-0005-0000-0000-000019690000}"/>
    <cellStyle name="Normal 4 2 2 3 2 3 3" xfId="20596" xr:uid="{00000000-0005-0000-0000-00001A690000}"/>
    <cellStyle name="Normal 4 2 2 3 2 3 3 2" xfId="40516" xr:uid="{00000000-0005-0000-0000-00001B690000}"/>
    <cellStyle name="Normal 4 2 2 3 2 3 4" xfId="28211" xr:uid="{00000000-0005-0000-0000-00001C690000}"/>
    <cellStyle name="Normal 4 2 2 3 2 4" xfId="11378" xr:uid="{00000000-0005-0000-0000-00001D690000}"/>
    <cellStyle name="Normal 4 2 2 3 2 4 2" xfId="31298" xr:uid="{00000000-0005-0000-0000-00001E690000}"/>
    <cellStyle name="Normal 4 2 2 3 2 5" xfId="17530" xr:uid="{00000000-0005-0000-0000-00001F690000}"/>
    <cellStyle name="Normal 4 2 2 3 2 5 2" xfId="37450" xr:uid="{00000000-0005-0000-0000-000020690000}"/>
    <cellStyle name="Normal 4 2 2 3 2 6" xfId="25145" xr:uid="{00000000-0005-0000-0000-000021690000}"/>
    <cellStyle name="Normal 4 2 2 3 3" xfId="5916" xr:uid="{00000000-0005-0000-0000-000022690000}"/>
    <cellStyle name="Normal 4 2 2 3 3 2" xfId="9016" xr:uid="{00000000-0005-0000-0000-000023690000}"/>
    <cellStyle name="Normal 4 2 2 3 3 2 2" xfId="15209" xr:uid="{00000000-0005-0000-0000-000024690000}"/>
    <cellStyle name="Normal 4 2 2 3 3 2 2 2" xfId="35129" xr:uid="{00000000-0005-0000-0000-000025690000}"/>
    <cellStyle name="Normal 4 2 2 3 3 2 3" xfId="21361" xr:uid="{00000000-0005-0000-0000-000026690000}"/>
    <cellStyle name="Normal 4 2 2 3 3 2 3 2" xfId="41281" xr:uid="{00000000-0005-0000-0000-000027690000}"/>
    <cellStyle name="Normal 4 2 2 3 3 2 4" xfId="28976" xr:uid="{00000000-0005-0000-0000-000028690000}"/>
    <cellStyle name="Normal 4 2 2 3 3 3" xfId="12143" xr:uid="{00000000-0005-0000-0000-000029690000}"/>
    <cellStyle name="Normal 4 2 2 3 3 3 2" xfId="32063" xr:uid="{00000000-0005-0000-0000-00002A690000}"/>
    <cellStyle name="Normal 4 2 2 3 3 4" xfId="18295" xr:uid="{00000000-0005-0000-0000-00002B690000}"/>
    <cellStyle name="Normal 4 2 2 3 3 4 2" xfId="38215" xr:uid="{00000000-0005-0000-0000-00002C690000}"/>
    <cellStyle name="Normal 4 2 2 3 3 5" xfId="25910" xr:uid="{00000000-0005-0000-0000-00002D690000}"/>
    <cellStyle name="Normal 4 2 2 3 4" xfId="7481" xr:uid="{00000000-0005-0000-0000-00002E690000}"/>
    <cellStyle name="Normal 4 2 2 3 4 2" xfId="13675" xr:uid="{00000000-0005-0000-0000-00002F690000}"/>
    <cellStyle name="Normal 4 2 2 3 4 2 2" xfId="33595" xr:uid="{00000000-0005-0000-0000-000030690000}"/>
    <cellStyle name="Normal 4 2 2 3 4 3" xfId="19827" xr:uid="{00000000-0005-0000-0000-000031690000}"/>
    <cellStyle name="Normal 4 2 2 3 4 3 2" xfId="39747" xr:uid="{00000000-0005-0000-0000-000032690000}"/>
    <cellStyle name="Normal 4 2 2 3 4 4" xfId="27442" xr:uid="{00000000-0005-0000-0000-000033690000}"/>
    <cellStyle name="Normal 4 2 2 3 5" xfId="10609" xr:uid="{00000000-0005-0000-0000-000034690000}"/>
    <cellStyle name="Normal 4 2 2 3 5 2" xfId="30529" xr:uid="{00000000-0005-0000-0000-000035690000}"/>
    <cellStyle name="Normal 4 2 2 3 6" xfId="16761" xr:uid="{00000000-0005-0000-0000-000036690000}"/>
    <cellStyle name="Normal 4 2 2 3 6 2" xfId="36681" xr:uid="{00000000-0005-0000-0000-000037690000}"/>
    <cellStyle name="Normal 4 2 2 3 7" xfId="24376" xr:uid="{00000000-0005-0000-0000-000038690000}"/>
    <cellStyle name="Normal 4 2 2 4" xfId="3833" xr:uid="{00000000-0005-0000-0000-000039690000}"/>
    <cellStyle name="Normal 4 2 2 4 2" xfId="5075" xr:uid="{00000000-0005-0000-0000-00003A690000}"/>
    <cellStyle name="Normal 4 2 2 4 2 2" xfId="6700" xr:uid="{00000000-0005-0000-0000-00003B690000}"/>
    <cellStyle name="Normal 4 2 2 4 2 2 2" xfId="9786" xr:uid="{00000000-0005-0000-0000-00003C690000}"/>
    <cellStyle name="Normal 4 2 2 4 2 2 2 2" xfId="15979" xr:uid="{00000000-0005-0000-0000-00003D690000}"/>
    <cellStyle name="Normal 4 2 2 4 2 2 2 2 2" xfId="35899" xr:uid="{00000000-0005-0000-0000-00003E690000}"/>
    <cellStyle name="Normal 4 2 2 4 2 2 2 3" xfId="22131" xr:uid="{00000000-0005-0000-0000-00003F690000}"/>
    <cellStyle name="Normal 4 2 2 4 2 2 2 3 2" xfId="42051" xr:uid="{00000000-0005-0000-0000-000040690000}"/>
    <cellStyle name="Normal 4 2 2 4 2 2 2 4" xfId="29746" xr:uid="{00000000-0005-0000-0000-000041690000}"/>
    <cellStyle name="Normal 4 2 2 4 2 2 3" xfId="12913" xr:uid="{00000000-0005-0000-0000-000042690000}"/>
    <cellStyle name="Normal 4 2 2 4 2 2 3 2" xfId="32833" xr:uid="{00000000-0005-0000-0000-000043690000}"/>
    <cellStyle name="Normal 4 2 2 4 2 2 4" xfId="19065" xr:uid="{00000000-0005-0000-0000-000044690000}"/>
    <cellStyle name="Normal 4 2 2 4 2 2 4 2" xfId="38985" xr:uid="{00000000-0005-0000-0000-000045690000}"/>
    <cellStyle name="Normal 4 2 2 4 2 2 5" xfId="26680" xr:uid="{00000000-0005-0000-0000-000046690000}"/>
    <cellStyle name="Normal 4 2 2 4 2 3" xfId="8251" xr:uid="{00000000-0005-0000-0000-000047690000}"/>
    <cellStyle name="Normal 4 2 2 4 2 3 2" xfId="14445" xr:uid="{00000000-0005-0000-0000-000048690000}"/>
    <cellStyle name="Normal 4 2 2 4 2 3 2 2" xfId="34365" xr:uid="{00000000-0005-0000-0000-000049690000}"/>
    <cellStyle name="Normal 4 2 2 4 2 3 3" xfId="20597" xr:uid="{00000000-0005-0000-0000-00004A690000}"/>
    <cellStyle name="Normal 4 2 2 4 2 3 3 2" xfId="40517" xr:uid="{00000000-0005-0000-0000-00004B690000}"/>
    <cellStyle name="Normal 4 2 2 4 2 3 4" xfId="28212" xr:uid="{00000000-0005-0000-0000-00004C690000}"/>
    <cellStyle name="Normal 4 2 2 4 2 4" xfId="11379" xr:uid="{00000000-0005-0000-0000-00004D690000}"/>
    <cellStyle name="Normal 4 2 2 4 2 4 2" xfId="31299" xr:uid="{00000000-0005-0000-0000-00004E690000}"/>
    <cellStyle name="Normal 4 2 2 4 2 5" xfId="17531" xr:uid="{00000000-0005-0000-0000-00004F690000}"/>
    <cellStyle name="Normal 4 2 2 4 2 5 2" xfId="37451" xr:uid="{00000000-0005-0000-0000-000050690000}"/>
    <cellStyle name="Normal 4 2 2 4 2 6" xfId="25146" xr:uid="{00000000-0005-0000-0000-000051690000}"/>
    <cellStyle name="Normal 4 2 2 4 3" xfId="5917" xr:uid="{00000000-0005-0000-0000-000052690000}"/>
    <cellStyle name="Normal 4 2 2 4 3 2" xfId="9017" xr:uid="{00000000-0005-0000-0000-000053690000}"/>
    <cellStyle name="Normal 4 2 2 4 3 2 2" xfId="15210" xr:uid="{00000000-0005-0000-0000-000054690000}"/>
    <cellStyle name="Normal 4 2 2 4 3 2 2 2" xfId="35130" xr:uid="{00000000-0005-0000-0000-000055690000}"/>
    <cellStyle name="Normal 4 2 2 4 3 2 3" xfId="21362" xr:uid="{00000000-0005-0000-0000-000056690000}"/>
    <cellStyle name="Normal 4 2 2 4 3 2 3 2" xfId="41282" xr:uid="{00000000-0005-0000-0000-000057690000}"/>
    <cellStyle name="Normal 4 2 2 4 3 2 4" xfId="28977" xr:uid="{00000000-0005-0000-0000-000058690000}"/>
    <cellStyle name="Normal 4 2 2 4 3 3" xfId="12144" xr:uid="{00000000-0005-0000-0000-000059690000}"/>
    <cellStyle name="Normal 4 2 2 4 3 3 2" xfId="32064" xr:uid="{00000000-0005-0000-0000-00005A690000}"/>
    <cellStyle name="Normal 4 2 2 4 3 4" xfId="18296" xr:uid="{00000000-0005-0000-0000-00005B690000}"/>
    <cellStyle name="Normal 4 2 2 4 3 4 2" xfId="38216" xr:uid="{00000000-0005-0000-0000-00005C690000}"/>
    <cellStyle name="Normal 4 2 2 4 3 5" xfId="25911" xr:uid="{00000000-0005-0000-0000-00005D690000}"/>
    <cellStyle name="Normal 4 2 2 4 4" xfId="7482" xr:uid="{00000000-0005-0000-0000-00005E690000}"/>
    <cellStyle name="Normal 4 2 2 4 4 2" xfId="13676" xr:uid="{00000000-0005-0000-0000-00005F690000}"/>
    <cellStyle name="Normal 4 2 2 4 4 2 2" xfId="33596" xr:uid="{00000000-0005-0000-0000-000060690000}"/>
    <cellStyle name="Normal 4 2 2 4 4 3" xfId="19828" xr:uid="{00000000-0005-0000-0000-000061690000}"/>
    <cellStyle name="Normal 4 2 2 4 4 3 2" xfId="39748" xr:uid="{00000000-0005-0000-0000-000062690000}"/>
    <cellStyle name="Normal 4 2 2 4 4 4" xfId="27443" xr:uid="{00000000-0005-0000-0000-000063690000}"/>
    <cellStyle name="Normal 4 2 2 4 5" xfId="10610" xr:uid="{00000000-0005-0000-0000-000064690000}"/>
    <cellStyle name="Normal 4 2 2 4 5 2" xfId="30530" xr:uid="{00000000-0005-0000-0000-000065690000}"/>
    <cellStyle name="Normal 4 2 2 4 6" xfId="16762" xr:uid="{00000000-0005-0000-0000-000066690000}"/>
    <cellStyle name="Normal 4 2 2 4 6 2" xfId="36682" xr:uid="{00000000-0005-0000-0000-000067690000}"/>
    <cellStyle name="Normal 4 2 2 4 7" xfId="24377" xr:uid="{00000000-0005-0000-0000-000068690000}"/>
    <cellStyle name="Normal 4 2 2 5" xfId="3834" xr:uid="{00000000-0005-0000-0000-000069690000}"/>
    <cellStyle name="Normal 4 2 2 5 2" xfId="5076" xr:uid="{00000000-0005-0000-0000-00006A690000}"/>
    <cellStyle name="Normal 4 2 2 5 2 2" xfId="6701" xr:uid="{00000000-0005-0000-0000-00006B690000}"/>
    <cellStyle name="Normal 4 2 2 5 2 2 2" xfId="9787" xr:uid="{00000000-0005-0000-0000-00006C690000}"/>
    <cellStyle name="Normal 4 2 2 5 2 2 2 2" xfId="15980" xr:uid="{00000000-0005-0000-0000-00006D690000}"/>
    <cellStyle name="Normal 4 2 2 5 2 2 2 2 2" xfId="35900" xr:uid="{00000000-0005-0000-0000-00006E690000}"/>
    <cellStyle name="Normal 4 2 2 5 2 2 2 3" xfId="22132" xr:uid="{00000000-0005-0000-0000-00006F690000}"/>
    <cellStyle name="Normal 4 2 2 5 2 2 2 3 2" xfId="42052" xr:uid="{00000000-0005-0000-0000-000070690000}"/>
    <cellStyle name="Normal 4 2 2 5 2 2 2 4" xfId="29747" xr:uid="{00000000-0005-0000-0000-000071690000}"/>
    <cellStyle name="Normal 4 2 2 5 2 2 3" xfId="12914" xr:uid="{00000000-0005-0000-0000-000072690000}"/>
    <cellStyle name="Normal 4 2 2 5 2 2 3 2" xfId="32834" xr:uid="{00000000-0005-0000-0000-000073690000}"/>
    <cellStyle name="Normal 4 2 2 5 2 2 4" xfId="19066" xr:uid="{00000000-0005-0000-0000-000074690000}"/>
    <cellStyle name="Normal 4 2 2 5 2 2 4 2" xfId="38986" xr:uid="{00000000-0005-0000-0000-000075690000}"/>
    <cellStyle name="Normal 4 2 2 5 2 2 5" xfId="26681" xr:uid="{00000000-0005-0000-0000-000076690000}"/>
    <cellStyle name="Normal 4 2 2 5 2 3" xfId="8252" xr:uid="{00000000-0005-0000-0000-000077690000}"/>
    <cellStyle name="Normal 4 2 2 5 2 3 2" xfId="14446" xr:uid="{00000000-0005-0000-0000-000078690000}"/>
    <cellStyle name="Normal 4 2 2 5 2 3 2 2" xfId="34366" xr:uid="{00000000-0005-0000-0000-000079690000}"/>
    <cellStyle name="Normal 4 2 2 5 2 3 3" xfId="20598" xr:uid="{00000000-0005-0000-0000-00007A690000}"/>
    <cellStyle name="Normal 4 2 2 5 2 3 3 2" xfId="40518" xr:uid="{00000000-0005-0000-0000-00007B690000}"/>
    <cellStyle name="Normal 4 2 2 5 2 3 4" xfId="28213" xr:uid="{00000000-0005-0000-0000-00007C690000}"/>
    <cellStyle name="Normal 4 2 2 5 2 4" xfId="11380" xr:uid="{00000000-0005-0000-0000-00007D690000}"/>
    <cellStyle name="Normal 4 2 2 5 2 4 2" xfId="31300" xr:uid="{00000000-0005-0000-0000-00007E690000}"/>
    <cellStyle name="Normal 4 2 2 5 2 5" xfId="17532" xr:uid="{00000000-0005-0000-0000-00007F690000}"/>
    <cellStyle name="Normal 4 2 2 5 2 5 2" xfId="37452" xr:uid="{00000000-0005-0000-0000-000080690000}"/>
    <cellStyle name="Normal 4 2 2 5 2 6" xfId="25147" xr:uid="{00000000-0005-0000-0000-000081690000}"/>
    <cellStyle name="Normal 4 2 2 5 3" xfId="5918" xr:uid="{00000000-0005-0000-0000-000082690000}"/>
    <cellStyle name="Normal 4 2 2 5 3 2" xfId="9018" xr:uid="{00000000-0005-0000-0000-000083690000}"/>
    <cellStyle name="Normal 4 2 2 5 3 2 2" xfId="15211" xr:uid="{00000000-0005-0000-0000-000084690000}"/>
    <cellStyle name="Normal 4 2 2 5 3 2 2 2" xfId="35131" xr:uid="{00000000-0005-0000-0000-000085690000}"/>
    <cellStyle name="Normal 4 2 2 5 3 2 3" xfId="21363" xr:uid="{00000000-0005-0000-0000-000086690000}"/>
    <cellStyle name="Normal 4 2 2 5 3 2 3 2" xfId="41283" xr:uid="{00000000-0005-0000-0000-000087690000}"/>
    <cellStyle name="Normal 4 2 2 5 3 2 4" xfId="28978" xr:uid="{00000000-0005-0000-0000-000088690000}"/>
    <cellStyle name="Normal 4 2 2 5 3 3" xfId="12145" xr:uid="{00000000-0005-0000-0000-000089690000}"/>
    <cellStyle name="Normal 4 2 2 5 3 3 2" xfId="32065" xr:uid="{00000000-0005-0000-0000-00008A690000}"/>
    <cellStyle name="Normal 4 2 2 5 3 4" xfId="18297" xr:uid="{00000000-0005-0000-0000-00008B690000}"/>
    <cellStyle name="Normal 4 2 2 5 3 4 2" xfId="38217" xr:uid="{00000000-0005-0000-0000-00008C690000}"/>
    <cellStyle name="Normal 4 2 2 5 3 5" xfId="25912" xr:uid="{00000000-0005-0000-0000-00008D690000}"/>
    <cellStyle name="Normal 4 2 2 5 4" xfId="7483" xr:uid="{00000000-0005-0000-0000-00008E690000}"/>
    <cellStyle name="Normal 4 2 2 5 4 2" xfId="13677" xr:uid="{00000000-0005-0000-0000-00008F690000}"/>
    <cellStyle name="Normal 4 2 2 5 4 2 2" xfId="33597" xr:uid="{00000000-0005-0000-0000-000090690000}"/>
    <cellStyle name="Normal 4 2 2 5 4 3" xfId="19829" xr:uid="{00000000-0005-0000-0000-000091690000}"/>
    <cellStyle name="Normal 4 2 2 5 4 3 2" xfId="39749" xr:uid="{00000000-0005-0000-0000-000092690000}"/>
    <cellStyle name="Normal 4 2 2 5 4 4" xfId="27444" xr:uid="{00000000-0005-0000-0000-000093690000}"/>
    <cellStyle name="Normal 4 2 2 5 5" xfId="10611" xr:uid="{00000000-0005-0000-0000-000094690000}"/>
    <cellStyle name="Normal 4 2 2 5 5 2" xfId="30531" xr:uid="{00000000-0005-0000-0000-000095690000}"/>
    <cellStyle name="Normal 4 2 2 5 6" xfId="16763" xr:uid="{00000000-0005-0000-0000-000096690000}"/>
    <cellStyle name="Normal 4 2 2 5 6 2" xfId="36683" xr:uid="{00000000-0005-0000-0000-000097690000}"/>
    <cellStyle name="Normal 4 2 2 5 7" xfId="24378" xr:uid="{00000000-0005-0000-0000-000098690000}"/>
    <cellStyle name="Normal 4 2 2 6" xfId="5072" xr:uid="{00000000-0005-0000-0000-000099690000}"/>
    <cellStyle name="Normal 4 2 2 6 2" xfId="6697" xr:uid="{00000000-0005-0000-0000-00009A690000}"/>
    <cellStyle name="Normal 4 2 2 6 2 2" xfId="9783" xr:uid="{00000000-0005-0000-0000-00009B690000}"/>
    <cellStyle name="Normal 4 2 2 6 2 2 2" xfId="15976" xr:uid="{00000000-0005-0000-0000-00009C690000}"/>
    <cellStyle name="Normal 4 2 2 6 2 2 2 2" xfId="35896" xr:uid="{00000000-0005-0000-0000-00009D690000}"/>
    <cellStyle name="Normal 4 2 2 6 2 2 3" xfId="22128" xr:uid="{00000000-0005-0000-0000-00009E690000}"/>
    <cellStyle name="Normal 4 2 2 6 2 2 3 2" xfId="42048" xr:uid="{00000000-0005-0000-0000-00009F690000}"/>
    <cellStyle name="Normal 4 2 2 6 2 2 4" xfId="29743" xr:uid="{00000000-0005-0000-0000-0000A0690000}"/>
    <cellStyle name="Normal 4 2 2 6 2 3" xfId="12910" xr:uid="{00000000-0005-0000-0000-0000A1690000}"/>
    <cellStyle name="Normal 4 2 2 6 2 3 2" xfId="32830" xr:uid="{00000000-0005-0000-0000-0000A2690000}"/>
    <cellStyle name="Normal 4 2 2 6 2 4" xfId="19062" xr:uid="{00000000-0005-0000-0000-0000A3690000}"/>
    <cellStyle name="Normal 4 2 2 6 2 4 2" xfId="38982" xr:uid="{00000000-0005-0000-0000-0000A4690000}"/>
    <cellStyle name="Normal 4 2 2 6 2 5" xfId="26677" xr:uid="{00000000-0005-0000-0000-0000A5690000}"/>
    <cellStyle name="Normal 4 2 2 6 3" xfId="8248" xr:uid="{00000000-0005-0000-0000-0000A6690000}"/>
    <cellStyle name="Normal 4 2 2 6 3 2" xfId="14442" xr:uid="{00000000-0005-0000-0000-0000A7690000}"/>
    <cellStyle name="Normal 4 2 2 6 3 2 2" xfId="34362" xr:uid="{00000000-0005-0000-0000-0000A8690000}"/>
    <cellStyle name="Normal 4 2 2 6 3 3" xfId="20594" xr:uid="{00000000-0005-0000-0000-0000A9690000}"/>
    <cellStyle name="Normal 4 2 2 6 3 3 2" xfId="40514" xr:uid="{00000000-0005-0000-0000-0000AA690000}"/>
    <cellStyle name="Normal 4 2 2 6 3 4" xfId="28209" xr:uid="{00000000-0005-0000-0000-0000AB690000}"/>
    <cellStyle name="Normal 4 2 2 6 4" xfId="11376" xr:uid="{00000000-0005-0000-0000-0000AC690000}"/>
    <cellStyle name="Normal 4 2 2 6 4 2" xfId="31296" xr:uid="{00000000-0005-0000-0000-0000AD690000}"/>
    <cellStyle name="Normal 4 2 2 6 5" xfId="17528" xr:uid="{00000000-0005-0000-0000-0000AE690000}"/>
    <cellStyle name="Normal 4 2 2 6 5 2" xfId="37448" xr:uid="{00000000-0005-0000-0000-0000AF690000}"/>
    <cellStyle name="Normal 4 2 2 6 6" xfId="25143" xr:uid="{00000000-0005-0000-0000-0000B0690000}"/>
    <cellStyle name="Normal 4 2 2 7" xfId="5914" xr:uid="{00000000-0005-0000-0000-0000B1690000}"/>
    <cellStyle name="Normal 4 2 2 7 2" xfId="9014" xr:uid="{00000000-0005-0000-0000-0000B2690000}"/>
    <cellStyle name="Normal 4 2 2 7 2 2" xfId="15207" xr:uid="{00000000-0005-0000-0000-0000B3690000}"/>
    <cellStyle name="Normal 4 2 2 7 2 2 2" xfId="35127" xr:uid="{00000000-0005-0000-0000-0000B4690000}"/>
    <cellStyle name="Normal 4 2 2 7 2 3" xfId="21359" xr:uid="{00000000-0005-0000-0000-0000B5690000}"/>
    <cellStyle name="Normal 4 2 2 7 2 3 2" xfId="41279" xr:uid="{00000000-0005-0000-0000-0000B6690000}"/>
    <cellStyle name="Normal 4 2 2 7 2 4" xfId="28974" xr:uid="{00000000-0005-0000-0000-0000B7690000}"/>
    <cellStyle name="Normal 4 2 2 7 3" xfId="12141" xr:uid="{00000000-0005-0000-0000-0000B8690000}"/>
    <cellStyle name="Normal 4 2 2 7 3 2" xfId="32061" xr:uid="{00000000-0005-0000-0000-0000B9690000}"/>
    <cellStyle name="Normal 4 2 2 7 4" xfId="18293" xr:uid="{00000000-0005-0000-0000-0000BA690000}"/>
    <cellStyle name="Normal 4 2 2 7 4 2" xfId="38213" xr:uid="{00000000-0005-0000-0000-0000BB690000}"/>
    <cellStyle name="Normal 4 2 2 7 5" xfId="25908" xr:uid="{00000000-0005-0000-0000-0000BC690000}"/>
    <cellStyle name="Normal 4 2 2 8" xfId="7479" xr:uid="{00000000-0005-0000-0000-0000BD690000}"/>
    <cellStyle name="Normal 4 2 2 8 2" xfId="13673" xr:uid="{00000000-0005-0000-0000-0000BE690000}"/>
    <cellStyle name="Normal 4 2 2 8 2 2" xfId="33593" xr:uid="{00000000-0005-0000-0000-0000BF690000}"/>
    <cellStyle name="Normal 4 2 2 8 3" xfId="19825" xr:uid="{00000000-0005-0000-0000-0000C0690000}"/>
    <cellStyle name="Normal 4 2 2 8 3 2" xfId="39745" xr:uid="{00000000-0005-0000-0000-0000C1690000}"/>
    <cellStyle name="Normal 4 2 2 8 4" xfId="27440" xr:uid="{00000000-0005-0000-0000-0000C2690000}"/>
    <cellStyle name="Normal 4 2 2 9" xfId="10607" xr:uid="{00000000-0005-0000-0000-0000C3690000}"/>
    <cellStyle name="Normal 4 2 2 9 2" xfId="30527" xr:uid="{00000000-0005-0000-0000-0000C4690000}"/>
    <cellStyle name="Normal 4 2 20" xfId="3835" xr:uid="{00000000-0005-0000-0000-0000C5690000}"/>
    <cellStyle name="Normal 4 2 20 2" xfId="5077" xr:uid="{00000000-0005-0000-0000-0000C6690000}"/>
    <cellStyle name="Normal 4 2 20 2 2" xfId="6702" xr:uid="{00000000-0005-0000-0000-0000C7690000}"/>
    <cellStyle name="Normal 4 2 20 2 2 2" xfId="9788" xr:uid="{00000000-0005-0000-0000-0000C8690000}"/>
    <cellStyle name="Normal 4 2 20 2 2 2 2" xfId="15981" xr:uid="{00000000-0005-0000-0000-0000C9690000}"/>
    <cellStyle name="Normal 4 2 20 2 2 2 2 2" xfId="35901" xr:uid="{00000000-0005-0000-0000-0000CA690000}"/>
    <cellStyle name="Normal 4 2 20 2 2 2 3" xfId="22133" xr:uid="{00000000-0005-0000-0000-0000CB690000}"/>
    <cellStyle name="Normal 4 2 20 2 2 2 3 2" xfId="42053" xr:uid="{00000000-0005-0000-0000-0000CC690000}"/>
    <cellStyle name="Normal 4 2 20 2 2 2 4" xfId="29748" xr:uid="{00000000-0005-0000-0000-0000CD690000}"/>
    <cellStyle name="Normal 4 2 20 2 2 3" xfId="12915" xr:uid="{00000000-0005-0000-0000-0000CE690000}"/>
    <cellStyle name="Normal 4 2 20 2 2 3 2" xfId="32835" xr:uid="{00000000-0005-0000-0000-0000CF690000}"/>
    <cellStyle name="Normal 4 2 20 2 2 4" xfId="19067" xr:uid="{00000000-0005-0000-0000-0000D0690000}"/>
    <cellStyle name="Normal 4 2 20 2 2 4 2" xfId="38987" xr:uid="{00000000-0005-0000-0000-0000D1690000}"/>
    <cellStyle name="Normal 4 2 20 2 2 5" xfId="26682" xr:uid="{00000000-0005-0000-0000-0000D2690000}"/>
    <cellStyle name="Normal 4 2 20 2 3" xfId="8253" xr:uid="{00000000-0005-0000-0000-0000D3690000}"/>
    <cellStyle name="Normal 4 2 20 2 3 2" xfId="14447" xr:uid="{00000000-0005-0000-0000-0000D4690000}"/>
    <cellStyle name="Normal 4 2 20 2 3 2 2" xfId="34367" xr:uid="{00000000-0005-0000-0000-0000D5690000}"/>
    <cellStyle name="Normal 4 2 20 2 3 3" xfId="20599" xr:uid="{00000000-0005-0000-0000-0000D6690000}"/>
    <cellStyle name="Normal 4 2 20 2 3 3 2" xfId="40519" xr:uid="{00000000-0005-0000-0000-0000D7690000}"/>
    <cellStyle name="Normal 4 2 20 2 3 4" xfId="28214" xr:uid="{00000000-0005-0000-0000-0000D8690000}"/>
    <cellStyle name="Normal 4 2 20 2 4" xfId="11381" xr:uid="{00000000-0005-0000-0000-0000D9690000}"/>
    <cellStyle name="Normal 4 2 20 2 4 2" xfId="31301" xr:uid="{00000000-0005-0000-0000-0000DA690000}"/>
    <cellStyle name="Normal 4 2 20 2 5" xfId="17533" xr:uid="{00000000-0005-0000-0000-0000DB690000}"/>
    <cellStyle name="Normal 4 2 20 2 5 2" xfId="37453" xr:uid="{00000000-0005-0000-0000-0000DC690000}"/>
    <cellStyle name="Normal 4 2 20 2 6" xfId="25148" xr:uid="{00000000-0005-0000-0000-0000DD690000}"/>
    <cellStyle name="Normal 4 2 20 3" xfId="5919" xr:uid="{00000000-0005-0000-0000-0000DE690000}"/>
    <cellStyle name="Normal 4 2 20 3 2" xfId="9019" xr:uid="{00000000-0005-0000-0000-0000DF690000}"/>
    <cellStyle name="Normal 4 2 20 3 2 2" xfId="15212" xr:uid="{00000000-0005-0000-0000-0000E0690000}"/>
    <cellStyle name="Normal 4 2 20 3 2 2 2" xfId="35132" xr:uid="{00000000-0005-0000-0000-0000E1690000}"/>
    <cellStyle name="Normal 4 2 20 3 2 3" xfId="21364" xr:uid="{00000000-0005-0000-0000-0000E2690000}"/>
    <cellStyle name="Normal 4 2 20 3 2 3 2" xfId="41284" xr:uid="{00000000-0005-0000-0000-0000E3690000}"/>
    <cellStyle name="Normal 4 2 20 3 2 4" xfId="28979" xr:uid="{00000000-0005-0000-0000-0000E4690000}"/>
    <cellStyle name="Normal 4 2 20 3 3" xfId="12146" xr:uid="{00000000-0005-0000-0000-0000E5690000}"/>
    <cellStyle name="Normal 4 2 20 3 3 2" xfId="32066" xr:uid="{00000000-0005-0000-0000-0000E6690000}"/>
    <cellStyle name="Normal 4 2 20 3 4" xfId="18298" xr:uid="{00000000-0005-0000-0000-0000E7690000}"/>
    <cellStyle name="Normal 4 2 20 3 4 2" xfId="38218" xr:uid="{00000000-0005-0000-0000-0000E8690000}"/>
    <cellStyle name="Normal 4 2 20 3 5" xfId="25913" xr:uid="{00000000-0005-0000-0000-0000E9690000}"/>
    <cellStyle name="Normal 4 2 20 4" xfId="7484" xr:uid="{00000000-0005-0000-0000-0000EA690000}"/>
    <cellStyle name="Normal 4 2 20 4 2" xfId="13678" xr:uid="{00000000-0005-0000-0000-0000EB690000}"/>
    <cellStyle name="Normal 4 2 20 4 2 2" xfId="33598" xr:uid="{00000000-0005-0000-0000-0000EC690000}"/>
    <cellStyle name="Normal 4 2 20 4 3" xfId="19830" xr:uid="{00000000-0005-0000-0000-0000ED690000}"/>
    <cellStyle name="Normal 4 2 20 4 3 2" xfId="39750" xr:uid="{00000000-0005-0000-0000-0000EE690000}"/>
    <cellStyle name="Normal 4 2 20 4 4" xfId="27445" xr:uid="{00000000-0005-0000-0000-0000EF690000}"/>
    <cellStyle name="Normal 4 2 20 5" xfId="10612" xr:uid="{00000000-0005-0000-0000-0000F0690000}"/>
    <cellStyle name="Normal 4 2 20 5 2" xfId="30532" xr:uid="{00000000-0005-0000-0000-0000F1690000}"/>
    <cellStyle name="Normal 4 2 20 6" xfId="16764" xr:uid="{00000000-0005-0000-0000-0000F2690000}"/>
    <cellStyle name="Normal 4 2 20 6 2" xfId="36684" xr:uid="{00000000-0005-0000-0000-0000F3690000}"/>
    <cellStyle name="Normal 4 2 20 7" xfId="24379" xr:uid="{00000000-0005-0000-0000-0000F4690000}"/>
    <cellStyle name="Normal 4 2 21" xfId="3836" xr:uid="{00000000-0005-0000-0000-0000F5690000}"/>
    <cellStyle name="Normal 4 2 21 2" xfId="5078" xr:uid="{00000000-0005-0000-0000-0000F6690000}"/>
    <cellStyle name="Normal 4 2 21 2 2" xfId="6703" xr:uid="{00000000-0005-0000-0000-0000F7690000}"/>
    <cellStyle name="Normal 4 2 21 2 2 2" xfId="9789" xr:uid="{00000000-0005-0000-0000-0000F8690000}"/>
    <cellStyle name="Normal 4 2 21 2 2 2 2" xfId="15982" xr:uid="{00000000-0005-0000-0000-0000F9690000}"/>
    <cellStyle name="Normal 4 2 21 2 2 2 2 2" xfId="35902" xr:uid="{00000000-0005-0000-0000-0000FA690000}"/>
    <cellStyle name="Normal 4 2 21 2 2 2 3" xfId="22134" xr:uid="{00000000-0005-0000-0000-0000FB690000}"/>
    <cellStyle name="Normal 4 2 21 2 2 2 3 2" xfId="42054" xr:uid="{00000000-0005-0000-0000-0000FC690000}"/>
    <cellStyle name="Normal 4 2 21 2 2 2 4" xfId="29749" xr:uid="{00000000-0005-0000-0000-0000FD690000}"/>
    <cellStyle name="Normal 4 2 21 2 2 3" xfId="12916" xr:uid="{00000000-0005-0000-0000-0000FE690000}"/>
    <cellStyle name="Normal 4 2 21 2 2 3 2" xfId="32836" xr:uid="{00000000-0005-0000-0000-0000FF690000}"/>
    <cellStyle name="Normal 4 2 21 2 2 4" xfId="19068" xr:uid="{00000000-0005-0000-0000-0000006A0000}"/>
    <cellStyle name="Normal 4 2 21 2 2 4 2" xfId="38988" xr:uid="{00000000-0005-0000-0000-0000016A0000}"/>
    <cellStyle name="Normal 4 2 21 2 2 5" xfId="26683" xr:uid="{00000000-0005-0000-0000-0000026A0000}"/>
    <cellStyle name="Normal 4 2 21 2 3" xfId="8254" xr:uid="{00000000-0005-0000-0000-0000036A0000}"/>
    <cellStyle name="Normal 4 2 21 2 3 2" xfId="14448" xr:uid="{00000000-0005-0000-0000-0000046A0000}"/>
    <cellStyle name="Normal 4 2 21 2 3 2 2" xfId="34368" xr:uid="{00000000-0005-0000-0000-0000056A0000}"/>
    <cellStyle name="Normal 4 2 21 2 3 3" xfId="20600" xr:uid="{00000000-0005-0000-0000-0000066A0000}"/>
    <cellStyle name="Normal 4 2 21 2 3 3 2" xfId="40520" xr:uid="{00000000-0005-0000-0000-0000076A0000}"/>
    <cellStyle name="Normal 4 2 21 2 3 4" xfId="28215" xr:uid="{00000000-0005-0000-0000-0000086A0000}"/>
    <cellStyle name="Normal 4 2 21 2 4" xfId="11382" xr:uid="{00000000-0005-0000-0000-0000096A0000}"/>
    <cellStyle name="Normal 4 2 21 2 4 2" xfId="31302" xr:uid="{00000000-0005-0000-0000-00000A6A0000}"/>
    <cellStyle name="Normal 4 2 21 2 5" xfId="17534" xr:uid="{00000000-0005-0000-0000-00000B6A0000}"/>
    <cellStyle name="Normal 4 2 21 2 5 2" xfId="37454" xr:uid="{00000000-0005-0000-0000-00000C6A0000}"/>
    <cellStyle name="Normal 4 2 21 2 6" xfId="25149" xr:uid="{00000000-0005-0000-0000-00000D6A0000}"/>
    <cellStyle name="Normal 4 2 21 3" xfId="5920" xr:uid="{00000000-0005-0000-0000-00000E6A0000}"/>
    <cellStyle name="Normal 4 2 21 3 2" xfId="9020" xr:uid="{00000000-0005-0000-0000-00000F6A0000}"/>
    <cellStyle name="Normal 4 2 21 3 2 2" xfId="15213" xr:uid="{00000000-0005-0000-0000-0000106A0000}"/>
    <cellStyle name="Normal 4 2 21 3 2 2 2" xfId="35133" xr:uid="{00000000-0005-0000-0000-0000116A0000}"/>
    <cellStyle name="Normal 4 2 21 3 2 3" xfId="21365" xr:uid="{00000000-0005-0000-0000-0000126A0000}"/>
    <cellStyle name="Normal 4 2 21 3 2 3 2" xfId="41285" xr:uid="{00000000-0005-0000-0000-0000136A0000}"/>
    <cellStyle name="Normal 4 2 21 3 2 4" xfId="28980" xr:uid="{00000000-0005-0000-0000-0000146A0000}"/>
    <cellStyle name="Normal 4 2 21 3 3" xfId="12147" xr:uid="{00000000-0005-0000-0000-0000156A0000}"/>
    <cellStyle name="Normal 4 2 21 3 3 2" xfId="32067" xr:uid="{00000000-0005-0000-0000-0000166A0000}"/>
    <cellStyle name="Normal 4 2 21 3 4" xfId="18299" xr:uid="{00000000-0005-0000-0000-0000176A0000}"/>
    <cellStyle name="Normal 4 2 21 3 4 2" xfId="38219" xr:uid="{00000000-0005-0000-0000-0000186A0000}"/>
    <cellStyle name="Normal 4 2 21 3 5" xfId="25914" xr:uid="{00000000-0005-0000-0000-0000196A0000}"/>
    <cellStyle name="Normal 4 2 21 4" xfId="7485" xr:uid="{00000000-0005-0000-0000-00001A6A0000}"/>
    <cellStyle name="Normal 4 2 21 4 2" xfId="13679" xr:uid="{00000000-0005-0000-0000-00001B6A0000}"/>
    <cellStyle name="Normal 4 2 21 4 2 2" xfId="33599" xr:uid="{00000000-0005-0000-0000-00001C6A0000}"/>
    <cellStyle name="Normal 4 2 21 4 3" xfId="19831" xr:uid="{00000000-0005-0000-0000-00001D6A0000}"/>
    <cellStyle name="Normal 4 2 21 4 3 2" xfId="39751" xr:uid="{00000000-0005-0000-0000-00001E6A0000}"/>
    <cellStyle name="Normal 4 2 21 4 4" xfId="27446" xr:uid="{00000000-0005-0000-0000-00001F6A0000}"/>
    <cellStyle name="Normal 4 2 21 5" xfId="10613" xr:uid="{00000000-0005-0000-0000-0000206A0000}"/>
    <cellStyle name="Normal 4 2 21 5 2" xfId="30533" xr:uid="{00000000-0005-0000-0000-0000216A0000}"/>
    <cellStyle name="Normal 4 2 21 6" xfId="16765" xr:uid="{00000000-0005-0000-0000-0000226A0000}"/>
    <cellStyle name="Normal 4 2 21 6 2" xfId="36685" xr:uid="{00000000-0005-0000-0000-0000236A0000}"/>
    <cellStyle name="Normal 4 2 21 7" xfId="24380" xr:uid="{00000000-0005-0000-0000-0000246A0000}"/>
    <cellStyle name="Normal 4 2 22" xfId="3837" xr:uid="{00000000-0005-0000-0000-0000256A0000}"/>
    <cellStyle name="Normal 4 2 22 2" xfId="5079" xr:uid="{00000000-0005-0000-0000-0000266A0000}"/>
    <cellStyle name="Normal 4 2 22 2 2" xfId="6704" xr:uid="{00000000-0005-0000-0000-0000276A0000}"/>
    <cellStyle name="Normal 4 2 22 2 2 2" xfId="9790" xr:uid="{00000000-0005-0000-0000-0000286A0000}"/>
    <cellStyle name="Normal 4 2 22 2 2 2 2" xfId="15983" xr:uid="{00000000-0005-0000-0000-0000296A0000}"/>
    <cellStyle name="Normal 4 2 22 2 2 2 2 2" xfId="35903" xr:uid="{00000000-0005-0000-0000-00002A6A0000}"/>
    <cellStyle name="Normal 4 2 22 2 2 2 3" xfId="22135" xr:uid="{00000000-0005-0000-0000-00002B6A0000}"/>
    <cellStyle name="Normal 4 2 22 2 2 2 3 2" xfId="42055" xr:uid="{00000000-0005-0000-0000-00002C6A0000}"/>
    <cellStyle name="Normal 4 2 22 2 2 2 4" xfId="29750" xr:uid="{00000000-0005-0000-0000-00002D6A0000}"/>
    <cellStyle name="Normal 4 2 22 2 2 3" xfId="12917" xr:uid="{00000000-0005-0000-0000-00002E6A0000}"/>
    <cellStyle name="Normal 4 2 22 2 2 3 2" xfId="32837" xr:uid="{00000000-0005-0000-0000-00002F6A0000}"/>
    <cellStyle name="Normal 4 2 22 2 2 4" xfId="19069" xr:uid="{00000000-0005-0000-0000-0000306A0000}"/>
    <cellStyle name="Normal 4 2 22 2 2 4 2" xfId="38989" xr:uid="{00000000-0005-0000-0000-0000316A0000}"/>
    <cellStyle name="Normal 4 2 22 2 2 5" xfId="26684" xr:uid="{00000000-0005-0000-0000-0000326A0000}"/>
    <cellStyle name="Normal 4 2 22 2 3" xfId="8255" xr:uid="{00000000-0005-0000-0000-0000336A0000}"/>
    <cellStyle name="Normal 4 2 22 2 3 2" xfId="14449" xr:uid="{00000000-0005-0000-0000-0000346A0000}"/>
    <cellStyle name="Normal 4 2 22 2 3 2 2" xfId="34369" xr:uid="{00000000-0005-0000-0000-0000356A0000}"/>
    <cellStyle name="Normal 4 2 22 2 3 3" xfId="20601" xr:uid="{00000000-0005-0000-0000-0000366A0000}"/>
    <cellStyle name="Normal 4 2 22 2 3 3 2" xfId="40521" xr:uid="{00000000-0005-0000-0000-0000376A0000}"/>
    <cellStyle name="Normal 4 2 22 2 3 4" xfId="28216" xr:uid="{00000000-0005-0000-0000-0000386A0000}"/>
    <cellStyle name="Normal 4 2 22 2 4" xfId="11383" xr:uid="{00000000-0005-0000-0000-0000396A0000}"/>
    <cellStyle name="Normal 4 2 22 2 4 2" xfId="31303" xr:uid="{00000000-0005-0000-0000-00003A6A0000}"/>
    <cellStyle name="Normal 4 2 22 2 5" xfId="17535" xr:uid="{00000000-0005-0000-0000-00003B6A0000}"/>
    <cellStyle name="Normal 4 2 22 2 5 2" xfId="37455" xr:uid="{00000000-0005-0000-0000-00003C6A0000}"/>
    <cellStyle name="Normal 4 2 22 2 6" xfId="25150" xr:uid="{00000000-0005-0000-0000-00003D6A0000}"/>
    <cellStyle name="Normal 4 2 22 3" xfId="5921" xr:uid="{00000000-0005-0000-0000-00003E6A0000}"/>
    <cellStyle name="Normal 4 2 22 3 2" xfId="9021" xr:uid="{00000000-0005-0000-0000-00003F6A0000}"/>
    <cellStyle name="Normal 4 2 22 3 2 2" xfId="15214" xr:uid="{00000000-0005-0000-0000-0000406A0000}"/>
    <cellStyle name="Normal 4 2 22 3 2 2 2" xfId="35134" xr:uid="{00000000-0005-0000-0000-0000416A0000}"/>
    <cellStyle name="Normal 4 2 22 3 2 3" xfId="21366" xr:uid="{00000000-0005-0000-0000-0000426A0000}"/>
    <cellStyle name="Normal 4 2 22 3 2 3 2" xfId="41286" xr:uid="{00000000-0005-0000-0000-0000436A0000}"/>
    <cellStyle name="Normal 4 2 22 3 2 4" xfId="28981" xr:uid="{00000000-0005-0000-0000-0000446A0000}"/>
    <cellStyle name="Normal 4 2 22 3 3" xfId="12148" xr:uid="{00000000-0005-0000-0000-0000456A0000}"/>
    <cellStyle name="Normal 4 2 22 3 3 2" xfId="32068" xr:uid="{00000000-0005-0000-0000-0000466A0000}"/>
    <cellStyle name="Normal 4 2 22 3 4" xfId="18300" xr:uid="{00000000-0005-0000-0000-0000476A0000}"/>
    <cellStyle name="Normal 4 2 22 3 4 2" xfId="38220" xr:uid="{00000000-0005-0000-0000-0000486A0000}"/>
    <cellStyle name="Normal 4 2 22 3 5" xfId="25915" xr:uid="{00000000-0005-0000-0000-0000496A0000}"/>
    <cellStyle name="Normal 4 2 22 4" xfId="7486" xr:uid="{00000000-0005-0000-0000-00004A6A0000}"/>
    <cellStyle name="Normal 4 2 22 4 2" xfId="13680" xr:uid="{00000000-0005-0000-0000-00004B6A0000}"/>
    <cellStyle name="Normal 4 2 22 4 2 2" xfId="33600" xr:uid="{00000000-0005-0000-0000-00004C6A0000}"/>
    <cellStyle name="Normal 4 2 22 4 3" xfId="19832" xr:uid="{00000000-0005-0000-0000-00004D6A0000}"/>
    <cellStyle name="Normal 4 2 22 4 3 2" xfId="39752" xr:uid="{00000000-0005-0000-0000-00004E6A0000}"/>
    <cellStyle name="Normal 4 2 22 4 4" xfId="27447" xr:uid="{00000000-0005-0000-0000-00004F6A0000}"/>
    <cellStyle name="Normal 4 2 22 5" xfId="10614" xr:uid="{00000000-0005-0000-0000-0000506A0000}"/>
    <cellStyle name="Normal 4 2 22 5 2" xfId="30534" xr:uid="{00000000-0005-0000-0000-0000516A0000}"/>
    <cellStyle name="Normal 4 2 22 6" xfId="16766" xr:uid="{00000000-0005-0000-0000-0000526A0000}"/>
    <cellStyle name="Normal 4 2 22 6 2" xfId="36686" xr:uid="{00000000-0005-0000-0000-0000536A0000}"/>
    <cellStyle name="Normal 4 2 22 7" xfId="24381" xr:uid="{00000000-0005-0000-0000-0000546A0000}"/>
    <cellStyle name="Normal 4 2 23" xfId="3838" xr:uid="{00000000-0005-0000-0000-0000556A0000}"/>
    <cellStyle name="Normal 4 2 23 2" xfId="5080" xr:uid="{00000000-0005-0000-0000-0000566A0000}"/>
    <cellStyle name="Normal 4 2 23 2 2" xfId="6705" xr:uid="{00000000-0005-0000-0000-0000576A0000}"/>
    <cellStyle name="Normal 4 2 23 2 2 2" xfId="9791" xr:uid="{00000000-0005-0000-0000-0000586A0000}"/>
    <cellStyle name="Normal 4 2 23 2 2 2 2" xfId="15984" xr:uid="{00000000-0005-0000-0000-0000596A0000}"/>
    <cellStyle name="Normal 4 2 23 2 2 2 2 2" xfId="35904" xr:uid="{00000000-0005-0000-0000-00005A6A0000}"/>
    <cellStyle name="Normal 4 2 23 2 2 2 3" xfId="22136" xr:uid="{00000000-0005-0000-0000-00005B6A0000}"/>
    <cellStyle name="Normal 4 2 23 2 2 2 3 2" xfId="42056" xr:uid="{00000000-0005-0000-0000-00005C6A0000}"/>
    <cellStyle name="Normal 4 2 23 2 2 2 4" xfId="29751" xr:uid="{00000000-0005-0000-0000-00005D6A0000}"/>
    <cellStyle name="Normal 4 2 23 2 2 3" xfId="12918" xr:uid="{00000000-0005-0000-0000-00005E6A0000}"/>
    <cellStyle name="Normal 4 2 23 2 2 3 2" xfId="32838" xr:uid="{00000000-0005-0000-0000-00005F6A0000}"/>
    <cellStyle name="Normal 4 2 23 2 2 4" xfId="19070" xr:uid="{00000000-0005-0000-0000-0000606A0000}"/>
    <cellStyle name="Normal 4 2 23 2 2 4 2" xfId="38990" xr:uid="{00000000-0005-0000-0000-0000616A0000}"/>
    <cellStyle name="Normal 4 2 23 2 2 5" xfId="26685" xr:uid="{00000000-0005-0000-0000-0000626A0000}"/>
    <cellStyle name="Normal 4 2 23 2 3" xfId="8256" xr:uid="{00000000-0005-0000-0000-0000636A0000}"/>
    <cellStyle name="Normal 4 2 23 2 3 2" xfId="14450" xr:uid="{00000000-0005-0000-0000-0000646A0000}"/>
    <cellStyle name="Normal 4 2 23 2 3 2 2" xfId="34370" xr:uid="{00000000-0005-0000-0000-0000656A0000}"/>
    <cellStyle name="Normal 4 2 23 2 3 3" xfId="20602" xr:uid="{00000000-0005-0000-0000-0000666A0000}"/>
    <cellStyle name="Normal 4 2 23 2 3 3 2" xfId="40522" xr:uid="{00000000-0005-0000-0000-0000676A0000}"/>
    <cellStyle name="Normal 4 2 23 2 3 4" xfId="28217" xr:uid="{00000000-0005-0000-0000-0000686A0000}"/>
    <cellStyle name="Normal 4 2 23 2 4" xfId="11384" xr:uid="{00000000-0005-0000-0000-0000696A0000}"/>
    <cellStyle name="Normal 4 2 23 2 4 2" xfId="31304" xr:uid="{00000000-0005-0000-0000-00006A6A0000}"/>
    <cellStyle name="Normal 4 2 23 2 5" xfId="17536" xr:uid="{00000000-0005-0000-0000-00006B6A0000}"/>
    <cellStyle name="Normal 4 2 23 2 5 2" xfId="37456" xr:uid="{00000000-0005-0000-0000-00006C6A0000}"/>
    <cellStyle name="Normal 4 2 23 2 6" xfId="25151" xr:uid="{00000000-0005-0000-0000-00006D6A0000}"/>
    <cellStyle name="Normal 4 2 23 3" xfId="5922" xr:uid="{00000000-0005-0000-0000-00006E6A0000}"/>
    <cellStyle name="Normal 4 2 23 3 2" xfId="9022" xr:uid="{00000000-0005-0000-0000-00006F6A0000}"/>
    <cellStyle name="Normal 4 2 23 3 2 2" xfId="15215" xr:uid="{00000000-0005-0000-0000-0000706A0000}"/>
    <cellStyle name="Normal 4 2 23 3 2 2 2" xfId="35135" xr:uid="{00000000-0005-0000-0000-0000716A0000}"/>
    <cellStyle name="Normal 4 2 23 3 2 3" xfId="21367" xr:uid="{00000000-0005-0000-0000-0000726A0000}"/>
    <cellStyle name="Normal 4 2 23 3 2 3 2" xfId="41287" xr:uid="{00000000-0005-0000-0000-0000736A0000}"/>
    <cellStyle name="Normal 4 2 23 3 2 4" xfId="28982" xr:uid="{00000000-0005-0000-0000-0000746A0000}"/>
    <cellStyle name="Normal 4 2 23 3 3" xfId="12149" xr:uid="{00000000-0005-0000-0000-0000756A0000}"/>
    <cellStyle name="Normal 4 2 23 3 3 2" xfId="32069" xr:uid="{00000000-0005-0000-0000-0000766A0000}"/>
    <cellStyle name="Normal 4 2 23 3 4" xfId="18301" xr:uid="{00000000-0005-0000-0000-0000776A0000}"/>
    <cellStyle name="Normal 4 2 23 3 4 2" xfId="38221" xr:uid="{00000000-0005-0000-0000-0000786A0000}"/>
    <cellStyle name="Normal 4 2 23 3 5" xfId="25916" xr:uid="{00000000-0005-0000-0000-0000796A0000}"/>
    <cellStyle name="Normal 4 2 23 4" xfId="7487" xr:uid="{00000000-0005-0000-0000-00007A6A0000}"/>
    <cellStyle name="Normal 4 2 23 4 2" xfId="13681" xr:uid="{00000000-0005-0000-0000-00007B6A0000}"/>
    <cellStyle name="Normal 4 2 23 4 2 2" xfId="33601" xr:uid="{00000000-0005-0000-0000-00007C6A0000}"/>
    <cellStyle name="Normal 4 2 23 4 3" xfId="19833" xr:uid="{00000000-0005-0000-0000-00007D6A0000}"/>
    <cellStyle name="Normal 4 2 23 4 3 2" xfId="39753" xr:uid="{00000000-0005-0000-0000-00007E6A0000}"/>
    <cellStyle name="Normal 4 2 23 4 4" xfId="27448" xr:uid="{00000000-0005-0000-0000-00007F6A0000}"/>
    <cellStyle name="Normal 4 2 23 5" xfId="10615" xr:uid="{00000000-0005-0000-0000-0000806A0000}"/>
    <cellStyle name="Normal 4 2 23 5 2" xfId="30535" xr:uid="{00000000-0005-0000-0000-0000816A0000}"/>
    <cellStyle name="Normal 4 2 23 6" xfId="16767" xr:uid="{00000000-0005-0000-0000-0000826A0000}"/>
    <cellStyle name="Normal 4 2 23 6 2" xfId="36687" xr:uid="{00000000-0005-0000-0000-0000836A0000}"/>
    <cellStyle name="Normal 4 2 23 7" xfId="24382" xr:uid="{00000000-0005-0000-0000-0000846A0000}"/>
    <cellStyle name="Normal 4 2 24" xfId="3839" xr:uid="{00000000-0005-0000-0000-0000856A0000}"/>
    <cellStyle name="Normal 4 2 24 2" xfId="5081" xr:uid="{00000000-0005-0000-0000-0000866A0000}"/>
    <cellStyle name="Normal 4 2 24 2 2" xfId="6706" xr:uid="{00000000-0005-0000-0000-0000876A0000}"/>
    <cellStyle name="Normal 4 2 24 2 2 2" xfId="9792" xr:uid="{00000000-0005-0000-0000-0000886A0000}"/>
    <cellStyle name="Normal 4 2 24 2 2 2 2" xfId="15985" xr:uid="{00000000-0005-0000-0000-0000896A0000}"/>
    <cellStyle name="Normal 4 2 24 2 2 2 2 2" xfId="35905" xr:uid="{00000000-0005-0000-0000-00008A6A0000}"/>
    <cellStyle name="Normal 4 2 24 2 2 2 3" xfId="22137" xr:uid="{00000000-0005-0000-0000-00008B6A0000}"/>
    <cellStyle name="Normal 4 2 24 2 2 2 3 2" xfId="42057" xr:uid="{00000000-0005-0000-0000-00008C6A0000}"/>
    <cellStyle name="Normal 4 2 24 2 2 2 4" xfId="29752" xr:uid="{00000000-0005-0000-0000-00008D6A0000}"/>
    <cellStyle name="Normal 4 2 24 2 2 3" xfId="12919" xr:uid="{00000000-0005-0000-0000-00008E6A0000}"/>
    <cellStyle name="Normal 4 2 24 2 2 3 2" xfId="32839" xr:uid="{00000000-0005-0000-0000-00008F6A0000}"/>
    <cellStyle name="Normal 4 2 24 2 2 4" xfId="19071" xr:uid="{00000000-0005-0000-0000-0000906A0000}"/>
    <cellStyle name="Normal 4 2 24 2 2 4 2" xfId="38991" xr:uid="{00000000-0005-0000-0000-0000916A0000}"/>
    <cellStyle name="Normal 4 2 24 2 2 5" xfId="26686" xr:uid="{00000000-0005-0000-0000-0000926A0000}"/>
    <cellStyle name="Normal 4 2 24 2 3" xfId="8257" xr:uid="{00000000-0005-0000-0000-0000936A0000}"/>
    <cellStyle name="Normal 4 2 24 2 3 2" xfId="14451" xr:uid="{00000000-0005-0000-0000-0000946A0000}"/>
    <cellStyle name="Normal 4 2 24 2 3 2 2" xfId="34371" xr:uid="{00000000-0005-0000-0000-0000956A0000}"/>
    <cellStyle name="Normal 4 2 24 2 3 3" xfId="20603" xr:uid="{00000000-0005-0000-0000-0000966A0000}"/>
    <cellStyle name="Normal 4 2 24 2 3 3 2" xfId="40523" xr:uid="{00000000-0005-0000-0000-0000976A0000}"/>
    <cellStyle name="Normal 4 2 24 2 3 4" xfId="28218" xr:uid="{00000000-0005-0000-0000-0000986A0000}"/>
    <cellStyle name="Normal 4 2 24 2 4" xfId="11385" xr:uid="{00000000-0005-0000-0000-0000996A0000}"/>
    <cellStyle name="Normal 4 2 24 2 4 2" xfId="31305" xr:uid="{00000000-0005-0000-0000-00009A6A0000}"/>
    <cellStyle name="Normal 4 2 24 2 5" xfId="17537" xr:uid="{00000000-0005-0000-0000-00009B6A0000}"/>
    <cellStyle name="Normal 4 2 24 2 5 2" xfId="37457" xr:uid="{00000000-0005-0000-0000-00009C6A0000}"/>
    <cellStyle name="Normal 4 2 24 2 6" xfId="25152" xr:uid="{00000000-0005-0000-0000-00009D6A0000}"/>
    <cellStyle name="Normal 4 2 24 3" xfId="5923" xr:uid="{00000000-0005-0000-0000-00009E6A0000}"/>
    <cellStyle name="Normal 4 2 24 3 2" xfId="9023" xr:uid="{00000000-0005-0000-0000-00009F6A0000}"/>
    <cellStyle name="Normal 4 2 24 3 2 2" xfId="15216" xr:uid="{00000000-0005-0000-0000-0000A06A0000}"/>
    <cellStyle name="Normal 4 2 24 3 2 2 2" xfId="35136" xr:uid="{00000000-0005-0000-0000-0000A16A0000}"/>
    <cellStyle name="Normal 4 2 24 3 2 3" xfId="21368" xr:uid="{00000000-0005-0000-0000-0000A26A0000}"/>
    <cellStyle name="Normal 4 2 24 3 2 3 2" xfId="41288" xr:uid="{00000000-0005-0000-0000-0000A36A0000}"/>
    <cellStyle name="Normal 4 2 24 3 2 4" xfId="28983" xr:uid="{00000000-0005-0000-0000-0000A46A0000}"/>
    <cellStyle name="Normal 4 2 24 3 3" xfId="12150" xr:uid="{00000000-0005-0000-0000-0000A56A0000}"/>
    <cellStyle name="Normal 4 2 24 3 3 2" xfId="32070" xr:uid="{00000000-0005-0000-0000-0000A66A0000}"/>
    <cellStyle name="Normal 4 2 24 3 4" xfId="18302" xr:uid="{00000000-0005-0000-0000-0000A76A0000}"/>
    <cellStyle name="Normal 4 2 24 3 4 2" xfId="38222" xr:uid="{00000000-0005-0000-0000-0000A86A0000}"/>
    <cellStyle name="Normal 4 2 24 3 5" xfId="25917" xr:uid="{00000000-0005-0000-0000-0000A96A0000}"/>
    <cellStyle name="Normal 4 2 24 4" xfId="7488" xr:uid="{00000000-0005-0000-0000-0000AA6A0000}"/>
    <cellStyle name="Normal 4 2 24 4 2" xfId="13682" xr:uid="{00000000-0005-0000-0000-0000AB6A0000}"/>
    <cellStyle name="Normal 4 2 24 4 2 2" xfId="33602" xr:uid="{00000000-0005-0000-0000-0000AC6A0000}"/>
    <cellStyle name="Normal 4 2 24 4 3" xfId="19834" xr:uid="{00000000-0005-0000-0000-0000AD6A0000}"/>
    <cellStyle name="Normal 4 2 24 4 3 2" xfId="39754" xr:uid="{00000000-0005-0000-0000-0000AE6A0000}"/>
    <cellStyle name="Normal 4 2 24 4 4" xfId="27449" xr:uid="{00000000-0005-0000-0000-0000AF6A0000}"/>
    <cellStyle name="Normal 4 2 24 5" xfId="10616" xr:uid="{00000000-0005-0000-0000-0000B06A0000}"/>
    <cellStyle name="Normal 4 2 24 5 2" xfId="30536" xr:uid="{00000000-0005-0000-0000-0000B16A0000}"/>
    <cellStyle name="Normal 4 2 24 6" xfId="16768" xr:uid="{00000000-0005-0000-0000-0000B26A0000}"/>
    <cellStyle name="Normal 4 2 24 6 2" xfId="36688" xr:uid="{00000000-0005-0000-0000-0000B36A0000}"/>
    <cellStyle name="Normal 4 2 24 7" xfId="24383" xr:uid="{00000000-0005-0000-0000-0000B46A0000}"/>
    <cellStyle name="Normal 4 2 25" xfId="3840" xr:uid="{00000000-0005-0000-0000-0000B56A0000}"/>
    <cellStyle name="Normal 4 2 26" xfId="3841" xr:uid="{00000000-0005-0000-0000-0000B66A0000}"/>
    <cellStyle name="Normal 4 2 26 2" xfId="3842" xr:uid="{00000000-0005-0000-0000-0000B76A0000}"/>
    <cellStyle name="Normal 4 2 27" xfId="3843" xr:uid="{00000000-0005-0000-0000-0000B86A0000}"/>
    <cellStyle name="Normal 4 2 27 2" xfId="3844" xr:uid="{00000000-0005-0000-0000-0000B96A0000}"/>
    <cellStyle name="Normal 4 2 28" xfId="10142" xr:uid="{00000000-0005-0000-0000-0000BA6A0000}"/>
    <cellStyle name="Normal 4 2 29" xfId="3819" xr:uid="{00000000-0005-0000-0000-0000BB6A0000}"/>
    <cellStyle name="Normal 4 2 3" xfId="3845" xr:uid="{00000000-0005-0000-0000-0000BC6A0000}"/>
    <cellStyle name="Normal 4 2 3 2" xfId="3846" xr:uid="{00000000-0005-0000-0000-0000BD6A0000}"/>
    <cellStyle name="Normal 4 2 3 2 2" xfId="5083" xr:uid="{00000000-0005-0000-0000-0000BE6A0000}"/>
    <cellStyle name="Normal 4 2 3 2 2 2" xfId="6708" xr:uid="{00000000-0005-0000-0000-0000BF6A0000}"/>
    <cellStyle name="Normal 4 2 3 2 2 2 2" xfId="9794" xr:uid="{00000000-0005-0000-0000-0000C06A0000}"/>
    <cellStyle name="Normal 4 2 3 2 2 2 2 2" xfId="15987" xr:uid="{00000000-0005-0000-0000-0000C16A0000}"/>
    <cellStyle name="Normal 4 2 3 2 2 2 2 2 2" xfId="35907" xr:uid="{00000000-0005-0000-0000-0000C26A0000}"/>
    <cellStyle name="Normal 4 2 3 2 2 2 2 3" xfId="22139" xr:uid="{00000000-0005-0000-0000-0000C36A0000}"/>
    <cellStyle name="Normal 4 2 3 2 2 2 2 3 2" xfId="42059" xr:uid="{00000000-0005-0000-0000-0000C46A0000}"/>
    <cellStyle name="Normal 4 2 3 2 2 2 2 4" xfId="29754" xr:uid="{00000000-0005-0000-0000-0000C56A0000}"/>
    <cellStyle name="Normal 4 2 3 2 2 2 3" xfId="12921" xr:uid="{00000000-0005-0000-0000-0000C66A0000}"/>
    <cellStyle name="Normal 4 2 3 2 2 2 3 2" xfId="32841" xr:uid="{00000000-0005-0000-0000-0000C76A0000}"/>
    <cellStyle name="Normal 4 2 3 2 2 2 4" xfId="19073" xr:uid="{00000000-0005-0000-0000-0000C86A0000}"/>
    <cellStyle name="Normal 4 2 3 2 2 2 4 2" xfId="38993" xr:uid="{00000000-0005-0000-0000-0000C96A0000}"/>
    <cellStyle name="Normal 4 2 3 2 2 2 5" xfId="26688" xr:uid="{00000000-0005-0000-0000-0000CA6A0000}"/>
    <cellStyle name="Normal 4 2 3 2 2 3" xfId="8259" xr:uid="{00000000-0005-0000-0000-0000CB6A0000}"/>
    <cellStyle name="Normal 4 2 3 2 2 3 2" xfId="14453" xr:uid="{00000000-0005-0000-0000-0000CC6A0000}"/>
    <cellStyle name="Normal 4 2 3 2 2 3 2 2" xfId="34373" xr:uid="{00000000-0005-0000-0000-0000CD6A0000}"/>
    <cellStyle name="Normal 4 2 3 2 2 3 3" xfId="20605" xr:uid="{00000000-0005-0000-0000-0000CE6A0000}"/>
    <cellStyle name="Normal 4 2 3 2 2 3 3 2" xfId="40525" xr:uid="{00000000-0005-0000-0000-0000CF6A0000}"/>
    <cellStyle name="Normal 4 2 3 2 2 3 4" xfId="28220" xr:uid="{00000000-0005-0000-0000-0000D06A0000}"/>
    <cellStyle name="Normal 4 2 3 2 2 4" xfId="11387" xr:uid="{00000000-0005-0000-0000-0000D16A0000}"/>
    <cellStyle name="Normal 4 2 3 2 2 4 2" xfId="31307" xr:uid="{00000000-0005-0000-0000-0000D26A0000}"/>
    <cellStyle name="Normal 4 2 3 2 2 5" xfId="17539" xr:uid="{00000000-0005-0000-0000-0000D36A0000}"/>
    <cellStyle name="Normal 4 2 3 2 2 5 2" xfId="37459" xr:uid="{00000000-0005-0000-0000-0000D46A0000}"/>
    <cellStyle name="Normal 4 2 3 2 2 6" xfId="25154" xr:uid="{00000000-0005-0000-0000-0000D56A0000}"/>
    <cellStyle name="Normal 4 2 3 2 3" xfId="5925" xr:uid="{00000000-0005-0000-0000-0000D66A0000}"/>
    <cellStyle name="Normal 4 2 3 2 3 2" xfId="9025" xr:uid="{00000000-0005-0000-0000-0000D76A0000}"/>
    <cellStyle name="Normal 4 2 3 2 3 2 2" xfId="15218" xr:uid="{00000000-0005-0000-0000-0000D86A0000}"/>
    <cellStyle name="Normal 4 2 3 2 3 2 2 2" xfId="35138" xr:uid="{00000000-0005-0000-0000-0000D96A0000}"/>
    <cellStyle name="Normal 4 2 3 2 3 2 3" xfId="21370" xr:uid="{00000000-0005-0000-0000-0000DA6A0000}"/>
    <cellStyle name="Normal 4 2 3 2 3 2 3 2" xfId="41290" xr:uid="{00000000-0005-0000-0000-0000DB6A0000}"/>
    <cellStyle name="Normal 4 2 3 2 3 2 4" xfId="28985" xr:uid="{00000000-0005-0000-0000-0000DC6A0000}"/>
    <cellStyle name="Normal 4 2 3 2 3 3" xfId="12152" xr:uid="{00000000-0005-0000-0000-0000DD6A0000}"/>
    <cellStyle name="Normal 4 2 3 2 3 3 2" xfId="32072" xr:uid="{00000000-0005-0000-0000-0000DE6A0000}"/>
    <cellStyle name="Normal 4 2 3 2 3 4" xfId="18304" xr:uid="{00000000-0005-0000-0000-0000DF6A0000}"/>
    <cellStyle name="Normal 4 2 3 2 3 4 2" xfId="38224" xr:uid="{00000000-0005-0000-0000-0000E06A0000}"/>
    <cellStyle name="Normal 4 2 3 2 3 5" xfId="25919" xr:uid="{00000000-0005-0000-0000-0000E16A0000}"/>
    <cellStyle name="Normal 4 2 3 2 4" xfId="7490" xr:uid="{00000000-0005-0000-0000-0000E26A0000}"/>
    <cellStyle name="Normal 4 2 3 2 4 2" xfId="13684" xr:uid="{00000000-0005-0000-0000-0000E36A0000}"/>
    <cellStyle name="Normal 4 2 3 2 4 2 2" xfId="33604" xr:uid="{00000000-0005-0000-0000-0000E46A0000}"/>
    <cellStyle name="Normal 4 2 3 2 4 3" xfId="19836" xr:uid="{00000000-0005-0000-0000-0000E56A0000}"/>
    <cellStyle name="Normal 4 2 3 2 4 3 2" xfId="39756" xr:uid="{00000000-0005-0000-0000-0000E66A0000}"/>
    <cellStyle name="Normal 4 2 3 2 4 4" xfId="27451" xr:uid="{00000000-0005-0000-0000-0000E76A0000}"/>
    <cellStyle name="Normal 4 2 3 2 5" xfId="10618" xr:uid="{00000000-0005-0000-0000-0000E86A0000}"/>
    <cellStyle name="Normal 4 2 3 2 5 2" xfId="30538" xr:uid="{00000000-0005-0000-0000-0000E96A0000}"/>
    <cellStyle name="Normal 4 2 3 2 6" xfId="16770" xr:uid="{00000000-0005-0000-0000-0000EA6A0000}"/>
    <cellStyle name="Normal 4 2 3 2 6 2" xfId="36690" xr:uid="{00000000-0005-0000-0000-0000EB6A0000}"/>
    <cellStyle name="Normal 4 2 3 2 7" xfId="24385" xr:uid="{00000000-0005-0000-0000-0000EC6A0000}"/>
    <cellStyle name="Normal 4 2 3 3" xfId="5082" xr:uid="{00000000-0005-0000-0000-0000ED6A0000}"/>
    <cellStyle name="Normal 4 2 3 3 2" xfId="6707" xr:uid="{00000000-0005-0000-0000-0000EE6A0000}"/>
    <cellStyle name="Normal 4 2 3 3 2 2" xfId="9793" xr:uid="{00000000-0005-0000-0000-0000EF6A0000}"/>
    <cellStyle name="Normal 4 2 3 3 2 2 2" xfId="15986" xr:uid="{00000000-0005-0000-0000-0000F06A0000}"/>
    <cellStyle name="Normal 4 2 3 3 2 2 2 2" xfId="35906" xr:uid="{00000000-0005-0000-0000-0000F16A0000}"/>
    <cellStyle name="Normal 4 2 3 3 2 2 3" xfId="22138" xr:uid="{00000000-0005-0000-0000-0000F26A0000}"/>
    <cellStyle name="Normal 4 2 3 3 2 2 3 2" xfId="42058" xr:uid="{00000000-0005-0000-0000-0000F36A0000}"/>
    <cellStyle name="Normal 4 2 3 3 2 2 4" xfId="29753" xr:uid="{00000000-0005-0000-0000-0000F46A0000}"/>
    <cellStyle name="Normal 4 2 3 3 2 3" xfId="12920" xr:uid="{00000000-0005-0000-0000-0000F56A0000}"/>
    <cellStyle name="Normal 4 2 3 3 2 3 2" xfId="32840" xr:uid="{00000000-0005-0000-0000-0000F66A0000}"/>
    <cellStyle name="Normal 4 2 3 3 2 4" xfId="19072" xr:uid="{00000000-0005-0000-0000-0000F76A0000}"/>
    <cellStyle name="Normal 4 2 3 3 2 4 2" xfId="38992" xr:uid="{00000000-0005-0000-0000-0000F86A0000}"/>
    <cellStyle name="Normal 4 2 3 3 2 5" xfId="26687" xr:uid="{00000000-0005-0000-0000-0000F96A0000}"/>
    <cellStyle name="Normal 4 2 3 3 3" xfId="8258" xr:uid="{00000000-0005-0000-0000-0000FA6A0000}"/>
    <cellStyle name="Normal 4 2 3 3 3 2" xfId="14452" xr:uid="{00000000-0005-0000-0000-0000FB6A0000}"/>
    <cellStyle name="Normal 4 2 3 3 3 2 2" xfId="34372" xr:uid="{00000000-0005-0000-0000-0000FC6A0000}"/>
    <cellStyle name="Normal 4 2 3 3 3 3" xfId="20604" xr:uid="{00000000-0005-0000-0000-0000FD6A0000}"/>
    <cellStyle name="Normal 4 2 3 3 3 3 2" xfId="40524" xr:uid="{00000000-0005-0000-0000-0000FE6A0000}"/>
    <cellStyle name="Normal 4 2 3 3 3 4" xfId="28219" xr:uid="{00000000-0005-0000-0000-0000FF6A0000}"/>
    <cellStyle name="Normal 4 2 3 3 4" xfId="11386" xr:uid="{00000000-0005-0000-0000-0000006B0000}"/>
    <cellStyle name="Normal 4 2 3 3 4 2" xfId="31306" xr:uid="{00000000-0005-0000-0000-0000016B0000}"/>
    <cellStyle name="Normal 4 2 3 3 5" xfId="17538" xr:uid="{00000000-0005-0000-0000-0000026B0000}"/>
    <cellStyle name="Normal 4 2 3 3 5 2" xfId="37458" xr:uid="{00000000-0005-0000-0000-0000036B0000}"/>
    <cellStyle name="Normal 4 2 3 3 6" xfId="25153" xr:uid="{00000000-0005-0000-0000-0000046B0000}"/>
    <cellStyle name="Normal 4 2 3 4" xfId="5924" xr:uid="{00000000-0005-0000-0000-0000056B0000}"/>
    <cellStyle name="Normal 4 2 3 4 2" xfId="9024" xr:uid="{00000000-0005-0000-0000-0000066B0000}"/>
    <cellStyle name="Normal 4 2 3 4 2 2" xfId="15217" xr:uid="{00000000-0005-0000-0000-0000076B0000}"/>
    <cellStyle name="Normal 4 2 3 4 2 2 2" xfId="35137" xr:uid="{00000000-0005-0000-0000-0000086B0000}"/>
    <cellStyle name="Normal 4 2 3 4 2 3" xfId="21369" xr:uid="{00000000-0005-0000-0000-0000096B0000}"/>
    <cellStyle name="Normal 4 2 3 4 2 3 2" xfId="41289" xr:uid="{00000000-0005-0000-0000-00000A6B0000}"/>
    <cellStyle name="Normal 4 2 3 4 2 4" xfId="28984" xr:uid="{00000000-0005-0000-0000-00000B6B0000}"/>
    <cellStyle name="Normal 4 2 3 4 3" xfId="12151" xr:uid="{00000000-0005-0000-0000-00000C6B0000}"/>
    <cellStyle name="Normal 4 2 3 4 3 2" xfId="32071" xr:uid="{00000000-0005-0000-0000-00000D6B0000}"/>
    <cellStyle name="Normal 4 2 3 4 4" xfId="18303" xr:uid="{00000000-0005-0000-0000-00000E6B0000}"/>
    <cellStyle name="Normal 4 2 3 4 4 2" xfId="38223" xr:uid="{00000000-0005-0000-0000-00000F6B0000}"/>
    <cellStyle name="Normal 4 2 3 4 5" xfId="25918" xr:uid="{00000000-0005-0000-0000-0000106B0000}"/>
    <cellStyle name="Normal 4 2 3 5" xfId="7489" xr:uid="{00000000-0005-0000-0000-0000116B0000}"/>
    <cellStyle name="Normal 4 2 3 5 2" xfId="13683" xr:uid="{00000000-0005-0000-0000-0000126B0000}"/>
    <cellStyle name="Normal 4 2 3 5 2 2" xfId="33603" xr:uid="{00000000-0005-0000-0000-0000136B0000}"/>
    <cellStyle name="Normal 4 2 3 5 3" xfId="19835" xr:uid="{00000000-0005-0000-0000-0000146B0000}"/>
    <cellStyle name="Normal 4 2 3 5 3 2" xfId="39755" xr:uid="{00000000-0005-0000-0000-0000156B0000}"/>
    <cellStyle name="Normal 4 2 3 5 4" xfId="27450" xr:uid="{00000000-0005-0000-0000-0000166B0000}"/>
    <cellStyle name="Normal 4 2 3 6" xfId="10617" xr:uid="{00000000-0005-0000-0000-0000176B0000}"/>
    <cellStyle name="Normal 4 2 3 6 2" xfId="30537" xr:uid="{00000000-0005-0000-0000-0000186B0000}"/>
    <cellStyle name="Normal 4 2 3 7" xfId="16769" xr:uid="{00000000-0005-0000-0000-0000196B0000}"/>
    <cellStyle name="Normal 4 2 3 7 2" xfId="36689" xr:uid="{00000000-0005-0000-0000-00001A6B0000}"/>
    <cellStyle name="Normal 4 2 3 8" xfId="24384" xr:uid="{00000000-0005-0000-0000-00001B6B0000}"/>
    <cellStyle name="Normal 4 2 4" xfId="3847" xr:uid="{00000000-0005-0000-0000-00001C6B0000}"/>
    <cellStyle name="Normal 4 2 4 2" xfId="3848" xr:uid="{00000000-0005-0000-0000-00001D6B0000}"/>
    <cellStyle name="Normal 4 2 4 2 2" xfId="5085" xr:uid="{00000000-0005-0000-0000-00001E6B0000}"/>
    <cellStyle name="Normal 4 2 4 2 2 2" xfId="6710" xr:uid="{00000000-0005-0000-0000-00001F6B0000}"/>
    <cellStyle name="Normal 4 2 4 2 2 2 2" xfId="9796" xr:uid="{00000000-0005-0000-0000-0000206B0000}"/>
    <cellStyle name="Normal 4 2 4 2 2 2 2 2" xfId="15989" xr:uid="{00000000-0005-0000-0000-0000216B0000}"/>
    <cellStyle name="Normal 4 2 4 2 2 2 2 2 2" xfId="35909" xr:uid="{00000000-0005-0000-0000-0000226B0000}"/>
    <cellStyle name="Normal 4 2 4 2 2 2 2 3" xfId="22141" xr:uid="{00000000-0005-0000-0000-0000236B0000}"/>
    <cellStyle name="Normal 4 2 4 2 2 2 2 3 2" xfId="42061" xr:uid="{00000000-0005-0000-0000-0000246B0000}"/>
    <cellStyle name="Normal 4 2 4 2 2 2 2 4" xfId="29756" xr:uid="{00000000-0005-0000-0000-0000256B0000}"/>
    <cellStyle name="Normal 4 2 4 2 2 2 3" xfId="12923" xr:uid="{00000000-0005-0000-0000-0000266B0000}"/>
    <cellStyle name="Normal 4 2 4 2 2 2 3 2" xfId="32843" xr:uid="{00000000-0005-0000-0000-0000276B0000}"/>
    <cellStyle name="Normal 4 2 4 2 2 2 4" xfId="19075" xr:uid="{00000000-0005-0000-0000-0000286B0000}"/>
    <cellStyle name="Normal 4 2 4 2 2 2 4 2" xfId="38995" xr:uid="{00000000-0005-0000-0000-0000296B0000}"/>
    <cellStyle name="Normal 4 2 4 2 2 2 5" xfId="26690" xr:uid="{00000000-0005-0000-0000-00002A6B0000}"/>
    <cellStyle name="Normal 4 2 4 2 2 3" xfId="8261" xr:uid="{00000000-0005-0000-0000-00002B6B0000}"/>
    <cellStyle name="Normal 4 2 4 2 2 3 2" xfId="14455" xr:uid="{00000000-0005-0000-0000-00002C6B0000}"/>
    <cellStyle name="Normal 4 2 4 2 2 3 2 2" xfId="34375" xr:uid="{00000000-0005-0000-0000-00002D6B0000}"/>
    <cellStyle name="Normal 4 2 4 2 2 3 3" xfId="20607" xr:uid="{00000000-0005-0000-0000-00002E6B0000}"/>
    <cellStyle name="Normal 4 2 4 2 2 3 3 2" xfId="40527" xr:uid="{00000000-0005-0000-0000-00002F6B0000}"/>
    <cellStyle name="Normal 4 2 4 2 2 3 4" xfId="28222" xr:uid="{00000000-0005-0000-0000-0000306B0000}"/>
    <cellStyle name="Normal 4 2 4 2 2 4" xfId="11389" xr:uid="{00000000-0005-0000-0000-0000316B0000}"/>
    <cellStyle name="Normal 4 2 4 2 2 4 2" xfId="31309" xr:uid="{00000000-0005-0000-0000-0000326B0000}"/>
    <cellStyle name="Normal 4 2 4 2 2 5" xfId="17541" xr:uid="{00000000-0005-0000-0000-0000336B0000}"/>
    <cellStyle name="Normal 4 2 4 2 2 5 2" xfId="37461" xr:uid="{00000000-0005-0000-0000-0000346B0000}"/>
    <cellStyle name="Normal 4 2 4 2 2 6" xfId="25156" xr:uid="{00000000-0005-0000-0000-0000356B0000}"/>
    <cellStyle name="Normal 4 2 4 2 3" xfId="5927" xr:uid="{00000000-0005-0000-0000-0000366B0000}"/>
    <cellStyle name="Normal 4 2 4 2 3 2" xfId="9027" xr:uid="{00000000-0005-0000-0000-0000376B0000}"/>
    <cellStyle name="Normal 4 2 4 2 3 2 2" xfId="15220" xr:uid="{00000000-0005-0000-0000-0000386B0000}"/>
    <cellStyle name="Normal 4 2 4 2 3 2 2 2" xfId="35140" xr:uid="{00000000-0005-0000-0000-0000396B0000}"/>
    <cellStyle name="Normal 4 2 4 2 3 2 3" xfId="21372" xr:uid="{00000000-0005-0000-0000-00003A6B0000}"/>
    <cellStyle name="Normal 4 2 4 2 3 2 3 2" xfId="41292" xr:uid="{00000000-0005-0000-0000-00003B6B0000}"/>
    <cellStyle name="Normal 4 2 4 2 3 2 4" xfId="28987" xr:uid="{00000000-0005-0000-0000-00003C6B0000}"/>
    <cellStyle name="Normal 4 2 4 2 3 3" xfId="12154" xr:uid="{00000000-0005-0000-0000-00003D6B0000}"/>
    <cellStyle name="Normal 4 2 4 2 3 3 2" xfId="32074" xr:uid="{00000000-0005-0000-0000-00003E6B0000}"/>
    <cellStyle name="Normal 4 2 4 2 3 4" xfId="18306" xr:uid="{00000000-0005-0000-0000-00003F6B0000}"/>
    <cellStyle name="Normal 4 2 4 2 3 4 2" xfId="38226" xr:uid="{00000000-0005-0000-0000-0000406B0000}"/>
    <cellStyle name="Normal 4 2 4 2 3 5" xfId="25921" xr:uid="{00000000-0005-0000-0000-0000416B0000}"/>
    <cellStyle name="Normal 4 2 4 2 4" xfId="7492" xr:uid="{00000000-0005-0000-0000-0000426B0000}"/>
    <cellStyle name="Normal 4 2 4 2 4 2" xfId="13686" xr:uid="{00000000-0005-0000-0000-0000436B0000}"/>
    <cellStyle name="Normal 4 2 4 2 4 2 2" xfId="33606" xr:uid="{00000000-0005-0000-0000-0000446B0000}"/>
    <cellStyle name="Normal 4 2 4 2 4 3" xfId="19838" xr:uid="{00000000-0005-0000-0000-0000456B0000}"/>
    <cellStyle name="Normal 4 2 4 2 4 3 2" xfId="39758" xr:uid="{00000000-0005-0000-0000-0000466B0000}"/>
    <cellStyle name="Normal 4 2 4 2 4 4" xfId="27453" xr:uid="{00000000-0005-0000-0000-0000476B0000}"/>
    <cellStyle name="Normal 4 2 4 2 5" xfId="10620" xr:uid="{00000000-0005-0000-0000-0000486B0000}"/>
    <cellStyle name="Normal 4 2 4 2 5 2" xfId="30540" xr:uid="{00000000-0005-0000-0000-0000496B0000}"/>
    <cellStyle name="Normal 4 2 4 2 6" xfId="16772" xr:uid="{00000000-0005-0000-0000-00004A6B0000}"/>
    <cellStyle name="Normal 4 2 4 2 6 2" xfId="36692" xr:uid="{00000000-0005-0000-0000-00004B6B0000}"/>
    <cellStyle name="Normal 4 2 4 2 7" xfId="24387" xr:uid="{00000000-0005-0000-0000-00004C6B0000}"/>
    <cellStyle name="Normal 4 2 4 3" xfId="5084" xr:uid="{00000000-0005-0000-0000-00004D6B0000}"/>
    <cellStyle name="Normal 4 2 4 3 2" xfId="6709" xr:uid="{00000000-0005-0000-0000-00004E6B0000}"/>
    <cellStyle name="Normal 4 2 4 3 2 2" xfId="9795" xr:uid="{00000000-0005-0000-0000-00004F6B0000}"/>
    <cellStyle name="Normal 4 2 4 3 2 2 2" xfId="15988" xr:uid="{00000000-0005-0000-0000-0000506B0000}"/>
    <cellStyle name="Normal 4 2 4 3 2 2 2 2" xfId="35908" xr:uid="{00000000-0005-0000-0000-0000516B0000}"/>
    <cellStyle name="Normal 4 2 4 3 2 2 3" xfId="22140" xr:uid="{00000000-0005-0000-0000-0000526B0000}"/>
    <cellStyle name="Normal 4 2 4 3 2 2 3 2" xfId="42060" xr:uid="{00000000-0005-0000-0000-0000536B0000}"/>
    <cellStyle name="Normal 4 2 4 3 2 2 4" xfId="29755" xr:uid="{00000000-0005-0000-0000-0000546B0000}"/>
    <cellStyle name="Normal 4 2 4 3 2 3" xfId="12922" xr:uid="{00000000-0005-0000-0000-0000556B0000}"/>
    <cellStyle name="Normal 4 2 4 3 2 3 2" xfId="32842" xr:uid="{00000000-0005-0000-0000-0000566B0000}"/>
    <cellStyle name="Normal 4 2 4 3 2 4" xfId="19074" xr:uid="{00000000-0005-0000-0000-0000576B0000}"/>
    <cellStyle name="Normal 4 2 4 3 2 4 2" xfId="38994" xr:uid="{00000000-0005-0000-0000-0000586B0000}"/>
    <cellStyle name="Normal 4 2 4 3 2 5" xfId="26689" xr:uid="{00000000-0005-0000-0000-0000596B0000}"/>
    <cellStyle name="Normal 4 2 4 3 3" xfId="8260" xr:uid="{00000000-0005-0000-0000-00005A6B0000}"/>
    <cellStyle name="Normal 4 2 4 3 3 2" xfId="14454" xr:uid="{00000000-0005-0000-0000-00005B6B0000}"/>
    <cellStyle name="Normal 4 2 4 3 3 2 2" xfId="34374" xr:uid="{00000000-0005-0000-0000-00005C6B0000}"/>
    <cellStyle name="Normal 4 2 4 3 3 3" xfId="20606" xr:uid="{00000000-0005-0000-0000-00005D6B0000}"/>
    <cellStyle name="Normal 4 2 4 3 3 3 2" xfId="40526" xr:uid="{00000000-0005-0000-0000-00005E6B0000}"/>
    <cellStyle name="Normal 4 2 4 3 3 4" xfId="28221" xr:uid="{00000000-0005-0000-0000-00005F6B0000}"/>
    <cellStyle name="Normal 4 2 4 3 4" xfId="11388" xr:uid="{00000000-0005-0000-0000-0000606B0000}"/>
    <cellStyle name="Normal 4 2 4 3 4 2" xfId="31308" xr:uid="{00000000-0005-0000-0000-0000616B0000}"/>
    <cellStyle name="Normal 4 2 4 3 5" xfId="17540" xr:uid="{00000000-0005-0000-0000-0000626B0000}"/>
    <cellStyle name="Normal 4 2 4 3 5 2" xfId="37460" xr:uid="{00000000-0005-0000-0000-0000636B0000}"/>
    <cellStyle name="Normal 4 2 4 3 6" xfId="25155" xr:uid="{00000000-0005-0000-0000-0000646B0000}"/>
    <cellStyle name="Normal 4 2 4 4" xfId="5926" xr:uid="{00000000-0005-0000-0000-0000656B0000}"/>
    <cellStyle name="Normal 4 2 4 4 2" xfId="9026" xr:uid="{00000000-0005-0000-0000-0000666B0000}"/>
    <cellStyle name="Normal 4 2 4 4 2 2" xfId="15219" xr:uid="{00000000-0005-0000-0000-0000676B0000}"/>
    <cellStyle name="Normal 4 2 4 4 2 2 2" xfId="35139" xr:uid="{00000000-0005-0000-0000-0000686B0000}"/>
    <cellStyle name="Normal 4 2 4 4 2 3" xfId="21371" xr:uid="{00000000-0005-0000-0000-0000696B0000}"/>
    <cellStyle name="Normal 4 2 4 4 2 3 2" xfId="41291" xr:uid="{00000000-0005-0000-0000-00006A6B0000}"/>
    <cellStyle name="Normal 4 2 4 4 2 4" xfId="28986" xr:uid="{00000000-0005-0000-0000-00006B6B0000}"/>
    <cellStyle name="Normal 4 2 4 4 3" xfId="12153" xr:uid="{00000000-0005-0000-0000-00006C6B0000}"/>
    <cellStyle name="Normal 4 2 4 4 3 2" xfId="32073" xr:uid="{00000000-0005-0000-0000-00006D6B0000}"/>
    <cellStyle name="Normal 4 2 4 4 4" xfId="18305" xr:uid="{00000000-0005-0000-0000-00006E6B0000}"/>
    <cellStyle name="Normal 4 2 4 4 4 2" xfId="38225" xr:uid="{00000000-0005-0000-0000-00006F6B0000}"/>
    <cellStyle name="Normal 4 2 4 4 5" xfId="25920" xr:uid="{00000000-0005-0000-0000-0000706B0000}"/>
    <cellStyle name="Normal 4 2 4 5" xfId="7491" xr:uid="{00000000-0005-0000-0000-0000716B0000}"/>
    <cellStyle name="Normal 4 2 4 5 2" xfId="13685" xr:uid="{00000000-0005-0000-0000-0000726B0000}"/>
    <cellStyle name="Normal 4 2 4 5 2 2" xfId="33605" xr:uid="{00000000-0005-0000-0000-0000736B0000}"/>
    <cellStyle name="Normal 4 2 4 5 3" xfId="19837" xr:uid="{00000000-0005-0000-0000-0000746B0000}"/>
    <cellStyle name="Normal 4 2 4 5 3 2" xfId="39757" xr:uid="{00000000-0005-0000-0000-0000756B0000}"/>
    <cellStyle name="Normal 4 2 4 5 4" xfId="27452" xr:uid="{00000000-0005-0000-0000-0000766B0000}"/>
    <cellStyle name="Normal 4 2 4 6" xfId="10619" xr:uid="{00000000-0005-0000-0000-0000776B0000}"/>
    <cellStyle name="Normal 4 2 4 6 2" xfId="30539" xr:uid="{00000000-0005-0000-0000-0000786B0000}"/>
    <cellStyle name="Normal 4 2 4 7" xfId="16771" xr:uid="{00000000-0005-0000-0000-0000796B0000}"/>
    <cellStyle name="Normal 4 2 4 7 2" xfId="36691" xr:uid="{00000000-0005-0000-0000-00007A6B0000}"/>
    <cellStyle name="Normal 4 2 4 8" xfId="24386" xr:uid="{00000000-0005-0000-0000-00007B6B0000}"/>
    <cellStyle name="Normal 4 2 5" xfId="3849" xr:uid="{00000000-0005-0000-0000-00007C6B0000}"/>
    <cellStyle name="Normal 4 2 5 2" xfId="3850" xr:uid="{00000000-0005-0000-0000-00007D6B0000}"/>
    <cellStyle name="Normal 4 2 5 2 2" xfId="5087" xr:uid="{00000000-0005-0000-0000-00007E6B0000}"/>
    <cellStyle name="Normal 4 2 5 2 2 2" xfId="6712" xr:uid="{00000000-0005-0000-0000-00007F6B0000}"/>
    <cellStyle name="Normal 4 2 5 2 2 2 2" xfId="9798" xr:uid="{00000000-0005-0000-0000-0000806B0000}"/>
    <cellStyle name="Normal 4 2 5 2 2 2 2 2" xfId="15991" xr:uid="{00000000-0005-0000-0000-0000816B0000}"/>
    <cellStyle name="Normal 4 2 5 2 2 2 2 2 2" xfId="35911" xr:uid="{00000000-0005-0000-0000-0000826B0000}"/>
    <cellStyle name="Normal 4 2 5 2 2 2 2 3" xfId="22143" xr:uid="{00000000-0005-0000-0000-0000836B0000}"/>
    <cellStyle name="Normal 4 2 5 2 2 2 2 3 2" xfId="42063" xr:uid="{00000000-0005-0000-0000-0000846B0000}"/>
    <cellStyle name="Normal 4 2 5 2 2 2 2 4" xfId="29758" xr:uid="{00000000-0005-0000-0000-0000856B0000}"/>
    <cellStyle name="Normal 4 2 5 2 2 2 3" xfId="12925" xr:uid="{00000000-0005-0000-0000-0000866B0000}"/>
    <cellStyle name="Normal 4 2 5 2 2 2 3 2" xfId="32845" xr:uid="{00000000-0005-0000-0000-0000876B0000}"/>
    <cellStyle name="Normal 4 2 5 2 2 2 4" xfId="19077" xr:uid="{00000000-0005-0000-0000-0000886B0000}"/>
    <cellStyle name="Normal 4 2 5 2 2 2 4 2" xfId="38997" xr:uid="{00000000-0005-0000-0000-0000896B0000}"/>
    <cellStyle name="Normal 4 2 5 2 2 2 5" xfId="26692" xr:uid="{00000000-0005-0000-0000-00008A6B0000}"/>
    <cellStyle name="Normal 4 2 5 2 2 3" xfId="8263" xr:uid="{00000000-0005-0000-0000-00008B6B0000}"/>
    <cellStyle name="Normal 4 2 5 2 2 3 2" xfId="14457" xr:uid="{00000000-0005-0000-0000-00008C6B0000}"/>
    <cellStyle name="Normal 4 2 5 2 2 3 2 2" xfId="34377" xr:uid="{00000000-0005-0000-0000-00008D6B0000}"/>
    <cellStyle name="Normal 4 2 5 2 2 3 3" xfId="20609" xr:uid="{00000000-0005-0000-0000-00008E6B0000}"/>
    <cellStyle name="Normal 4 2 5 2 2 3 3 2" xfId="40529" xr:uid="{00000000-0005-0000-0000-00008F6B0000}"/>
    <cellStyle name="Normal 4 2 5 2 2 3 4" xfId="28224" xr:uid="{00000000-0005-0000-0000-0000906B0000}"/>
    <cellStyle name="Normal 4 2 5 2 2 4" xfId="11391" xr:uid="{00000000-0005-0000-0000-0000916B0000}"/>
    <cellStyle name="Normal 4 2 5 2 2 4 2" xfId="31311" xr:uid="{00000000-0005-0000-0000-0000926B0000}"/>
    <cellStyle name="Normal 4 2 5 2 2 5" xfId="17543" xr:uid="{00000000-0005-0000-0000-0000936B0000}"/>
    <cellStyle name="Normal 4 2 5 2 2 5 2" xfId="37463" xr:uid="{00000000-0005-0000-0000-0000946B0000}"/>
    <cellStyle name="Normal 4 2 5 2 2 6" xfId="25158" xr:uid="{00000000-0005-0000-0000-0000956B0000}"/>
    <cellStyle name="Normal 4 2 5 2 3" xfId="5929" xr:uid="{00000000-0005-0000-0000-0000966B0000}"/>
    <cellStyle name="Normal 4 2 5 2 3 2" xfId="9029" xr:uid="{00000000-0005-0000-0000-0000976B0000}"/>
    <cellStyle name="Normal 4 2 5 2 3 2 2" xfId="15222" xr:uid="{00000000-0005-0000-0000-0000986B0000}"/>
    <cellStyle name="Normal 4 2 5 2 3 2 2 2" xfId="35142" xr:uid="{00000000-0005-0000-0000-0000996B0000}"/>
    <cellStyle name="Normal 4 2 5 2 3 2 3" xfId="21374" xr:uid="{00000000-0005-0000-0000-00009A6B0000}"/>
    <cellStyle name="Normal 4 2 5 2 3 2 3 2" xfId="41294" xr:uid="{00000000-0005-0000-0000-00009B6B0000}"/>
    <cellStyle name="Normal 4 2 5 2 3 2 4" xfId="28989" xr:uid="{00000000-0005-0000-0000-00009C6B0000}"/>
    <cellStyle name="Normal 4 2 5 2 3 3" xfId="12156" xr:uid="{00000000-0005-0000-0000-00009D6B0000}"/>
    <cellStyle name="Normal 4 2 5 2 3 3 2" xfId="32076" xr:uid="{00000000-0005-0000-0000-00009E6B0000}"/>
    <cellStyle name="Normal 4 2 5 2 3 4" xfId="18308" xr:uid="{00000000-0005-0000-0000-00009F6B0000}"/>
    <cellStyle name="Normal 4 2 5 2 3 4 2" xfId="38228" xr:uid="{00000000-0005-0000-0000-0000A06B0000}"/>
    <cellStyle name="Normal 4 2 5 2 3 5" xfId="25923" xr:uid="{00000000-0005-0000-0000-0000A16B0000}"/>
    <cellStyle name="Normal 4 2 5 2 4" xfId="7494" xr:uid="{00000000-0005-0000-0000-0000A26B0000}"/>
    <cellStyle name="Normal 4 2 5 2 4 2" xfId="13688" xr:uid="{00000000-0005-0000-0000-0000A36B0000}"/>
    <cellStyle name="Normal 4 2 5 2 4 2 2" xfId="33608" xr:uid="{00000000-0005-0000-0000-0000A46B0000}"/>
    <cellStyle name="Normal 4 2 5 2 4 3" xfId="19840" xr:uid="{00000000-0005-0000-0000-0000A56B0000}"/>
    <cellStyle name="Normal 4 2 5 2 4 3 2" xfId="39760" xr:uid="{00000000-0005-0000-0000-0000A66B0000}"/>
    <cellStyle name="Normal 4 2 5 2 4 4" xfId="27455" xr:uid="{00000000-0005-0000-0000-0000A76B0000}"/>
    <cellStyle name="Normal 4 2 5 2 5" xfId="10622" xr:uid="{00000000-0005-0000-0000-0000A86B0000}"/>
    <cellStyle name="Normal 4 2 5 2 5 2" xfId="30542" xr:uid="{00000000-0005-0000-0000-0000A96B0000}"/>
    <cellStyle name="Normal 4 2 5 2 6" xfId="16774" xr:uid="{00000000-0005-0000-0000-0000AA6B0000}"/>
    <cellStyle name="Normal 4 2 5 2 6 2" xfId="36694" xr:uid="{00000000-0005-0000-0000-0000AB6B0000}"/>
    <cellStyle name="Normal 4 2 5 2 7" xfId="24389" xr:uid="{00000000-0005-0000-0000-0000AC6B0000}"/>
    <cellStyle name="Normal 4 2 5 3" xfId="5086" xr:uid="{00000000-0005-0000-0000-0000AD6B0000}"/>
    <cellStyle name="Normal 4 2 5 3 2" xfId="6711" xr:uid="{00000000-0005-0000-0000-0000AE6B0000}"/>
    <cellStyle name="Normal 4 2 5 3 2 2" xfId="9797" xr:uid="{00000000-0005-0000-0000-0000AF6B0000}"/>
    <cellStyle name="Normal 4 2 5 3 2 2 2" xfId="15990" xr:uid="{00000000-0005-0000-0000-0000B06B0000}"/>
    <cellStyle name="Normal 4 2 5 3 2 2 2 2" xfId="35910" xr:uid="{00000000-0005-0000-0000-0000B16B0000}"/>
    <cellStyle name="Normal 4 2 5 3 2 2 3" xfId="22142" xr:uid="{00000000-0005-0000-0000-0000B26B0000}"/>
    <cellStyle name="Normal 4 2 5 3 2 2 3 2" xfId="42062" xr:uid="{00000000-0005-0000-0000-0000B36B0000}"/>
    <cellStyle name="Normal 4 2 5 3 2 2 4" xfId="29757" xr:uid="{00000000-0005-0000-0000-0000B46B0000}"/>
    <cellStyle name="Normal 4 2 5 3 2 3" xfId="12924" xr:uid="{00000000-0005-0000-0000-0000B56B0000}"/>
    <cellStyle name="Normal 4 2 5 3 2 3 2" xfId="32844" xr:uid="{00000000-0005-0000-0000-0000B66B0000}"/>
    <cellStyle name="Normal 4 2 5 3 2 4" xfId="19076" xr:uid="{00000000-0005-0000-0000-0000B76B0000}"/>
    <cellStyle name="Normal 4 2 5 3 2 4 2" xfId="38996" xr:uid="{00000000-0005-0000-0000-0000B86B0000}"/>
    <cellStyle name="Normal 4 2 5 3 2 5" xfId="26691" xr:uid="{00000000-0005-0000-0000-0000B96B0000}"/>
    <cellStyle name="Normal 4 2 5 3 3" xfId="8262" xr:uid="{00000000-0005-0000-0000-0000BA6B0000}"/>
    <cellStyle name="Normal 4 2 5 3 3 2" xfId="14456" xr:uid="{00000000-0005-0000-0000-0000BB6B0000}"/>
    <cellStyle name="Normal 4 2 5 3 3 2 2" xfId="34376" xr:uid="{00000000-0005-0000-0000-0000BC6B0000}"/>
    <cellStyle name="Normal 4 2 5 3 3 3" xfId="20608" xr:uid="{00000000-0005-0000-0000-0000BD6B0000}"/>
    <cellStyle name="Normal 4 2 5 3 3 3 2" xfId="40528" xr:uid="{00000000-0005-0000-0000-0000BE6B0000}"/>
    <cellStyle name="Normal 4 2 5 3 3 4" xfId="28223" xr:uid="{00000000-0005-0000-0000-0000BF6B0000}"/>
    <cellStyle name="Normal 4 2 5 3 4" xfId="11390" xr:uid="{00000000-0005-0000-0000-0000C06B0000}"/>
    <cellStyle name="Normal 4 2 5 3 4 2" xfId="31310" xr:uid="{00000000-0005-0000-0000-0000C16B0000}"/>
    <cellStyle name="Normal 4 2 5 3 5" xfId="17542" xr:uid="{00000000-0005-0000-0000-0000C26B0000}"/>
    <cellStyle name="Normal 4 2 5 3 5 2" xfId="37462" xr:uid="{00000000-0005-0000-0000-0000C36B0000}"/>
    <cellStyle name="Normal 4 2 5 3 6" xfId="25157" xr:uid="{00000000-0005-0000-0000-0000C46B0000}"/>
    <cellStyle name="Normal 4 2 5 4" xfId="5928" xr:uid="{00000000-0005-0000-0000-0000C56B0000}"/>
    <cellStyle name="Normal 4 2 5 4 2" xfId="9028" xr:uid="{00000000-0005-0000-0000-0000C66B0000}"/>
    <cellStyle name="Normal 4 2 5 4 2 2" xfId="15221" xr:uid="{00000000-0005-0000-0000-0000C76B0000}"/>
    <cellStyle name="Normal 4 2 5 4 2 2 2" xfId="35141" xr:uid="{00000000-0005-0000-0000-0000C86B0000}"/>
    <cellStyle name="Normal 4 2 5 4 2 3" xfId="21373" xr:uid="{00000000-0005-0000-0000-0000C96B0000}"/>
    <cellStyle name="Normal 4 2 5 4 2 3 2" xfId="41293" xr:uid="{00000000-0005-0000-0000-0000CA6B0000}"/>
    <cellStyle name="Normal 4 2 5 4 2 4" xfId="28988" xr:uid="{00000000-0005-0000-0000-0000CB6B0000}"/>
    <cellStyle name="Normal 4 2 5 4 3" xfId="12155" xr:uid="{00000000-0005-0000-0000-0000CC6B0000}"/>
    <cellStyle name="Normal 4 2 5 4 3 2" xfId="32075" xr:uid="{00000000-0005-0000-0000-0000CD6B0000}"/>
    <cellStyle name="Normal 4 2 5 4 4" xfId="18307" xr:uid="{00000000-0005-0000-0000-0000CE6B0000}"/>
    <cellStyle name="Normal 4 2 5 4 4 2" xfId="38227" xr:uid="{00000000-0005-0000-0000-0000CF6B0000}"/>
    <cellStyle name="Normal 4 2 5 4 5" xfId="25922" xr:uid="{00000000-0005-0000-0000-0000D06B0000}"/>
    <cellStyle name="Normal 4 2 5 5" xfId="7493" xr:uid="{00000000-0005-0000-0000-0000D16B0000}"/>
    <cellStyle name="Normal 4 2 5 5 2" xfId="13687" xr:uid="{00000000-0005-0000-0000-0000D26B0000}"/>
    <cellStyle name="Normal 4 2 5 5 2 2" xfId="33607" xr:uid="{00000000-0005-0000-0000-0000D36B0000}"/>
    <cellStyle name="Normal 4 2 5 5 3" xfId="19839" xr:uid="{00000000-0005-0000-0000-0000D46B0000}"/>
    <cellStyle name="Normal 4 2 5 5 3 2" xfId="39759" xr:uid="{00000000-0005-0000-0000-0000D56B0000}"/>
    <cellStyle name="Normal 4 2 5 5 4" xfId="27454" xr:uid="{00000000-0005-0000-0000-0000D66B0000}"/>
    <cellStyle name="Normal 4 2 5 6" xfId="10621" xr:uid="{00000000-0005-0000-0000-0000D76B0000}"/>
    <cellStyle name="Normal 4 2 5 6 2" xfId="30541" xr:uid="{00000000-0005-0000-0000-0000D86B0000}"/>
    <cellStyle name="Normal 4 2 5 7" xfId="16773" xr:uid="{00000000-0005-0000-0000-0000D96B0000}"/>
    <cellStyle name="Normal 4 2 5 7 2" xfId="36693" xr:uid="{00000000-0005-0000-0000-0000DA6B0000}"/>
    <cellStyle name="Normal 4 2 5 8" xfId="24388" xr:uid="{00000000-0005-0000-0000-0000DB6B0000}"/>
    <cellStyle name="Normal 4 2 6" xfId="3851" xr:uid="{00000000-0005-0000-0000-0000DC6B0000}"/>
    <cellStyle name="Normal 4 2 6 2" xfId="5088" xr:uid="{00000000-0005-0000-0000-0000DD6B0000}"/>
    <cellStyle name="Normal 4 2 6 2 2" xfId="6713" xr:uid="{00000000-0005-0000-0000-0000DE6B0000}"/>
    <cellStyle name="Normal 4 2 6 2 2 2" xfId="9799" xr:uid="{00000000-0005-0000-0000-0000DF6B0000}"/>
    <cellStyle name="Normal 4 2 6 2 2 2 2" xfId="15992" xr:uid="{00000000-0005-0000-0000-0000E06B0000}"/>
    <cellStyle name="Normal 4 2 6 2 2 2 2 2" xfId="35912" xr:uid="{00000000-0005-0000-0000-0000E16B0000}"/>
    <cellStyle name="Normal 4 2 6 2 2 2 3" xfId="22144" xr:uid="{00000000-0005-0000-0000-0000E26B0000}"/>
    <cellStyle name="Normal 4 2 6 2 2 2 3 2" xfId="42064" xr:uid="{00000000-0005-0000-0000-0000E36B0000}"/>
    <cellStyle name="Normal 4 2 6 2 2 2 4" xfId="29759" xr:uid="{00000000-0005-0000-0000-0000E46B0000}"/>
    <cellStyle name="Normal 4 2 6 2 2 3" xfId="12926" xr:uid="{00000000-0005-0000-0000-0000E56B0000}"/>
    <cellStyle name="Normal 4 2 6 2 2 3 2" xfId="32846" xr:uid="{00000000-0005-0000-0000-0000E66B0000}"/>
    <cellStyle name="Normal 4 2 6 2 2 4" xfId="19078" xr:uid="{00000000-0005-0000-0000-0000E76B0000}"/>
    <cellStyle name="Normal 4 2 6 2 2 4 2" xfId="38998" xr:uid="{00000000-0005-0000-0000-0000E86B0000}"/>
    <cellStyle name="Normal 4 2 6 2 2 5" xfId="26693" xr:uid="{00000000-0005-0000-0000-0000E96B0000}"/>
    <cellStyle name="Normal 4 2 6 2 3" xfId="8264" xr:uid="{00000000-0005-0000-0000-0000EA6B0000}"/>
    <cellStyle name="Normal 4 2 6 2 3 2" xfId="14458" xr:uid="{00000000-0005-0000-0000-0000EB6B0000}"/>
    <cellStyle name="Normal 4 2 6 2 3 2 2" xfId="34378" xr:uid="{00000000-0005-0000-0000-0000EC6B0000}"/>
    <cellStyle name="Normal 4 2 6 2 3 3" xfId="20610" xr:uid="{00000000-0005-0000-0000-0000ED6B0000}"/>
    <cellStyle name="Normal 4 2 6 2 3 3 2" xfId="40530" xr:uid="{00000000-0005-0000-0000-0000EE6B0000}"/>
    <cellStyle name="Normal 4 2 6 2 3 4" xfId="28225" xr:uid="{00000000-0005-0000-0000-0000EF6B0000}"/>
    <cellStyle name="Normal 4 2 6 2 4" xfId="11392" xr:uid="{00000000-0005-0000-0000-0000F06B0000}"/>
    <cellStyle name="Normal 4 2 6 2 4 2" xfId="31312" xr:uid="{00000000-0005-0000-0000-0000F16B0000}"/>
    <cellStyle name="Normal 4 2 6 2 5" xfId="17544" xr:uid="{00000000-0005-0000-0000-0000F26B0000}"/>
    <cellStyle name="Normal 4 2 6 2 5 2" xfId="37464" xr:uid="{00000000-0005-0000-0000-0000F36B0000}"/>
    <cellStyle name="Normal 4 2 6 2 6" xfId="25159" xr:uid="{00000000-0005-0000-0000-0000F46B0000}"/>
    <cellStyle name="Normal 4 2 6 3" xfId="5930" xr:uid="{00000000-0005-0000-0000-0000F56B0000}"/>
    <cellStyle name="Normal 4 2 6 3 2" xfId="9030" xr:uid="{00000000-0005-0000-0000-0000F66B0000}"/>
    <cellStyle name="Normal 4 2 6 3 2 2" xfId="15223" xr:uid="{00000000-0005-0000-0000-0000F76B0000}"/>
    <cellStyle name="Normal 4 2 6 3 2 2 2" xfId="35143" xr:uid="{00000000-0005-0000-0000-0000F86B0000}"/>
    <cellStyle name="Normal 4 2 6 3 2 3" xfId="21375" xr:uid="{00000000-0005-0000-0000-0000F96B0000}"/>
    <cellStyle name="Normal 4 2 6 3 2 3 2" xfId="41295" xr:uid="{00000000-0005-0000-0000-0000FA6B0000}"/>
    <cellStyle name="Normal 4 2 6 3 2 4" xfId="28990" xr:uid="{00000000-0005-0000-0000-0000FB6B0000}"/>
    <cellStyle name="Normal 4 2 6 3 3" xfId="12157" xr:uid="{00000000-0005-0000-0000-0000FC6B0000}"/>
    <cellStyle name="Normal 4 2 6 3 3 2" xfId="32077" xr:uid="{00000000-0005-0000-0000-0000FD6B0000}"/>
    <cellStyle name="Normal 4 2 6 3 4" xfId="18309" xr:uid="{00000000-0005-0000-0000-0000FE6B0000}"/>
    <cellStyle name="Normal 4 2 6 3 4 2" xfId="38229" xr:uid="{00000000-0005-0000-0000-0000FF6B0000}"/>
    <cellStyle name="Normal 4 2 6 3 5" xfId="25924" xr:uid="{00000000-0005-0000-0000-0000006C0000}"/>
    <cellStyle name="Normal 4 2 6 4" xfId="7495" xr:uid="{00000000-0005-0000-0000-0000016C0000}"/>
    <cellStyle name="Normal 4 2 6 4 2" xfId="13689" xr:uid="{00000000-0005-0000-0000-0000026C0000}"/>
    <cellStyle name="Normal 4 2 6 4 2 2" xfId="33609" xr:uid="{00000000-0005-0000-0000-0000036C0000}"/>
    <cellStyle name="Normal 4 2 6 4 3" xfId="19841" xr:uid="{00000000-0005-0000-0000-0000046C0000}"/>
    <cellStyle name="Normal 4 2 6 4 3 2" xfId="39761" xr:uid="{00000000-0005-0000-0000-0000056C0000}"/>
    <cellStyle name="Normal 4 2 6 4 4" xfId="27456" xr:uid="{00000000-0005-0000-0000-0000066C0000}"/>
    <cellStyle name="Normal 4 2 6 5" xfId="10623" xr:uid="{00000000-0005-0000-0000-0000076C0000}"/>
    <cellStyle name="Normal 4 2 6 5 2" xfId="30543" xr:uid="{00000000-0005-0000-0000-0000086C0000}"/>
    <cellStyle name="Normal 4 2 6 6" xfId="16775" xr:uid="{00000000-0005-0000-0000-0000096C0000}"/>
    <cellStyle name="Normal 4 2 6 6 2" xfId="36695" xr:uid="{00000000-0005-0000-0000-00000A6C0000}"/>
    <cellStyle name="Normal 4 2 6 7" xfId="24390" xr:uid="{00000000-0005-0000-0000-00000B6C0000}"/>
    <cellStyle name="Normal 4 2 7" xfId="3852" xr:uid="{00000000-0005-0000-0000-00000C6C0000}"/>
    <cellStyle name="Normal 4 2 7 2" xfId="5089" xr:uid="{00000000-0005-0000-0000-00000D6C0000}"/>
    <cellStyle name="Normal 4 2 7 2 2" xfId="6714" xr:uid="{00000000-0005-0000-0000-00000E6C0000}"/>
    <cellStyle name="Normal 4 2 7 2 2 2" xfId="9800" xr:uid="{00000000-0005-0000-0000-00000F6C0000}"/>
    <cellStyle name="Normal 4 2 7 2 2 2 2" xfId="15993" xr:uid="{00000000-0005-0000-0000-0000106C0000}"/>
    <cellStyle name="Normal 4 2 7 2 2 2 2 2" xfId="35913" xr:uid="{00000000-0005-0000-0000-0000116C0000}"/>
    <cellStyle name="Normal 4 2 7 2 2 2 3" xfId="22145" xr:uid="{00000000-0005-0000-0000-0000126C0000}"/>
    <cellStyle name="Normal 4 2 7 2 2 2 3 2" xfId="42065" xr:uid="{00000000-0005-0000-0000-0000136C0000}"/>
    <cellStyle name="Normal 4 2 7 2 2 2 4" xfId="29760" xr:uid="{00000000-0005-0000-0000-0000146C0000}"/>
    <cellStyle name="Normal 4 2 7 2 2 3" xfId="12927" xr:uid="{00000000-0005-0000-0000-0000156C0000}"/>
    <cellStyle name="Normal 4 2 7 2 2 3 2" xfId="32847" xr:uid="{00000000-0005-0000-0000-0000166C0000}"/>
    <cellStyle name="Normal 4 2 7 2 2 4" xfId="19079" xr:uid="{00000000-0005-0000-0000-0000176C0000}"/>
    <cellStyle name="Normal 4 2 7 2 2 4 2" xfId="38999" xr:uid="{00000000-0005-0000-0000-0000186C0000}"/>
    <cellStyle name="Normal 4 2 7 2 2 5" xfId="26694" xr:uid="{00000000-0005-0000-0000-0000196C0000}"/>
    <cellStyle name="Normal 4 2 7 2 3" xfId="8265" xr:uid="{00000000-0005-0000-0000-00001A6C0000}"/>
    <cellStyle name="Normal 4 2 7 2 3 2" xfId="14459" xr:uid="{00000000-0005-0000-0000-00001B6C0000}"/>
    <cellStyle name="Normal 4 2 7 2 3 2 2" xfId="34379" xr:uid="{00000000-0005-0000-0000-00001C6C0000}"/>
    <cellStyle name="Normal 4 2 7 2 3 3" xfId="20611" xr:uid="{00000000-0005-0000-0000-00001D6C0000}"/>
    <cellStyle name="Normal 4 2 7 2 3 3 2" xfId="40531" xr:uid="{00000000-0005-0000-0000-00001E6C0000}"/>
    <cellStyle name="Normal 4 2 7 2 3 4" xfId="28226" xr:uid="{00000000-0005-0000-0000-00001F6C0000}"/>
    <cellStyle name="Normal 4 2 7 2 4" xfId="11393" xr:uid="{00000000-0005-0000-0000-0000206C0000}"/>
    <cellStyle name="Normal 4 2 7 2 4 2" xfId="31313" xr:uid="{00000000-0005-0000-0000-0000216C0000}"/>
    <cellStyle name="Normal 4 2 7 2 5" xfId="17545" xr:uid="{00000000-0005-0000-0000-0000226C0000}"/>
    <cellStyle name="Normal 4 2 7 2 5 2" xfId="37465" xr:uid="{00000000-0005-0000-0000-0000236C0000}"/>
    <cellStyle name="Normal 4 2 7 2 6" xfId="25160" xr:uid="{00000000-0005-0000-0000-0000246C0000}"/>
    <cellStyle name="Normal 4 2 7 3" xfId="5931" xr:uid="{00000000-0005-0000-0000-0000256C0000}"/>
    <cellStyle name="Normal 4 2 7 3 2" xfId="9031" xr:uid="{00000000-0005-0000-0000-0000266C0000}"/>
    <cellStyle name="Normal 4 2 7 3 2 2" xfId="15224" xr:uid="{00000000-0005-0000-0000-0000276C0000}"/>
    <cellStyle name="Normal 4 2 7 3 2 2 2" xfId="35144" xr:uid="{00000000-0005-0000-0000-0000286C0000}"/>
    <cellStyle name="Normal 4 2 7 3 2 3" xfId="21376" xr:uid="{00000000-0005-0000-0000-0000296C0000}"/>
    <cellStyle name="Normal 4 2 7 3 2 3 2" xfId="41296" xr:uid="{00000000-0005-0000-0000-00002A6C0000}"/>
    <cellStyle name="Normal 4 2 7 3 2 4" xfId="28991" xr:uid="{00000000-0005-0000-0000-00002B6C0000}"/>
    <cellStyle name="Normal 4 2 7 3 3" xfId="12158" xr:uid="{00000000-0005-0000-0000-00002C6C0000}"/>
    <cellStyle name="Normal 4 2 7 3 3 2" xfId="32078" xr:uid="{00000000-0005-0000-0000-00002D6C0000}"/>
    <cellStyle name="Normal 4 2 7 3 4" xfId="18310" xr:uid="{00000000-0005-0000-0000-00002E6C0000}"/>
    <cellStyle name="Normal 4 2 7 3 4 2" xfId="38230" xr:uid="{00000000-0005-0000-0000-00002F6C0000}"/>
    <cellStyle name="Normal 4 2 7 3 5" xfId="25925" xr:uid="{00000000-0005-0000-0000-0000306C0000}"/>
    <cellStyle name="Normal 4 2 7 4" xfId="7496" xr:uid="{00000000-0005-0000-0000-0000316C0000}"/>
    <cellStyle name="Normal 4 2 7 4 2" xfId="13690" xr:uid="{00000000-0005-0000-0000-0000326C0000}"/>
    <cellStyle name="Normal 4 2 7 4 2 2" xfId="33610" xr:uid="{00000000-0005-0000-0000-0000336C0000}"/>
    <cellStyle name="Normal 4 2 7 4 3" xfId="19842" xr:uid="{00000000-0005-0000-0000-0000346C0000}"/>
    <cellStyle name="Normal 4 2 7 4 3 2" xfId="39762" xr:uid="{00000000-0005-0000-0000-0000356C0000}"/>
    <cellStyle name="Normal 4 2 7 4 4" xfId="27457" xr:uid="{00000000-0005-0000-0000-0000366C0000}"/>
    <cellStyle name="Normal 4 2 7 5" xfId="10624" xr:uid="{00000000-0005-0000-0000-0000376C0000}"/>
    <cellStyle name="Normal 4 2 7 5 2" xfId="30544" xr:uid="{00000000-0005-0000-0000-0000386C0000}"/>
    <cellStyle name="Normal 4 2 7 6" xfId="16776" xr:uid="{00000000-0005-0000-0000-0000396C0000}"/>
    <cellStyle name="Normal 4 2 7 6 2" xfId="36696" xr:uid="{00000000-0005-0000-0000-00003A6C0000}"/>
    <cellStyle name="Normal 4 2 7 7" xfId="24391" xr:uid="{00000000-0005-0000-0000-00003B6C0000}"/>
    <cellStyle name="Normal 4 2 8" xfId="3853" xr:uid="{00000000-0005-0000-0000-00003C6C0000}"/>
    <cellStyle name="Normal 4 2 8 2" xfId="5090" xr:uid="{00000000-0005-0000-0000-00003D6C0000}"/>
    <cellStyle name="Normal 4 2 8 2 2" xfId="6715" xr:uid="{00000000-0005-0000-0000-00003E6C0000}"/>
    <cellStyle name="Normal 4 2 8 2 2 2" xfId="9801" xr:uid="{00000000-0005-0000-0000-00003F6C0000}"/>
    <cellStyle name="Normal 4 2 8 2 2 2 2" xfId="15994" xr:uid="{00000000-0005-0000-0000-0000406C0000}"/>
    <cellStyle name="Normal 4 2 8 2 2 2 2 2" xfId="35914" xr:uid="{00000000-0005-0000-0000-0000416C0000}"/>
    <cellStyle name="Normal 4 2 8 2 2 2 3" xfId="22146" xr:uid="{00000000-0005-0000-0000-0000426C0000}"/>
    <cellStyle name="Normal 4 2 8 2 2 2 3 2" xfId="42066" xr:uid="{00000000-0005-0000-0000-0000436C0000}"/>
    <cellStyle name="Normal 4 2 8 2 2 2 4" xfId="29761" xr:uid="{00000000-0005-0000-0000-0000446C0000}"/>
    <cellStyle name="Normal 4 2 8 2 2 3" xfId="12928" xr:uid="{00000000-0005-0000-0000-0000456C0000}"/>
    <cellStyle name="Normal 4 2 8 2 2 3 2" xfId="32848" xr:uid="{00000000-0005-0000-0000-0000466C0000}"/>
    <cellStyle name="Normal 4 2 8 2 2 4" xfId="19080" xr:uid="{00000000-0005-0000-0000-0000476C0000}"/>
    <cellStyle name="Normal 4 2 8 2 2 4 2" xfId="39000" xr:uid="{00000000-0005-0000-0000-0000486C0000}"/>
    <cellStyle name="Normal 4 2 8 2 2 5" xfId="26695" xr:uid="{00000000-0005-0000-0000-0000496C0000}"/>
    <cellStyle name="Normal 4 2 8 2 3" xfId="8266" xr:uid="{00000000-0005-0000-0000-00004A6C0000}"/>
    <cellStyle name="Normal 4 2 8 2 3 2" xfId="14460" xr:uid="{00000000-0005-0000-0000-00004B6C0000}"/>
    <cellStyle name="Normal 4 2 8 2 3 2 2" xfId="34380" xr:uid="{00000000-0005-0000-0000-00004C6C0000}"/>
    <cellStyle name="Normal 4 2 8 2 3 3" xfId="20612" xr:uid="{00000000-0005-0000-0000-00004D6C0000}"/>
    <cellStyle name="Normal 4 2 8 2 3 3 2" xfId="40532" xr:uid="{00000000-0005-0000-0000-00004E6C0000}"/>
    <cellStyle name="Normal 4 2 8 2 3 4" xfId="28227" xr:uid="{00000000-0005-0000-0000-00004F6C0000}"/>
    <cellStyle name="Normal 4 2 8 2 4" xfId="11394" xr:uid="{00000000-0005-0000-0000-0000506C0000}"/>
    <cellStyle name="Normal 4 2 8 2 4 2" xfId="31314" xr:uid="{00000000-0005-0000-0000-0000516C0000}"/>
    <cellStyle name="Normal 4 2 8 2 5" xfId="17546" xr:uid="{00000000-0005-0000-0000-0000526C0000}"/>
    <cellStyle name="Normal 4 2 8 2 5 2" xfId="37466" xr:uid="{00000000-0005-0000-0000-0000536C0000}"/>
    <cellStyle name="Normal 4 2 8 2 6" xfId="25161" xr:uid="{00000000-0005-0000-0000-0000546C0000}"/>
    <cellStyle name="Normal 4 2 8 3" xfId="5932" xr:uid="{00000000-0005-0000-0000-0000556C0000}"/>
    <cellStyle name="Normal 4 2 8 3 2" xfId="9032" xr:uid="{00000000-0005-0000-0000-0000566C0000}"/>
    <cellStyle name="Normal 4 2 8 3 2 2" xfId="15225" xr:uid="{00000000-0005-0000-0000-0000576C0000}"/>
    <cellStyle name="Normal 4 2 8 3 2 2 2" xfId="35145" xr:uid="{00000000-0005-0000-0000-0000586C0000}"/>
    <cellStyle name="Normal 4 2 8 3 2 3" xfId="21377" xr:uid="{00000000-0005-0000-0000-0000596C0000}"/>
    <cellStyle name="Normal 4 2 8 3 2 3 2" xfId="41297" xr:uid="{00000000-0005-0000-0000-00005A6C0000}"/>
    <cellStyle name="Normal 4 2 8 3 2 4" xfId="28992" xr:uid="{00000000-0005-0000-0000-00005B6C0000}"/>
    <cellStyle name="Normal 4 2 8 3 3" xfId="12159" xr:uid="{00000000-0005-0000-0000-00005C6C0000}"/>
    <cellStyle name="Normal 4 2 8 3 3 2" xfId="32079" xr:uid="{00000000-0005-0000-0000-00005D6C0000}"/>
    <cellStyle name="Normal 4 2 8 3 4" xfId="18311" xr:uid="{00000000-0005-0000-0000-00005E6C0000}"/>
    <cellStyle name="Normal 4 2 8 3 4 2" xfId="38231" xr:uid="{00000000-0005-0000-0000-00005F6C0000}"/>
    <cellStyle name="Normal 4 2 8 3 5" xfId="25926" xr:uid="{00000000-0005-0000-0000-0000606C0000}"/>
    <cellStyle name="Normal 4 2 8 4" xfId="7497" xr:uid="{00000000-0005-0000-0000-0000616C0000}"/>
    <cellStyle name="Normal 4 2 8 4 2" xfId="13691" xr:uid="{00000000-0005-0000-0000-0000626C0000}"/>
    <cellStyle name="Normal 4 2 8 4 2 2" xfId="33611" xr:uid="{00000000-0005-0000-0000-0000636C0000}"/>
    <cellStyle name="Normal 4 2 8 4 3" xfId="19843" xr:uid="{00000000-0005-0000-0000-0000646C0000}"/>
    <cellStyle name="Normal 4 2 8 4 3 2" xfId="39763" xr:uid="{00000000-0005-0000-0000-0000656C0000}"/>
    <cellStyle name="Normal 4 2 8 4 4" xfId="27458" xr:uid="{00000000-0005-0000-0000-0000666C0000}"/>
    <cellStyle name="Normal 4 2 8 5" xfId="10625" xr:uid="{00000000-0005-0000-0000-0000676C0000}"/>
    <cellStyle name="Normal 4 2 8 5 2" xfId="30545" xr:uid="{00000000-0005-0000-0000-0000686C0000}"/>
    <cellStyle name="Normal 4 2 8 6" xfId="16777" xr:uid="{00000000-0005-0000-0000-0000696C0000}"/>
    <cellStyle name="Normal 4 2 8 6 2" xfId="36697" xr:uid="{00000000-0005-0000-0000-00006A6C0000}"/>
    <cellStyle name="Normal 4 2 8 7" xfId="24392" xr:uid="{00000000-0005-0000-0000-00006B6C0000}"/>
    <cellStyle name="Normal 4 2 9" xfId="3854" xr:uid="{00000000-0005-0000-0000-00006C6C0000}"/>
    <cellStyle name="Normal 4 2 9 2" xfId="5091" xr:uid="{00000000-0005-0000-0000-00006D6C0000}"/>
    <cellStyle name="Normal 4 2 9 2 2" xfId="6716" xr:uid="{00000000-0005-0000-0000-00006E6C0000}"/>
    <cellStyle name="Normal 4 2 9 2 2 2" xfId="9802" xr:uid="{00000000-0005-0000-0000-00006F6C0000}"/>
    <cellStyle name="Normal 4 2 9 2 2 2 2" xfId="15995" xr:uid="{00000000-0005-0000-0000-0000706C0000}"/>
    <cellStyle name="Normal 4 2 9 2 2 2 2 2" xfId="35915" xr:uid="{00000000-0005-0000-0000-0000716C0000}"/>
    <cellStyle name="Normal 4 2 9 2 2 2 3" xfId="22147" xr:uid="{00000000-0005-0000-0000-0000726C0000}"/>
    <cellStyle name="Normal 4 2 9 2 2 2 3 2" xfId="42067" xr:uid="{00000000-0005-0000-0000-0000736C0000}"/>
    <cellStyle name="Normal 4 2 9 2 2 2 4" xfId="29762" xr:uid="{00000000-0005-0000-0000-0000746C0000}"/>
    <cellStyle name="Normal 4 2 9 2 2 3" xfId="12929" xr:uid="{00000000-0005-0000-0000-0000756C0000}"/>
    <cellStyle name="Normal 4 2 9 2 2 3 2" xfId="32849" xr:uid="{00000000-0005-0000-0000-0000766C0000}"/>
    <cellStyle name="Normal 4 2 9 2 2 4" xfId="19081" xr:uid="{00000000-0005-0000-0000-0000776C0000}"/>
    <cellStyle name="Normal 4 2 9 2 2 4 2" xfId="39001" xr:uid="{00000000-0005-0000-0000-0000786C0000}"/>
    <cellStyle name="Normal 4 2 9 2 2 5" xfId="26696" xr:uid="{00000000-0005-0000-0000-0000796C0000}"/>
    <cellStyle name="Normal 4 2 9 2 3" xfId="8267" xr:uid="{00000000-0005-0000-0000-00007A6C0000}"/>
    <cellStyle name="Normal 4 2 9 2 3 2" xfId="14461" xr:uid="{00000000-0005-0000-0000-00007B6C0000}"/>
    <cellStyle name="Normal 4 2 9 2 3 2 2" xfId="34381" xr:uid="{00000000-0005-0000-0000-00007C6C0000}"/>
    <cellStyle name="Normal 4 2 9 2 3 3" xfId="20613" xr:uid="{00000000-0005-0000-0000-00007D6C0000}"/>
    <cellStyle name="Normal 4 2 9 2 3 3 2" xfId="40533" xr:uid="{00000000-0005-0000-0000-00007E6C0000}"/>
    <cellStyle name="Normal 4 2 9 2 3 4" xfId="28228" xr:uid="{00000000-0005-0000-0000-00007F6C0000}"/>
    <cellStyle name="Normal 4 2 9 2 4" xfId="11395" xr:uid="{00000000-0005-0000-0000-0000806C0000}"/>
    <cellStyle name="Normal 4 2 9 2 4 2" xfId="31315" xr:uid="{00000000-0005-0000-0000-0000816C0000}"/>
    <cellStyle name="Normal 4 2 9 2 5" xfId="17547" xr:uid="{00000000-0005-0000-0000-0000826C0000}"/>
    <cellStyle name="Normal 4 2 9 2 5 2" xfId="37467" xr:uid="{00000000-0005-0000-0000-0000836C0000}"/>
    <cellStyle name="Normal 4 2 9 2 6" xfId="25162" xr:uid="{00000000-0005-0000-0000-0000846C0000}"/>
    <cellStyle name="Normal 4 2 9 3" xfId="5933" xr:uid="{00000000-0005-0000-0000-0000856C0000}"/>
    <cellStyle name="Normal 4 2 9 3 2" xfId="9033" xr:uid="{00000000-0005-0000-0000-0000866C0000}"/>
    <cellStyle name="Normal 4 2 9 3 2 2" xfId="15226" xr:uid="{00000000-0005-0000-0000-0000876C0000}"/>
    <cellStyle name="Normal 4 2 9 3 2 2 2" xfId="35146" xr:uid="{00000000-0005-0000-0000-0000886C0000}"/>
    <cellStyle name="Normal 4 2 9 3 2 3" xfId="21378" xr:uid="{00000000-0005-0000-0000-0000896C0000}"/>
    <cellStyle name="Normal 4 2 9 3 2 3 2" xfId="41298" xr:uid="{00000000-0005-0000-0000-00008A6C0000}"/>
    <cellStyle name="Normal 4 2 9 3 2 4" xfId="28993" xr:uid="{00000000-0005-0000-0000-00008B6C0000}"/>
    <cellStyle name="Normal 4 2 9 3 3" xfId="12160" xr:uid="{00000000-0005-0000-0000-00008C6C0000}"/>
    <cellStyle name="Normal 4 2 9 3 3 2" xfId="32080" xr:uid="{00000000-0005-0000-0000-00008D6C0000}"/>
    <cellStyle name="Normal 4 2 9 3 4" xfId="18312" xr:uid="{00000000-0005-0000-0000-00008E6C0000}"/>
    <cellStyle name="Normal 4 2 9 3 4 2" xfId="38232" xr:uid="{00000000-0005-0000-0000-00008F6C0000}"/>
    <cellStyle name="Normal 4 2 9 3 5" xfId="25927" xr:uid="{00000000-0005-0000-0000-0000906C0000}"/>
    <cellStyle name="Normal 4 2 9 4" xfId="7498" xr:uid="{00000000-0005-0000-0000-0000916C0000}"/>
    <cellStyle name="Normal 4 2 9 4 2" xfId="13692" xr:uid="{00000000-0005-0000-0000-0000926C0000}"/>
    <cellStyle name="Normal 4 2 9 4 2 2" xfId="33612" xr:uid="{00000000-0005-0000-0000-0000936C0000}"/>
    <cellStyle name="Normal 4 2 9 4 3" xfId="19844" xr:uid="{00000000-0005-0000-0000-0000946C0000}"/>
    <cellStyle name="Normal 4 2 9 4 3 2" xfId="39764" xr:uid="{00000000-0005-0000-0000-0000956C0000}"/>
    <cellStyle name="Normal 4 2 9 4 4" xfId="27459" xr:uid="{00000000-0005-0000-0000-0000966C0000}"/>
    <cellStyle name="Normal 4 2 9 5" xfId="10626" xr:uid="{00000000-0005-0000-0000-0000976C0000}"/>
    <cellStyle name="Normal 4 2 9 5 2" xfId="30546" xr:uid="{00000000-0005-0000-0000-0000986C0000}"/>
    <cellStyle name="Normal 4 2 9 6" xfId="16778" xr:uid="{00000000-0005-0000-0000-0000996C0000}"/>
    <cellStyle name="Normal 4 2 9 6 2" xfId="36698" xr:uid="{00000000-0005-0000-0000-00009A6C0000}"/>
    <cellStyle name="Normal 4 2 9 7" xfId="24393" xr:uid="{00000000-0005-0000-0000-00009B6C0000}"/>
    <cellStyle name="Normal 4 20" xfId="442" xr:uid="{00000000-0005-0000-0000-00009C6C0000}"/>
    <cellStyle name="Normal 4 21" xfId="468" xr:uid="{00000000-0005-0000-0000-00009D6C0000}"/>
    <cellStyle name="Normal 4 22" xfId="491" xr:uid="{00000000-0005-0000-0000-00009E6C0000}"/>
    <cellStyle name="Normal 4 23" xfId="508" xr:uid="{00000000-0005-0000-0000-00009F6C0000}"/>
    <cellStyle name="Normal 4 24" xfId="529" xr:uid="{00000000-0005-0000-0000-0000A06C0000}"/>
    <cellStyle name="Normal 4 25" xfId="580" xr:uid="{00000000-0005-0000-0000-0000A16C0000}"/>
    <cellStyle name="Normal 4 26" xfId="612" xr:uid="{00000000-0005-0000-0000-0000A26C0000}"/>
    <cellStyle name="Normal 4 27" xfId="638" xr:uid="{00000000-0005-0000-0000-0000A36C0000}"/>
    <cellStyle name="Normal 4 28" xfId="663" xr:uid="{00000000-0005-0000-0000-0000A46C0000}"/>
    <cellStyle name="Normal 4 29" xfId="687" xr:uid="{00000000-0005-0000-0000-0000A56C0000}"/>
    <cellStyle name="Normal 4 3" xfId="130" xr:uid="{00000000-0005-0000-0000-0000A66C0000}"/>
    <cellStyle name="Normal 4 3 10" xfId="10627" xr:uid="{00000000-0005-0000-0000-0000A76C0000}"/>
    <cellStyle name="Normal 4 3 10 2" xfId="30547" xr:uid="{00000000-0005-0000-0000-0000A86C0000}"/>
    <cellStyle name="Normal 4 3 11" xfId="16779" xr:uid="{00000000-0005-0000-0000-0000A96C0000}"/>
    <cellStyle name="Normal 4 3 11 2" xfId="36699" xr:uid="{00000000-0005-0000-0000-0000AA6C0000}"/>
    <cellStyle name="Normal 4 3 12" xfId="3855" xr:uid="{00000000-0005-0000-0000-0000AB6C0000}"/>
    <cellStyle name="Normal 4 3 12 2" xfId="24394" xr:uid="{00000000-0005-0000-0000-0000AC6C0000}"/>
    <cellStyle name="Normal 4 3 2" xfId="3856" xr:uid="{00000000-0005-0000-0000-0000AD6C0000}"/>
    <cellStyle name="Normal 4 3 2 10" xfId="16780" xr:uid="{00000000-0005-0000-0000-0000AE6C0000}"/>
    <cellStyle name="Normal 4 3 2 10 2" xfId="36700" xr:uid="{00000000-0005-0000-0000-0000AF6C0000}"/>
    <cellStyle name="Normal 4 3 2 11" xfId="24395" xr:uid="{00000000-0005-0000-0000-0000B06C0000}"/>
    <cellStyle name="Normal 4 3 2 2" xfId="3857" xr:uid="{00000000-0005-0000-0000-0000B16C0000}"/>
    <cellStyle name="Normal 4 3 2 2 10" xfId="24396" xr:uid="{00000000-0005-0000-0000-0000B26C0000}"/>
    <cellStyle name="Normal 4 3 2 2 2" xfId="3858" xr:uid="{00000000-0005-0000-0000-0000B36C0000}"/>
    <cellStyle name="Normal 4 3 2 2 2 2" xfId="3859" xr:uid="{00000000-0005-0000-0000-0000B46C0000}"/>
    <cellStyle name="Normal 4 3 2 2 2 2 2" xfId="5096" xr:uid="{00000000-0005-0000-0000-0000B56C0000}"/>
    <cellStyle name="Normal 4 3 2 2 2 2 2 2" xfId="6721" xr:uid="{00000000-0005-0000-0000-0000B66C0000}"/>
    <cellStyle name="Normal 4 3 2 2 2 2 2 2 2" xfId="9807" xr:uid="{00000000-0005-0000-0000-0000B76C0000}"/>
    <cellStyle name="Normal 4 3 2 2 2 2 2 2 2 2" xfId="16000" xr:uid="{00000000-0005-0000-0000-0000B86C0000}"/>
    <cellStyle name="Normal 4 3 2 2 2 2 2 2 2 2 2" xfId="35920" xr:uid="{00000000-0005-0000-0000-0000B96C0000}"/>
    <cellStyle name="Normal 4 3 2 2 2 2 2 2 2 3" xfId="22152" xr:uid="{00000000-0005-0000-0000-0000BA6C0000}"/>
    <cellStyle name="Normal 4 3 2 2 2 2 2 2 2 3 2" xfId="42072" xr:uid="{00000000-0005-0000-0000-0000BB6C0000}"/>
    <cellStyle name="Normal 4 3 2 2 2 2 2 2 2 4" xfId="29767" xr:uid="{00000000-0005-0000-0000-0000BC6C0000}"/>
    <cellStyle name="Normal 4 3 2 2 2 2 2 2 3" xfId="12934" xr:uid="{00000000-0005-0000-0000-0000BD6C0000}"/>
    <cellStyle name="Normal 4 3 2 2 2 2 2 2 3 2" xfId="32854" xr:uid="{00000000-0005-0000-0000-0000BE6C0000}"/>
    <cellStyle name="Normal 4 3 2 2 2 2 2 2 4" xfId="19086" xr:uid="{00000000-0005-0000-0000-0000BF6C0000}"/>
    <cellStyle name="Normal 4 3 2 2 2 2 2 2 4 2" xfId="39006" xr:uid="{00000000-0005-0000-0000-0000C06C0000}"/>
    <cellStyle name="Normal 4 3 2 2 2 2 2 2 5" xfId="26701" xr:uid="{00000000-0005-0000-0000-0000C16C0000}"/>
    <cellStyle name="Normal 4 3 2 2 2 2 2 3" xfId="8272" xr:uid="{00000000-0005-0000-0000-0000C26C0000}"/>
    <cellStyle name="Normal 4 3 2 2 2 2 2 3 2" xfId="14466" xr:uid="{00000000-0005-0000-0000-0000C36C0000}"/>
    <cellStyle name="Normal 4 3 2 2 2 2 2 3 2 2" xfId="34386" xr:uid="{00000000-0005-0000-0000-0000C46C0000}"/>
    <cellStyle name="Normal 4 3 2 2 2 2 2 3 3" xfId="20618" xr:uid="{00000000-0005-0000-0000-0000C56C0000}"/>
    <cellStyle name="Normal 4 3 2 2 2 2 2 3 3 2" xfId="40538" xr:uid="{00000000-0005-0000-0000-0000C66C0000}"/>
    <cellStyle name="Normal 4 3 2 2 2 2 2 3 4" xfId="28233" xr:uid="{00000000-0005-0000-0000-0000C76C0000}"/>
    <cellStyle name="Normal 4 3 2 2 2 2 2 4" xfId="11400" xr:uid="{00000000-0005-0000-0000-0000C86C0000}"/>
    <cellStyle name="Normal 4 3 2 2 2 2 2 4 2" xfId="31320" xr:uid="{00000000-0005-0000-0000-0000C96C0000}"/>
    <cellStyle name="Normal 4 3 2 2 2 2 2 5" xfId="17552" xr:uid="{00000000-0005-0000-0000-0000CA6C0000}"/>
    <cellStyle name="Normal 4 3 2 2 2 2 2 5 2" xfId="37472" xr:uid="{00000000-0005-0000-0000-0000CB6C0000}"/>
    <cellStyle name="Normal 4 3 2 2 2 2 2 6" xfId="25167" xr:uid="{00000000-0005-0000-0000-0000CC6C0000}"/>
    <cellStyle name="Normal 4 3 2 2 2 2 3" xfId="5938" xr:uid="{00000000-0005-0000-0000-0000CD6C0000}"/>
    <cellStyle name="Normal 4 3 2 2 2 2 3 2" xfId="9038" xr:uid="{00000000-0005-0000-0000-0000CE6C0000}"/>
    <cellStyle name="Normal 4 3 2 2 2 2 3 2 2" xfId="15231" xr:uid="{00000000-0005-0000-0000-0000CF6C0000}"/>
    <cellStyle name="Normal 4 3 2 2 2 2 3 2 2 2" xfId="35151" xr:uid="{00000000-0005-0000-0000-0000D06C0000}"/>
    <cellStyle name="Normal 4 3 2 2 2 2 3 2 3" xfId="21383" xr:uid="{00000000-0005-0000-0000-0000D16C0000}"/>
    <cellStyle name="Normal 4 3 2 2 2 2 3 2 3 2" xfId="41303" xr:uid="{00000000-0005-0000-0000-0000D26C0000}"/>
    <cellStyle name="Normal 4 3 2 2 2 2 3 2 4" xfId="28998" xr:uid="{00000000-0005-0000-0000-0000D36C0000}"/>
    <cellStyle name="Normal 4 3 2 2 2 2 3 3" xfId="12165" xr:uid="{00000000-0005-0000-0000-0000D46C0000}"/>
    <cellStyle name="Normal 4 3 2 2 2 2 3 3 2" xfId="32085" xr:uid="{00000000-0005-0000-0000-0000D56C0000}"/>
    <cellStyle name="Normal 4 3 2 2 2 2 3 4" xfId="18317" xr:uid="{00000000-0005-0000-0000-0000D66C0000}"/>
    <cellStyle name="Normal 4 3 2 2 2 2 3 4 2" xfId="38237" xr:uid="{00000000-0005-0000-0000-0000D76C0000}"/>
    <cellStyle name="Normal 4 3 2 2 2 2 3 5" xfId="25932" xr:uid="{00000000-0005-0000-0000-0000D86C0000}"/>
    <cellStyle name="Normal 4 3 2 2 2 2 4" xfId="7503" xr:uid="{00000000-0005-0000-0000-0000D96C0000}"/>
    <cellStyle name="Normal 4 3 2 2 2 2 4 2" xfId="13697" xr:uid="{00000000-0005-0000-0000-0000DA6C0000}"/>
    <cellStyle name="Normal 4 3 2 2 2 2 4 2 2" xfId="33617" xr:uid="{00000000-0005-0000-0000-0000DB6C0000}"/>
    <cellStyle name="Normal 4 3 2 2 2 2 4 3" xfId="19849" xr:uid="{00000000-0005-0000-0000-0000DC6C0000}"/>
    <cellStyle name="Normal 4 3 2 2 2 2 4 3 2" xfId="39769" xr:uid="{00000000-0005-0000-0000-0000DD6C0000}"/>
    <cellStyle name="Normal 4 3 2 2 2 2 4 4" xfId="27464" xr:uid="{00000000-0005-0000-0000-0000DE6C0000}"/>
    <cellStyle name="Normal 4 3 2 2 2 2 5" xfId="10631" xr:uid="{00000000-0005-0000-0000-0000DF6C0000}"/>
    <cellStyle name="Normal 4 3 2 2 2 2 5 2" xfId="30551" xr:uid="{00000000-0005-0000-0000-0000E06C0000}"/>
    <cellStyle name="Normal 4 3 2 2 2 2 6" xfId="16783" xr:uid="{00000000-0005-0000-0000-0000E16C0000}"/>
    <cellStyle name="Normal 4 3 2 2 2 2 6 2" xfId="36703" xr:uid="{00000000-0005-0000-0000-0000E26C0000}"/>
    <cellStyle name="Normal 4 3 2 2 2 2 7" xfId="24398" xr:uid="{00000000-0005-0000-0000-0000E36C0000}"/>
    <cellStyle name="Normal 4 3 2 2 2 3" xfId="5095" xr:uid="{00000000-0005-0000-0000-0000E46C0000}"/>
    <cellStyle name="Normal 4 3 2 2 2 3 2" xfId="6720" xr:uid="{00000000-0005-0000-0000-0000E56C0000}"/>
    <cellStyle name="Normal 4 3 2 2 2 3 2 2" xfId="9806" xr:uid="{00000000-0005-0000-0000-0000E66C0000}"/>
    <cellStyle name="Normal 4 3 2 2 2 3 2 2 2" xfId="15999" xr:uid="{00000000-0005-0000-0000-0000E76C0000}"/>
    <cellStyle name="Normal 4 3 2 2 2 3 2 2 2 2" xfId="35919" xr:uid="{00000000-0005-0000-0000-0000E86C0000}"/>
    <cellStyle name="Normal 4 3 2 2 2 3 2 2 3" xfId="22151" xr:uid="{00000000-0005-0000-0000-0000E96C0000}"/>
    <cellStyle name="Normal 4 3 2 2 2 3 2 2 3 2" xfId="42071" xr:uid="{00000000-0005-0000-0000-0000EA6C0000}"/>
    <cellStyle name="Normal 4 3 2 2 2 3 2 2 4" xfId="29766" xr:uid="{00000000-0005-0000-0000-0000EB6C0000}"/>
    <cellStyle name="Normal 4 3 2 2 2 3 2 3" xfId="12933" xr:uid="{00000000-0005-0000-0000-0000EC6C0000}"/>
    <cellStyle name="Normal 4 3 2 2 2 3 2 3 2" xfId="32853" xr:uid="{00000000-0005-0000-0000-0000ED6C0000}"/>
    <cellStyle name="Normal 4 3 2 2 2 3 2 4" xfId="19085" xr:uid="{00000000-0005-0000-0000-0000EE6C0000}"/>
    <cellStyle name="Normal 4 3 2 2 2 3 2 4 2" xfId="39005" xr:uid="{00000000-0005-0000-0000-0000EF6C0000}"/>
    <cellStyle name="Normal 4 3 2 2 2 3 2 5" xfId="26700" xr:uid="{00000000-0005-0000-0000-0000F06C0000}"/>
    <cellStyle name="Normal 4 3 2 2 2 3 3" xfId="8271" xr:uid="{00000000-0005-0000-0000-0000F16C0000}"/>
    <cellStyle name="Normal 4 3 2 2 2 3 3 2" xfId="14465" xr:uid="{00000000-0005-0000-0000-0000F26C0000}"/>
    <cellStyle name="Normal 4 3 2 2 2 3 3 2 2" xfId="34385" xr:uid="{00000000-0005-0000-0000-0000F36C0000}"/>
    <cellStyle name="Normal 4 3 2 2 2 3 3 3" xfId="20617" xr:uid="{00000000-0005-0000-0000-0000F46C0000}"/>
    <cellStyle name="Normal 4 3 2 2 2 3 3 3 2" xfId="40537" xr:uid="{00000000-0005-0000-0000-0000F56C0000}"/>
    <cellStyle name="Normal 4 3 2 2 2 3 3 4" xfId="28232" xr:uid="{00000000-0005-0000-0000-0000F66C0000}"/>
    <cellStyle name="Normal 4 3 2 2 2 3 4" xfId="11399" xr:uid="{00000000-0005-0000-0000-0000F76C0000}"/>
    <cellStyle name="Normal 4 3 2 2 2 3 4 2" xfId="31319" xr:uid="{00000000-0005-0000-0000-0000F86C0000}"/>
    <cellStyle name="Normal 4 3 2 2 2 3 5" xfId="17551" xr:uid="{00000000-0005-0000-0000-0000F96C0000}"/>
    <cellStyle name="Normal 4 3 2 2 2 3 5 2" xfId="37471" xr:uid="{00000000-0005-0000-0000-0000FA6C0000}"/>
    <cellStyle name="Normal 4 3 2 2 2 3 6" xfId="25166" xr:uid="{00000000-0005-0000-0000-0000FB6C0000}"/>
    <cellStyle name="Normal 4 3 2 2 2 4" xfId="5937" xr:uid="{00000000-0005-0000-0000-0000FC6C0000}"/>
    <cellStyle name="Normal 4 3 2 2 2 4 2" xfId="9037" xr:uid="{00000000-0005-0000-0000-0000FD6C0000}"/>
    <cellStyle name="Normal 4 3 2 2 2 4 2 2" xfId="15230" xr:uid="{00000000-0005-0000-0000-0000FE6C0000}"/>
    <cellStyle name="Normal 4 3 2 2 2 4 2 2 2" xfId="35150" xr:uid="{00000000-0005-0000-0000-0000FF6C0000}"/>
    <cellStyle name="Normal 4 3 2 2 2 4 2 3" xfId="21382" xr:uid="{00000000-0005-0000-0000-0000006D0000}"/>
    <cellStyle name="Normal 4 3 2 2 2 4 2 3 2" xfId="41302" xr:uid="{00000000-0005-0000-0000-0000016D0000}"/>
    <cellStyle name="Normal 4 3 2 2 2 4 2 4" xfId="28997" xr:uid="{00000000-0005-0000-0000-0000026D0000}"/>
    <cellStyle name="Normal 4 3 2 2 2 4 3" xfId="12164" xr:uid="{00000000-0005-0000-0000-0000036D0000}"/>
    <cellStyle name="Normal 4 3 2 2 2 4 3 2" xfId="32084" xr:uid="{00000000-0005-0000-0000-0000046D0000}"/>
    <cellStyle name="Normal 4 3 2 2 2 4 4" xfId="18316" xr:uid="{00000000-0005-0000-0000-0000056D0000}"/>
    <cellStyle name="Normal 4 3 2 2 2 4 4 2" xfId="38236" xr:uid="{00000000-0005-0000-0000-0000066D0000}"/>
    <cellStyle name="Normal 4 3 2 2 2 4 5" xfId="25931" xr:uid="{00000000-0005-0000-0000-0000076D0000}"/>
    <cellStyle name="Normal 4 3 2 2 2 5" xfId="7502" xr:uid="{00000000-0005-0000-0000-0000086D0000}"/>
    <cellStyle name="Normal 4 3 2 2 2 5 2" xfId="13696" xr:uid="{00000000-0005-0000-0000-0000096D0000}"/>
    <cellStyle name="Normal 4 3 2 2 2 5 2 2" xfId="33616" xr:uid="{00000000-0005-0000-0000-00000A6D0000}"/>
    <cellStyle name="Normal 4 3 2 2 2 5 3" xfId="19848" xr:uid="{00000000-0005-0000-0000-00000B6D0000}"/>
    <cellStyle name="Normal 4 3 2 2 2 5 3 2" xfId="39768" xr:uid="{00000000-0005-0000-0000-00000C6D0000}"/>
    <cellStyle name="Normal 4 3 2 2 2 5 4" xfId="27463" xr:uid="{00000000-0005-0000-0000-00000D6D0000}"/>
    <cellStyle name="Normal 4 3 2 2 2 6" xfId="10630" xr:uid="{00000000-0005-0000-0000-00000E6D0000}"/>
    <cellStyle name="Normal 4 3 2 2 2 6 2" xfId="30550" xr:uid="{00000000-0005-0000-0000-00000F6D0000}"/>
    <cellStyle name="Normal 4 3 2 2 2 7" xfId="16782" xr:uid="{00000000-0005-0000-0000-0000106D0000}"/>
    <cellStyle name="Normal 4 3 2 2 2 7 2" xfId="36702" xr:uid="{00000000-0005-0000-0000-0000116D0000}"/>
    <cellStyle name="Normal 4 3 2 2 2 8" xfId="24397" xr:uid="{00000000-0005-0000-0000-0000126D0000}"/>
    <cellStyle name="Normal 4 3 2 2 3" xfId="3860" xr:uid="{00000000-0005-0000-0000-0000136D0000}"/>
    <cellStyle name="Normal 4 3 2 2 3 2" xfId="3861" xr:uid="{00000000-0005-0000-0000-0000146D0000}"/>
    <cellStyle name="Normal 4 3 2 2 3 2 2" xfId="5098" xr:uid="{00000000-0005-0000-0000-0000156D0000}"/>
    <cellStyle name="Normal 4 3 2 2 3 2 2 2" xfId="6723" xr:uid="{00000000-0005-0000-0000-0000166D0000}"/>
    <cellStyle name="Normal 4 3 2 2 3 2 2 2 2" xfId="9809" xr:uid="{00000000-0005-0000-0000-0000176D0000}"/>
    <cellStyle name="Normal 4 3 2 2 3 2 2 2 2 2" xfId="16002" xr:uid="{00000000-0005-0000-0000-0000186D0000}"/>
    <cellStyle name="Normal 4 3 2 2 3 2 2 2 2 2 2" xfId="35922" xr:uid="{00000000-0005-0000-0000-0000196D0000}"/>
    <cellStyle name="Normal 4 3 2 2 3 2 2 2 2 3" xfId="22154" xr:uid="{00000000-0005-0000-0000-00001A6D0000}"/>
    <cellStyle name="Normal 4 3 2 2 3 2 2 2 2 3 2" xfId="42074" xr:uid="{00000000-0005-0000-0000-00001B6D0000}"/>
    <cellStyle name="Normal 4 3 2 2 3 2 2 2 2 4" xfId="29769" xr:uid="{00000000-0005-0000-0000-00001C6D0000}"/>
    <cellStyle name="Normal 4 3 2 2 3 2 2 2 3" xfId="12936" xr:uid="{00000000-0005-0000-0000-00001D6D0000}"/>
    <cellStyle name="Normal 4 3 2 2 3 2 2 2 3 2" xfId="32856" xr:uid="{00000000-0005-0000-0000-00001E6D0000}"/>
    <cellStyle name="Normal 4 3 2 2 3 2 2 2 4" xfId="19088" xr:uid="{00000000-0005-0000-0000-00001F6D0000}"/>
    <cellStyle name="Normal 4 3 2 2 3 2 2 2 4 2" xfId="39008" xr:uid="{00000000-0005-0000-0000-0000206D0000}"/>
    <cellStyle name="Normal 4 3 2 2 3 2 2 2 5" xfId="26703" xr:uid="{00000000-0005-0000-0000-0000216D0000}"/>
    <cellStyle name="Normal 4 3 2 2 3 2 2 3" xfId="8274" xr:uid="{00000000-0005-0000-0000-0000226D0000}"/>
    <cellStyle name="Normal 4 3 2 2 3 2 2 3 2" xfId="14468" xr:uid="{00000000-0005-0000-0000-0000236D0000}"/>
    <cellStyle name="Normal 4 3 2 2 3 2 2 3 2 2" xfId="34388" xr:uid="{00000000-0005-0000-0000-0000246D0000}"/>
    <cellStyle name="Normal 4 3 2 2 3 2 2 3 3" xfId="20620" xr:uid="{00000000-0005-0000-0000-0000256D0000}"/>
    <cellStyle name="Normal 4 3 2 2 3 2 2 3 3 2" xfId="40540" xr:uid="{00000000-0005-0000-0000-0000266D0000}"/>
    <cellStyle name="Normal 4 3 2 2 3 2 2 3 4" xfId="28235" xr:uid="{00000000-0005-0000-0000-0000276D0000}"/>
    <cellStyle name="Normal 4 3 2 2 3 2 2 4" xfId="11402" xr:uid="{00000000-0005-0000-0000-0000286D0000}"/>
    <cellStyle name="Normal 4 3 2 2 3 2 2 4 2" xfId="31322" xr:uid="{00000000-0005-0000-0000-0000296D0000}"/>
    <cellStyle name="Normal 4 3 2 2 3 2 2 5" xfId="17554" xr:uid="{00000000-0005-0000-0000-00002A6D0000}"/>
    <cellStyle name="Normal 4 3 2 2 3 2 2 5 2" xfId="37474" xr:uid="{00000000-0005-0000-0000-00002B6D0000}"/>
    <cellStyle name="Normal 4 3 2 2 3 2 2 6" xfId="25169" xr:uid="{00000000-0005-0000-0000-00002C6D0000}"/>
    <cellStyle name="Normal 4 3 2 2 3 2 3" xfId="5940" xr:uid="{00000000-0005-0000-0000-00002D6D0000}"/>
    <cellStyle name="Normal 4 3 2 2 3 2 3 2" xfId="9040" xr:uid="{00000000-0005-0000-0000-00002E6D0000}"/>
    <cellStyle name="Normal 4 3 2 2 3 2 3 2 2" xfId="15233" xr:uid="{00000000-0005-0000-0000-00002F6D0000}"/>
    <cellStyle name="Normal 4 3 2 2 3 2 3 2 2 2" xfId="35153" xr:uid="{00000000-0005-0000-0000-0000306D0000}"/>
    <cellStyle name="Normal 4 3 2 2 3 2 3 2 3" xfId="21385" xr:uid="{00000000-0005-0000-0000-0000316D0000}"/>
    <cellStyle name="Normal 4 3 2 2 3 2 3 2 3 2" xfId="41305" xr:uid="{00000000-0005-0000-0000-0000326D0000}"/>
    <cellStyle name="Normal 4 3 2 2 3 2 3 2 4" xfId="29000" xr:uid="{00000000-0005-0000-0000-0000336D0000}"/>
    <cellStyle name="Normal 4 3 2 2 3 2 3 3" xfId="12167" xr:uid="{00000000-0005-0000-0000-0000346D0000}"/>
    <cellStyle name="Normal 4 3 2 2 3 2 3 3 2" xfId="32087" xr:uid="{00000000-0005-0000-0000-0000356D0000}"/>
    <cellStyle name="Normal 4 3 2 2 3 2 3 4" xfId="18319" xr:uid="{00000000-0005-0000-0000-0000366D0000}"/>
    <cellStyle name="Normal 4 3 2 2 3 2 3 4 2" xfId="38239" xr:uid="{00000000-0005-0000-0000-0000376D0000}"/>
    <cellStyle name="Normal 4 3 2 2 3 2 3 5" xfId="25934" xr:uid="{00000000-0005-0000-0000-0000386D0000}"/>
    <cellStyle name="Normal 4 3 2 2 3 2 4" xfId="7505" xr:uid="{00000000-0005-0000-0000-0000396D0000}"/>
    <cellStyle name="Normal 4 3 2 2 3 2 4 2" xfId="13699" xr:uid="{00000000-0005-0000-0000-00003A6D0000}"/>
    <cellStyle name="Normal 4 3 2 2 3 2 4 2 2" xfId="33619" xr:uid="{00000000-0005-0000-0000-00003B6D0000}"/>
    <cellStyle name="Normal 4 3 2 2 3 2 4 3" xfId="19851" xr:uid="{00000000-0005-0000-0000-00003C6D0000}"/>
    <cellStyle name="Normal 4 3 2 2 3 2 4 3 2" xfId="39771" xr:uid="{00000000-0005-0000-0000-00003D6D0000}"/>
    <cellStyle name="Normal 4 3 2 2 3 2 4 4" xfId="27466" xr:uid="{00000000-0005-0000-0000-00003E6D0000}"/>
    <cellStyle name="Normal 4 3 2 2 3 2 5" xfId="10633" xr:uid="{00000000-0005-0000-0000-00003F6D0000}"/>
    <cellStyle name="Normal 4 3 2 2 3 2 5 2" xfId="30553" xr:uid="{00000000-0005-0000-0000-0000406D0000}"/>
    <cellStyle name="Normal 4 3 2 2 3 2 6" xfId="16785" xr:uid="{00000000-0005-0000-0000-0000416D0000}"/>
    <cellStyle name="Normal 4 3 2 2 3 2 6 2" xfId="36705" xr:uid="{00000000-0005-0000-0000-0000426D0000}"/>
    <cellStyle name="Normal 4 3 2 2 3 2 7" xfId="24400" xr:uid="{00000000-0005-0000-0000-0000436D0000}"/>
    <cellStyle name="Normal 4 3 2 2 3 3" xfId="5097" xr:uid="{00000000-0005-0000-0000-0000446D0000}"/>
    <cellStyle name="Normal 4 3 2 2 3 3 2" xfId="6722" xr:uid="{00000000-0005-0000-0000-0000456D0000}"/>
    <cellStyle name="Normal 4 3 2 2 3 3 2 2" xfId="9808" xr:uid="{00000000-0005-0000-0000-0000466D0000}"/>
    <cellStyle name="Normal 4 3 2 2 3 3 2 2 2" xfId="16001" xr:uid="{00000000-0005-0000-0000-0000476D0000}"/>
    <cellStyle name="Normal 4 3 2 2 3 3 2 2 2 2" xfId="35921" xr:uid="{00000000-0005-0000-0000-0000486D0000}"/>
    <cellStyle name="Normal 4 3 2 2 3 3 2 2 3" xfId="22153" xr:uid="{00000000-0005-0000-0000-0000496D0000}"/>
    <cellStyle name="Normal 4 3 2 2 3 3 2 2 3 2" xfId="42073" xr:uid="{00000000-0005-0000-0000-00004A6D0000}"/>
    <cellStyle name="Normal 4 3 2 2 3 3 2 2 4" xfId="29768" xr:uid="{00000000-0005-0000-0000-00004B6D0000}"/>
    <cellStyle name="Normal 4 3 2 2 3 3 2 3" xfId="12935" xr:uid="{00000000-0005-0000-0000-00004C6D0000}"/>
    <cellStyle name="Normal 4 3 2 2 3 3 2 3 2" xfId="32855" xr:uid="{00000000-0005-0000-0000-00004D6D0000}"/>
    <cellStyle name="Normal 4 3 2 2 3 3 2 4" xfId="19087" xr:uid="{00000000-0005-0000-0000-00004E6D0000}"/>
    <cellStyle name="Normal 4 3 2 2 3 3 2 4 2" xfId="39007" xr:uid="{00000000-0005-0000-0000-00004F6D0000}"/>
    <cellStyle name="Normal 4 3 2 2 3 3 2 5" xfId="26702" xr:uid="{00000000-0005-0000-0000-0000506D0000}"/>
    <cellStyle name="Normal 4 3 2 2 3 3 3" xfId="8273" xr:uid="{00000000-0005-0000-0000-0000516D0000}"/>
    <cellStyle name="Normal 4 3 2 2 3 3 3 2" xfId="14467" xr:uid="{00000000-0005-0000-0000-0000526D0000}"/>
    <cellStyle name="Normal 4 3 2 2 3 3 3 2 2" xfId="34387" xr:uid="{00000000-0005-0000-0000-0000536D0000}"/>
    <cellStyle name="Normal 4 3 2 2 3 3 3 3" xfId="20619" xr:uid="{00000000-0005-0000-0000-0000546D0000}"/>
    <cellStyle name="Normal 4 3 2 2 3 3 3 3 2" xfId="40539" xr:uid="{00000000-0005-0000-0000-0000556D0000}"/>
    <cellStyle name="Normal 4 3 2 2 3 3 3 4" xfId="28234" xr:uid="{00000000-0005-0000-0000-0000566D0000}"/>
    <cellStyle name="Normal 4 3 2 2 3 3 4" xfId="11401" xr:uid="{00000000-0005-0000-0000-0000576D0000}"/>
    <cellStyle name="Normal 4 3 2 2 3 3 4 2" xfId="31321" xr:uid="{00000000-0005-0000-0000-0000586D0000}"/>
    <cellStyle name="Normal 4 3 2 2 3 3 5" xfId="17553" xr:uid="{00000000-0005-0000-0000-0000596D0000}"/>
    <cellStyle name="Normal 4 3 2 2 3 3 5 2" xfId="37473" xr:uid="{00000000-0005-0000-0000-00005A6D0000}"/>
    <cellStyle name="Normal 4 3 2 2 3 3 6" xfId="25168" xr:uid="{00000000-0005-0000-0000-00005B6D0000}"/>
    <cellStyle name="Normal 4 3 2 2 3 4" xfId="5939" xr:uid="{00000000-0005-0000-0000-00005C6D0000}"/>
    <cellStyle name="Normal 4 3 2 2 3 4 2" xfId="9039" xr:uid="{00000000-0005-0000-0000-00005D6D0000}"/>
    <cellStyle name="Normal 4 3 2 2 3 4 2 2" xfId="15232" xr:uid="{00000000-0005-0000-0000-00005E6D0000}"/>
    <cellStyle name="Normal 4 3 2 2 3 4 2 2 2" xfId="35152" xr:uid="{00000000-0005-0000-0000-00005F6D0000}"/>
    <cellStyle name="Normal 4 3 2 2 3 4 2 3" xfId="21384" xr:uid="{00000000-0005-0000-0000-0000606D0000}"/>
    <cellStyle name="Normal 4 3 2 2 3 4 2 3 2" xfId="41304" xr:uid="{00000000-0005-0000-0000-0000616D0000}"/>
    <cellStyle name="Normal 4 3 2 2 3 4 2 4" xfId="28999" xr:uid="{00000000-0005-0000-0000-0000626D0000}"/>
    <cellStyle name="Normal 4 3 2 2 3 4 3" xfId="12166" xr:uid="{00000000-0005-0000-0000-0000636D0000}"/>
    <cellStyle name="Normal 4 3 2 2 3 4 3 2" xfId="32086" xr:uid="{00000000-0005-0000-0000-0000646D0000}"/>
    <cellStyle name="Normal 4 3 2 2 3 4 4" xfId="18318" xr:uid="{00000000-0005-0000-0000-0000656D0000}"/>
    <cellStyle name="Normal 4 3 2 2 3 4 4 2" xfId="38238" xr:uid="{00000000-0005-0000-0000-0000666D0000}"/>
    <cellStyle name="Normal 4 3 2 2 3 4 5" xfId="25933" xr:uid="{00000000-0005-0000-0000-0000676D0000}"/>
    <cellStyle name="Normal 4 3 2 2 3 5" xfId="7504" xr:uid="{00000000-0005-0000-0000-0000686D0000}"/>
    <cellStyle name="Normal 4 3 2 2 3 5 2" xfId="13698" xr:uid="{00000000-0005-0000-0000-0000696D0000}"/>
    <cellStyle name="Normal 4 3 2 2 3 5 2 2" xfId="33618" xr:uid="{00000000-0005-0000-0000-00006A6D0000}"/>
    <cellStyle name="Normal 4 3 2 2 3 5 3" xfId="19850" xr:uid="{00000000-0005-0000-0000-00006B6D0000}"/>
    <cellStyle name="Normal 4 3 2 2 3 5 3 2" xfId="39770" xr:uid="{00000000-0005-0000-0000-00006C6D0000}"/>
    <cellStyle name="Normal 4 3 2 2 3 5 4" xfId="27465" xr:uid="{00000000-0005-0000-0000-00006D6D0000}"/>
    <cellStyle name="Normal 4 3 2 2 3 6" xfId="10632" xr:uid="{00000000-0005-0000-0000-00006E6D0000}"/>
    <cellStyle name="Normal 4 3 2 2 3 6 2" xfId="30552" xr:uid="{00000000-0005-0000-0000-00006F6D0000}"/>
    <cellStyle name="Normal 4 3 2 2 3 7" xfId="16784" xr:uid="{00000000-0005-0000-0000-0000706D0000}"/>
    <cellStyle name="Normal 4 3 2 2 3 7 2" xfId="36704" xr:uid="{00000000-0005-0000-0000-0000716D0000}"/>
    <cellStyle name="Normal 4 3 2 2 3 8" xfId="24399" xr:uid="{00000000-0005-0000-0000-0000726D0000}"/>
    <cellStyle name="Normal 4 3 2 2 4" xfId="3862" xr:uid="{00000000-0005-0000-0000-0000736D0000}"/>
    <cellStyle name="Normal 4 3 2 2 4 2" xfId="5099" xr:uid="{00000000-0005-0000-0000-0000746D0000}"/>
    <cellStyle name="Normal 4 3 2 2 4 2 2" xfId="6724" xr:uid="{00000000-0005-0000-0000-0000756D0000}"/>
    <cellStyle name="Normal 4 3 2 2 4 2 2 2" xfId="9810" xr:uid="{00000000-0005-0000-0000-0000766D0000}"/>
    <cellStyle name="Normal 4 3 2 2 4 2 2 2 2" xfId="16003" xr:uid="{00000000-0005-0000-0000-0000776D0000}"/>
    <cellStyle name="Normal 4 3 2 2 4 2 2 2 2 2" xfId="35923" xr:uid="{00000000-0005-0000-0000-0000786D0000}"/>
    <cellStyle name="Normal 4 3 2 2 4 2 2 2 3" xfId="22155" xr:uid="{00000000-0005-0000-0000-0000796D0000}"/>
    <cellStyle name="Normal 4 3 2 2 4 2 2 2 3 2" xfId="42075" xr:uid="{00000000-0005-0000-0000-00007A6D0000}"/>
    <cellStyle name="Normal 4 3 2 2 4 2 2 2 4" xfId="29770" xr:uid="{00000000-0005-0000-0000-00007B6D0000}"/>
    <cellStyle name="Normal 4 3 2 2 4 2 2 3" xfId="12937" xr:uid="{00000000-0005-0000-0000-00007C6D0000}"/>
    <cellStyle name="Normal 4 3 2 2 4 2 2 3 2" xfId="32857" xr:uid="{00000000-0005-0000-0000-00007D6D0000}"/>
    <cellStyle name="Normal 4 3 2 2 4 2 2 4" xfId="19089" xr:uid="{00000000-0005-0000-0000-00007E6D0000}"/>
    <cellStyle name="Normal 4 3 2 2 4 2 2 4 2" xfId="39009" xr:uid="{00000000-0005-0000-0000-00007F6D0000}"/>
    <cellStyle name="Normal 4 3 2 2 4 2 2 5" xfId="26704" xr:uid="{00000000-0005-0000-0000-0000806D0000}"/>
    <cellStyle name="Normal 4 3 2 2 4 2 3" xfId="8275" xr:uid="{00000000-0005-0000-0000-0000816D0000}"/>
    <cellStyle name="Normal 4 3 2 2 4 2 3 2" xfId="14469" xr:uid="{00000000-0005-0000-0000-0000826D0000}"/>
    <cellStyle name="Normal 4 3 2 2 4 2 3 2 2" xfId="34389" xr:uid="{00000000-0005-0000-0000-0000836D0000}"/>
    <cellStyle name="Normal 4 3 2 2 4 2 3 3" xfId="20621" xr:uid="{00000000-0005-0000-0000-0000846D0000}"/>
    <cellStyle name="Normal 4 3 2 2 4 2 3 3 2" xfId="40541" xr:uid="{00000000-0005-0000-0000-0000856D0000}"/>
    <cellStyle name="Normal 4 3 2 2 4 2 3 4" xfId="28236" xr:uid="{00000000-0005-0000-0000-0000866D0000}"/>
    <cellStyle name="Normal 4 3 2 2 4 2 4" xfId="11403" xr:uid="{00000000-0005-0000-0000-0000876D0000}"/>
    <cellStyle name="Normal 4 3 2 2 4 2 4 2" xfId="31323" xr:uid="{00000000-0005-0000-0000-0000886D0000}"/>
    <cellStyle name="Normal 4 3 2 2 4 2 5" xfId="17555" xr:uid="{00000000-0005-0000-0000-0000896D0000}"/>
    <cellStyle name="Normal 4 3 2 2 4 2 5 2" xfId="37475" xr:uid="{00000000-0005-0000-0000-00008A6D0000}"/>
    <cellStyle name="Normal 4 3 2 2 4 2 6" xfId="25170" xr:uid="{00000000-0005-0000-0000-00008B6D0000}"/>
    <cellStyle name="Normal 4 3 2 2 4 3" xfId="5941" xr:uid="{00000000-0005-0000-0000-00008C6D0000}"/>
    <cellStyle name="Normal 4 3 2 2 4 3 2" xfId="9041" xr:uid="{00000000-0005-0000-0000-00008D6D0000}"/>
    <cellStyle name="Normal 4 3 2 2 4 3 2 2" xfId="15234" xr:uid="{00000000-0005-0000-0000-00008E6D0000}"/>
    <cellStyle name="Normal 4 3 2 2 4 3 2 2 2" xfId="35154" xr:uid="{00000000-0005-0000-0000-00008F6D0000}"/>
    <cellStyle name="Normal 4 3 2 2 4 3 2 3" xfId="21386" xr:uid="{00000000-0005-0000-0000-0000906D0000}"/>
    <cellStyle name="Normal 4 3 2 2 4 3 2 3 2" xfId="41306" xr:uid="{00000000-0005-0000-0000-0000916D0000}"/>
    <cellStyle name="Normal 4 3 2 2 4 3 2 4" xfId="29001" xr:uid="{00000000-0005-0000-0000-0000926D0000}"/>
    <cellStyle name="Normal 4 3 2 2 4 3 3" xfId="12168" xr:uid="{00000000-0005-0000-0000-0000936D0000}"/>
    <cellStyle name="Normal 4 3 2 2 4 3 3 2" xfId="32088" xr:uid="{00000000-0005-0000-0000-0000946D0000}"/>
    <cellStyle name="Normal 4 3 2 2 4 3 4" xfId="18320" xr:uid="{00000000-0005-0000-0000-0000956D0000}"/>
    <cellStyle name="Normal 4 3 2 2 4 3 4 2" xfId="38240" xr:uid="{00000000-0005-0000-0000-0000966D0000}"/>
    <cellStyle name="Normal 4 3 2 2 4 3 5" xfId="25935" xr:uid="{00000000-0005-0000-0000-0000976D0000}"/>
    <cellStyle name="Normal 4 3 2 2 4 4" xfId="7506" xr:uid="{00000000-0005-0000-0000-0000986D0000}"/>
    <cellStyle name="Normal 4 3 2 2 4 4 2" xfId="13700" xr:uid="{00000000-0005-0000-0000-0000996D0000}"/>
    <cellStyle name="Normal 4 3 2 2 4 4 2 2" xfId="33620" xr:uid="{00000000-0005-0000-0000-00009A6D0000}"/>
    <cellStyle name="Normal 4 3 2 2 4 4 3" xfId="19852" xr:uid="{00000000-0005-0000-0000-00009B6D0000}"/>
    <cellStyle name="Normal 4 3 2 2 4 4 3 2" xfId="39772" xr:uid="{00000000-0005-0000-0000-00009C6D0000}"/>
    <cellStyle name="Normal 4 3 2 2 4 4 4" xfId="27467" xr:uid="{00000000-0005-0000-0000-00009D6D0000}"/>
    <cellStyle name="Normal 4 3 2 2 4 5" xfId="10634" xr:uid="{00000000-0005-0000-0000-00009E6D0000}"/>
    <cellStyle name="Normal 4 3 2 2 4 5 2" xfId="30554" xr:uid="{00000000-0005-0000-0000-00009F6D0000}"/>
    <cellStyle name="Normal 4 3 2 2 4 6" xfId="16786" xr:uid="{00000000-0005-0000-0000-0000A06D0000}"/>
    <cellStyle name="Normal 4 3 2 2 4 6 2" xfId="36706" xr:uid="{00000000-0005-0000-0000-0000A16D0000}"/>
    <cellStyle name="Normal 4 3 2 2 4 7" xfId="24401" xr:uid="{00000000-0005-0000-0000-0000A26D0000}"/>
    <cellStyle name="Normal 4 3 2 2 5" xfId="5094" xr:uid="{00000000-0005-0000-0000-0000A36D0000}"/>
    <cellStyle name="Normal 4 3 2 2 5 2" xfId="6719" xr:uid="{00000000-0005-0000-0000-0000A46D0000}"/>
    <cellStyle name="Normal 4 3 2 2 5 2 2" xfId="9805" xr:uid="{00000000-0005-0000-0000-0000A56D0000}"/>
    <cellStyle name="Normal 4 3 2 2 5 2 2 2" xfId="15998" xr:uid="{00000000-0005-0000-0000-0000A66D0000}"/>
    <cellStyle name="Normal 4 3 2 2 5 2 2 2 2" xfId="35918" xr:uid="{00000000-0005-0000-0000-0000A76D0000}"/>
    <cellStyle name="Normal 4 3 2 2 5 2 2 3" xfId="22150" xr:uid="{00000000-0005-0000-0000-0000A86D0000}"/>
    <cellStyle name="Normal 4 3 2 2 5 2 2 3 2" xfId="42070" xr:uid="{00000000-0005-0000-0000-0000A96D0000}"/>
    <cellStyle name="Normal 4 3 2 2 5 2 2 4" xfId="29765" xr:uid="{00000000-0005-0000-0000-0000AA6D0000}"/>
    <cellStyle name="Normal 4 3 2 2 5 2 3" xfId="12932" xr:uid="{00000000-0005-0000-0000-0000AB6D0000}"/>
    <cellStyle name="Normal 4 3 2 2 5 2 3 2" xfId="32852" xr:uid="{00000000-0005-0000-0000-0000AC6D0000}"/>
    <cellStyle name="Normal 4 3 2 2 5 2 4" xfId="19084" xr:uid="{00000000-0005-0000-0000-0000AD6D0000}"/>
    <cellStyle name="Normal 4 3 2 2 5 2 4 2" xfId="39004" xr:uid="{00000000-0005-0000-0000-0000AE6D0000}"/>
    <cellStyle name="Normal 4 3 2 2 5 2 5" xfId="26699" xr:uid="{00000000-0005-0000-0000-0000AF6D0000}"/>
    <cellStyle name="Normal 4 3 2 2 5 3" xfId="8270" xr:uid="{00000000-0005-0000-0000-0000B06D0000}"/>
    <cellStyle name="Normal 4 3 2 2 5 3 2" xfId="14464" xr:uid="{00000000-0005-0000-0000-0000B16D0000}"/>
    <cellStyle name="Normal 4 3 2 2 5 3 2 2" xfId="34384" xr:uid="{00000000-0005-0000-0000-0000B26D0000}"/>
    <cellStyle name="Normal 4 3 2 2 5 3 3" xfId="20616" xr:uid="{00000000-0005-0000-0000-0000B36D0000}"/>
    <cellStyle name="Normal 4 3 2 2 5 3 3 2" xfId="40536" xr:uid="{00000000-0005-0000-0000-0000B46D0000}"/>
    <cellStyle name="Normal 4 3 2 2 5 3 4" xfId="28231" xr:uid="{00000000-0005-0000-0000-0000B56D0000}"/>
    <cellStyle name="Normal 4 3 2 2 5 4" xfId="11398" xr:uid="{00000000-0005-0000-0000-0000B66D0000}"/>
    <cellStyle name="Normal 4 3 2 2 5 4 2" xfId="31318" xr:uid="{00000000-0005-0000-0000-0000B76D0000}"/>
    <cellStyle name="Normal 4 3 2 2 5 5" xfId="17550" xr:uid="{00000000-0005-0000-0000-0000B86D0000}"/>
    <cellStyle name="Normal 4 3 2 2 5 5 2" xfId="37470" xr:uid="{00000000-0005-0000-0000-0000B96D0000}"/>
    <cellStyle name="Normal 4 3 2 2 5 6" xfId="25165" xr:uid="{00000000-0005-0000-0000-0000BA6D0000}"/>
    <cellStyle name="Normal 4 3 2 2 6" xfId="5936" xr:uid="{00000000-0005-0000-0000-0000BB6D0000}"/>
    <cellStyle name="Normal 4 3 2 2 6 2" xfId="9036" xr:uid="{00000000-0005-0000-0000-0000BC6D0000}"/>
    <cellStyle name="Normal 4 3 2 2 6 2 2" xfId="15229" xr:uid="{00000000-0005-0000-0000-0000BD6D0000}"/>
    <cellStyle name="Normal 4 3 2 2 6 2 2 2" xfId="35149" xr:uid="{00000000-0005-0000-0000-0000BE6D0000}"/>
    <cellStyle name="Normal 4 3 2 2 6 2 3" xfId="21381" xr:uid="{00000000-0005-0000-0000-0000BF6D0000}"/>
    <cellStyle name="Normal 4 3 2 2 6 2 3 2" xfId="41301" xr:uid="{00000000-0005-0000-0000-0000C06D0000}"/>
    <cellStyle name="Normal 4 3 2 2 6 2 4" xfId="28996" xr:uid="{00000000-0005-0000-0000-0000C16D0000}"/>
    <cellStyle name="Normal 4 3 2 2 6 3" xfId="12163" xr:uid="{00000000-0005-0000-0000-0000C26D0000}"/>
    <cellStyle name="Normal 4 3 2 2 6 3 2" xfId="32083" xr:uid="{00000000-0005-0000-0000-0000C36D0000}"/>
    <cellStyle name="Normal 4 3 2 2 6 4" xfId="18315" xr:uid="{00000000-0005-0000-0000-0000C46D0000}"/>
    <cellStyle name="Normal 4 3 2 2 6 4 2" xfId="38235" xr:uid="{00000000-0005-0000-0000-0000C56D0000}"/>
    <cellStyle name="Normal 4 3 2 2 6 5" xfId="25930" xr:uid="{00000000-0005-0000-0000-0000C66D0000}"/>
    <cellStyle name="Normal 4 3 2 2 7" xfId="7501" xr:uid="{00000000-0005-0000-0000-0000C76D0000}"/>
    <cellStyle name="Normal 4 3 2 2 7 2" xfId="13695" xr:uid="{00000000-0005-0000-0000-0000C86D0000}"/>
    <cellStyle name="Normal 4 3 2 2 7 2 2" xfId="33615" xr:uid="{00000000-0005-0000-0000-0000C96D0000}"/>
    <cellStyle name="Normal 4 3 2 2 7 3" xfId="19847" xr:uid="{00000000-0005-0000-0000-0000CA6D0000}"/>
    <cellStyle name="Normal 4 3 2 2 7 3 2" xfId="39767" xr:uid="{00000000-0005-0000-0000-0000CB6D0000}"/>
    <cellStyle name="Normal 4 3 2 2 7 4" xfId="27462" xr:uid="{00000000-0005-0000-0000-0000CC6D0000}"/>
    <cellStyle name="Normal 4 3 2 2 8" xfId="10629" xr:uid="{00000000-0005-0000-0000-0000CD6D0000}"/>
    <cellStyle name="Normal 4 3 2 2 8 2" xfId="30549" xr:uid="{00000000-0005-0000-0000-0000CE6D0000}"/>
    <cellStyle name="Normal 4 3 2 2 9" xfId="16781" xr:uid="{00000000-0005-0000-0000-0000CF6D0000}"/>
    <cellStyle name="Normal 4 3 2 2 9 2" xfId="36701" xr:uid="{00000000-0005-0000-0000-0000D06D0000}"/>
    <cellStyle name="Normal 4 3 2 3" xfId="3863" xr:uid="{00000000-0005-0000-0000-0000D16D0000}"/>
    <cellStyle name="Normal 4 3 2 3 2" xfId="3864" xr:uid="{00000000-0005-0000-0000-0000D26D0000}"/>
    <cellStyle name="Normal 4 3 2 3 2 2" xfId="5101" xr:uid="{00000000-0005-0000-0000-0000D36D0000}"/>
    <cellStyle name="Normal 4 3 2 3 2 2 2" xfId="6726" xr:uid="{00000000-0005-0000-0000-0000D46D0000}"/>
    <cellStyle name="Normal 4 3 2 3 2 2 2 2" xfId="9812" xr:uid="{00000000-0005-0000-0000-0000D56D0000}"/>
    <cellStyle name="Normal 4 3 2 3 2 2 2 2 2" xfId="16005" xr:uid="{00000000-0005-0000-0000-0000D66D0000}"/>
    <cellStyle name="Normal 4 3 2 3 2 2 2 2 2 2" xfId="35925" xr:uid="{00000000-0005-0000-0000-0000D76D0000}"/>
    <cellStyle name="Normal 4 3 2 3 2 2 2 2 3" xfId="22157" xr:uid="{00000000-0005-0000-0000-0000D86D0000}"/>
    <cellStyle name="Normal 4 3 2 3 2 2 2 2 3 2" xfId="42077" xr:uid="{00000000-0005-0000-0000-0000D96D0000}"/>
    <cellStyle name="Normal 4 3 2 3 2 2 2 2 4" xfId="29772" xr:uid="{00000000-0005-0000-0000-0000DA6D0000}"/>
    <cellStyle name="Normal 4 3 2 3 2 2 2 3" xfId="12939" xr:uid="{00000000-0005-0000-0000-0000DB6D0000}"/>
    <cellStyle name="Normal 4 3 2 3 2 2 2 3 2" xfId="32859" xr:uid="{00000000-0005-0000-0000-0000DC6D0000}"/>
    <cellStyle name="Normal 4 3 2 3 2 2 2 4" xfId="19091" xr:uid="{00000000-0005-0000-0000-0000DD6D0000}"/>
    <cellStyle name="Normal 4 3 2 3 2 2 2 4 2" xfId="39011" xr:uid="{00000000-0005-0000-0000-0000DE6D0000}"/>
    <cellStyle name="Normal 4 3 2 3 2 2 2 5" xfId="26706" xr:uid="{00000000-0005-0000-0000-0000DF6D0000}"/>
    <cellStyle name="Normal 4 3 2 3 2 2 3" xfId="8277" xr:uid="{00000000-0005-0000-0000-0000E06D0000}"/>
    <cellStyle name="Normal 4 3 2 3 2 2 3 2" xfId="14471" xr:uid="{00000000-0005-0000-0000-0000E16D0000}"/>
    <cellStyle name="Normal 4 3 2 3 2 2 3 2 2" xfId="34391" xr:uid="{00000000-0005-0000-0000-0000E26D0000}"/>
    <cellStyle name="Normal 4 3 2 3 2 2 3 3" xfId="20623" xr:uid="{00000000-0005-0000-0000-0000E36D0000}"/>
    <cellStyle name="Normal 4 3 2 3 2 2 3 3 2" xfId="40543" xr:uid="{00000000-0005-0000-0000-0000E46D0000}"/>
    <cellStyle name="Normal 4 3 2 3 2 2 3 4" xfId="28238" xr:uid="{00000000-0005-0000-0000-0000E56D0000}"/>
    <cellStyle name="Normal 4 3 2 3 2 2 4" xfId="11405" xr:uid="{00000000-0005-0000-0000-0000E66D0000}"/>
    <cellStyle name="Normal 4 3 2 3 2 2 4 2" xfId="31325" xr:uid="{00000000-0005-0000-0000-0000E76D0000}"/>
    <cellStyle name="Normal 4 3 2 3 2 2 5" xfId="17557" xr:uid="{00000000-0005-0000-0000-0000E86D0000}"/>
    <cellStyle name="Normal 4 3 2 3 2 2 5 2" xfId="37477" xr:uid="{00000000-0005-0000-0000-0000E96D0000}"/>
    <cellStyle name="Normal 4 3 2 3 2 2 6" xfId="25172" xr:uid="{00000000-0005-0000-0000-0000EA6D0000}"/>
    <cellStyle name="Normal 4 3 2 3 2 3" xfId="5943" xr:uid="{00000000-0005-0000-0000-0000EB6D0000}"/>
    <cellStyle name="Normal 4 3 2 3 2 3 2" xfId="9043" xr:uid="{00000000-0005-0000-0000-0000EC6D0000}"/>
    <cellStyle name="Normal 4 3 2 3 2 3 2 2" xfId="15236" xr:uid="{00000000-0005-0000-0000-0000ED6D0000}"/>
    <cellStyle name="Normal 4 3 2 3 2 3 2 2 2" xfId="35156" xr:uid="{00000000-0005-0000-0000-0000EE6D0000}"/>
    <cellStyle name="Normal 4 3 2 3 2 3 2 3" xfId="21388" xr:uid="{00000000-0005-0000-0000-0000EF6D0000}"/>
    <cellStyle name="Normal 4 3 2 3 2 3 2 3 2" xfId="41308" xr:uid="{00000000-0005-0000-0000-0000F06D0000}"/>
    <cellStyle name="Normal 4 3 2 3 2 3 2 4" xfId="29003" xr:uid="{00000000-0005-0000-0000-0000F16D0000}"/>
    <cellStyle name="Normal 4 3 2 3 2 3 3" xfId="12170" xr:uid="{00000000-0005-0000-0000-0000F26D0000}"/>
    <cellStyle name="Normal 4 3 2 3 2 3 3 2" xfId="32090" xr:uid="{00000000-0005-0000-0000-0000F36D0000}"/>
    <cellStyle name="Normal 4 3 2 3 2 3 4" xfId="18322" xr:uid="{00000000-0005-0000-0000-0000F46D0000}"/>
    <cellStyle name="Normal 4 3 2 3 2 3 4 2" xfId="38242" xr:uid="{00000000-0005-0000-0000-0000F56D0000}"/>
    <cellStyle name="Normal 4 3 2 3 2 3 5" xfId="25937" xr:uid="{00000000-0005-0000-0000-0000F66D0000}"/>
    <cellStyle name="Normal 4 3 2 3 2 4" xfId="7508" xr:uid="{00000000-0005-0000-0000-0000F76D0000}"/>
    <cellStyle name="Normal 4 3 2 3 2 4 2" xfId="13702" xr:uid="{00000000-0005-0000-0000-0000F86D0000}"/>
    <cellStyle name="Normal 4 3 2 3 2 4 2 2" xfId="33622" xr:uid="{00000000-0005-0000-0000-0000F96D0000}"/>
    <cellStyle name="Normal 4 3 2 3 2 4 3" xfId="19854" xr:uid="{00000000-0005-0000-0000-0000FA6D0000}"/>
    <cellStyle name="Normal 4 3 2 3 2 4 3 2" xfId="39774" xr:uid="{00000000-0005-0000-0000-0000FB6D0000}"/>
    <cellStyle name="Normal 4 3 2 3 2 4 4" xfId="27469" xr:uid="{00000000-0005-0000-0000-0000FC6D0000}"/>
    <cellStyle name="Normal 4 3 2 3 2 5" xfId="10636" xr:uid="{00000000-0005-0000-0000-0000FD6D0000}"/>
    <cellStyle name="Normal 4 3 2 3 2 5 2" xfId="30556" xr:uid="{00000000-0005-0000-0000-0000FE6D0000}"/>
    <cellStyle name="Normal 4 3 2 3 2 6" xfId="16788" xr:uid="{00000000-0005-0000-0000-0000FF6D0000}"/>
    <cellStyle name="Normal 4 3 2 3 2 6 2" xfId="36708" xr:uid="{00000000-0005-0000-0000-0000006E0000}"/>
    <cellStyle name="Normal 4 3 2 3 2 7" xfId="24403" xr:uid="{00000000-0005-0000-0000-0000016E0000}"/>
    <cellStyle name="Normal 4 3 2 3 3" xfId="5100" xr:uid="{00000000-0005-0000-0000-0000026E0000}"/>
    <cellStyle name="Normal 4 3 2 3 3 2" xfId="6725" xr:uid="{00000000-0005-0000-0000-0000036E0000}"/>
    <cellStyle name="Normal 4 3 2 3 3 2 2" xfId="9811" xr:uid="{00000000-0005-0000-0000-0000046E0000}"/>
    <cellStyle name="Normal 4 3 2 3 3 2 2 2" xfId="16004" xr:uid="{00000000-0005-0000-0000-0000056E0000}"/>
    <cellStyle name="Normal 4 3 2 3 3 2 2 2 2" xfId="35924" xr:uid="{00000000-0005-0000-0000-0000066E0000}"/>
    <cellStyle name="Normal 4 3 2 3 3 2 2 3" xfId="22156" xr:uid="{00000000-0005-0000-0000-0000076E0000}"/>
    <cellStyle name="Normal 4 3 2 3 3 2 2 3 2" xfId="42076" xr:uid="{00000000-0005-0000-0000-0000086E0000}"/>
    <cellStyle name="Normal 4 3 2 3 3 2 2 4" xfId="29771" xr:uid="{00000000-0005-0000-0000-0000096E0000}"/>
    <cellStyle name="Normal 4 3 2 3 3 2 3" xfId="12938" xr:uid="{00000000-0005-0000-0000-00000A6E0000}"/>
    <cellStyle name="Normal 4 3 2 3 3 2 3 2" xfId="32858" xr:uid="{00000000-0005-0000-0000-00000B6E0000}"/>
    <cellStyle name="Normal 4 3 2 3 3 2 4" xfId="19090" xr:uid="{00000000-0005-0000-0000-00000C6E0000}"/>
    <cellStyle name="Normal 4 3 2 3 3 2 4 2" xfId="39010" xr:uid="{00000000-0005-0000-0000-00000D6E0000}"/>
    <cellStyle name="Normal 4 3 2 3 3 2 5" xfId="26705" xr:uid="{00000000-0005-0000-0000-00000E6E0000}"/>
    <cellStyle name="Normal 4 3 2 3 3 3" xfId="8276" xr:uid="{00000000-0005-0000-0000-00000F6E0000}"/>
    <cellStyle name="Normal 4 3 2 3 3 3 2" xfId="14470" xr:uid="{00000000-0005-0000-0000-0000106E0000}"/>
    <cellStyle name="Normal 4 3 2 3 3 3 2 2" xfId="34390" xr:uid="{00000000-0005-0000-0000-0000116E0000}"/>
    <cellStyle name="Normal 4 3 2 3 3 3 3" xfId="20622" xr:uid="{00000000-0005-0000-0000-0000126E0000}"/>
    <cellStyle name="Normal 4 3 2 3 3 3 3 2" xfId="40542" xr:uid="{00000000-0005-0000-0000-0000136E0000}"/>
    <cellStyle name="Normal 4 3 2 3 3 3 4" xfId="28237" xr:uid="{00000000-0005-0000-0000-0000146E0000}"/>
    <cellStyle name="Normal 4 3 2 3 3 4" xfId="11404" xr:uid="{00000000-0005-0000-0000-0000156E0000}"/>
    <cellStyle name="Normal 4 3 2 3 3 4 2" xfId="31324" xr:uid="{00000000-0005-0000-0000-0000166E0000}"/>
    <cellStyle name="Normal 4 3 2 3 3 5" xfId="17556" xr:uid="{00000000-0005-0000-0000-0000176E0000}"/>
    <cellStyle name="Normal 4 3 2 3 3 5 2" xfId="37476" xr:uid="{00000000-0005-0000-0000-0000186E0000}"/>
    <cellStyle name="Normal 4 3 2 3 3 6" xfId="25171" xr:uid="{00000000-0005-0000-0000-0000196E0000}"/>
    <cellStyle name="Normal 4 3 2 3 4" xfId="5942" xr:uid="{00000000-0005-0000-0000-00001A6E0000}"/>
    <cellStyle name="Normal 4 3 2 3 4 2" xfId="9042" xr:uid="{00000000-0005-0000-0000-00001B6E0000}"/>
    <cellStyle name="Normal 4 3 2 3 4 2 2" xfId="15235" xr:uid="{00000000-0005-0000-0000-00001C6E0000}"/>
    <cellStyle name="Normal 4 3 2 3 4 2 2 2" xfId="35155" xr:uid="{00000000-0005-0000-0000-00001D6E0000}"/>
    <cellStyle name="Normal 4 3 2 3 4 2 3" xfId="21387" xr:uid="{00000000-0005-0000-0000-00001E6E0000}"/>
    <cellStyle name="Normal 4 3 2 3 4 2 3 2" xfId="41307" xr:uid="{00000000-0005-0000-0000-00001F6E0000}"/>
    <cellStyle name="Normal 4 3 2 3 4 2 4" xfId="29002" xr:uid="{00000000-0005-0000-0000-0000206E0000}"/>
    <cellStyle name="Normal 4 3 2 3 4 3" xfId="12169" xr:uid="{00000000-0005-0000-0000-0000216E0000}"/>
    <cellStyle name="Normal 4 3 2 3 4 3 2" xfId="32089" xr:uid="{00000000-0005-0000-0000-0000226E0000}"/>
    <cellStyle name="Normal 4 3 2 3 4 4" xfId="18321" xr:uid="{00000000-0005-0000-0000-0000236E0000}"/>
    <cellStyle name="Normal 4 3 2 3 4 4 2" xfId="38241" xr:uid="{00000000-0005-0000-0000-0000246E0000}"/>
    <cellStyle name="Normal 4 3 2 3 4 5" xfId="25936" xr:uid="{00000000-0005-0000-0000-0000256E0000}"/>
    <cellStyle name="Normal 4 3 2 3 5" xfId="7507" xr:uid="{00000000-0005-0000-0000-0000266E0000}"/>
    <cellStyle name="Normal 4 3 2 3 5 2" xfId="13701" xr:uid="{00000000-0005-0000-0000-0000276E0000}"/>
    <cellStyle name="Normal 4 3 2 3 5 2 2" xfId="33621" xr:uid="{00000000-0005-0000-0000-0000286E0000}"/>
    <cellStyle name="Normal 4 3 2 3 5 3" xfId="19853" xr:uid="{00000000-0005-0000-0000-0000296E0000}"/>
    <cellStyle name="Normal 4 3 2 3 5 3 2" xfId="39773" xr:uid="{00000000-0005-0000-0000-00002A6E0000}"/>
    <cellStyle name="Normal 4 3 2 3 5 4" xfId="27468" xr:uid="{00000000-0005-0000-0000-00002B6E0000}"/>
    <cellStyle name="Normal 4 3 2 3 6" xfId="10635" xr:uid="{00000000-0005-0000-0000-00002C6E0000}"/>
    <cellStyle name="Normal 4 3 2 3 6 2" xfId="30555" xr:uid="{00000000-0005-0000-0000-00002D6E0000}"/>
    <cellStyle name="Normal 4 3 2 3 7" xfId="16787" xr:uid="{00000000-0005-0000-0000-00002E6E0000}"/>
    <cellStyle name="Normal 4 3 2 3 7 2" xfId="36707" xr:uid="{00000000-0005-0000-0000-00002F6E0000}"/>
    <cellStyle name="Normal 4 3 2 3 8" xfId="24402" xr:uid="{00000000-0005-0000-0000-0000306E0000}"/>
    <cellStyle name="Normal 4 3 2 4" xfId="3865" xr:uid="{00000000-0005-0000-0000-0000316E0000}"/>
    <cellStyle name="Normal 4 3 2 4 2" xfId="3866" xr:uid="{00000000-0005-0000-0000-0000326E0000}"/>
    <cellStyle name="Normal 4 3 2 4 2 2" xfId="5103" xr:uid="{00000000-0005-0000-0000-0000336E0000}"/>
    <cellStyle name="Normal 4 3 2 4 2 2 2" xfId="6728" xr:uid="{00000000-0005-0000-0000-0000346E0000}"/>
    <cellStyle name="Normal 4 3 2 4 2 2 2 2" xfId="9814" xr:uid="{00000000-0005-0000-0000-0000356E0000}"/>
    <cellStyle name="Normal 4 3 2 4 2 2 2 2 2" xfId="16007" xr:uid="{00000000-0005-0000-0000-0000366E0000}"/>
    <cellStyle name="Normal 4 3 2 4 2 2 2 2 2 2" xfId="35927" xr:uid="{00000000-0005-0000-0000-0000376E0000}"/>
    <cellStyle name="Normal 4 3 2 4 2 2 2 2 3" xfId="22159" xr:uid="{00000000-0005-0000-0000-0000386E0000}"/>
    <cellStyle name="Normal 4 3 2 4 2 2 2 2 3 2" xfId="42079" xr:uid="{00000000-0005-0000-0000-0000396E0000}"/>
    <cellStyle name="Normal 4 3 2 4 2 2 2 2 4" xfId="29774" xr:uid="{00000000-0005-0000-0000-00003A6E0000}"/>
    <cellStyle name="Normal 4 3 2 4 2 2 2 3" xfId="12941" xr:uid="{00000000-0005-0000-0000-00003B6E0000}"/>
    <cellStyle name="Normal 4 3 2 4 2 2 2 3 2" xfId="32861" xr:uid="{00000000-0005-0000-0000-00003C6E0000}"/>
    <cellStyle name="Normal 4 3 2 4 2 2 2 4" xfId="19093" xr:uid="{00000000-0005-0000-0000-00003D6E0000}"/>
    <cellStyle name="Normal 4 3 2 4 2 2 2 4 2" xfId="39013" xr:uid="{00000000-0005-0000-0000-00003E6E0000}"/>
    <cellStyle name="Normal 4 3 2 4 2 2 2 5" xfId="26708" xr:uid="{00000000-0005-0000-0000-00003F6E0000}"/>
    <cellStyle name="Normal 4 3 2 4 2 2 3" xfId="8279" xr:uid="{00000000-0005-0000-0000-0000406E0000}"/>
    <cellStyle name="Normal 4 3 2 4 2 2 3 2" xfId="14473" xr:uid="{00000000-0005-0000-0000-0000416E0000}"/>
    <cellStyle name="Normal 4 3 2 4 2 2 3 2 2" xfId="34393" xr:uid="{00000000-0005-0000-0000-0000426E0000}"/>
    <cellStyle name="Normal 4 3 2 4 2 2 3 3" xfId="20625" xr:uid="{00000000-0005-0000-0000-0000436E0000}"/>
    <cellStyle name="Normal 4 3 2 4 2 2 3 3 2" xfId="40545" xr:uid="{00000000-0005-0000-0000-0000446E0000}"/>
    <cellStyle name="Normal 4 3 2 4 2 2 3 4" xfId="28240" xr:uid="{00000000-0005-0000-0000-0000456E0000}"/>
    <cellStyle name="Normal 4 3 2 4 2 2 4" xfId="11407" xr:uid="{00000000-0005-0000-0000-0000466E0000}"/>
    <cellStyle name="Normal 4 3 2 4 2 2 4 2" xfId="31327" xr:uid="{00000000-0005-0000-0000-0000476E0000}"/>
    <cellStyle name="Normal 4 3 2 4 2 2 5" xfId="17559" xr:uid="{00000000-0005-0000-0000-0000486E0000}"/>
    <cellStyle name="Normal 4 3 2 4 2 2 5 2" xfId="37479" xr:uid="{00000000-0005-0000-0000-0000496E0000}"/>
    <cellStyle name="Normal 4 3 2 4 2 2 6" xfId="25174" xr:uid="{00000000-0005-0000-0000-00004A6E0000}"/>
    <cellStyle name="Normal 4 3 2 4 2 3" xfId="5945" xr:uid="{00000000-0005-0000-0000-00004B6E0000}"/>
    <cellStyle name="Normal 4 3 2 4 2 3 2" xfId="9045" xr:uid="{00000000-0005-0000-0000-00004C6E0000}"/>
    <cellStyle name="Normal 4 3 2 4 2 3 2 2" xfId="15238" xr:uid="{00000000-0005-0000-0000-00004D6E0000}"/>
    <cellStyle name="Normal 4 3 2 4 2 3 2 2 2" xfId="35158" xr:uid="{00000000-0005-0000-0000-00004E6E0000}"/>
    <cellStyle name="Normal 4 3 2 4 2 3 2 3" xfId="21390" xr:uid="{00000000-0005-0000-0000-00004F6E0000}"/>
    <cellStyle name="Normal 4 3 2 4 2 3 2 3 2" xfId="41310" xr:uid="{00000000-0005-0000-0000-0000506E0000}"/>
    <cellStyle name="Normal 4 3 2 4 2 3 2 4" xfId="29005" xr:uid="{00000000-0005-0000-0000-0000516E0000}"/>
    <cellStyle name="Normal 4 3 2 4 2 3 3" xfId="12172" xr:uid="{00000000-0005-0000-0000-0000526E0000}"/>
    <cellStyle name="Normal 4 3 2 4 2 3 3 2" xfId="32092" xr:uid="{00000000-0005-0000-0000-0000536E0000}"/>
    <cellStyle name="Normal 4 3 2 4 2 3 4" xfId="18324" xr:uid="{00000000-0005-0000-0000-0000546E0000}"/>
    <cellStyle name="Normal 4 3 2 4 2 3 4 2" xfId="38244" xr:uid="{00000000-0005-0000-0000-0000556E0000}"/>
    <cellStyle name="Normal 4 3 2 4 2 3 5" xfId="25939" xr:uid="{00000000-0005-0000-0000-0000566E0000}"/>
    <cellStyle name="Normal 4 3 2 4 2 4" xfId="7510" xr:uid="{00000000-0005-0000-0000-0000576E0000}"/>
    <cellStyle name="Normal 4 3 2 4 2 4 2" xfId="13704" xr:uid="{00000000-0005-0000-0000-0000586E0000}"/>
    <cellStyle name="Normal 4 3 2 4 2 4 2 2" xfId="33624" xr:uid="{00000000-0005-0000-0000-0000596E0000}"/>
    <cellStyle name="Normal 4 3 2 4 2 4 3" xfId="19856" xr:uid="{00000000-0005-0000-0000-00005A6E0000}"/>
    <cellStyle name="Normal 4 3 2 4 2 4 3 2" xfId="39776" xr:uid="{00000000-0005-0000-0000-00005B6E0000}"/>
    <cellStyle name="Normal 4 3 2 4 2 4 4" xfId="27471" xr:uid="{00000000-0005-0000-0000-00005C6E0000}"/>
    <cellStyle name="Normal 4 3 2 4 2 5" xfId="10638" xr:uid="{00000000-0005-0000-0000-00005D6E0000}"/>
    <cellStyle name="Normal 4 3 2 4 2 5 2" xfId="30558" xr:uid="{00000000-0005-0000-0000-00005E6E0000}"/>
    <cellStyle name="Normal 4 3 2 4 2 6" xfId="16790" xr:uid="{00000000-0005-0000-0000-00005F6E0000}"/>
    <cellStyle name="Normal 4 3 2 4 2 6 2" xfId="36710" xr:uid="{00000000-0005-0000-0000-0000606E0000}"/>
    <cellStyle name="Normal 4 3 2 4 2 7" xfId="24405" xr:uid="{00000000-0005-0000-0000-0000616E0000}"/>
    <cellStyle name="Normal 4 3 2 4 3" xfId="5102" xr:uid="{00000000-0005-0000-0000-0000626E0000}"/>
    <cellStyle name="Normal 4 3 2 4 3 2" xfId="6727" xr:uid="{00000000-0005-0000-0000-0000636E0000}"/>
    <cellStyle name="Normal 4 3 2 4 3 2 2" xfId="9813" xr:uid="{00000000-0005-0000-0000-0000646E0000}"/>
    <cellStyle name="Normal 4 3 2 4 3 2 2 2" xfId="16006" xr:uid="{00000000-0005-0000-0000-0000656E0000}"/>
    <cellStyle name="Normal 4 3 2 4 3 2 2 2 2" xfId="35926" xr:uid="{00000000-0005-0000-0000-0000666E0000}"/>
    <cellStyle name="Normal 4 3 2 4 3 2 2 3" xfId="22158" xr:uid="{00000000-0005-0000-0000-0000676E0000}"/>
    <cellStyle name="Normal 4 3 2 4 3 2 2 3 2" xfId="42078" xr:uid="{00000000-0005-0000-0000-0000686E0000}"/>
    <cellStyle name="Normal 4 3 2 4 3 2 2 4" xfId="29773" xr:uid="{00000000-0005-0000-0000-0000696E0000}"/>
    <cellStyle name="Normal 4 3 2 4 3 2 3" xfId="12940" xr:uid="{00000000-0005-0000-0000-00006A6E0000}"/>
    <cellStyle name="Normal 4 3 2 4 3 2 3 2" xfId="32860" xr:uid="{00000000-0005-0000-0000-00006B6E0000}"/>
    <cellStyle name="Normal 4 3 2 4 3 2 4" xfId="19092" xr:uid="{00000000-0005-0000-0000-00006C6E0000}"/>
    <cellStyle name="Normal 4 3 2 4 3 2 4 2" xfId="39012" xr:uid="{00000000-0005-0000-0000-00006D6E0000}"/>
    <cellStyle name="Normal 4 3 2 4 3 2 5" xfId="26707" xr:uid="{00000000-0005-0000-0000-00006E6E0000}"/>
    <cellStyle name="Normal 4 3 2 4 3 3" xfId="8278" xr:uid="{00000000-0005-0000-0000-00006F6E0000}"/>
    <cellStyle name="Normal 4 3 2 4 3 3 2" xfId="14472" xr:uid="{00000000-0005-0000-0000-0000706E0000}"/>
    <cellStyle name="Normal 4 3 2 4 3 3 2 2" xfId="34392" xr:uid="{00000000-0005-0000-0000-0000716E0000}"/>
    <cellStyle name="Normal 4 3 2 4 3 3 3" xfId="20624" xr:uid="{00000000-0005-0000-0000-0000726E0000}"/>
    <cellStyle name="Normal 4 3 2 4 3 3 3 2" xfId="40544" xr:uid="{00000000-0005-0000-0000-0000736E0000}"/>
    <cellStyle name="Normal 4 3 2 4 3 3 4" xfId="28239" xr:uid="{00000000-0005-0000-0000-0000746E0000}"/>
    <cellStyle name="Normal 4 3 2 4 3 4" xfId="11406" xr:uid="{00000000-0005-0000-0000-0000756E0000}"/>
    <cellStyle name="Normal 4 3 2 4 3 4 2" xfId="31326" xr:uid="{00000000-0005-0000-0000-0000766E0000}"/>
    <cellStyle name="Normal 4 3 2 4 3 5" xfId="17558" xr:uid="{00000000-0005-0000-0000-0000776E0000}"/>
    <cellStyle name="Normal 4 3 2 4 3 5 2" xfId="37478" xr:uid="{00000000-0005-0000-0000-0000786E0000}"/>
    <cellStyle name="Normal 4 3 2 4 3 6" xfId="25173" xr:uid="{00000000-0005-0000-0000-0000796E0000}"/>
    <cellStyle name="Normal 4 3 2 4 4" xfId="5944" xr:uid="{00000000-0005-0000-0000-00007A6E0000}"/>
    <cellStyle name="Normal 4 3 2 4 4 2" xfId="9044" xr:uid="{00000000-0005-0000-0000-00007B6E0000}"/>
    <cellStyle name="Normal 4 3 2 4 4 2 2" xfId="15237" xr:uid="{00000000-0005-0000-0000-00007C6E0000}"/>
    <cellStyle name="Normal 4 3 2 4 4 2 2 2" xfId="35157" xr:uid="{00000000-0005-0000-0000-00007D6E0000}"/>
    <cellStyle name="Normal 4 3 2 4 4 2 3" xfId="21389" xr:uid="{00000000-0005-0000-0000-00007E6E0000}"/>
    <cellStyle name="Normal 4 3 2 4 4 2 3 2" xfId="41309" xr:uid="{00000000-0005-0000-0000-00007F6E0000}"/>
    <cellStyle name="Normal 4 3 2 4 4 2 4" xfId="29004" xr:uid="{00000000-0005-0000-0000-0000806E0000}"/>
    <cellStyle name="Normal 4 3 2 4 4 3" xfId="12171" xr:uid="{00000000-0005-0000-0000-0000816E0000}"/>
    <cellStyle name="Normal 4 3 2 4 4 3 2" xfId="32091" xr:uid="{00000000-0005-0000-0000-0000826E0000}"/>
    <cellStyle name="Normal 4 3 2 4 4 4" xfId="18323" xr:uid="{00000000-0005-0000-0000-0000836E0000}"/>
    <cellStyle name="Normal 4 3 2 4 4 4 2" xfId="38243" xr:uid="{00000000-0005-0000-0000-0000846E0000}"/>
    <cellStyle name="Normal 4 3 2 4 4 5" xfId="25938" xr:uid="{00000000-0005-0000-0000-0000856E0000}"/>
    <cellStyle name="Normal 4 3 2 4 5" xfId="7509" xr:uid="{00000000-0005-0000-0000-0000866E0000}"/>
    <cellStyle name="Normal 4 3 2 4 5 2" xfId="13703" xr:uid="{00000000-0005-0000-0000-0000876E0000}"/>
    <cellStyle name="Normal 4 3 2 4 5 2 2" xfId="33623" xr:uid="{00000000-0005-0000-0000-0000886E0000}"/>
    <cellStyle name="Normal 4 3 2 4 5 3" xfId="19855" xr:uid="{00000000-0005-0000-0000-0000896E0000}"/>
    <cellStyle name="Normal 4 3 2 4 5 3 2" xfId="39775" xr:uid="{00000000-0005-0000-0000-00008A6E0000}"/>
    <cellStyle name="Normal 4 3 2 4 5 4" xfId="27470" xr:uid="{00000000-0005-0000-0000-00008B6E0000}"/>
    <cellStyle name="Normal 4 3 2 4 6" xfId="10637" xr:uid="{00000000-0005-0000-0000-00008C6E0000}"/>
    <cellStyle name="Normal 4 3 2 4 6 2" xfId="30557" xr:uid="{00000000-0005-0000-0000-00008D6E0000}"/>
    <cellStyle name="Normal 4 3 2 4 7" xfId="16789" xr:uid="{00000000-0005-0000-0000-00008E6E0000}"/>
    <cellStyle name="Normal 4 3 2 4 7 2" xfId="36709" xr:uid="{00000000-0005-0000-0000-00008F6E0000}"/>
    <cellStyle name="Normal 4 3 2 4 8" xfId="24404" xr:uid="{00000000-0005-0000-0000-0000906E0000}"/>
    <cellStyle name="Normal 4 3 2 5" xfId="3867" xr:uid="{00000000-0005-0000-0000-0000916E0000}"/>
    <cellStyle name="Normal 4 3 2 5 2" xfId="5104" xr:uid="{00000000-0005-0000-0000-0000926E0000}"/>
    <cellStyle name="Normal 4 3 2 5 2 2" xfId="6729" xr:uid="{00000000-0005-0000-0000-0000936E0000}"/>
    <cellStyle name="Normal 4 3 2 5 2 2 2" xfId="9815" xr:uid="{00000000-0005-0000-0000-0000946E0000}"/>
    <cellStyle name="Normal 4 3 2 5 2 2 2 2" xfId="16008" xr:uid="{00000000-0005-0000-0000-0000956E0000}"/>
    <cellStyle name="Normal 4 3 2 5 2 2 2 2 2" xfId="35928" xr:uid="{00000000-0005-0000-0000-0000966E0000}"/>
    <cellStyle name="Normal 4 3 2 5 2 2 2 3" xfId="22160" xr:uid="{00000000-0005-0000-0000-0000976E0000}"/>
    <cellStyle name="Normal 4 3 2 5 2 2 2 3 2" xfId="42080" xr:uid="{00000000-0005-0000-0000-0000986E0000}"/>
    <cellStyle name="Normal 4 3 2 5 2 2 2 4" xfId="29775" xr:uid="{00000000-0005-0000-0000-0000996E0000}"/>
    <cellStyle name="Normal 4 3 2 5 2 2 3" xfId="12942" xr:uid="{00000000-0005-0000-0000-00009A6E0000}"/>
    <cellStyle name="Normal 4 3 2 5 2 2 3 2" xfId="32862" xr:uid="{00000000-0005-0000-0000-00009B6E0000}"/>
    <cellStyle name="Normal 4 3 2 5 2 2 4" xfId="19094" xr:uid="{00000000-0005-0000-0000-00009C6E0000}"/>
    <cellStyle name="Normal 4 3 2 5 2 2 4 2" xfId="39014" xr:uid="{00000000-0005-0000-0000-00009D6E0000}"/>
    <cellStyle name="Normal 4 3 2 5 2 2 5" xfId="26709" xr:uid="{00000000-0005-0000-0000-00009E6E0000}"/>
    <cellStyle name="Normal 4 3 2 5 2 3" xfId="8280" xr:uid="{00000000-0005-0000-0000-00009F6E0000}"/>
    <cellStyle name="Normal 4 3 2 5 2 3 2" xfId="14474" xr:uid="{00000000-0005-0000-0000-0000A06E0000}"/>
    <cellStyle name="Normal 4 3 2 5 2 3 2 2" xfId="34394" xr:uid="{00000000-0005-0000-0000-0000A16E0000}"/>
    <cellStyle name="Normal 4 3 2 5 2 3 3" xfId="20626" xr:uid="{00000000-0005-0000-0000-0000A26E0000}"/>
    <cellStyle name="Normal 4 3 2 5 2 3 3 2" xfId="40546" xr:uid="{00000000-0005-0000-0000-0000A36E0000}"/>
    <cellStyle name="Normal 4 3 2 5 2 3 4" xfId="28241" xr:uid="{00000000-0005-0000-0000-0000A46E0000}"/>
    <cellStyle name="Normal 4 3 2 5 2 4" xfId="11408" xr:uid="{00000000-0005-0000-0000-0000A56E0000}"/>
    <cellStyle name="Normal 4 3 2 5 2 4 2" xfId="31328" xr:uid="{00000000-0005-0000-0000-0000A66E0000}"/>
    <cellStyle name="Normal 4 3 2 5 2 5" xfId="17560" xr:uid="{00000000-0005-0000-0000-0000A76E0000}"/>
    <cellStyle name="Normal 4 3 2 5 2 5 2" xfId="37480" xr:uid="{00000000-0005-0000-0000-0000A86E0000}"/>
    <cellStyle name="Normal 4 3 2 5 2 6" xfId="25175" xr:uid="{00000000-0005-0000-0000-0000A96E0000}"/>
    <cellStyle name="Normal 4 3 2 5 3" xfId="5946" xr:uid="{00000000-0005-0000-0000-0000AA6E0000}"/>
    <cellStyle name="Normal 4 3 2 5 3 2" xfId="9046" xr:uid="{00000000-0005-0000-0000-0000AB6E0000}"/>
    <cellStyle name="Normal 4 3 2 5 3 2 2" xfId="15239" xr:uid="{00000000-0005-0000-0000-0000AC6E0000}"/>
    <cellStyle name="Normal 4 3 2 5 3 2 2 2" xfId="35159" xr:uid="{00000000-0005-0000-0000-0000AD6E0000}"/>
    <cellStyle name="Normal 4 3 2 5 3 2 3" xfId="21391" xr:uid="{00000000-0005-0000-0000-0000AE6E0000}"/>
    <cellStyle name="Normal 4 3 2 5 3 2 3 2" xfId="41311" xr:uid="{00000000-0005-0000-0000-0000AF6E0000}"/>
    <cellStyle name="Normal 4 3 2 5 3 2 4" xfId="29006" xr:uid="{00000000-0005-0000-0000-0000B06E0000}"/>
    <cellStyle name="Normal 4 3 2 5 3 3" xfId="12173" xr:uid="{00000000-0005-0000-0000-0000B16E0000}"/>
    <cellStyle name="Normal 4 3 2 5 3 3 2" xfId="32093" xr:uid="{00000000-0005-0000-0000-0000B26E0000}"/>
    <cellStyle name="Normal 4 3 2 5 3 4" xfId="18325" xr:uid="{00000000-0005-0000-0000-0000B36E0000}"/>
    <cellStyle name="Normal 4 3 2 5 3 4 2" xfId="38245" xr:uid="{00000000-0005-0000-0000-0000B46E0000}"/>
    <cellStyle name="Normal 4 3 2 5 3 5" xfId="25940" xr:uid="{00000000-0005-0000-0000-0000B56E0000}"/>
    <cellStyle name="Normal 4 3 2 5 4" xfId="7511" xr:uid="{00000000-0005-0000-0000-0000B66E0000}"/>
    <cellStyle name="Normal 4 3 2 5 4 2" xfId="13705" xr:uid="{00000000-0005-0000-0000-0000B76E0000}"/>
    <cellStyle name="Normal 4 3 2 5 4 2 2" xfId="33625" xr:uid="{00000000-0005-0000-0000-0000B86E0000}"/>
    <cellStyle name="Normal 4 3 2 5 4 3" xfId="19857" xr:uid="{00000000-0005-0000-0000-0000B96E0000}"/>
    <cellStyle name="Normal 4 3 2 5 4 3 2" xfId="39777" xr:uid="{00000000-0005-0000-0000-0000BA6E0000}"/>
    <cellStyle name="Normal 4 3 2 5 4 4" xfId="27472" xr:uid="{00000000-0005-0000-0000-0000BB6E0000}"/>
    <cellStyle name="Normal 4 3 2 5 5" xfId="10639" xr:uid="{00000000-0005-0000-0000-0000BC6E0000}"/>
    <cellStyle name="Normal 4 3 2 5 5 2" xfId="30559" xr:uid="{00000000-0005-0000-0000-0000BD6E0000}"/>
    <cellStyle name="Normal 4 3 2 5 6" xfId="16791" xr:uid="{00000000-0005-0000-0000-0000BE6E0000}"/>
    <cellStyle name="Normal 4 3 2 5 6 2" xfId="36711" xr:uid="{00000000-0005-0000-0000-0000BF6E0000}"/>
    <cellStyle name="Normal 4 3 2 5 7" xfId="24406" xr:uid="{00000000-0005-0000-0000-0000C06E0000}"/>
    <cellStyle name="Normal 4 3 2 6" xfId="5093" xr:uid="{00000000-0005-0000-0000-0000C16E0000}"/>
    <cellStyle name="Normal 4 3 2 6 2" xfId="6718" xr:uid="{00000000-0005-0000-0000-0000C26E0000}"/>
    <cellStyle name="Normal 4 3 2 6 2 2" xfId="9804" xr:uid="{00000000-0005-0000-0000-0000C36E0000}"/>
    <cellStyle name="Normal 4 3 2 6 2 2 2" xfId="15997" xr:uid="{00000000-0005-0000-0000-0000C46E0000}"/>
    <cellStyle name="Normal 4 3 2 6 2 2 2 2" xfId="35917" xr:uid="{00000000-0005-0000-0000-0000C56E0000}"/>
    <cellStyle name="Normal 4 3 2 6 2 2 3" xfId="22149" xr:uid="{00000000-0005-0000-0000-0000C66E0000}"/>
    <cellStyle name="Normal 4 3 2 6 2 2 3 2" xfId="42069" xr:uid="{00000000-0005-0000-0000-0000C76E0000}"/>
    <cellStyle name="Normal 4 3 2 6 2 2 4" xfId="29764" xr:uid="{00000000-0005-0000-0000-0000C86E0000}"/>
    <cellStyle name="Normal 4 3 2 6 2 3" xfId="12931" xr:uid="{00000000-0005-0000-0000-0000C96E0000}"/>
    <cellStyle name="Normal 4 3 2 6 2 3 2" xfId="32851" xr:uid="{00000000-0005-0000-0000-0000CA6E0000}"/>
    <cellStyle name="Normal 4 3 2 6 2 4" xfId="19083" xr:uid="{00000000-0005-0000-0000-0000CB6E0000}"/>
    <cellStyle name="Normal 4 3 2 6 2 4 2" xfId="39003" xr:uid="{00000000-0005-0000-0000-0000CC6E0000}"/>
    <cellStyle name="Normal 4 3 2 6 2 5" xfId="26698" xr:uid="{00000000-0005-0000-0000-0000CD6E0000}"/>
    <cellStyle name="Normal 4 3 2 6 3" xfId="8269" xr:uid="{00000000-0005-0000-0000-0000CE6E0000}"/>
    <cellStyle name="Normal 4 3 2 6 3 2" xfId="14463" xr:uid="{00000000-0005-0000-0000-0000CF6E0000}"/>
    <cellStyle name="Normal 4 3 2 6 3 2 2" xfId="34383" xr:uid="{00000000-0005-0000-0000-0000D06E0000}"/>
    <cellStyle name="Normal 4 3 2 6 3 3" xfId="20615" xr:uid="{00000000-0005-0000-0000-0000D16E0000}"/>
    <cellStyle name="Normal 4 3 2 6 3 3 2" xfId="40535" xr:uid="{00000000-0005-0000-0000-0000D26E0000}"/>
    <cellStyle name="Normal 4 3 2 6 3 4" xfId="28230" xr:uid="{00000000-0005-0000-0000-0000D36E0000}"/>
    <cellStyle name="Normal 4 3 2 6 4" xfId="11397" xr:uid="{00000000-0005-0000-0000-0000D46E0000}"/>
    <cellStyle name="Normal 4 3 2 6 4 2" xfId="31317" xr:uid="{00000000-0005-0000-0000-0000D56E0000}"/>
    <cellStyle name="Normal 4 3 2 6 5" xfId="17549" xr:uid="{00000000-0005-0000-0000-0000D66E0000}"/>
    <cellStyle name="Normal 4 3 2 6 5 2" xfId="37469" xr:uid="{00000000-0005-0000-0000-0000D76E0000}"/>
    <cellStyle name="Normal 4 3 2 6 6" xfId="25164" xr:uid="{00000000-0005-0000-0000-0000D86E0000}"/>
    <cellStyle name="Normal 4 3 2 7" xfId="5935" xr:uid="{00000000-0005-0000-0000-0000D96E0000}"/>
    <cellStyle name="Normal 4 3 2 7 2" xfId="9035" xr:uid="{00000000-0005-0000-0000-0000DA6E0000}"/>
    <cellStyle name="Normal 4 3 2 7 2 2" xfId="15228" xr:uid="{00000000-0005-0000-0000-0000DB6E0000}"/>
    <cellStyle name="Normal 4 3 2 7 2 2 2" xfId="35148" xr:uid="{00000000-0005-0000-0000-0000DC6E0000}"/>
    <cellStyle name="Normal 4 3 2 7 2 3" xfId="21380" xr:uid="{00000000-0005-0000-0000-0000DD6E0000}"/>
    <cellStyle name="Normal 4 3 2 7 2 3 2" xfId="41300" xr:uid="{00000000-0005-0000-0000-0000DE6E0000}"/>
    <cellStyle name="Normal 4 3 2 7 2 4" xfId="28995" xr:uid="{00000000-0005-0000-0000-0000DF6E0000}"/>
    <cellStyle name="Normal 4 3 2 7 3" xfId="12162" xr:uid="{00000000-0005-0000-0000-0000E06E0000}"/>
    <cellStyle name="Normal 4 3 2 7 3 2" xfId="32082" xr:uid="{00000000-0005-0000-0000-0000E16E0000}"/>
    <cellStyle name="Normal 4 3 2 7 4" xfId="18314" xr:uid="{00000000-0005-0000-0000-0000E26E0000}"/>
    <cellStyle name="Normal 4 3 2 7 4 2" xfId="38234" xr:uid="{00000000-0005-0000-0000-0000E36E0000}"/>
    <cellStyle name="Normal 4 3 2 7 5" xfId="25929" xr:uid="{00000000-0005-0000-0000-0000E46E0000}"/>
    <cellStyle name="Normal 4 3 2 8" xfId="7500" xr:uid="{00000000-0005-0000-0000-0000E56E0000}"/>
    <cellStyle name="Normal 4 3 2 8 2" xfId="13694" xr:uid="{00000000-0005-0000-0000-0000E66E0000}"/>
    <cellStyle name="Normal 4 3 2 8 2 2" xfId="33614" xr:uid="{00000000-0005-0000-0000-0000E76E0000}"/>
    <cellStyle name="Normal 4 3 2 8 3" xfId="19846" xr:uid="{00000000-0005-0000-0000-0000E86E0000}"/>
    <cellStyle name="Normal 4 3 2 8 3 2" xfId="39766" xr:uid="{00000000-0005-0000-0000-0000E96E0000}"/>
    <cellStyle name="Normal 4 3 2 8 4" xfId="27461" xr:uid="{00000000-0005-0000-0000-0000EA6E0000}"/>
    <cellStyle name="Normal 4 3 2 9" xfId="10628" xr:uid="{00000000-0005-0000-0000-0000EB6E0000}"/>
    <cellStyle name="Normal 4 3 2 9 2" xfId="30548" xr:uid="{00000000-0005-0000-0000-0000EC6E0000}"/>
    <cellStyle name="Normal 4 3 3" xfId="3868" xr:uid="{00000000-0005-0000-0000-0000ED6E0000}"/>
    <cellStyle name="Normal 4 3 3 10" xfId="24407" xr:uid="{00000000-0005-0000-0000-0000EE6E0000}"/>
    <cellStyle name="Normal 4 3 3 2" xfId="3869" xr:uid="{00000000-0005-0000-0000-0000EF6E0000}"/>
    <cellStyle name="Normal 4 3 3 2 2" xfId="3870" xr:uid="{00000000-0005-0000-0000-0000F06E0000}"/>
    <cellStyle name="Normal 4 3 3 2 2 2" xfId="5107" xr:uid="{00000000-0005-0000-0000-0000F16E0000}"/>
    <cellStyle name="Normal 4 3 3 2 2 2 2" xfId="6732" xr:uid="{00000000-0005-0000-0000-0000F26E0000}"/>
    <cellStyle name="Normal 4 3 3 2 2 2 2 2" xfId="9818" xr:uid="{00000000-0005-0000-0000-0000F36E0000}"/>
    <cellStyle name="Normal 4 3 3 2 2 2 2 2 2" xfId="16011" xr:uid="{00000000-0005-0000-0000-0000F46E0000}"/>
    <cellStyle name="Normal 4 3 3 2 2 2 2 2 2 2" xfId="35931" xr:uid="{00000000-0005-0000-0000-0000F56E0000}"/>
    <cellStyle name="Normal 4 3 3 2 2 2 2 2 3" xfId="22163" xr:uid="{00000000-0005-0000-0000-0000F66E0000}"/>
    <cellStyle name="Normal 4 3 3 2 2 2 2 2 3 2" xfId="42083" xr:uid="{00000000-0005-0000-0000-0000F76E0000}"/>
    <cellStyle name="Normal 4 3 3 2 2 2 2 2 4" xfId="29778" xr:uid="{00000000-0005-0000-0000-0000F86E0000}"/>
    <cellStyle name="Normal 4 3 3 2 2 2 2 3" xfId="12945" xr:uid="{00000000-0005-0000-0000-0000F96E0000}"/>
    <cellStyle name="Normal 4 3 3 2 2 2 2 3 2" xfId="32865" xr:uid="{00000000-0005-0000-0000-0000FA6E0000}"/>
    <cellStyle name="Normal 4 3 3 2 2 2 2 4" xfId="19097" xr:uid="{00000000-0005-0000-0000-0000FB6E0000}"/>
    <cellStyle name="Normal 4 3 3 2 2 2 2 4 2" xfId="39017" xr:uid="{00000000-0005-0000-0000-0000FC6E0000}"/>
    <cellStyle name="Normal 4 3 3 2 2 2 2 5" xfId="26712" xr:uid="{00000000-0005-0000-0000-0000FD6E0000}"/>
    <cellStyle name="Normal 4 3 3 2 2 2 3" xfId="8283" xr:uid="{00000000-0005-0000-0000-0000FE6E0000}"/>
    <cellStyle name="Normal 4 3 3 2 2 2 3 2" xfId="14477" xr:uid="{00000000-0005-0000-0000-0000FF6E0000}"/>
    <cellStyle name="Normal 4 3 3 2 2 2 3 2 2" xfId="34397" xr:uid="{00000000-0005-0000-0000-0000006F0000}"/>
    <cellStyle name="Normal 4 3 3 2 2 2 3 3" xfId="20629" xr:uid="{00000000-0005-0000-0000-0000016F0000}"/>
    <cellStyle name="Normal 4 3 3 2 2 2 3 3 2" xfId="40549" xr:uid="{00000000-0005-0000-0000-0000026F0000}"/>
    <cellStyle name="Normal 4 3 3 2 2 2 3 4" xfId="28244" xr:uid="{00000000-0005-0000-0000-0000036F0000}"/>
    <cellStyle name="Normal 4 3 3 2 2 2 4" xfId="11411" xr:uid="{00000000-0005-0000-0000-0000046F0000}"/>
    <cellStyle name="Normal 4 3 3 2 2 2 4 2" xfId="31331" xr:uid="{00000000-0005-0000-0000-0000056F0000}"/>
    <cellStyle name="Normal 4 3 3 2 2 2 5" xfId="17563" xr:uid="{00000000-0005-0000-0000-0000066F0000}"/>
    <cellStyle name="Normal 4 3 3 2 2 2 5 2" xfId="37483" xr:uid="{00000000-0005-0000-0000-0000076F0000}"/>
    <cellStyle name="Normal 4 3 3 2 2 2 6" xfId="25178" xr:uid="{00000000-0005-0000-0000-0000086F0000}"/>
    <cellStyle name="Normal 4 3 3 2 2 3" xfId="5949" xr:uid="{00000000-0005-0000-0000-0000096F0000}"/>
    <cellStyle name="Normal 4 3 3 2 2 3 2" xfId="9049" xr:uid="{00000000-0005-0000-0000-00000A6F0000}"/>
    <cellStyle name="Normal 4 3 3 2 2 3 2 2" xfId="15242" xr:uid="{00000000-0005-0000-0000-00000B6F0000}"/>
    <cellStyle name="Normal 4 3 3 2 2 3 2 2 2" xfId="35162" xr:uid="{00000000-0005-0000-0000-00000C6F0000}"/>
    <cellStyle name="Normal 4 3 3 2 2 3 2 3" xfId="21394" xr:uid="{00000000-0005-0000-0000-00000D6F0000}"/>
    <cellStyle name="Normal 4 3 3 2 2 3 2 3 2" xfId="41314" xr:uid="{00000000-0005-0000-0000-00000E6F0000}"/>
    <cellStyle name="Normal 4 3 3 2 2 3 2 4" xfId="29009" xr:uid="{00000000-0005-0000-0000-00000F6F0000}"/>
    <cellStyle name="Normal 4 3 3 2 2 3 3" xfId="12176" xr:uid="{00000000-0005-0000-0000-0000106F0000}"/>
    <cellStyle name="Normal 4 3 3 2 2 3 3 2" xfId="32096" xr:uid="{00000000-0005-0000-0000-0000116F0000}"/>
    <cellStyle name="Normal 4 3 3 2 2 3 4" xfId="18328" xr:uid="{00000000-0005-0000-0000-0000126F0000}"/>
    <cellStyle name="Normal 4 3 3 2 2 3 4 2" xfId="38248" xr:uid="{00000000-0005-0000-0000-0000136F0000}"/>
    <cellStyle name="Normal 4 3 3 2 2 3 5" xfId="25943" xr:uid="{00000000-0005-0000-0000-0000146F0000}"/>
    <cellStyle name="Normal 4 3 3 2 2 4" xfId="7514" xr:uid="{00000000-0005-0000-0000-0000156F0000}"/>
    <cellStyle name="Normal 4 3 3 2 2 4 2" xfId="13708" xr:uid="{00000000-0005-0000-0000-0000166F0000}"/>
    <cellStyle name="Normal 4 3 3 2 2 4 2 2" xfId="33628" xr:uid="{00000000-0005-0000-0000-0000176F0000}"/>
    <cellStyle name="Normal 4 3 3 2 2 4 3" xfId="19860" xr:uid="{00000000-0005-0000-0000-0000186F0000}"/>
    <cellStyle name="Normal 4 3 3 2 2 4 3 2" xfId="39780" xr:uid="{00000000-0005-0000-0000-0000196F0000}"/>
    <cellStyle name="Normal 4 3 3 2 2 4 4" xfId="27475" xr:uid="{00000000-0005-0000-0000-00001A6F0000}"/>
    <cellStyle name="Normal 4 3 3 2 2 5" xfId="10642" xr:uid="{00000000-0005-0000-0000-00001B6F0000}"/>
    <cellStyle name="Normal 4 3 3 2 2 5 2" xfId="30562" xr:uid="{00000000-0005-0000-0000-00001C6F0000}"/>
    <cellStyle name="Normal 4 3 3 2 2 6" xfId="16794" xr:uid="{00000000-0005-0000-0000-00001D6F0000}"/>
    <cellStyle name="Normal 4 3 3 2 2 6 2" xfId="36714" xr:uid="{00000000-0005-0000-0000-00001E6F0000}"/>
    <cellStyle name="Normal 4 3 3 2 2 7" xfId="24409" xr:uid="{00000000-0005-0000-0000-00001F6F0000}"/>
    <cellStyle name="Normal 4 3 3 2 3" xfId="5106" xr:uid="{00000000-0005-0000-0000-0000206F0000}"/>
    <cellStyle name="Normal 4 3 3 2 3 2" xfId="6731" xr:uid="{00000000-0005-0000-0000-0000216F0000}"/>
    <cellStyle name="Normal 4 3 3 2 3 2 2" xfId="9817" xr:uid="{00000000-0005-0000-0000-0000226F0000}"/>
    <cellStyle name="Normal 4 3 3 2 3 2 2 2" xfId="16010" xr:uid="{00000000-0005-0000-0000-0000236F0000}"/>
    <cellStyle name="Normal 4 3 3 2 3 2 2 2 2" xfId="35930" xr:uid="{00000000-0005-0000-0000-0000246F0000}"/>
    <cellStyle name="Normal 4 3 3 2 3 2 2 3" xfId="22162" xr:uid="{00000000-0005-0000-0000-0000256F0000}"/>
    <cellStyle name="Normal 4 3 3 2 3 2 2 3 2" xfId="42082" xr:uid="{00000000-0005-0000-0000-0000266F0000}"/>
    <cellStyle name="Normal 4 3 3 2 3 2 2 4" xfId="29777" xr:uid="{00000000-0005-0000-0000-0000276F0000}"/>
    <cellStyle name="Normal 4 3 3 2 3 2 3" xfId="12944" xr:uid="{00000000-0005-0000-0000-0000286F0000}"/>
    <cellStyle name="Normal 4 3 3 2 3 2 3 2" xfId="32864" xr:uid="{00000000-0005-0000-0000-0000296F0000}"/>
    <cellStyle name="Normal 4 3 3 2 3 2 4" xfId="19096" xr:uid="{00000000-0005-0000-0000-00002A6F0000}"/>
    <cellStyle name="Normal 4 3 3 2 3 2 4 2" xfId="39016" xr:uid="{00000000-0005-0000-0000-00002B6F0000}"/>
    <cellStyle name="Normal 4 3 3 2 3 2 5" xfId="26711" xr:uid="{00000000-0005-0000-0000-00002C6F0000}"/>
    <cellStyle name="Normal 4 3 3 2 3 3" xfId="8282" xr:uid="{00000000-0005-0000-0000-00002D6F0000}"/>
    <cellStyle name="Normal 4 3 3 2 3 3 2" xfId="14476" xr:uid="{00000000-0005-0000-0000-00002E6F0000}"/>
    <cellStyle name="Normal 4 3 3 2 3 3 2 2" xfId="34396" xr:uid="{00000000-0005-0000-0000-00002F6F0000}"/>
    <cellStyle name="Normal 4 3 3 2 3 3 3" xfId="20628" xr:uid="{00000000-0005-0000-0000-0000306F0000}"/>
    <cellStyle name="Normal 4 3 3 2 3 3 3 2" xfId="40548" xr:uid="{00000000-0005-0000-0000-0000316F0000}"/>
    <cellStyle name="Normal 4 3 3 2 3 3 4" xfId="28243" xr:uid="{00000000-0005-0000-0000-0000326F0000}"/>
    <cellStyle name="Normal 4 3 3 2 3 4" xfId="11410" xr:uid="{00000000-0005-0000-0000-0000336F0000}"/>
    <cellStyle name="Normal 4 3 3 2 3 4 2" xfId="31330" xr:uid="{00000000-0005-0000-0000-0000346F0000}"/>
    <cellStyle name="Normal 4 3 3 2 3 5" xfId="17562" xr:uid="{00000000-0005-0000-0000-0000356F0000}"/>
    <cellStyle name="Normal 4 3 3 2 3 5 2" xfId="37482" xr:uid="{00000000-0005-0000-0000-0000366F0000}"/>
    <cellStyle name="Normal 4 3 3 2 3 6" xfId="25177" xr:uid="{00000000-0005-0000-0000-0000376F0000}"/>
    <cellStyle name="Normal 4 3 3 2 4" xfId="5948" xr:uid="{00000000-0005-0000-0000-0000386F0000}"/>
    <cellStyle name="Normal 4 3 3 2 4 2" xfId="9048" xr:uid="{00000000-0005-0000-0000-0000396F0000}"/>
    <cellStyle name="Normal 4 3 3 2 4 2 2" xfId="15241" xr:uid="{00000000-0005-0000-0000-00003A6F0000}"/>
    <cellStyle name="Normal 4 3 3 2 4 2 2 2" xfId="35161" xr:uid="{00000000-0005-0000-0000-00003B6F0000}"/>
    <cellStyle name="Normal 4 3 3 2 4 2 3" xfId="21393" xr:uid="{00000000-0005-0000-0000-00003C6F0000}"/>
    <cellStyle name="Normal 4 3 3 2 4 2 3 2" xfId="41313" xr:uid="{00000000-0005-0000-0000-00003D6F0000}"/>
    <cellStyle name="Normal 4 3 3 2 4 2 4" xfId="29008" xr:uid="{00000000-0005-0000-0000-00003E6F0000}"/>
    <cellStyle name="Normal 4 3 3 2 4 3" xfId="12175" xr:uid="{00000000-0005-0000-0000-00003F6F0000}"/>
    <cellStyle name="Normal 4 3 3 2 4 3 2" xfId="32095" xr:uid="{00000000-0005-0000-0000-0000406F0000}"/>
    <cellStyle name="Normal 4 3 3 2 4 4" xfId="18327" xr:uid="{00000000-0005-0000-0000-0000416F0000}"/>
    <cellStyle name="Normal 4 3 3 2 4 4 2" xfId="38247" xr:uid="{00000000-0005-0000-0000-0000426F0000}"/>
    <cellStyle name="Normal 4 3 3 2 4 5" xfId="25942" xr:uid="{00000000-0005-0000-0000-0000436F0000}"/>
    <cellStyle name="Normal 4 3 3 2 5" xfId="7513" xr:uid="{00000000-0005-0000-0000-0000446F0000}"/>
    <cellStyle name="Normal 4 3 3 2 5 2" xfId="13707" xr:uid="{00000000-0005-0000-0000-0000456F0000}"/>
    <cellStyle name="Normal 4 3 3 2 5 2 2" xfId="33627" xr:uid="{00000000-0005-0000-0000-0000466F0000}"/>
    <cellStyle name="Normal 4 3 3 2 5 3" xfId="19859" xr:uid="{00000000-0005-0000-0000-0000476F0000}"/>
    <cellStyle name="Normal 4 3 3 2 5 3 2" xfId="39779" xr:uid="{00000000-0005-0000-0000-0000486F0000}"/>
    <cellStyle name="Normal 4 3 3 2 5 4" xfId="27474" xr:uid="{00000000-0005-0000-0000-0000496F0000}"/>
    <cellStyle name="Normal 4 3 3 2 6" xfId="10641" xr:uid="{00000000-0005-0000-0000-00004A6F0000}"/>
    <cellStyle name="Normal 4 3 3 2 6 2" xfId="30561" xr:uid="{00000000-0005-0000-0000-00004B6F0000}"/>
    <cellStyle name="Normal 4 3 3 2 7" xfId="16793" xr:uid="{00000000-0005-0000-0000-00004C6F0000}"/>
    <cellStyle name="Normal 4 3 3 2 7 2" xfId="36713" xr:uid="{00000000-0005-0000-0000-00004D6F0000}"/>
    <cellStyle name="Normal 4 3 3 2 8" xfId="24408" xr:uid="{00000000-0005-0000-0000-00004E6F0000}"/>
    <cellStyle name="Normal 4 3 3 3" xfId="3871" xr:uid="{00000000-0005-0000-0000-00004F6F0000}"/>
    <cellStyle name="Normal 4 3 3 3 2" xfId="3872" xr:uid="{00000000-0005-0000-0000-0000506F0000}"/>
    <cellStyle name="Normal 4 3 3 3 2 2" xfId="5109" xr:uid="{00000000-0005-0000-0000-0000516F0000}"/>
    <cellStyle name="Normal 4 3 3 3 2 2 2" xfId="6734" xr:uid="{00000000-0005-0000-0000-0000526F0000}"/>
    <cellStyle name="Normal 4 3 3 3 2 2 2 2" xfId="9820" xr:uid="{00000000-0005-0000-0000-0000536F0000}"/>
    <cellStyle name="Normal 4 3 3 3 2 2 2 2 2" xfId="16013" xr:uid="{00000000-0005-0000-0000-0000546F0000}"/>
    <cellStyle name="Normal 4 3 3 3 2 2 2 2 2 2" xfId="35933" xr:uid="{00000000-0005-0000-0000-0000556F0000}"/>
    <cellStyle name="Normal 4 3 3 3 2 2 2 2 3" xfId="22165" xr:uid="{00000000-0005-0000-0000-0000566F0000}"/>
    <cellStyle name="Normal 4 3 3 3 2 2 2 2 3 2" xfId="42085" xr:uid="{00000000-0005-0000-0000-0000576F0000}"/>
    <cellStyle name="Normal 4 3 3 3 2 2 2 2 4" xfId="29780" xr:uid="{00000000-0005-0000-0000-0000586F0000}"/>
    <cellStyle name="Normal 4 3 3 3 2 2 2 3" xfId="12947" xr:uid="{00000000-0005-0000-0000-0000596F0000}"/>
    <cellStyle name="Normal 4 3 3 3 2 2 2 3 2" xfId="32867" xr:uid="{00000000-0005-0000-0000-00005A6F0000}"/>
    <cellStyle name="Normal 4 3 3 3 2 2 2 4" xfId="19099" xr:uid="{00000000-0005-0000-0000-00005B6F0000}"/>
    <cellStyle name="Normal 4 3 3 3 2 2 2 4 2" xfId="39019" xr:uid="{00000000-0005-0000-0000-00005C6F0000}"/>
    <cellStyle name="Normal 4 3 3 3 2 2 2 5" xfId="26714" xr:uid="{00000000-0005-0000-0000-00005D6F0000}"/>
    <cellStyle name="Normal 4 3 3 3 2 2 3" xfId="8285" xr:uid="{00000000-0005-0000-0000-00005E6F0000}"/>
    <cellStyle name="Normal 4 3 3 3 2 2 3 2" xfId="14479" xr:uid="{00000000-0005-0000-0000-00005F6F0000}"/>
    <cellStyle name="Normal 4 3 3 3 2 2 3 2 2" xfId="34399" xr:uid="{00000000-0005-0000-0000-0000606F0000}"/>
    <cellStyle name="Normal 4 3 3 3 2 2 3 3" xfId="20631" xr:uid="{00000000-0005-0000-0000-0000616F0000}"/>
    <cellStyle name="Normal 4 3 3 3 2 2 3 3 2" xfId="40551" xr:uid="{00000000-0005-0000-0000-0000626F0000}"/>
    <cellStyle name="Normal 4 3 3 3 2 2 3 4" xfId="28246" xr:uid="{00000000-0005-0000-0000-0000636F0000}"/>
    <cellStyle name="Normal 4 3 3 3 2 2 4" xfId="11413" xr:uid="{00000000-0005-0000-0000-0000646F0000}"/>
    <cellStyle name="Normal 4 3 3 3 2 2 4 2" xfId="31333" xr:uid="{00000000-0005-0000-0000-0000656F0000}"/>
    <cellStyle name="Normal 4 3 3 3 2 2 5" xfId="17565" xr:uid="{00000000-0005-0000-0000-0000666F0000}"/>
    <cellStyle name="Normal 4 3 3 3 2 2 5 2" xfId="37485" xr:uid="{00000000-0005-0000-0000-0000676F0000}"/>
    <cellStyle name="Normal 4 3 3 3 2 2 6" xfId="25180" xr:uid="{00000000-0005-0000-0000-0000686F0000}"/>
    <cellStyle name="Normal 4 3 3 3 2 3" xfId="5951" xr:uid="{00000000-0005-0000-0000-0000696F0000}"/>
    <cellStyle name="Normal 4 3 3 3 2 3 2" xfId="9051" xr:uid="{00000000-0005-0000-0000-00006A6F0000}"/>
    <cellStyle name="Normal 4 3 3 3 2 3 2 2" xfId="15244" xr:uid="{00000000-0005-0000-0000-00006B6F0000}"/>
    <cellStyle name="Normal 4 3 3 3 2 3 2 2 2" xfId="35164" xr:uid="{00000000-0005-0000-0000-00006C6F0000}"/>
    <cellStyle name="Normal 4 3 3 3 2 3 2 3" xfId="21396" xr:uid="{00000000-0005-0000-0000-00006D6F0000}"/>
    <cellStyle name="Normal 4 3 3 3 2 3 2 3 2" xfId="41316" xr:uid="{00000000-0005-0000-0000-00006E6F0000}"/>
    <cellStyle name="Normal 4 3 3 3 2 3 2 4" xfId="29011" xr:uid="{00000000-0005-0000-0000-00006F6F0000}"/>
    <cellStyle name="Normal 4 3 3 3 2 3 3" xfId="12178" xr:uid="{00000000-0005-0000-0000-0000706F0000}"/>
    <cellStyle name="Normal 4 3 3 3 2 3 3 2" xfId="32098" xr:uid="{00000000-0005-0000-0000-0000716F0000}"/>
    <cellStyle name="Normal 4 3 3 3 2 3 4" xfId="18330" xr:uid="{00000000-0005-0000-0000-0000726F0000}"/>
    <cellStyle name="Normal 4 3 3 3 2 3 4 2" xfId="38250" xr:uid="{00000000-0005-0000-0000-0000736F0000}"/>
    <cellStyle name="Normal 4 3 3 3 2 3 5" xfId="25945" xr:uid="{00000000-0005-0000-0000-0000746F0000}"/>
    <cellStyle name="Normal 4 3 3 3 2 4" xfId="7516" xr:uid="{00000000-0005-0000-0000-0000756F0000}"/>
    <cellStyle name="Normal 4 3 3 3 2 4 2" xfId="13710" xr:uid="{00000000-0005-0000-0000-0000766F0000}"/>
    <cellStyle name="Normal 4 3 3 3 2 4 2 2" xfId="33630" xr:uid="{00000000-0005-0000-0000-0000776F0000}"/>
    <cellStyle name="Normal 4 3 3 3 2 4 3" xfId="19862" xr:uid="{00000000-0005-0000-0000-0000786F0000}"/>
    <cellStyle name="Normal 4 3 3 3 2 4 3 2" xfId="39782" xr:uid="{00000000-0005-0000-0000-0000796F0000}"/>
    <cellStyle name="Normal 4 3 3 3 2 4 4" xfId="27477" xr:uid="{00000000-0005-0000-0000-00007A6F0000}"/>
    <cellStyle name="Normal 4 3 3 3 2 5" xfId="10644" xr:uid="{00000000-0005-0000-0000-00007B6F0000}"/>
    <cellStyle name="Normal 4 3 3 3 2 5 2" xfId="30564" xr:uid="{00000000-0005-0000-0000-00007C6F0000}"/>
    <cellStyle name="Normal 4 3 3 3 2 6" xfId="16796" xr:uid="{00000000-0005-0000-0000-00007D6F0000}"/>
    <cellStyle name="Normal 4 3 3 3 2 6 2" xfId="36716" xr:uid="{00000000-0005-0000-0000-00007E6F0000}"/>
    <cellStyle name="Normal 4 3 3 3 2 7" xfId="24411" xr:uid="{00000000-0005-0000-0000-00007F6F0000}"/>
    <cellStyle name="Normal 4 3 3 3 3" xfId="5108" xr:uid="{00000000-0005-0000-0000-0000806F0000}"/>
    <cellStyle name="Normal 4 3 3 3 3 2" xfId="6733" xr:uid="{00000000-0005-0000-0000-0000816F0000}"/>
    <cellStyle name="Normal 4 3 3 3 3 2 2" xfId="9819" xr:uid="{00000000-0005-0000-0000-0000826F0000}"/>
    <cellStyle name="Normal 4 3 3 3 3 2 2 2" xfId="16012" xr:uid="{00000000-0005-0000-0000-0000836F0000}"/>
    <cellStyle name="Normal 4 3 3 3 3 2 2 2 2" xfId="35932" xr:uid="{00000000-0005-0000-0000-0000846F0000}"/>
    <cellStyle name="Normal 4 3 3 3 3 2 2 3" xfId="22164" xr:uid="{00000000-0005-0000-0000-0000856F0000}"/>
    <cellStyle name="Normal 4 3 3 3 3 2 2 3 2" xfId="42084" xr:uid="{00000000-0005-0000-0000-0000866F0000}"/>
    <cellStyle name="Normal 4 3 3 3 3 2 2 4" xfId="29779" xr:uid="{00000000-0005-0000-0000-0000876F0000}"/>
    <cellStyle name="Normal 4 3 3 3 3 2 3" xfId="12946" xr:uid="{00000000-0005-0000-0000-0000886F0000}"/>
    <cellStyle name="Normal 4 3 3 3 3 2 3 2" xfId="32866" xr:uid="{00000000-0005-0000-0000-0000896F0000}"/>
    <cellStyle name="Normal 4 3 3 3 3 2 4" xfId="19098" xr:uid="{00000000-0005-0000-0000-00008A6F0000}"/>
    <cellStyle name="Normal 4 3 3 3 3 2 4 2" xfId="39018" xr:uid="{00000000-0005-0000-0000-00008B6F0000}"/>
    <cellStyle name="Normal 4 3 3 3 3 2 5" xfId="26713" xr:uid="{00000000-0005-0000-0000-00008C6F0000}"/>
    <cellStyle name="Normal 4 3 3 3 3 3" xfId="8284" xr:uid="{00000000-0005-0000-0000-00008D6F0000}"/>
    <cellStyle name="Normal 4 3 3 3 3 3 2" xfId="14478" xr:uid="{00000000-0005-0000-0000-00008E6F0000}"/>
    <cellStyle name="Normal 4 3 3 3 3 3 2 2" xfId="34398" xr:uid="{00000000-0005-0000-0000-00008F6F0000}"/>
    <cellStyle name="Normal 4 3 3 3 3 3 3" xfId="20630" xr:uid="{00000000-0005-0000-0000-0000906F0000}"/>
    <cellStyle name="Normal 4 3 3 3 3 3 3 2" xfId="40550" xr:uid="{00000000-0005-0000-0000-0000916F0000}"/>
    <cellStyle name="Normal 4 3 3 3 3 3 4" xfId="28245" xr:uid="{00000000-0005-0000-0000-0000926F0000}"/>
    <cellStyle name="Normal 4 3 3 3 3 4" xfId="11412" xr:uid="{00000000-0005-0000-0000-0000936F0000}"/>
    <cellStyle name="Normal 4 3 3 3 3 4 2" xfId="31332" xr:uid="{00000000-0005-0000-0000-0000946F0000}"/>
    <cellStyle name="Normal 4 3 3 3 3 5" xfId="17564" xr:uid="{00000000-0005-0000-0000-0000956F0000}"/>
    <cellStyle name="Normal 4 3 3 3 3 5 2" xfId="37484" xr:uid="{00000000-0005-0000-0000-0000966F0000}"/>
    <cellStyle name="Normal 4 3 3 3 3 6" xfId="25179" xr:uid="{00000000-0005-0000-0000-0000976F0000}"/>
    <cellStyle name="Normal 4 3 3 3 4" xfId="5950" xr:uid="{00000000-0005-0000-0000-0000986F0000}"/>
    <cellStyle name="Normal 4 3 3 3 4 2" xfId="9050" xr:uid="{00000000-0005-0000-0000-0000996F0000}"/>
    <cellStyle name="Normal 4 3 3 3 4 2 2" xfId="15243" xr:uid="{00000000-0005-0000-0000-00009A6F0000}"/>
    <cellStyle name="Normal 4 3 3 3 4 2 2 2" xfId="35163" xr:uid="{00000000-0005-0000-0000-00009B6F0000}"/>
    <cellStyle name="Normal 4 3 3 3 4 2 3" xfId="21395" xr:uid="{00000000-0005-0000-0000-00009C6F0000}"/>
    <cellStyle name="Normal 4 3 3 3 4 2 3 2" xfId="41315" xr:uid="{00000000-0005-0000-0000-00009D6F0000}"/>
    <cellStyle name="Normal 4 3 3 3 4 2 4" xfId="29010" xr:uid="{00000000-0005-0000-0000-00009E6F0000}"/>
    <cellStyle name="Normal 4 3 3 3 4 3" xfId="12177" xr:uid="{00000000-0005-0000-0000-00009F6F0000}"/>
    <cellStyle name="Normal 4 3 3 3 4 3 2" xfId="32097" xr:uid="{00000000-0005-0000-0000-0000A06F0000}"/>
    <cellStyle name="Normal 4 3 3 3 4 4" xfId="18329" xr:uid="{00000000-0005-0000-0000-0000A16F0000}"/>
    <cellStyle name="Normal 4 3 3 3 4 4 2" xfId="38249" xr:uid="{00000000-0005-0000-0000-0000A26F0000}"/>
    <cellStyle name="Normal 4 3 3 3 4 5" xfId="25944" xr:uid="{00000000-0005-0000-0000-0000A36F0000}"/>
    <cellStyle name="Normal 4 3 3 3 5" xfId="7515" xr:uid="{00000000-0005-0000-0000-0000A46F0000}"/>
    <cellStyle name="Normal 4 3 3 3 5 2" xfId="13709" xr:uid="{00000000-0005-0000-0000-0000A56F0000}"/>
    <cellStyle name="Normal 4 3 3 3 5 2 2" xfId="33629" xr:uid="{00000000-0005-0000-0000-0000A66F0000}"/>
    <cellStyle name="Normal 4 3 3 3 5 3" xfId="19861" xr:uid="{00000000-0005-0000-0000-0000A76F0000}"/>
    <cellStyle name="Normal 4 3 3 3 5 3 2" xfId="39781" xr:uid="{00000000-0005-0000-0000-0000A86F0000}"/>
    <cellStyle name="Normal 4 3 3 3 5 4" xfId="27476" xr:uid="{00000000-0005-0000-0000-0000A96F0000}"/>
    <cellStyle name="Normal 4 3 3 3 6" xfId="10643" xr:uid="{00000000-0005-0000-0000-0000AA6F0000}"/>
    <cellStyle name="Normal 4 3 3 3 6 2" xfId="30563" xr:uid="{00000000-0005-0000-0000-0000AB6F0000}"/>
    <cellStyle name="Normal 4 3 3 3 7" xfId="16795" xr:uid="{00000000-0005-0000-0000-0000AC6F0000}"/>
    <cellStyle name="Normal 4 3 3 3 7 2" xfId="36715" xr:uid="{00000000-0005-0000-0000-0000AD6F0000}"/>
    <cellStyle name="Normal 4 3 3 3 8" xfId="24410" xr:uid="{00000000-0005-0000-0000-0000AE6F0000}"/>
    <cellStyle name="Normal 4 3 3 4" xfId="3873" xr:uid="{00000000-0005-0000-0000-0000AF6F0000}"/>
    <cellStyle name="Normal 4 3 3 4 2" xfId="5110" xr:uid="{00000000-0005-0000-0000-0000B06F0000}"/>
    <cellStyle name="Normal 4 3 3 4 2 2" xfId="6735" xr:uid="{00000000-0005-0000-0000-0000B16F0000}"/>
    <cellStyle name="Normal 4 3 3 4 2 2 2" xfId="9821" xr:uid="{00000000-0005-0000-0000-0000B26F0000}"/>
    <cellStyle name="Normal 4 3 3 4 2 2 2 2" xfId="16014" xr:uid="{00000000-0005-0000-0000-0000B36F0000}"/>
    <cellStyle name="Normal 4 3 3 4 2 2 2 2 2" xfId="35934" xr:uid="{00000000-0005-0000-0000-0000B46F0000}"/>
    <cellStyle name="Normal 4 3 3 4 2 2 2 3" xfId="22166" xr:uid="{00000000-0005-0000-0000-0000B56F0000}"/>
    <cellStyle name="Normal 4 3 3 4 2 2 2 3 2" xfId="42086" xr:uid="{00000000-0005-0000-0000-0000B66F0000}"/>
    <cellStyle name="Normal 4 3 3 4 2 2 2 4" xfId="29781" xr:uid="{00000000-0005-0000-0000-0000B76F0000}"/>
    <cellStyle name="Normal 4 3 3 4 2 2 3" xfId="12948" xr:uid="{00000000-0005-0000-0000-0000B86F0000}"/>
    <cellStyle name="Normal 4 3 3 4 2 2 3 2" xfId="32868" xr:uid="{00000000-0005-0000-0000-0000B96F0000}"/>
    <cellStyle name="Normal 4 3 3 4 2 2 4" xfId="19100" xr:uid="{00000000-0005-0000-0000-0000BA6F0000}"/>
    <cellStyle name="Normal 4 3 3 4 2 2 4 2" xfId="39020" xr:uid="{00000000-0005-0000-0000-0000BB6F0000}"/>
    <cellStyle name="Normal 4 3 3 4 2 2 5" xfId="26715" xr:uid="{00000000-0005-0000-0000-0000BC6F0000}"/>
    <cellStyle name="Normal 4 3 3 4 2 3" xfId="8286" xr:uid="{00000000-0005-0000-0000-0000BD6F0000}"/>
    <cellStyle name="Normal 4 3 3 4 2 3 2" xfId="14480" xr:uid="{00000000-0005-0000-0000-0000BE6F0000}"/>
    <cellStyle name="Normal 4 3 3 4 2 3 2 2" xfId="34400" xr:uid="{00000000-0005-0000-0000-0000BF6F0000}"/>
    <cellStyle name="Normal 4 3 3 4 2 3 3" xfId="20632" xr:uid="{00000000-0005-0000-0000-0000C06F0000}"/>
    <cellStyle name="Normal 4 3 3 4 2 3 3 2" xfId="40552" xr:uid="{00000000-0005-0000-0000-0000C16F0000}"/>
    <cellStyle name="Normal 4 3 3 4 2 3 4" xfId="28247" xr:uid="{00000000-0005-0000-0000-0000C26F0000}"/>
    <cellStyle name="Normal 4 3 3 4 2 4" xfId="11414" xr:uid="{00000000-0005-0000-0000-0000C36F0000}"/>
    <cellStyle name="Normal 4 3 3 4 2 4 2" xfId="31334" xr:uid="{00000000-0005-0000-0000-0000C46F0000}"/>
    <cellStyle name="Normal 4 3 3 4 2 5" xfId="17566" xr:uid="{00000000-0005-0000-0000-0000C56F0000}"/>
    <cellStyle name="Normal 4 3 3 4 2 5 2" xfId="37486" xr:uid="{00000000-0005-0000-0000-0000C66F0000}"/>
    <cellStyle name="Normal 4 3 3 4 2 6" xfId="25181" xr:uid="{00000000-0005-0000-0000-0000C76F0000}"/>
    <cellStyle name="Normal 4 3 3 4 3" xfId="5952" xr:uid="{00000000-0005-0000-0000-0000C86F0000}"/>
    <cellStyle name="Normal 4 3 3 4 3 2" xfId="9052" xr:uid="{00000000-0005-0000-0000-0000C96F0000}"/>
    <cellStyle name="Normal 4 3 3 4 3 2 2" xfId="15245" xr:uid="{00000000-0005-0000-0000-0000CA6F0000}"/>
    <cellStyle name="Normal 4 3 3 4 3 2 2 2" xfId="35165" xr:uid="{00000000-0005-0000-0000-0000CB6F0000}"/>
    <cellStyle name="Normal 4 3 3 4 3 2 3" xfId="21397" xr:uid="{00000000-0005-0000-0000-0000CC6F0000}"/>
    <cellStyle name="Normal 4 3 3 4 3 2 3 2" xfId="41317" xr:uid="{00000000-0005-0000-0000-0000CD6F0000}"/>
    <cellStyle name="Normal 4 3 3 4 3 2 4" xfId="29012" xr:uid="{00000000-0005-0000-0000-0000CE6F0000}"/>
    <cellStyle name="Normal 4 3 3 4 3 3" xfId="12179" xr:uid="{00000000-0005-0000-0000-0000CF6F0000}"/>
    <cellStyle name="Normal 4 3 3 4 3 3 2" xfId="32099" xr:uid="{00000000-0005-0000-0000-0000D06F0000}"/>
    <cellStyle name="Normal 4 3 3 4 3 4" xfId="18331" xr:uid="{00000000-0005-0000-0000-0000D16F0000}"/>
    <cellStyle name="Normal 4 3 3 4 3 4 2" xfId="38251" xr:uid="{00000000-0005-0000-0000-0000D26F0000}"/>
    <cellStyle name="Normal 4 3 3 4 3 5" xfId="25946" xr:uid="{00000000-0005-0000-0000-0000D36F0000}"/>
    <cellStyle name="Normal 4 3 3 4 4" xfId="7517" xr:uid="{00000000-0005-0000-0000-0000D46F0000}"/>
    <cellStyle name="Normal 4 3 3 4 4 2" xfId="13711" xr:uid="{00000000-0005-0000-0000-0000D56F0000}"/>
    <cellStyle name="Normal 4 3 3 4 4 2 2" xfId="33631" xr:uid="{00000000-0005-0000-0000-0000D66F0000}"/>
    <cellStyle name="Normal 4 3 3 4 4 3" xfId="19863" xr:uid="{00000000-0005-0000-0000-0000D76F0000}"/>
    <cellStyle name="Normal 4 3 3 4 4 3 2" xfId="39783" xr:uid="{00000000-0005-0000-0000-0000D86F0000}"/>
    <cellStyle name="Normal 4 3 3 4 4 4" xfId="27478" xr:uid="{00000000-0005-0000-0000-0000D96F0000}"/>
    <cellStyle name="Normal 4 3 3 4 5" xfId="10645" xr:uid="{00000000-0005-0000-0000-0000DA6F0000}"/>
    <cellStyle name="Normal 4 3 3 4 5 2" xfId="30565" xr:uid="{00000000-0005-0000-0000-0000DB6F0000}"/>
    <cellStyle name="Normal 4 3 3 4 6" xfId="16797" xr:uid="{00000000-0005-0000-0000-0000DC6F0000}"/>
    <cellStyle name="Normal 4 3 3 4 6 2" xfId="36717" xr:uid="{00000000-0005-0000-0000-0000DD6F0000}"/>
    <cellStyle name="Normal 4 3 3 4 7" xfId="24412" xr:uid="{00000000-0005-0000-0000-0000DE6F0000}"/>
    <cellStyle name="Normal 4 3 3 5" xfId="5105" xr:uid="{00000000-0005-0000-0000-0000DF6F0000}"/>
    <cellStyle name="Normal 4 3 3 5 2" xfId="6730" xr:uid="{00000000-0005-0000-0000-0000E06F0000}"/>
    <cellStyle name="Normal 4 3 3 5 2 2" xfId="9816" xr:uid="{00000000-0005-0000-0000-0000E16F0000}"/>
    <cellStyle name="Normal 4 3 3 5 2 2 2" xfId="16009" xr:uid="{00000000-0005-0000-0000-0000E26F0000}"/>
    <cellStyle name="Normal 4 3 3 5 2 2 2 2" xfId="35929" xr:uid="{00000000-0005-0000-0000-0000E36F0000}"/>
    <cellStyle name="Normal 4 3 3 5 2 2 3" xfId="22161" xr:uid="{00000000-0005-0000-0000-0000E46F0000}"/>
    <cellStyle name="Normal 4 3 3 5 2 2 3 2" xfId="42081" xr:uid="{00000000-0005-0000-0000-0000E56F0000}"/>
    <cellStyle name="Normal 4 3 3 5 2 2 4" xfId="29776" xr:uid="{00000000-0005-0000-0000-0000E66F0000}"/>
    <cellStyle name="Normal 4 3 3 5 2 3" xfId="12943" xr:uid="{00000000-0005-0000-0000-0000E76F0000}"/>
    <cellStyle name="Normal 4 3 3 5 2 3 2" xfId="32863" xr:uid="{00000000-0005-0000-0000-0000E86F0000}"/>
    <cellStyle name="Normal 4 3 3 5 2 4" xfId="19095" xr:uid="{00000000-0005-0000-0000-0000E96F0000}"/>
    <cellStyle name="Normal 4 3 3 5 2 4 2" xfId="39015" xr:uid="{00000000-0005-0000-0000-0000EA6F0000}"/>
    <cellStyle name="Normal 4 3 3 5 2 5" xfId="26710" xr:uid="{00000000-0005-0000-0000-0000EB6F0000}"/>
    <cellStyle name="Normal 4 3 3 5 3" xfId="8281" xr:uid="{00000000-0005-0000-0000-0000EC6F0000}"/>
    <cellStyle name="Normal 4 3 3 5 3 2" xfId="14475" xr:uid="{00000000-0005-0000-0000-0000ED6F0000}"/>
    <cellStyle name="Normal 4 3 3 5 3 2 2" xfId="34395" xr:uid="{00000000-0005-0000-0000-0000EE6F0000}"/>
    <cellStyle name="Normal 4 3 3 5 3 3" xfId="20627" xr:uid="{00000000-0005-0000-0000-0000EF6F0000}"/>
    <cellStyle name="Normal 4 3 3 5 3 3 2" xfId="40547" xr:uid="{00000000-0005-0000-0000-0000F06F0000}"/>
    <cellStyle name="Normal 4 3 3 5 3 4" xfId="28242" xr:uid="{00000000-0005-0000-0000-0000F16F0000}"/>
    <cellStyle name="Normal 4 3 3 5 4" xfId="11409" xr:uid="{00000000-0005-0000-0000-0000F26F0000}"/>
    <cellStyle name="Normal 4 3 3 5 4 2" xfId="31329" xr:uid="{00000000-0005-0000-0000-0000F36F0000}"/>
    <cellStyle name="Normal 4 3 3 5 5" xfId="17561" xr:uid="{00000000-0005-0000-0000-0000F46F0000}"/>
    <cellStyle name="Normal 4 3 3 5 5 2" xfId="37481" xr:uid="{00000000-0005-0000-0000-0000F56F0000}"/>
    <cellStyle name="Normal 4 3 3 5 6" xfId="25176" xr:uid="{00000000-0005-0000-0000-0000F66F0000}"/>
    <cellStyle name="Normal 4 3 3 6" xfId="5947" xr:uid="{00000000-0005-0000-0000-0000F76F0000}"/>
    <cellStyle name="Normal 4 3 3 6 2" xfId="9047" xr:uid="{00000000-0005-0000-0000-0000F86F0000}"/>
    <cellStyle name="Normal 4 3 3 6 2 2" xfId="15240" xr:uid="{00000000-0005-0000-0000-0000F96F0000}"/>
    <cellStyle name="Normal 4 3 3 6 2 2 2" xfId="35160" xr:uid="{00000000-0005-0000-0000-0000FA6F0000}"/>
    <cellStyle name="Normal 4 3 3 6 2 3" xfId="21392" xr:uid="{00000000-0005-0000-0000-0000FB6F0000}"/>
    <cellStyle name="Normal 4 3 3 6 2 3 2" xfId="41312" xr:uid="{00000000-0005-0000-0000-0000FC6F0000}"/>
    <cellStyle name="Normal 4 3 3 6 2 4" xfId="29007" xr:uid="{00000000-0005-0000-0000-0000FD6F0000}"/>
    <cellStyle name="Normal 4 3 3 6 3" xfId="12174" xr:uid="{00000000-0005-0000-0000-0000FE6F0000}"/>
    <cellStyle name="Normal 4 3 3 6 3 2" xfId="32094" xr:uid="{00000000-0005-0000-0000-0000FF6F0000}"/>
    <cellStyle name="Normal 4 3 3 6 4" xfId="18326" xr:uid="{00000000-0005-0000-0000-000000700000}"/>
    <cellStyle name="Normal 4 3 3 6 4 2" xfId="38246" xr:uid="{00000000-0005-0000-0000-000001700000}"/>
    <cellStyle name="Normal 4 3 3 6 5" xfId="25941" xr:uid="{00000000-0005-0000-0000-000002700000}"/>
    <cellStyle name="Normal 4 3 3 7" xfId="7512" xr:uid="{00000000-0005-0000-0000-000003700000}"/>
    <cellStyle name="Normal 4 3 3 7 2" xfId="13706" xr:uid="{00000000-0005-0000-0000-000004700000}"/>
    <cellStyle name="Normal 4 3 3 7 2 2" xfId="33626" xr:uid="{00000000-0005-0000-0000-000005700000}"/>
    <cellStyle name="Normal 4 3 3 7 3" xfId="19858" xr:uid="{00000000-0005-0000-0000-000006700000}"/>
    <cellStyle name="Normal 4 3 3 7 3 2" xfId="39778" xr:uid="{00000000-0005-0000-0000-000007700000}"/>
    <cellStyle name="Normal 4 3 3 7 4" xfId="27473" xr:uid="{00000000-0005-0000-0000-000008700000}"/>
    <cellStyle name="Normal 4 3 3 8" xfId="10640" xr:uid="{00000000-0005-0000-0000-000009700000}"/>
    <cellStyle name="Normal 4 3 3 8 2" xfId="30560" xr:uid="{00000000-0005-0000-0000-00000A700000}"/>
    <cellStyle name="Normal 4 3 3 9" xfId="16792" xr:uid="{00000000-0005-0000-0000-00000B700000}"/>
    <cellStyle name="Normal 4 3 3 9 2" xfId="36712" xr:uid="{00000000-0005-0000-0000-00000C700000}"/>
    <cellStyle name="Normal 4 3 4" xfId="3874" xr:uid="{00000000-0005-0000-0000-00000D700000}"/>
    <cellStyle name="Normal 4 3 4 2" xfId="3875" xr:uid="{00000000-0005-0000-0000-00000E700000}"/>
    <cellStyle name="Normal 4 3 4 2 2" xfId="5112" xr:uid="{00000000-0005-0000-0000-00000F700000}"/>
    <cellStyle name="Normal 4 3 4 2 2 2" xfId="6737" xr:uid="{00000000-0005-0000-0000-000010700000}"/>
    <cellStyle name="Normal 4 3 4 2 2 2 2" xfId="9823" xr:uid="{00000000-0005-0000-0000-000011700000}"/>
    <cellStyle name="Normal 4 3 4 2 2 2 2 2" xfId="16016" xr:uid="{00000000-0005-0000-0000-000012700000}"/>
    <cellStyle name="Normal 4 3 4 2 2 2 2 2 2" xfId="35936" xr:uid="{00000000-0005-0000-0000-000013700000}"/>
    <cellStyle name="Normal 4 3 4 2 2 2 2 3" xfId="22168" xr:uid="{00000000-0005-0000-0000-000014700000}"/>
    <cellStyle name="Normal 4 3 4 2 2 2 2 3 2" xfId="42088" xr:uid="{00000000-0005-0000-0000-000015700000}"/>
    <cellStyle name="Normal 4 3 4 2 2 2 2 4" xfId="29783" xr:uid="{00000000-0005-0000-0000-000016700000}"/>
    <cellStyle name="Normal 4 3 4 2 2 2 3" xfId="12950" xr:uid="{00000000-0005-0000-0000-000017700000}"/>
    <cellStyle name="Normal 4 3 4 2 2 2 3 2" xfId="32870" xr:uid="{00000000-0005-0000-0000-000018700000}"/>
    <cellStyle name="Normal 4 3 4 2 2 2 4" xfId="19102" xr:uid="{00000000-0005-0000-0000-000019700000}"/>
    <cellStyle name="Normal 4 3 4 2 2 2 4 2" xfId="39022" xr:uid="{00000000-0005-0000-0000-00001A700000}"/>
    <cellStyle name="Normal 4 3 4 2 2 2 5" xfId="26717" xr:uid="{00000000-0005-0000-0000-00001B700000}"/>
    <cellStyle name="Normal 4 3 4 2 2 3" xfId="8288" xr:uid="{00000000-0005-0000-0000-00001C700000}"/>
    <cellStyle name="Normal 4 3 4 2 2 3 2" xfId="14482" xr:uid="{00000000-0005-0000-0000-00001D700000}"/>
    <cellStyle name="Normal 4 3 4 2 2 3 2 2" xfId="34402" xr:uid="{00000000-0005-0000-0000-00001E700000}"/>
    <cellStyle name="Normal 4 3 4 2 2 3 3" xfId="20634" xr:uid="{00000000-0005-0000-0000-00001F700000}"/>
    <cellStyle name="Normal 4 3 4 2 2 3 3 2" xfId="40554" xr:uid="{00000000-0005-0000-0000-000020700000}"/>
    <cellStyle name="Normal 4 3 4 2 2 3 4" xfId="28249" xr:uid="{00000000-0005-0000-0000-000021700000}"/>
    <cellStyle name="Normal 4 3 4 2 2 4" xfId="11416" xr:uid="{00000000-0005-0000-0000-000022700000}"/>
    <cellStyle name="Normal 4 3 4 2 2 4 2" xfId="31336" xr:uid="{00000000-0005-0000-0000-000023700000}"/>
    <cellStyle name="Normal 4 3 4 2 2 5" xfId="17568" xr:uid="{00000000-0005-0000-0000-000024700000}"/>
    <cellStyle name="Normal 4 3 4 2 2 5 2" xfId="37488" xr:uid="{00000000-0005-0000-0000-000025700000}"/>
    <cellStyle name="Normal 4 3 4 2 2 6" xfId="25183" xr:uid="{00000000-0005-0000-0000-000026700000}"/>
    <cellStyle name="Normal 4 3 4 2 3" xfId="5954" xr:uid="{00000000-0005-0000-0000-000027700000}"/>
    <cellStyle name="Normal 4 3 4 2 3 2" xfId="9054" xr:uid="{00000000-0005-0000-0000-000028700000}"/>
    <cellStyle name="Normal 4 3 4 2 3 2 2" xfId="15247" xr:uid="{00000000-0005-0000-0000-000029700000}"/>
    <cellStyle name="Normal 4 3 4 2 3 2 2 2" xfId="35167" xr:uid="{00000000-0005-0000-0000-00002A700000}"/>
    <cellStyle name="Normal 4 3 4 2 3 2 3" xfId="21399" xr:uid="{00000000-0005-0000-0000-00002B700000}"/>
    <cellStyle name="Normal 4 3 4 2 3 2 3 2" xfId="41319" xr:uid="{00000000-0005-0000-0000-00002C700000}"/>
    <cellStyle name="Normal 4 3 4 2 3 2 4" xfId="29014" xr:uid="{00000000-0005-0000-0000-00002D700000}"/>
    <cellStyle name="Normal 4 3 4 2 3 3" xfId="12181" xr:uid="{00000000-0005-0000-0000-00002E700000}"/>
    <cellStyle name="Normal 4 3 4 2 3 3 2" xfId="32101" xr:uid="{00000000-0005-0000-0000-00002F700000}"/>
    <cellStyle name="Normal 4 3 4 2 3 4" xfId="18333" xr:uid="{00000000-0005-0000-0000-000030700000}"/>
    <cellStyle name="Normal 4 3 4 2 3 4 2" xfId="38253" xr:uid="{00000000-0005-0000-0000-000031700000}"/>
    <cellStyle name="Normal 4 3 4 2 3 5" xfId="25948" xr:uid="{00000000-0005-0000-0000-000032700000}"/>
    <cellStyle name="Normal 4 3 4 2 4" xfId="7519" xr:uid="{00000000-0005-0000-0000-000033700000}"/>
    <cellStyle name="Normal 4 3 4 2 4 2" xfId="13713" xr:uid="{00000000-0005-0000-0000-000034700000}"/>
    <cellStyle name="Normal 4 3 4 2 4 2 2" xfId="33633" xr:uid="{00000000-0005-0000-0000-000035700000}"/>
    <cellStyle name="Normal 4 3 4 2 4 3" xfId="19865" xr:uid="{00000000-0005-0000-0000-000036700000}"/>
    <cellStyle name="Normal 4 3 4 2 4 3 2" xfId="39785" xr:uid="{00000000-0005-0000-0000-000037700000}"/>
    <cellStyle name="Normal 4 3 4 2 4 4" xfId="27480" xr:uid="{00000000-0005-0000-0000-000038700000}"/>
    <cellStyle name="Normal 4 3 4 2 5" xfId="10647" xr:uid="{00000000-0005-0000-0000-000039700000}"/>
    <cellStyle name="Normal 4 3 4 2 5 2" xfId="30567" xr:uid="{00000000-0005-0000-0000-00003A700000}"/>
    <cellStyle name="Normal 4 3 4 2 6" xfId="16799" xr:uid="{00000000-0005-0000-0000-00003B700000}"/>
    <cellStyle name="Normal 4 3 4 2 6 2" xfId="36719" xr:uid="{00000000-0005-0000-0000-00003C700000}"/>
    <cellStyle name="Normal 4 3 4 2 7" xfId="24414" xr:uid="{00000000-0005-0000-0000-00003D700000}"/>
    <cellStyle name="Normal 4 3 4 3" xfId="5111" xr:uid="{00000000-0005-0000-0000-00003E700000}"/>
    <cellStyle name="Normal 4 3 4 3 2" xfId="6736" xr:uid="{00000000-0005-0000-0000-00003F700000}"/>
    <cellStyle name="Normal 4 3 4 3 2 2" xfId="9822" xr:uid="{00000000-0005-0000-0000-000040700000}"/>
    <cellStyle name="Normal 4 3 4 3 2 2 2" xfId="16015" xr:uid="{00000000-0005-0000-0000-000041700000}"/>
    <cellStyle name="Normal 4 3 4 3 2 2 2 2" xfId="35935" xr:uid="{00000000-0005-0000-0000-000042700000}"/>
    <cellStyle name="Normal 4 3 4 3 2 2 3" xfId="22167" xr:uid="{00000000-0005-0000-0000-000043700000}"/>
    <cellStyle name="Normal 4 3 4 3 2 2 3 2" xfId="42087" xr:uid="{00000000-0005-0000-0000-000044700000}"/>
    <cellStyle name="Normal 4 3 4 3 2 2 4" xfId="29782" xr:uid="{00000000-0005-0000-0000-000045700000}"/>
    <cellStyle name="Normal 4 3 4 3 2 3" xfId="12949" xr:uid="{00000000-0005-0000-0000-000046700000}"/>
    <cellStyle name="Normal 4 3 4 3 2 3 2" xfId="32869" xr:uid="{00000000-0005-0000-0000-000047700000}"/>
    <cellStyle name="Normal 4 3 4 3 2 4" xfId="19101" xr:uid="{00000000-0005-0000-0000-000048700000}"/>
    <cellStyle name="Normal 4 3 4 3 2 4 2" xfId="39021" xr:uid="{00000000-0005-0000-0000-000049700000}"/>
    <cellStyle name="Normal 4 3 4 3 2 5" xfId="26716" xr:uid="{00000000-0005-0000-0000-00004A700000}"/>
    <cellStyle name="Normal 4 3 4 3 3" xfId="8287" xr:uid="{00000000-0005-0000-0000-00004B700000}"/>
    <cellStyle name="Normal 4 3 4 3 3 2" xfId="14481" xr:uid="{00000000-0005-0000-0000-00004C700000}"/>
    <cellStyle name="Normal 4 3 4 3 3 2 2" xfId="34401" xr:uid="{00000000-0005-0000-0000-00004D700000}"/>
    <cellStyle name="Normal 4 3 4 3 3 3" xfId="20633" xr:uid="{00000000-0005-0000-0000-00004E700000}"/>
    <cellStyle name="Normal 4 3 4 3 3 3 2" xfId="40553" xr:uid="{00000000-0005-0000-0000-00004F700000}"/>
    <cellStyle name="Normal 4 3 4 3 3 4" xfId="28248" xr:uid="{00000000-0005-0000-0000-000050700000}"/>
    <cellStyle name="Normal 4 3 4 3 4" xfId="11415" xr:uid="{00000000-0005-0000-0000-000051700000}"/>
    <cellStyle name="Normal 4 3 4 3 4 2" xfId="31335" xr:uid="{00000000-0005-0000-0000-000052700000}"/>
    <cellStyle name="Normal 4 3 4 3 5" xfId="17567" xr:uid="{00000000-0005-0000-0000-000053700000}"/>
    <cellStyle name="Normal 4 3 4 3 5 2" xfId="37487" xr:uid="{00000000-0005-0000-0000-000054700000}"/>
    <cellStyle name="Normal 4 3 4 3 6" xfId="25182" xr:uid="{00000000-0005-0000-0000-000055700000}"/>
    <cellStyle name="Normal 4 3 4 4" xfId="5953" xr:uid="{00000000-0005-0000-0000-000056700000}"/>
    <cellStyle name="Normal 4 3 4 4 2" xfId="9053" xr:uid="{00000000-0005-0000-0000-000057700000}"/>
    <cellStyle name="Normal 4 3 4 4 2 2" xfId="15246" xr:uid="{00000000-0005-0000-0000-000058700000}"/>
    <cellStyle name="Normal 4 3 4 4 2 2 2" xfId="35166" xr:uid="{00000000-0005-0000-0000-000059700000}"/>
    <cellStyle name="Normal 4 3 4 4 2 3" xfId="21398" xr:uid="{00000000-0005-0000-0000-00005A700000}"/>
    <cellStyle name="Normal 4 3 4 4 2 3 2" xfId="41318" xr:uid="{00000000-0005-0000-0000-00005B700000}"/>
    <cellStyle name="Normal 4 3 4 4 2 4" xfId="29013" xr:uid="{00000000-0005-0000-0000-00005C700000}"/>
    <cellStyle name="Normal 4 3 4 4 3" xfId="12180" xr:uid="{00000000-0005-0000-0000-00005D700000}"/>
    <cellStyle name="Normal 4 3 4 4 3 2" xfId="32100" xr:uid="{00000000-0005-0000-0000-00005E700000}"/>
    <cellStyle name="Normal 4 3 4 4 4" xfId="18332" xr:uid="{00000000-0005-0000-0000-00005F700000}"/>
    <cellStyle name="Normal 4 3 4 4 4 2" xfId="38252" xr:uid="{00000000-0005-0000-0000-000060700000}"/>
    <cellStyle name="Normal 4 3 4 4 5" xfId="25947" xr:uid="{00000000-0005-0000-0000-000061700000}"/>
    <cellStyle name="Normal 4 3 4 5" xfId="7518" xr:uid="{00000000-0005-0000-0000-000062700000}"/>
    <cellStyle name="Normal 4 3 4 5 2" xfId="13712" xr:uid="{00000000-0005-0000-0000-000063700000}"/>
    <cellStyle name="Normal 4 3 4 5 2 2" xfId="33632" xr:uid="{00000000-0005-0000-0000-000064700000}"/>
    <cellStyle name="Normal 4 3 4 5 3" xfId="19864" xr:uid="{00000000-0005-0000-0000-000065700000}"/>
    <cellStyle name="Normal 4 3 4 5 3 2" xfId="39784" xr:uid="{00000000-0005-0000-0000-000066700000}"/>
    <cellStyle name="Normal 4 3 4 5 4" xfId="27479" xr:uid="{00000000-0005-0000-0000-000067700000}"/>
    <cellStyle name="Normal 4 3 4 6" xfId="10646" xr:uid="{00000000-0005-0000-0000-000068700000}"/>
    <cellStyle name="Normal 4 3 4 6 2" xfId="30566" xr:uid="{00000000-0005-0000-0000-000069700000}"/>
    <cellStyle name="Normal 4 3 4 7" xfId="16798" xr:uid="{00000000-0005-0000-0000-00006A700000}"/>
    <cellStyle name="Normal 4 3 4 7 2" xfId="36718" xr:uid="{00000000-0005-0000-0000-00006B700000}"/>
    <cellStyle name="Normal 4 3 4 8" xfId="24413" xr:uid="{00000000-0005-0000-0000-00006C700000}"/>
    <cellStyle name="Normal 4 3 5" xfId="3876" xr:uid="{00000000-0005-0000-0000-00006D700000}"/>
    <cellStyle name="Normal 4 3 5 2" xfId="3877" xr:uid="{00000000-0005-0000-0000-00006E700000}"/>
    <cellStyle name="Normal 4 3 5 2 2" xfId="5114" xr:uid="{00000000-0005-0000-0000-00006F700000}"/>
    <cellStyle name="Normal 4 3 5 2 2 2" xfId="6739" xr:uid="{00000000-0005-0000-0000-000070700000}"/>
    <cellStyle name="Normal 4 3 5 2 2 2 2" xfId="9825" xr:uid="{00000000-0005-0000-0000-000071700000}"/>
    <cellStyle name="Normal 4 3 5 2 2 2 2 2" xfId="16018" xr:uid="{00000000-0005-0000-0000-000072700000}"/>
    <cellStyle name="Normal 4 3 5 2 2 2 2 2 2" xfId="35938" xr:uid="{00000000-0005-0000-0000-000073700000}"/>
    <cellStyle name="Normal 4 3 5 2 2 2 2 3" xfId="22170" xr:uid="{00000000-0005-0000-0000-000074700000}"/>
    <cellStyle name="Normal 4 3 5 2 2 2 2 3 2" xfId="42090" xr:uid="{00000000-0005-0000-0000-000075700000}"/>
    <cellStyle name="Normal 4 3 5 2 2 2 2 4" xfId="29785" xr:uid="{00000000-0005-0000-0000-000076700000}"/>
    <cellStyle name="Normal 4 3 5 2 2 2 3" xfId="12952" xr:uid="{00000000-0005-0000-0000-000077700000}"/>
    <cellStyle name="Normal 4 3 5 2 2 2 3 2" xfId="32872" xr:uid="{00000000-0005-0000-0000-000078700000}"/>
    <cellStyle name="Normal 4 3 5 2 2 2 4" xfId="19104" xr:uid="{00000000-0005-0000-0000-000079700000}"/>
    <cellStyle name="Normal 4 3 5 2 2 2 4 2" xfId="39024" xr:uid="{00000000-0005-0000-0000-00007A700000}"/>
    <cellStyle name="Normal 4 3 5 2 2 2 5" xfId="26719" xr:uid="{00000000-0005-0000-0000-00007B700000}"/>
    <cellStyle name="Normal 4 3 5 2 2 3" xfId="8290" xr:uid="{00000000-0005-0000-0000-00007C700000}"/>
    <cellStyle name="Normal 4 3 5 2 2 3 2" xfId="14484" xr:uid="{00000000-0005-0000-0000-00007D700000}"/>
    <cellStyle name="Normal 4 3 5 2 2 3 2 2" xfId="34404" xr:uid="{00000000-0005-0000-0000-00007E700000}"/>
    <cellStyle name="Normal 4 3 5 2 2 3 3" xfId="20636" xr:uid="{00000000-0005-0000-0000-00007F700000}"/>
    <cellStyle name="Normal 4 3 5 2 2 3 3 2" xfId="40556" xr:uid="{00000000-0005-0000-0000-000080700000}"/>
    <cellStyle name="Normal 4 3 5 2 2 3 4" xfId="28251" xr:uid="{00000000-0005-0000-0000-000081700000}"/>
    <cellStyle name="Normal 4 3 5 2 2 4" xfId="11418" xr:uid="{00000000-0005-0000-0000-000082700000}"/>
    <cellStyle name="Normal 4 3 5 2 2 4 2" xfId="31338" xr:uid="{00000000-0005-0000-0000-000083700000}"/>
    <cellStyle name="Normal 4 3 5 2 2 5" xfId="17570" xr:uid="{00000000-0005-0000-0000-000084700000}"/>
    <cellStyle name="Normal 4 3 5 2 2 5 2" xfId="37490" xr:uid="{00000000-0005-0000-0000-000085700000}"/>
    <cellStyle name="Normal 4 3 5 2 2 6" xfId="25185" xr:uid="{00000000-0005-0000-0000-000086700000}"/>
    <cellStyle name="Normal 4 3 5 2 3" xfId="5956" xr:uid="{00000000-0005-0000-0000-000087700000}"/>
    <cellStyle name="Normal 4 3 5 2 3 2" xfId="9056" xr:uid="{00000000-0005-0000-0000-000088700000}"/>
    <cellStyle name="Normal 4 3 5 2 3 2 2" xfId="15249" xr:uid="{00000000-0005-0000-0000-000089700000}"/>
    <cellStyle name="Normal 4 3 5 2 3 2 2 2" xfId="35169" xr:uid="{00000000-0005-0000-0000-00008A700000}"/>
    <cellStyle name="Normal 4 3 5 2 3 2 3" xfId="21401" xr:uid="{00000000-0005-0000-0000-00008B700000}"/>
    <cellStyle name="Normal 4 3 5 2 3 2 3 2" xfId="41321" xr:uid="{00000000-0005-0000-0000-00008C700000}"/>
    <cellStyle name="Normal 4 3 5 2 3 2 4" xfId="29016" xr:uid="{00000000-0005-0000-0000-00008D700000}"/>
    <cellStyle name="Normal 4 3 5 2 3 3" xfId="12183" xr:uid="{00000000-0005-0000-0000-00008E700000}"/>
    <cellStyle name="Normal 4 3 5 2 3 3 2" xfId="32103" xr:uid="{00000000-0005-0000-0000-00008F700000}"/>
    <cellStyle name="Normal 4 3 5 2 3 4" xfId="18335" xr:uid="{00000000-0005-0000-0000-000090700000}"/>
    <cellStyle name="Normal 4 3 5 2 3 4 2" xfId="38255" xr:uid="{00000000-0005-0000-0000-000091700000}"/>
    <cellStyle name="Normal 4 3 5 2 3 5" xfId="25950" xr:uid="{00000000-0005-0000-0000-000092700000}"/>
    <cellStyle name="Normal 4 3 5 2 4" xfId="7521" xr:uid="{00000000-0005-0000-0000-000093700000}"/>
    <cellStyle name="Normal 4 3 5 2 4 2" xfId="13715" xr:uid="{00000000-0005-0000-0000-000094700000}"/>
    <cellStyle name="Normal 4 3 5 2 4 2 2" xfId="33635" xr:uid="{00000000-0005-0000-0000-000095700000}"/>
    <cellStyle name="Normal 4 3 5 2 4 3" xfId="19867" xr:uid="{00000000-0005-0000-0000-000096700000}"/>
    <cellStyle name="Normal 4 3 5 2 4 3 2" xfId="39787" xr:uid="{00000000-0005-0000-0000-000097700000}"/>
    <cellStyle name="Normal 4 3 5 2 4 4" xfId="27482" xr:uid="{00000000-0005-0000-0000-000098700000}"/>
    <cellStyle name="Normal 4 3 5 2 5" xfId="10649" xr:uid="{00000000-0005-0000-0000-000099700000}"/>
    <cellStyle name="Normal 4 3 5 2 5 2" xfId="30569" xr:uid="{00000000-0005-0000-0000-00009A700000}"/>
    <cellStyle name="Normal 4 3 5 2 6" xfId="16801" xr:uid="{00000000-0005-0000-0000-00009B700000}"/>
    <cellStyle name="Normal 4 3 5 2 6 2" xfId="36721" xr:uid="{00000000-0005-0000-0000-00009C700000}"/>
    <cellStyle name="Normal 4 3 5 2 7" xfId="24416" xr:uid="{00000000-0005-0000-0000-00009D700000}"/>
    <cellStyle name="Normal 4 3 5 3" xfId="5113" xr:uid="{00000000-0005-0000-0000-00009E700000}"/>
    <cellStyle name="Normal 4 3 5 3 2" xfId="6738" xr:uid="{00000000-0005-0000-0000-00009F700000}"/>
    <cellStyle name="Normal 4 3 5 3 2 2" xfId="9824" xr:uid="{00000000-0005-0000-0000-0000A0700000}"/>
    <cellStyle name="Normal 4 3 5 3 2 2 2" xfId="16017" xr:uid="{00000000-0005-0000-0000-0000A1700000}"/>
    <cellStyle name="Normal 4 3 5 3 2 2 2 2" xfId="35937" xr:uid="{00000000-0005-0000-0000-0000A2700000}"/>
    <cellStyle name="Normal 4 3 5 3 2 2 3" xfId="22169" xr:uid="{00000000-0005-0000-0000-0000A3700000}"/>
    <cellStyle name="Normal 4 3 5 3 2 2 3 2" xfId="42089" xr:uid="{00000000-0005-0000-0000-0000A4700000}"/>
    <cellStyle name="Normal 4 3 5 3 2 2 4" xfId="29784" xr:uid="{00000000-0005-0000-0000-0000A5700000}"/>
    <cellStyle name="Normal 4 3 5 3 2 3" xfId="12951" xr:uid="{00000000-0005-0000-0000-0000A6700000}"/>
    <cellStyle name="Normal 4 3 5 3 2 3 2" xfId="32871" xr:uid="{00000000-0005-0000-0000-0000A7700000}"/>
    <cellStyle name="Normal 4 3 5 3 2 4" xfId="19103" xr:uid="{00000000-0005-0000-0000-0000A8700000}"/>
    <cellStyle name="Normal 4 3 5 3 2 4 2" xfId="39023" xr:uid="{00000000-0005-0000-0000-0000A9700000}"/>
    <cellStyle name="Normal 4 3 5 3 2 5" xfId="26718" xr:uid="{00000000-0005-0000-0000-0000AA700000}"/>
    <cellStyle name="Normal 4 3 5 3 3" xfId="8289" xr:uid="{00000000-0005-0000-0000-0000AB700000}"/>
    <cellStyle name="Normal 4 3 5 3 3 2" xfId="14483" xr:uid="{00000000-0005-0000-0000-0000AC700000}"/>
    <cellStyle name="Normal 4 3 5 3 3 2 2" xfId="34403" xr:uid="{00000000-0005-0000-0000-0000AD700000}"/>
    <cellStyle name="Normal 4 3 5 3 3 3" xfId="20635" xr:uid="{00000000-0005-0000-0000-0000AE700000}"/>
    <cellStyle name="Normal 4 3 5 3 3 3 2" xfId="40555" xr:uid="{00000000-0005-0000-0000-0000AF700000}"/>
    <cellStyle name="Normal 4 3 5 3 3 4" xfId="28250" xr:uid="{00000000-0005-0000-0000-0000B0700000}"/>
    <cellStyle name="Normal 4 3 5 3 4" xfId="11417" xr:uid="{00000000-0005-0000-0000-0000B1700000}"/>
    <cellStyle name="Normal 4 3 5 3 4 2" xfId="31337" xr:uid="{00000000-0005-0000-0000-0000B2700000}"/>
    <cellStyle name="Normal 4 3 5 3 5" xfId="17569" xr:uid="{00000000-0005-0000-0000-0000B3700000}"/>
    <cellStyle name="Normal 4 3 5 3 5 2" xfId="37489" xr:uid="{00000000-0005-0000-0000-0000B4700000}"/>
    <cellStyle name="Normal 4 3 5 3 6" xfId="25184" xr:uid="{00000000-0005-0000-0000-0000B5700000}"/>
    <cellStyle name="Normal 4 3 5 4" xfId="5955" xr:uid="{00000000-0005-0000-0000-0000B6700000}"/>
    <cellStyle name="Normal 4 3 5 4 2" xfId="9055" xr:uid="{00000000-0005-0000-0000-0000B7700000}"/>
    <cellStyle name="Normal 4 3 5 4 2 2" xfId="15248" xr:uid="{00000000-0005-0000-0000-0000B8700000}"/>
    <cellStyle name="Normal 4 3 5 4 2 2 2" xfId="35168" xr:uid="{00000000-0005-0000-0000-0000B9700000}"/>
    <cellStyle name="Normal 4 3 5 4 2 3" xfId="21400" xr:uid="{00000000-0005-0000-0000-0000BA700000}"/>
    <cellStyle name="Normal 4 3 5 4 2 3 2" xfId="41320" xr:uid="{00000000-0005-0000-0000-0000BB700000}"/>
    <cellStyle name="Normal 4 3 5 4 2 4" xfId="29015" xr:uid="{00000000-0005-0000-0000-0000BC700000}"/>
    <cellStyle name="Normal 4 3 5 4 3" xfId="12182" xr:uid="{00000000-0005-0000-0000-0000BD700000}"/>
    <cellStyle name="Normal 4 3 5 4 3 2" xfId="32102" xr:uid="{00000000-0005-0000-0000-0000BE700000}"/>
    <cellStyle name="Normal 4 3 5 4 4" xfId="18334" xr:uid="{00000000-0005-0000-0000-0000BF700000}"/>
    <cellStyle name="Normal 4 3 5 4 4 2" xfId="38254" xr:uid="{00000000-0005-0000-0000-0000C0700000}"/>
    <cellStyle name="Normal 4 3 5 4 5" xfId="25949" xr:uid="{00000000-0005-0000-0000-0000C1700000}"/>
    <cellStyle name="Normal 4 3 5 5" xfId="7520" xr:uid="{00000000-0005-0000-0000-0000C2700000}"/>
    <cellStyle name="Normal 4 3 5 5 2" xfId="13714" xr:uid="{00000000-0005-0000-0000-0000C3700000}"/>
    <cellStyle name="Normal 4 3 5 5 2 2" xfId="33634" xr:uid="{00000000-0005-0000-0000-0000C4700000}"/>
    <cellStyle name="Normal 4 3 5 5 3" xfId="19866" xr:uid="{00000000-0005-0000-0000-0000C5700000}"/>
    <cellStyle name="Normal 4 3 5 5 3 2" xfId="39786" xr:uid="{00000000-0005-0000-0000-0000C6700000}"/>
    <cellStyle name="Normal 4 3 5 5 4" xfId="27481" xr:uid="{00000000-0005-0000-0000-0000C7700000}"/>
    <cellStyle name="Normal 4 3 5 6" xfId="10648" xr:uid="{00000000-0005-0000-0000-0000C8700000}"/>
    <cellStyle name="Normal 4 3 5 6 2" xfId="30568" xr:uid="{00000000-0005-0000-0000-0000C9700000}"/>
    <cellStyle name="Normal 4 3 5 7" xfId="16800" xr:uid="{00000000-0005-0000-0000-0000CA700000}"/>
    <cellStyle name="Normal 4 3 5 7 2" xfId="36720" xr:uid="{00000000-0005-0000-0000-0000CB700000}"/>
    <cellStyle name="Normal 4 3 5 8" xfId="24415" xr:uid="{00000000-0005-0000-0000-0000CC700000}"/>
    <cellStyle name="Normal 4 3 6" xfId="3878" xr:uid="{00000000-0005-0000-0000-0000CD700000}"/>
    <cellStyle name="Normal 4 3 6 2" xfId="5115" xr:uid="{00000000-0005-0000-0000-0000CE700000}"/>
    <cellStyle name="Normal 4 3 6 2 2" xfId="6740" xr:uid="{00000000-0005-0000-0000-0000CF700000}"/>
    <cellStyle name="Normal 4 3 6 2 2 2" xfId="9826" xr:uid="{00000000-0005-0000-0000-0000D0700000}"/>
    <cellStyle name="Normal 4 3 6 2 2 2 2" xfId="16019" xr:uid="{00000000-0005-0000-0000-0000D1700000}"/>
    <cellStyle name="Normal 4 3 6 2 2 2 2 2" xfId="35939" xr:uid="{00000000-0005-0000-0000-0000D2700000}"/>
    <cellStyle name="Normal 4 3 6 2 2 2 3" xfId="22171" xr:uid="{00000000-0005-0000-0000-0000D3700000}"/>
    <cellStyle name="Normal 4 3 6 2 2 2 3 2" xfId="42091" xr:uid="{00000000-0005-0000-0000-0000D4700000}"/>
    <cellStyle name="Normal 4 3 6 2 2 2 4" xfId="29786" xr:uid="{00000000-0005-0000-0000-0000D5700000}"/>
    <cellStyle name="Normal 4 3 6 2 2 3" xfId="12953" xr:uid="{00000000-0005-0000-0000-0000D6700000}"/>
    <cellStyle name="Normal 4 3 6 2 2 3 2" xfId="32873" xr:uid="{00000000-0005-0000-0000-0000D7700000}"/>
    <cellStyle name="Normal 4 3 6 2 2 4" xfId="19105" xr:uid="{00000000-0005-0000-0000-0000D8700000}"/>
    <cellStyle name="Normal 4 3 6 2 2 4 2" xfId="39025" xr:uid="{00000000-0005-0000-0000-0000D9700000}"/>
    <cellStyle name="Normal 4 3 6 2 2 5" xfId="26720" xr:uid="{00000000-0005-0000-0000-0000DA700000}"/>
    <cellStyle name="Normal 4 3 6 2 3" xfId="8291" xr:uid="{00000000-0005-0000-0000-0000DB700000}"/>
    <cellStyle name="Normal 4 3 6 2 3 2" xfId="14485" xr:uid="{00000000-0005-0000-0000-0000DC700000}"/>
    <cellStyle name="Normal 4 3 6 2 3 2 2" xfId="34405" xr:uid="{00000000-0005-0000-0000-0000DD700000}"/>
    <cellStyle name="Normal 4 3 6 2 3 3" xfId="20637" xr:uid="{00000000-0005-0000-0000-0000DE700000}"/>
    <cellStyle name="Normal 4 3 6 2 3 3 2" xfId="40557" xr:uid="{00000000-0005-0000-0000-0000DF700000}"/>
    <cellStyle name="Normal 4 3 6 2 3 4" xfId="28252" xr:uid="{00000000-0005-0000-0000-0000E0700000}"/>
    <cellStyle name="Normal 4 3 6 2 4" xfId="11419" xr:uid="{00000000-0005-0000-0000-0000E1700000}"/>
    <cellStyle name="Normal 4 3 6 2 4 2" xfId="31339" xr:uid="{00000000-0005-0000-0000-0000E2700000}"/>
    <cellStyle name="Normal 4 3 6 2 5" xfId="17571" xr:uid="{00000000-0005-0000-0000-0000E3700000}"/>
    <cellStyle name="Normal 4 3 6 2 5 2" xfId="37491" xr:uid="{00000000-0005-0000-0000-0000E4700000}"/>
    <cellStyle name="Normal 4 3 6 2 6" xfId="25186" xr:uid="{00000000-0005-0000-0000-0000E5700000}"/>
    <cellStyle name="Normal 4 3 6 3" xfId="5957" xr:uid="{00000000-0005-0000-0000-0000E6700000}"/>
    <cellStyle name="Normal 4 3 6 3 2" xfId="9057" xr:uid="{00000000-0005-0000-0000-0000E7700000}"/>
    <cellStyle name="Normal 4 3 6 3 2 2" xfId="15250" xr:uid="{00000000-0005-0000-0000-0000E8700000}"/>
    <cellStyle name="Normal 4 3 6 3 2 2 2" xfId="35170" xr:uid="{00000000-0005-0000-0000-0000E9700000}"/>
    <cellStyle name="Normal 4 3 6 3 2 3" xfId="21402" xr:uid="{00000000-0005-0000-0000-0000EA700000}"/>
    <cellStyle name="Normal 4 3 6 3 2 3 2" xfId="41322" xr:uid="{00000000-0005-0000-0000-0000EB700000}"/>
    <cellStyle name="Normal 4 3 6 3 2 4" xfId="29017" xr:uid="{00000000-0005-0000-0000-0000EC700000}"/>
    <cellStyle name="Normal 4 3 6 3 3" xfId="12184" xr:uid="{00000000-0005-0000-0000-0000ED700000}"/>
    <cellStyle name="Normal 4 3 6 3 3 2" xfId="32104" xr:uid="{00000000-0005-0000-0000-0000EE700000}"/>
    <cellStyle name="Normal 4 3 6 3 4" xfId="18336" xr:uid="{00000000-0005-0000-0000-0000EF700000}"/>
    <cellStyle name="Normal 4 3 6 3 4 2" xfId="38256" xr:uid="{00000000-0005-0000-0000-0000F0700000}"/>
    <cellStyle name="Normal 4 3 6 3 5" xfId="25951" xr:uid="{00000000-0005-0000-0000-0000F1700000}"/>
    <cellStyle name="Normal 4 3 6 4" xfId="7522" xr:uid="{00000000-0005-0000-0000-0000F2700000}"/>
    <cellStyle name="Normal 4 3 6 4 2" xfId="13716" xr:uid="{00000000-0005-0000-0000-0000F3700000}"/>
    <cellStyle name="Normal 4 3 6 4 2 2" xfId="33636" xr:uid="{00000000-0005-0000-0000-0000F4700000}"/>
    <cellStyle name="Normal 4 3 6 4 3" xfId="19868" xr:uid="{00000000-0005-0000-0000-0000F5700000}"/>
    <cellStyle name="Normal 4 3 6 4 3 2" xfId="39788" xr:uid="{00000000-0005-0000-0000-0000F6700000}"/>
    <cellStyle name="Normal 4 3 6 4 4" xfId="27483" xr:uid="{00000000-0005-0000-0000-0000F7700000}"/>
    <cellStyle name="Normal 4 3 6 5" xfId="10650" xr:uid="{00000000-0005-0000-0000-0000F8700000}"/>
    <cellStyle name="Normal 4 3 6 5 2" xfId="30570" xr:uid="{00000000-0005-0000-0000-0000F9700000}"/>
    <cellStyle name="Normal 4 3 6 6" xfId="16802" xr:uid="{00000000-0005-0000-0000-0000FA700000}"/>
    <cellStyle name="Normal 4 3 6 6 2" xfId="36722" xr:uid="{00000000-0005-0000-0000-0000FB700000}"/>
    <cellStyle name="Normal 4 3 6 7" xfId="24417" xr:uid="{00000000-0005-0000-0000-0000FC700000}"/>
    <cellStyle name="Normal 4 3 7" xfId="5092" xr:uid="{00000000-0005-0000-0000-0000FD700000}"/>
    <cellStyle name="Normal 4 3 7 2" xfId="6717" xr:uid="{00000000-0005-0000-0000-0000FE700000}"/>
    <cellStyle name="Normal 4 3 7 2 2" xfId="9803" xr:uid="{00000000-0005-0000-0000-0000FF700000}"/>
    <cellStyle name="Normal 4 3 7 2 2 2" xfId="15996" xr:uid="{00000000-0005-0000-0000-000000710000}"/>
    <cellStyle name="Normal 4 3 7 2 2 2 2" xfId="35916" xr:uid="{00000000-0005-0000-0000-000001710000}"/>
    <cellStyle name="Normal 4 3 7 2 2 3" xfId="22148" xr:uid="{00000000-0005-0000-0000-000002710000}"/>
    <cellStyle name="Normal 4 3 7 2 2 3 2" xfId="42068" xr:uid="{00000000-0005-0000-0000-000003710000}"/>
    <cellStyle name="Normal 4 3 7 2 2 4" xfId="29763" xr:uid="{00000000-0005-0000-0000-000004710000}"/>
    <cellStyle name="Normal 4 3 7 2 3" xfId="12930" xr:uid="{00000000-0005-0000-0000-000005710000}"/>
    <cellStyle name="Normal 4 3 7 2 3 2" xfId="32850" xr:uid="{00000000-0005-0000-0000-000006710000}"/>
    <cellStyle name="Normal 4 3 7 2 4" xfId="19082" xr:uid="{00000000-0005-0000-0000-000007710000}"/>
    <cellStyle name="Normal 4 3 7 2 4 2" xfId="39002" xr:uid="{00000000-0005-0000-0000-000008710000}"/>
    <cellStyle name="Normal 4 3 7 2 5" xfId="26697" xr:uid="{00000000-0005-0000-0000-000009710000}"/>
    <cellStyle name="Normal 4 3 7 3" xfId="8268" xr:uid="{00000000-0005-0000-0000-00000A710000}"/>
    <cellStyle name="Normal 4 3 7 3 2" xfId="14462" xr:uid="{00000000-0005-0000-0000-00000B710000}"/>
    <cellStyle name="Normal 4 3 7 3 2 2" xfId="34382" xr:uid="{00000000-0005-0000-0000-00000C710000}"/>
    <cellStyle name="Normal 4 3 7 3 3" xfId="20614" xr:uid="{00000000-0005-0000-0000-00000D710000}"/>
    <cellStyle name="Normal 4 3 7 3 3 2" xfId="40534" xr:uid="{00000000-0005-0000-0000-00000E710000}"/>
    <cellStyle name="Normal 4 3 7 3 4" xfId="28229" xr:uid="{00000000-0005-0000-0000-00000F710000}"/>
    <cellStyle name="Normal 4 3 7 4" xfId="11396" xr:uid="{00000000-0005-0000-0000-000010710000}"/>
    <cellStyle name="Normal 4 3 7 4 2" xfId="31316" xr:uid="{00000000-0005-0000-0000-000011710000}"/>
    <cellStyle name="Normal 4 3 7 5" xfId="17548" xr:uid="{00000000-0005-0000-0000-000012710000}"/>
    <cellStyle name="Normal 4 3 7 5 2" xfId="37468" xr:uid="{00000000-0005-0000-0000-000013710000}"/>
    <cellStyle name="Normal 4 3 7 6" xfId="25163" xr:uid="{00000000-0005-0000-0000-000014710000}"/>
    <cellStyle name="Normal 4 3 8" xfId="5934" xr:uid="{00000000-0005-0000-0000-000015710000}"/>
    <cellStyle name="Normal 4 3 8 2" xfId="9034" xr:uid="{00000000-0005-0000-0000-000016710000}"/>
    <cellStyle name="Normal 4 3 8 2 2" xfId="15227" xr:uid="{00000000-0005-0000-0000-000017710000}"/>
    <cellStyle name="Normal 4 3 8 2 2 2" xfId="35147" xr:uid="{00000000-0005-0000-0000-000018710000}"/>
    <cellStyle name="Normal 4 3 8 2 3" xfId="21379" xr:uid="{00000000-0005-0000-0000-000019710000}"/>
    <cellStyle name="Normal 4 3 8 2 3 2" xfId="41299" xr:uid="{00000000-0005-0000-0000-00001A710000}"/>
    <cellStyle name="Normal 4 3 8 2 4" xfId="28994" xr:uid="{00000000-0005-0000-0000-00001B710000}"/>
    <cellStyle name="Normal 4 3 8 3" xfId="12161" xr:uid="{00000000-0005-0000-0000-00001C710000}"/>
    <cellStyle name="Normal 4 3 8 3 2" xfId="32081" xr:uid="{00000000-0005-0000-0000-00001D710000}"/>
    <cellStyle name="Normal 4 3 8 4" xfId="18313" xr:uid="{00000000-0005-0000-0000-00001E710000}"/>
    <cellStyle name="Normal 4 3 8 4 2" xfId="38233" xr:uid="{00000000-0005-0000-0000-00001F710000}"/>
    <cellStyle name="Normal 4 3 8 5" xfId="25928" xr:uid="{00000000-0005-0000-0000-000020710000}"/>
    <cellStyle name="Normal 4 3 9" xfId="7499" xr:uid="{00000000-0005-0000-0000-000021710000}"/>
    <cellStyle name="Normal 4 3 9 2" xfId="13693" xr:uid="{00000000-0005-0000-0000-000022710000}"/>
    <cellStyle name="Normal 4 3 9 2 2" xfId="33613" xr:uid="{00000000-0005-0000-0000-000023710000}"/>
    <cellStyle name="Normal 4 3 9 3" xfId="19845" xr:uid="{00000000-0005-0000-0000-000024710000}"/>
    <cellStyle name="Normal 4 3 9 3 2" xfId="39765" xr:uid="{00000000-0005-0000-0000-000025710000}"/>
    <cellStyle name="Normal 4 3 9 4" xfId="27460" xr:uid="{00000000-0005-0000-0000-000026710000}"/>
    <cellStyle name="Normal 4 30" xfId="1040" xr:uid="{00000000-0005-0000-0000-000027710000}"/>
    <cellStyle name="Normal 4 4" xfId="139" xr:uid="{00000000-0005-0000-0000-000028710000}"/>
    <cellStyle name="Normal 4 4 2" xfId="3880" xr:uid="{00000000-0005-0000-0000-000029710000}"/>
    <cellStyle name="Normal 4 4 2 2" xfId="5117" xr:uid="{00000000-0005-0000-0000-00002A710000}"/>
    <cellStyle name="Normal 4 4 2 2 2" xfId="6742" xr:uid="{00000000-0005-0000-0000-00002B710000}"/>
    <cellStyle name="Normal 4 4 2 2 2 2" xfId="9828" xr:uid="{00000000-0005-0000-0000-00002C710000}"/>
    <cellStyle name="Normal 4 4 2 2 2 2 2" xfId="16021" xr:uid="{00000000-0005-0000-0000-00002D710000}"/>
    <cellStyle name="Normal 4 4 2 2 2 2 2 2" xfId="35941" xr:uid="{00000000-0005-0000-0000-00002E710000}"/>
    <cellStyle name="Normal 4 4 2 2 2 2 3" xfId="22173" xr:uid="{00000000-0005-0000-0000-00002F710000}"/>
    <cellStyle name="Normal 4 4 2 2 2 2 3 2" xfId="42093" xr:uid="{00000000-0005-0000-0000-000030710000}"/>
    <cellStyle name="Normal 4 4 2 2 2 2 4" xfId="29788" xr:uid="{00000000-0005-0000-0000-000031710000}"/>
    <cellStyle name="Normal 4 4 2 2 2 3" xfId="12955" xr:uid="{00000000-0005-0000-0000-000032710000}"/>
    <cellStyle name="Normal 4 4 2 2 2 3 2" xfId="32875" xr:uid="{00000000-0005-0000-0000-000033710000}"/>
    <cellStyle name="Normal 4 4 2 2 2 4" xfId="19107" xr:uid="{00000000-0005-0000-0000-000034710000}"/>
    <cellStyle name="Normal 4 4 2 2 2 4 2" xfId="39027" xr:uid="{00000000-0005-0000-0000-000035710000}"/>
    <cellStyle name="Normal 4 4 2 2 2 5" xfId="26722" xr:uid="{00000000-0005-0000-0000-000036710000}"/>
    <cellStyle name="Normal 4 4 2 2 3" xfId="8293" xr:uid="{00000000-0005-0000-0000-000037710000}"/>
    <cellStyle name="Normal 4 4 2 2 3 2" xfId="14487" xr:uid="{00000000-0005-0000-0000-000038710000}"/>
    <cellStyle name="Normal 4 4 2 2 3 2 2" xfId="34407" xr:uid="{00000000-0005-0000-0000-000039710000}"/>
    <cellStyle name="Normal 4 4 2 2 3 3" xfId="20639" xr:uid="{00000000-0005-0000-0000-00003A710000}"/>
    <cellStyle name="Normal 4 4 2 2 3 3 2" xfId="40559" xr:uid="{00000000-0005-0000-0000-00003B710000}"/>
    <cellStyle name="Normal 4 4 2 2 3 4" xfId="28254" xr:uid="{00000000-0005-0000-0000-00003C710000}"/>
    <cellStyle name="Normal 4 4 2 2 4" xfId="11421" xr:uid="{00000000-0005-0000-0000-00003D710000}"/>
    <cellStyle name="Normal 4 4 2 2 4 2" xfId="31341" xr:uid="{00000000-0005-0000-0000-00003E710000}"/>
    <cellStyle name="Normal 4 4 2 2 5" xfId="17573" xr:uid="{00000000-0005-0000-0000-00003F710000}"/>
    <cellStyle name="Normal 4 4 2 2 5 2" xfId="37493" xr:uid="{00000000-0005-0000-0000-000040710000}"/>
    <cellStyle name="Normal 4 4 2 2 6" xfId="25188" xr:uid="{00000000-0005-0000-0000-000041710000}"/>
    <cellStyle name="Normal 4 4 2 3" xfId="5959" xr:uid="{00000000-0005-0000-0000-000042710000}"/>
    <cellStyle name="Normal 4 4 2 3 2" xfId="9059" xr:uid="{00000000-0005-0000-0000-000043710000}"/>
    <cellStyle name="Normal 4 4 2 3 2 2" xfId="15252" xr:uid="{00000000-0005-0000-0000-000044710000}"/>
    <cellStyle name="Normal 4 4 2 3 2 2 2" xfId="35172" xr:uid="{00000000-0005-0000-0000-000045710000}"/>
    <cellStyle name="Normal 4 4 2 3 2 3" xfId="21404" xr:uid="{00000000-0005-0000-0000-000046710000}"/>
    <cellStyle name="Normal 4 4 2 3 2 3 2" xfId="41324" xr:uid="{00000000-0005-0000-0000-000047710000}"/>
    <cellStyle name="Normal 4 4 2 3 2 4" xfId="29019" xr:uid="{00000000-0005-0000-0000-000048710000}"/>
    <cellStyle name="Normal 4 4 2 3 3" xfId="12186" xr:uid="{00000000-0005-0000-0000-000049710000}"/>
    <cellStyle name="Normal 4 4 2 3 3 2" xfId="32106" xr:uid="{00000000-0005-0000-0000-00004A710000}"/>
    <cellStyle name="Normal 4 4 2 3 4" xfId="18338" xr:uid="{00000000-0005-0000-0000-00004B710000}"/>
    <cellStyle name="Normal 4 4 2 3 4 2" xfId="38258" xr:uid="{00000000-0005-0000-0000-00004C710000}"/>
    <cellStyle name="Normal 4 4 2 3 5" xfId="25953" xr:uid="{00000000-0005-0000-0000-00004D710000}"/>
    <cellStyle name="Normal 4 4 2 4" xfId="7524" xr:uid="{00000000-0005-0000-0000-00004E710000}"/>
    <cellStyle name="Normal 4 4 2 4 2" xfId="13718" xr:uid="{00000000-0005-0000-0000-00004F710000}"/>
    <cellStyle name="Normal 4 4 2 4 2 2" xfId="33638" xr:uid="{00000000-0005-0000-0000-000050710000}"/>
    <cellStyle name="Normal 4 4 2 4 3" xfId="19870" xr:uid="{00000000-0005-0000-0000-000051710000}"/>
    <cellStyle name="Normal 4 4 2 4 3 2" xfId="39790" xr:uid="{00000000-0005-0000-0000-000052710000}"/>
    <cellStyle name="Normal 4 4 2 4 4" xfId="27485" xr:uid="{00000000-0005-0000-0000-000053710000}"/>
    <cellStyle name="Normal 4 4 2 5" xfId="10652" xr:uid="{00000000-0005-0000-0000-000054710000}"/>
    <cellStyle name="Normal 4 4 2 5 2" xfId="30572" xr:uid="{00000000-0005-0000-0000-000055710000}"/>
    <cellStyle name="Normal 4 4 2 6" xfId="16804" xr:uid="{00000000-0005-0000-0000-000056710000}"/>
    <cellStyle name="Normal 4 4 2 6 2" xfId="36724" xr:uid="{00000000-0005-0000-0000-000057710000}"/>
    <cellStyle name="Normal 4 4 2 7" xfId="24419" xr:uid="{00000000-0005-0000-0000-000058710000}"/>
    <cellStyle name="Normal 4 4 3" xfId="3881" xr:uid="{00000000-0005-0000-0000-000059710000}"/>
    <cellStyle name="Normal 4 4 4" xfId="5116" xr:uid="{00000000-0005-0000-0000-00005A710000}"/>
    <cellStyle name="Normal 4 4 4 2" xfId="6741" xr:uid="{00000000-0005-0000-0000-00005B710000}"/>
    <cellStyle name="Normal 4 4 4 2 2" xfId="9827" xr:uid="{00000000-0005-0000-0000-00005C710000}"/>
    <cellStyle name="Normal 4 4 4 2 2 2" xfId="16020" xr:uid="{00000000-0005-0000-0000-00005D710000}"/>
    <cellStyle name="Normal 4 4 4 2 2 2 2" xfId="35940" xr:uid="{00000000-0005-0000-0000-00005E710000}"/>
    <cellStyle name="Normal 4 4 4 2 2 3" xfId="22172" xr:uid="{00000000-0005-0000-0000-00005F710000}"/>
    <cellStyle name="Normal 4 4 4 2 2 3 2" xfId="42092" xr:uid="{00000000-0005-0000-0000-000060710000}"/>
    <cellStyle name="Normal 4 4 4 2 2 4" xfId="29787" xr:uid="{00000000-0005-0000-0000-000061710000}"/>
    <cellStyle name="Normal 4 4 4 2 3" xfId="12954" xr:uid="{00000000-0005-0000-0000-000062710000}"/>
    <cellStyle name="Normal 4 4 4 2 3 2" xfId="32874" xr:uid="{00000000-0005-0000-0000-000063710000}"/>
    <cellStyle name="Normal 4 4 4 2 4" xfId="19106" xr:uid="{00000000-0005-0000-0000-000064710000}"/>
    <cellStyle name="Normal 4 4 4 2 4 2" xfId="39026" xr:uid="{00000000-0005-0000-0000-000065710000}"/>
    <cellStyle name="Normal 4 4 4 2 5" xfId="26721" xr:uid="{00000000-0005-0000-0000-000066710000}"/>
    <cellStyle name="Normal 4 4 4 3" xfId="8292" xr:uid="{00000000-0005-0000-0000-000067710000}"/>
    <cellStyle name="Normal 4 4 4 3 2" xfId="14486" xr:uid="{00000000-0005-0000-0000-000068710000}"/>
    <cellStyle name="Normal 4 4 4 3 2 2" xfId="34406" xr:uid="{00000000-0005-0000-0000-000069710000}"/>
    <cellStyle name="Normal 4 4 4 3 3" xfId="20638" xr:uid="{00000000-0005-0000-0000-00006A710000}"/>
    <cellStyle name="Normal 4 4 4 3 3 2" xfId="40558" xr:uid="{00000000-0005-0000-0000-00006B710000}"/>
    <cellStyle name="Normal 4 4 4 3 4" xfId="28253" xr:uid="{00000000-0005-0000-0000-00006C710000}"/>
    <cellStyle name="Normal 4 4 4 4" xfId="11420" xr:uid="{00000000-0005-0000-0000-00006D710000}"/>
    <cellStyle name="Normal 4 4 4 4 2" xfId="31340" xr:uid="{00000000-0005-0000-0000-00006E710000}"/>
    <cellStyle name="Normal 4 4 4 5" xfId="17572" xr:uid="{00000000-0005-0000-0000-00006F710000}"/>
    <cellStyle name="Normal 4 4 4 5 2" xfId="37492" xr:uid="{00000000-0005-0000-0000-000070710000}"/>
    <cellStyle name="Normal 4 4 4 6" xfId="25187" xr:uid="{00000000-0005-0000-0000-000071710000}"/>
    <cellStyle name="Normal 4 4 5" xfId="5958" xr:uid="{00000000-0005-0000-0000-000072710000}"/>
    <cellStyle name="Normal 4 4 5 2" xfId="9058" xr:uid="{00000000-0005-0000-0000-000073710000}"/>
    <cellStyle name="Normal 4 4 5 2 2" xfId="15251" xr:uid="{00000000-0005-0000-0000-000074710000}"/>
    <cellStyle name="Normal 4 4 5 2 2 2" xfId="35171" xr:uid="{00000000-0005-0000-0000-000075710000}"/>
    <cellStyle name="Normal 4 4 5 2 3" xfId="21403" xr:uid="{00000000-0005-0000-0000-000076710000}"/>
    <cellStyle name="Normal 4 4 5 2 3 2" xfId="41323" xr:uid="{00000000-0005-0000-0000-000077710000}"/>
    <cellStyle name="Normal 4 4 5 2 4" xfId="29018" xr:uid="{00000000-0005-0000-0000-000078710000}"/>
    <cellStyle name="Normal 4 4 5 3" xfId="12185" xr:uid="{00000000-0005-0000-0000-000079710000}"/>
    <cellStyle name="Normal 4 4 5 3 2" xfId="32105" xr:uid="{00000000-0005-0000-0000-00007A710000}"/>
    <cellStyle name="Normal 4 4 5 4" xfId="18337" xr:uid="{00000000-0005-0000-0000-00007B710000}"/>
    <cellStyle name="Normal 4 4 5 4 2" xfId="38257" xr:uid="{00000000-0005-0000-0000-00007C710000}"/>
    <cellStyle name="Normal 4 4 5 5" xfId="25952" xr:uid="{00000000-0005-0000-0000-00007D710000}"/>
    <cellStyle name="Normal 4 4 6" xfId="7523" xr:uid="{00000000-0005-0000-0000-00007E710000}"/>
    <cellStyle name="Normal 4 4 6 2" xfId="13717" xr:uid="{00000000-0005-0000-0000-00007F710000}"/>
    <cellStyle name="Normal 4 4 6 2 2" xfId="33637" xr:uid="{00000000-0005-0000-0000-000080710000}"/>
    <cellStyle name="Normal 4 4 6 3" xfId="19869" xr:uid="{00000000-0005-0000-0000-000081710000}"/>
    <cellStyle name="Normal 4 4 6 3 2" xfId="39789" xr:uid="{00000000-0005-0000-0000-000082710000}"/>
    <cellStyle name="Normal 4 4 6 4" xfId="27484" xr:uid="{00000000-0005-0000-0000-000083710000}"/>
    <cellStyle name="Normal 4 4 7" xfId="10651" xr:uid="{00000000-0005-0000-0000-000084710000}"/>
    <cellStyle name="Normal 4 4 7 2" xfId="30571" xr:uid="{00000000-0005-0000-0000-000085710000}"/>
    <cellStyle name="Normal 4 4 8" xfId="16803" xr:uid="{00000000-0005-0000-0000-000086710000}"/>
    <cellStyle name="Normal 4 4 8 2" xfId="36723" xr:uid="{00000000-0005-0000-0000-000087710000}"/>
    <cellStyle name="Normal 4 4 9" xfId="3879" xr:uid="{00000000-0005-0000-0000-000088710000}"/>
    <cellStyle name="Normal 4 4 9 2" xfId="24418" xr:uid="{00000000-0005-0000-0000-000089710000}"/>
    <cellStyle name="Normal 4 5" xfId="164" xr:uid="{00000000-0005-0000-0000-00008A710000}"/>
    <cellStyle name="Normal 4 5 2" xfId="5118" xr:uid="{00000000-0005-0000-0000-00008B710000}"/>
    <cellStyle name="Normal 4 5 2 2" xfId="6743" xr:uid="{00000000-0005-0000-0000-00008C710000}"/>
    <cellStyle name="Normal 4 5 2 2 2" xfId="9829" xr:uid="{00000000-0005-0000-0000-00008D710000}"/>
    <cellStyle name="Normal 4 5 2 2 2 2" xfId="16022" xr:uid="{00000000-0005-0000-0000-00008E710000}"/>
    <cellStyle name="Normal 4 5 2 2 2 2 2" xfId="35942" xr:uid="{00000000-0005-0000-0000-00008F710000}"/>
    <cellStyle name="Normal 4 5 2 2 2 3" xfId="22174" xr:uid="{00000000-0005-0000-0000-000090710000}"/>
    <cellStyle name="Normal 4 5 2 2 2 3 2" xfId="42094" xr:uid="{00000000-0005-0000-0000-000091710000}"/>
    <cellStyle name="Normal 4 5 2 2 2 4" xfId="29789" xr:uid="{00000000-0005-0000-0000-000092710000}"/>
    <cellStyle name="Normal 4 5 2 2 3" xfId="12956" xr:uid="{00000000-0005-0000-0000-000093710000}"/>
    <cellStyle name="Normal 4 5 2 2 3 2" xfId="32876" xr:uid="{00000000-0005-0000-0000-000094710000}"/>
    <cellStyle name="Normal 4 5 2 2 4" xfId="19108" xr:uid="{00000000-0005-0000-0000-000095710000}"/>
    <cellStyle name="Normal 4 5 2 2 4 2" xfId="39028" xr:uid="{00000000-0005-0000-0000-000096710000}"/>
    <cellStyle name="Normal 4 5 2 2 5" xfId="26723" xr:uid="{00000000-0005-0000-0000-000097710000}"/>
    <cellStyle name="Normal 4 5 2 3" xfId="8294" xr:uid="{00000000-0005-0000-0000-000098710000}"/>
    <cellStyle name="Normal 4 5 2 3 2" xfId="14488" xr:uid="{00000000-0005-0000-0000-000099710000}"/>
    <cellStyle name="Normal 4 5 2 3 2 2" xfId="34408" xr:uid="{00000000-0005-0000-0000-00009A710000}"/>
    <cellStyle name="Normal 4 5 2 3 3" xfId="20640" xr:uid="{00000000-0005-0000-0000-00009B710000}"/>
    <cellStyle name="Normal 4 5 2 3 3 2" xfId="40560" xr:uid="{00000000-0005-0000-0000-00009C710000}"/>
    <cellStyle name="Normal 4 5 2 3 4" xfId="28255" xr:uid="{00000000-0005-0000-0000-00009D710000}"/>
    <cellStyle name="Normal 4 5 2 4" xfId="11422" xr:uid="{00000000-0005-0000-0000-00009E710000}"/>
    <cellStyle name="Normal 4 5 2 4 2" xfId="31342" xr:uid="{00000000-0005-0000-0000-00009F710000}"/>
    <cellStyle name="Normal 4 5 2 5" xfId="17574" xr:uid="{00000000-0005-0000-0000-0000A0710000}"/>
    <cellStyle name="Normal 4 5 2 5 2" xfId="37494" xr:uid="{00000000-0005-0000-0000-0000A1710000}"/>
    <cellStyle name="Normal 4 5 2 6" xfId="25189" xr:uid="{00000000-0005-0000-0000-0000A2710000}"/>
    <cellStyle name="Normal 4 5 3" xfId="5960" xr:uid="{00000000-0005-0000-0000-0000A3710000}"/>
    <cellStyle name="Normal 4 5 3 2" xfId="9060" xr:uid="{00000000-0005-0000-0000-0000A4710000}"/>
    <cellStyle name="Normal 4 5 3 2 2" xfId="15253" xr:uid="{00000000-0005-0000-0000-0000A5710000}"/>
    <cellStyle name="Normal 4 5 3 2 2 2" xfId="35173" xr:uid="{00000000-0005-0000-0000-0000A6710000}"/>
    <cellStyle name="Normal 4 5 3 2 3" xfId="21405" xr:uid="{00000000-0005-0000-0000-0000A7710000}"/>
    <cellStyle name="Normal 4 5 3 2 3 2" xfId="41325" xr:uid="{00000000-0005-0000-0000-0000A8710000}"/>
    <cellStyle name="Normal 4 5 3 2 4" xfId="29020" xr:uid="{00000000-0005-0000-0000-0000A9710000}"/>
    <cellStyle name="Normal 4 5 3 3" xfId="12187" xr:uid="{00000000-0005-0000-0000-0000AA710000}"/>
    <cellStyle name="Normal 4 5 3 3 2" xfId="32107" xr:uid="{00000000-0005-0000-0000-0000AB710000}"/>
    <cellStyle name="Normal 4 5 3 4" xfId="18339" xr:uid="{00000000-0005-0000-0000-0000AC710000}"/>
    <cellStyle name="Normal 4 5 3 4 2" xfId="38259" xr:uid="{00000000-0005-0000-0000-0000AD710000}"/>
    <cellStyle name="Normal 4 5 3 5" xfId="25954" xr:uid="{00000000-0005-0000-0000-0000AE710000}"/>
    <cellStyle name="Normal 4 5 4" xfId="7525" xr:uid="{00000000-0005-0000-0000-0000AF710000}"/>
    <cellStyle name="Normal 4 5 4 2" xfId="13719" xr:uid="{00000000-0005-0000-0000-0000B0710000}"/>
    <cellStyle name="Normal 4 5 4 2 2" xfId="33639" xr:uid="{00000000-0005-0000-0000-0000B1710000}"/>
    <cellStyle name="Normal 4 5 4 3" xfId="19871" xr:uid="{00000000-0005-0000-0000-0000B2710000}"/>
    <cellStyle name="Normal 4 5 4 3 2" xfId="39791" xr:uid="{00000000-0005-0000-0000-0000B3710000}"/>
    <cellStyle name="Normal 4 5 4 4" xfId="27486" xr:uid="{00000000-0005-0000-0000-0000B4710000}"/>
    <cellStyle name="Normal 4 5 5" xfId="10653" xr:uid="{00000000-0005-0000-0000-0000B5710000}"/>
    <cellStyle name="Normal 4 5 5 2" xfId="30573" xr:uid="{00000000-0005-0000-0000-0000B6710000}"/>
    <cellStyle name="Normal 4 5 6" xfId="16805" xr:uid="{00000000-0005-0000-0000-0000B7710000}"/>
    <cellStyle name="Normal 4 5 6 2" xfId="36725" xr:uid="{00000000-0005-0000-0000-0000B8710000}"/>
    <cellStyle name="Normal 4 5 7" xfId="3882" xr:uid="{00000000-0005-0000-0000-0000B9710000}"/>
    <cellStyle name="Normal 4 5 7 2" xfId="24420" xr:uid="{00000000-0005-0000-0000-0000BA710000}"/>
    <cellStyle name="Normal 4 6" xfId="190" xr:uid="{00000000-0005-0000-0000-0000BB710000}"/>
    <cellStyle name="Normal 4 6 2" xfId="5119" xr:uid="{00000000-0005-0000-0000-0000BC710000}"/>
    <cellStyle name="Normal 4 6 2 2" xfId="6744" xr:uid="{00000000-0005-0000-0000-0000BD710000}"/>
    <cellStyle name="Normal 4 6 2 2 2" xfId="9830" xr:uid="{00000000-0005-0000-0000-0000BE710000}"/>
    <cellStyle name="Normal 4 6 2 2 2 2" xfId="16023" xr:uid="{00000000-0005-0000-0000-0000BF710000}"/>
    <cellStyle name="Normal 4 6 2 2 2 2 2" xfId="35943" xr:uid="{00000000-0005-0000-0000-0000C0710000}"/>
    <cellStyle name="Normal 4 6 2 2 2 3" xfId="22175" xr:uid="{00000000-0005-0000-0000-0000C1710000}"/>
    <cellStyle name="Normal 4 6 2 2 2 3 2" xfId="42095" xr:uid="{00000000-0005-0000-0000-0000C2710000}"/>
    <cellStyle name="Normal 4 6 2 2 2 4" xfId="29790" xr:uid="{00000000-0005-0000-0000-0000C3710000}"/>
    <cellStyle name="Normal 4 6 2 2 3" xfId="12957" xr:uid="{00000000-0005-0000-0000-0000C4710000}"/>
    <cellStyle name="Normal 4 6 2 2 3 2" xfId="32877" xr:uid="{00000000-0005-0000-0000-0000C5710000}"/>
    <cellStyle name="Normal 4 6 2 2 4" xfId="19109" xr:uid="{00000000-0005-0000-0000-0000C6710000}"/>
    <cellStyle name="Normal 4 6 2 2 4 2" xfId="39029" xr:uid="{00000000-0005-0000-0000-0000C7710000}"/>
    <cellStyle name="Normal 4 6 2 2 5" xfId="26724" xr:uid="{00000000-0005-0000-0000-0000C8710000}"/>
    <cellStyle name="Normal 4 6 2 3" xfId="8295" xr:uid="{00000000-0005-0000-0000-0000C9710000}"/>
    <cellStyle name="Normal 4 6 2 3 2" xfId="14489" xr:uid="{00000000-0005-0000-0000-0000CA710000}"/>
    <cellStyle name="Normal 4 6 2 3 2 2" xfId="34409" xr:uid="{00000000-0005-0000-0000-0000CB710000}"/>
    <cellStyle name="Normal 4 6 2 3 3" xfId="20641" xr:uid="{00000000-0005-0000-0000-0000CC710000}"/>
    <cellStyle name="Normal 4 6 2 3 3 2" xfId="40561" xr:uid="{00000000-0005-0000-0000-0000CD710000}"/>
    <cellStyle name="Normal 4 6 2 3 4" xfId="28256" xr:uid="{00000000-0005-0000-0000-0000CE710000}"/>
    <cellStyle name="Normal 4 6 2 4" xfId="11423" xr:uid="{00000000-0005-0000-0000-0000CF710000}"/>
    <cellStyle name="Normal 4 6 2 4 2" xfId="31343" xr:uid="{00000000-0005-0000-0000-0000D0710000}"/>
    <cellStyle name="Normal 4 6 2 5" xfId="17575" xr:uid="{00000000-0005-0000-0000-0000D1710000}"/>
    <cellStyle name="Normal 4 6 2 5 2" xfId="37495" xr:uid="{00000000-0005-0000-0000-0000D2710000}"/>
    <cellStyle name="Normal 4 6 2 6" xfId="25190" xr:uid="{00000000-0005-0000-0000-0000D3710000}"/>
    <cellStyle name="Normal 4 6 3" xfId="5961" xr:uid="{00000000-0005-0000-0000-0000D4710000}"/>
    <cellStyle name="Normal 4 6 3 2" xfId="9061" xr:uid="{00000000-0005-0000-0000-0000D5710000}"/>
    <cellStyle name="Normal 4 6 3 2 2" xfId="15254" xr:uid="{00000000-0005-0000-0000-0000D6710000}"/>
    <cellStyle name="Normal 4 6 3 2 2 2" xfId="35174" xr:uid="{00000000-0005-0000-0000-0000D7710000}"/>
    <cellStyle name="Normal 4 6 3 2 3" xfId="21406" xr:uid="{00000000-0005-0000-0000-0000D8710000}"/>
    <cellStyle name="Normal 4 6 3 2 3 2" xfId="41326" xr:uid="{00000000-0005-0000-0000-0000D9710000}"/>
    <cellStyle name="Normal 4 6 3 2 4" xfId="29021" xr:uid="{00000000-0005-0000-0000-0000DA710000}"/>
    <cellStyle name="Normal 4 6 3 3" xfId="12188" xr:uid="{00000000-0005-0000-0000-0000DB710000}"/>
    <cellStyle name="Normal 4 6 3 3 2" xfId="32108" xr:uid="{00000000-0005-0000-0000-0000DC710000}"/>
    <cellStyle name="Normal 4 6 3 4" xfId="18340" xr:uid="{00000000-0005-0000-0000-0000DD710000}"/>
    <cellStyle name="Normal 4 6 3 4 2" xfId="38260" xr:uid="{00000000-0005-0000-0000-0000DE710000}"/>
    <cellStyle name="Normal 4 6 3 5" xfId="25955" xr:uid="{00000000-0005-0000-0000-0000DF710000}"/>
    <cellStyle name="Normal 4 6 4" xfId="7526" xr:uid="{00000000-0005-0000-0000-0000E0710000}"/>
    <cellStyle name="Normal 4 6 4 2" xfId="13720" xr:uid="{00000000-0005-0000-0000-0000E1710000}"/>
    <cellStyle name="Normal 4 6 4 2 2" xfId="33640" xr:uid="{00000000-0005-0000-0000-0000E2710000}"/>
    <cellStyle name="Normal 4 6 4 3" xfId="19872" xr:uid="{00000000-0005-0000-0000-0000E3710000}"/>
    <cellStyle name="Normal 4 6 4 3 2" xfId="39792" xr:uid="{00000000-0005-0000-0000-0000E4710000}"/>
    <cellStyle name="Normal 4 6 4 4" xfId="27487" xr:uid="{00000000-0005-0000-0000-0000E5710000}"/>
    <cellStyle name="Normal 4 6 5" xfId="10654" xr:uid="{00000000-0005-0000-0000-0000E6710000}"/>
    <cellStyle name="Normal 4 6 5 2" xfId="30574" xr:uid="{00000000-0005-0000-0000-0000E7710000}"/>
    <cellStyle name="Normal 4 6 6" xfId="16806" xr:uid="{00000000-0005-0000-0000-0000E8710000}"/>
    <cellStyle name="Normal 4 6 6 2" xfId="36726" xr:uid="{00000000-0005-0000-0000-0000E9710000}"/>
    <cellStyle name="Normal 4 6 7" xfId="3883" xr:uid="{00000000-0005-0000-0000-0000EA710000}"/>
    <cellStyle name="Normal 4 6 7 2" xfId="24421" xr:uid="{00000000-0005-0000-0000-0000EB710000}"/>
    <cellStyle name="Normal 4 7" xfId="193" xr:uid="{00000000-0005-0000-0000-0000EC710000}"/>
    <cellStyle name="Normal 4 7 2" xfId="5120" xr:uid="{00000000-0005-0000-0000-0000ED710000}"/>
    <cellStyle name="Normal 4 7 2 2" xfId="6745" xr:uid="{00000000-0005-0000-0000-0000EE710000}"/>
    <cellStyle name="Normal 4 7 2 2 2" xfId="9831" xr:uid="{00000000-0005-0000-0000-0000EF710000}"/>
    <cellStyle name="Normal 4 7 2 2 2 2" xfId="16024" xr:uid="{00000000-0005-0000-0000-0000F0710000}"/>
    <cellStyle name="Normal 4 7 2 2 2 2 2" xfId="35944" xr:uid="{00000000-0005-0000-0000-0000F1710000}"/>
    <cellStyle name="Normal 4 7 2 2 2 3" xfId="22176" xr:uid="{00000000-0005-0000-0000-0000F2710000}"/>
    <cellStyle name="Normal 4 7 2 2 2 3 2" xfId="42096" xr:uid="{00000000-0005-0000-0000-0000F3710000}"/>
    <cellStyle name="Normal 4 7 2 2 2 4" xfId="29791" xr:uid="{00000000-0005-0000-0000-0000F4710000}"/>
    <cellStyle name="Normal 4 7 2 2 3" xfId="12958" xr:uid="{00000000-0005-0000-0000-0000F5710000}"/>
    <cellStyle name="Normal 4 7 2 2 3 2" xfId="32878" xr:uid="{00000000-0005-0000-0000-0000F6710000}"/>
    <cellStyle name="Normal 4 7 2 2 4" xfId="19110" xr:uid="{00000000-0005-0000-0000-0000F7710000}"/>
    <cellStyle name="Normal 4 7 2 2 4 2" xfId="39030" xr:uid="{00000000-0005-0000-0000-0000F8710000}"/>
    <cellStyle name="Normal 4 7 2 2 5" xfId="26725" xr:uid="{00000000-0005-0000-0000-0000F9710000}"/>
    <cellStyle name="Normal 4 7 2 3" xfId="8296" xr:uid="{00000000-0005-0000-0000-0000FA710000}"/>
    <cellStyle name="Normal 4 7 2 3 2" xfId="14490" xr:uid="{00000000-0005-0000-0000-0000FB710000}"/>
    <cellStyle name="Normal 4 7 2 3 2 2" xfId="34410" xr:uid="{00000000-0005-0000-0000-0000FC710000}"/>
    <cellStyle name="Normal 4 7 2 3 3" xfId="20642" xr:uid="{00000000-0005-0000-0000-0000FD710000}"/>
    <cellStyle name="Normal 4 7 2 3 3 2" xfId="40562" xr:uid="{00000000-0005-0000-0000-0000FE710000}"/>
    <cellStyle name="Normal 4 7 2 3 4" xfId="28257" xr:uid="{00000000-0005-0000-0000-0000FF710000}"/>
    <cellStyle name="Normal 4 7 2 4" xfId="11424" xr:uid="{00000000-0005-0000-0000-000000720000}"/>
    <cellStyle name="Normal 4 7 2 4 2" xfId="31344" xr:uid="{00000000-0005-0000-0000-000001720000}"/>
    <cellStyle name="Normal 4 7 2 5" xfId="17576" xr:uid="{00000000-0005-0000-0000-000002720000}"/>
    <cellStyle name="Normal 4 7 2 5 2" xfId="37496" xr:uid="{00000000-0005-0000-0000-000003720000}"/>
    <cellStyle name="Normal 4 7 2 6" xfId="25191" xr:uid="{00000000-0005-0000-0000-000004720000}"/>
    <cellStyle name="Normal 4 7 3" xfId="5962" xr:uid="{00000000-0005-0000-0000-000005720000}"/>
    <cellStyle name="Normal 4 7 3 2" xfId="9062" xr:uid="{00000000-0005-0000-0000-000006720000}"/>
    <cellStyle name="Normal 4 7 3 2 2" xfId="15255" xr:uid="{00000000-0005-0000-0000-000007720000}"/>
    <cellStyle name="Normal 4 7 3 2 2 2" xfId="35175" xr:uid="{00000000-0005-0000-0000-000008720000}"/>
    <cellStyle name="Normal 4 7 3 2 3" xfId="21407" xr:uid="{00000000-0005-0000-0000-000009720000}"/>
    <cellStyle name="Normal 4 7 3 2 3 2" xfId="41327" xr:uid="{00000000-0005-0000-0000-00000A720000}"/>
    <cellStyle name="Normal 4 7 3 2 4" xfId="29022" xr:uid="{00000000-0005-0000-0000-00000B720000}"/>
    <cellStyle name="Normal 4 7 3 3" xfId="12189" xr:uid="{00000000-0005-0000-0000-00000C720000}"/>
    <cellStyle name="Normal 4 7 3 3 2" xfId="32109" xr:uid="{00000000-0005-0000-0000-00000D720000}"/>
    <cellStyle name="Normal 4 7 3 4" xfId="18341" xr:uid="{00000000-0005-0000-0000-00000E720000}"/>
    <cellStyle name="Normal 4 7 3 4 2" xfId="38261" xr:uid="{00000000-0005-0000-0000-00000F720000}"/>
    <cellStyle name="Normal 4 7 3 5" xfId="25956" xr:uid="{00000000-0005-0000-0000-000010720000}"/>
    <cellStyle name="Normal 4 7 4" xfId="7527" xr:uid="{00000000-0005-0000-0000-000011720000}"/>
    <cellStyle name="Normal 4 7 4 2" xfId="13721" xr:uid="{00000000-0005-0000-0000-000012720000}"/>
    <cellStyle name="Normal 4 7 4 2 2" xfId="33641" xr:uid="{00000000-0005-0000-0000-000013720000}"/>
    <cellStyle name="Normal 4 7 4 3" xfId="19873" xr:uid="{00000000-0005-0000-0000-000014720000}"/>
    <cellStyle name="Normal 4 7 4 3 2" xfId="39793" xr:uid="{00000000-0005-0000-0000-000015720000}"/>
    <cellStyle name="Normal 4 7 4 4" xfId="27488" xr:uid="{00000000-0005-0000-0000-000016720000}"/>
    <cellStyle name="Normal 4 7 5" xfId="10655" xr:uid="{00000000-0005-0000-0000-000017720000}"/>
    <cellStyle name="Normal 4 7 5 2" xfId="30575" xr:uid="{00000000-0005-0000-0000-000018720000}"/>
    <cellStyle name="Normal 4 7 6" xfId="16807" xr:uid="{00000000-0005-0000-0000-000019720000}"/>
    <cellStyle name="Normal 4 7 6 2" xfId="36727" xr:uid="{00000000-0005-0000-0000-00001A720000}"/>
    <cellStyle name="Normal 4 7 7" xfId="3884" xr:uid="{00000000-0005-0000-0000-00001B720000}"/>
    <cellStyle name="Normal 4 7 7 2" xfId="24422" xr:uid="{00000000-0005-0000-0000-00001C720000}"/>
    <cellStyle name="Normal 4 8" xfId="220" xr:uid="{00000000-0005-0000-0000-00001D720000}"/>
    <cellStyle name="Normal 4 8 2" xfId="5121" xr:uid="{00000000-0005-0000-0000-00001E720000}"/>
    <cellStyle name="Normal 4 8 2 2" xfId="6746" xr:uid="{00000000-0005-0000-0000-00001F720000}"/>
    <cellStyle name="Normal 4 8 2 2 2" xfId="9832" xr:uid="{00000000-0005-0000-0000-000020720000}"/>
    <cellStyle name="Normal 4 8 2 2 2 2" xfId="16025" xr:uid="{00000000-0005-0000-0000-000021720000}"/>
    <cellStyle name="Normal 4 8 2 2 2 2 2" xfId="35945" xr:uid="{00000000-0005-0000-0000-000022720000}"/>
    <cellStyle name="Normal 4 8 2 2 2 3" xfId="22177" xr:uid="{00000000-0005-0000-0000-000023720000}"/>
    <cellStyle name="Normal 4 8 2 2 2 3 2" xfId="42097" xr:uid="{00000000-0005-0000-0000-000024720000}"/>
    <cellStyle name="Normal 4 8 2 2 2 4" xfId="29792" xr:uid="{00000000-0005-0000-0000-000025720000}"/>
    <cellStyle name="Normal 4 8 2 2 3" xfId="12959" xr:uid="{00000000-0005-0000-0000-000026720000}"/>
    <cellStyle name="Normal 4 8 2 2 3 2" xfId="32879" xr:uid="{00000000-0005-0000-0000-000027720000}"/>
    <cellStyle name="Normal 4 8 2 2 4" xfId="19111" xr:uid="{00000000-0005-0000-0000-000028720000}"/>
    <cellStyle name="Normal 4 8 2 2 4 2" xfId="39031" xr:uid="{00000000-0005-0000-0000-000029720000}"/>
    <cellStyle name="Normal 4 8 2 2 5" xfId="26726" xr:uid="{00000000-0005-0000-0000-00002A720000}"/>
    <cellStyle name="Normal 4 8 2 3" xfId="8297" xr:uid="{00000000-0005-0000-0000-00002B720000}"/>
    <cellStyle name="Normal 4 8 2 3 2" xfId="14491" xr:uid="{00000000-0005-0000-0000-00002C720000}"/>
    <cellStyle name="Normal 4 8 2 3 2 2" xfId="34411" xr:uid="{00000000-0005-0000-0000-00002D720000}"/>
    <cellStyle name="Normal 4 8 2 3 3" xfId="20643" xr:uid="{00000000-0005-0000-0000-00002E720000}"/>
    <cellStyle name="Normal 4 8 2 3 3 2" xfId="40563" xr:uid="{00000000-0005-0000-0000-00002F720000}"/>
    <cellStyle name="Normal 4 8 2 3 4" xfId="28258" xr:uid="{00000000-0005-0000-0000-000030720000}"/>
    <cellStyle name="Normal 4 8 2 4" xfId="11425" xr:uid="{00000000-0005-0000-0000-000031720000}"/>
    <cellStyle name="Normal 4 8 2 4 2" xfId="31345" xr:uid="{00000000-0005-0000-0000-000032720000}"/>
    <cellStyle name="Normal 4 8 2 5" xfId="17577" xr:uid="{00000000-0005-0000-0000-000033720000}"/>
    <cellStyle name="Normal 4 8 2 5 2" xfId="37497" xr:uid="{00000000-0005-0000-0000-000034720000}"/>
    <cellStyle name="Normal 4 8 2 6" xfId="25192" xr:uid="{00000000-0005-0000-0000-000035720000}"/>
    <cellStyle name="Normal 4 8 3" xfId="5963" xr:uid="{00000000-0005-0000-0000-000036720000}"/>
    <cellStyle name="Normal 4 8 3 2" xfId="9063" xr:uid="{00000000-0005-0000-0000-000037720000}"/>
    <cellStyle name="Normal 4 8 3 2 2" xfId="15256" xr:uid="{00000000-0005-0000-0000-000038720000}"/>
    <cellStyle name="Normal 4 8 3 2 2 2" xfId="35176" xr:uid="{00000000-0005-0000-0000-000039720000}"/>
    <cellStyle name="Normal 4 8 3 2 3" xfId="21408" xr:uid="{00000000-0005-0000-0000-00003A720000}"/>
    <cellStyle name="Normal 4 8 3 2 3 2" xfId="41328" xr:uid="{00000000-0005-0000-0000-00003B720000}"/>
    <cellStyle name="Normal 4 8 3 2 4" xfId="29023" xr:uid="{00000000-0005-0000-0000-00003C720000}"/>
    <cellStyle name="Normal 4 8 3 3" xfId="12190" xr:uid="{00000000-0005-0000-0000-00003D720000}"/>
    <cellStyle name="Normal 4 8 3 3 2" xfId="32110" xr:uid="{00000000-0005-0000-0000-00003E720000}"/>
    <cellStyle name="Normal 4 8 3 4" xfId="18342" xr:uid="{00000000-0005-0000-0000-00003F720000}"/>
    <cellStyle name="Normal 4 8 3 4 2" xfId="38262" xr:uid="{00000000-0005-0000-0000-000040720000}"/>
    <cellStyle name="Normal 4 8 3 5" xfId="25957" xr:uid="{00000000-0005-0000-0000-000041720000}"/>
    <cellStyle name="Normal 4 8 4" xfId="7528" xr:uid="{00000000-0005-0000-0000-000042720000}"/>
    <cellStyle name="Normal 4 8 4 2" xfId="13722" xr:uid="{00000000-0005-0000-0000-000043720000}"/>
    <cellStyle name="Normal 4 8 4 2 2" xfId="33642" xr:uid="{00000000-0005-0000-0000-000044720000}"/>
    <cellStyle name="Normal 4 8 4 3" xfId="19874" xr:uid="{00000000-0005-0000-0000-000045720000}"/>
    <cellStyle name="Normal 4 8 4 3 2" xfId="39794" xr:uid="{00000000-0005-0000-0000-000046720000}"/>
    <cellStyle name="Normal 4 8 4 4" xfId="27489" xr:uid="{00000000-0005-0000-0000-000047720000}"/>
    <cellStyle name="Normal 4 8 5" xfId="10656" xr:uid="{00000000-0005-0000-0000-000048720000}"/>
    <cellStyle name="Normal 4 8 5 2" xfId="30576" xr:uid="{00000000-0005-0000-0000-000049720000}"/>
    <cellStyle name="Normal 4 8 6" xfId="16808" xr:uid="{00000000-0005-0000-0000-00004A720000}"/>
    <cellStyle name="Normal 4 8 6 2" xfId="36728" xr:uid="{00000000-0005-0000-0000-00004B720000}"/>
    <cellStyle name="Normal 4 8 7" xfId="3885" xr:uid="{00000000-0005-0000-0000-00004C720000}"/>
    <cellStyle name="Normal 4 8 7 2" xfId="24423" xr:uid="{00000000-0005-0000-0000-00004D720000}"/>
    <cellStyle name="Normal 4 9" xfId="239" xr:uid="{00000000-0005-0000-0000-00004E720000}"/>
    <cellStyle name="Normal 4 9 2" xfId="3886" xr:uid="{00000000-0005-0000-0000-00004F720000}"/>
    <cellStyle name="Normal 40" xfId="3887" xr:uid="{00000000-0005-0000-0000-000050720000}"/>
    <cellStyle name="Normal 40 2" xfId="3888" xr:uid="{00000000-0005-0000-0000-000051720000}"/>
    <cellStyle name="Normal 41" xfId="3889" xr:uid="{00000000-0005-0000-0000-000052720000}"/>
    <cellStyle name="Normal 41 2" xfId="3890" xr:uid="{00000000-0005-0000-0000-000053720000}"/>
    <cellStyle name="Normal 41 2 2" xfId="5122" xr:uid="{00000000-0005-0000-0000-000054720000}"/>
    <cellStyle name="Normal 41 2 2 2" xfId="6747" xr:uid="{00000000-0005-0000-0000-000055720000}"/>
    <cellStyle name="Normal 41 2 2 2 2" xfId="9833" xr:uid="{00000000-0005-0000-0000-000056720000}"/>
    <cellStyle name="Normal 41 2 2 2 2 2" xfId="16026" xr:uid="{00000000-0005-0000-0000-000057720000}"/>
    <cellStyle name="Normal 41 2 2 2 2 2 2" xfId="35946" xr:uid="{00000000-0005-0000-0000-000058720000}"/>
    <cellStyle name="Normal 41 2 2 2 2 3" xfId="22178" xr:uid="{00000000-0005-0000-0000-000059720000}"/>
    <cellStyle name="Normal 41 2 2 2 2 3 2" xfId="42098" xr:uid="{00000000-0005-0000-0000-00005A720000}"/>
    <cellStyle name="Normal 41 2 2 2 2 4" xfId="29793" xr:uid="{00000000-0005-0000-0000-00005B720000}"/>
    <cellStyle name="Normal 41 2 2 2 3" xfId="12960" xr:uid="{00000000-0005-0000-0000-00005C720000}"/>
    <cellStyle name="Normal 41 2 2 2 3 2" xfId="32880" xr:uid="{00000000-0005-0000-0000-00005D720000}"/>
    <cellStyle name="Normal 41 2 2 2 4" xfId="19112" xr:uid="{00000000-0005-0000-0000-00005E720000}"/>
    <cellStyle name="Normal 41 2 2 2 4 2" xfId="39032" xr:uid="{00000000-0005-0000-0000-00005F720000}"/>
    <cellStyle name="Normal 41 2 2 2 5" xfId="26727" xr:uid="{00000000-0005-0000-0000-000060720000}"/>
    <cellStyle name="Normal 41 2 2 3" xfId="8298" xr:uid="{00000000-0005-0000-0000-000061720000}"/>
    <cellStyle name="Normal 41 2 2 3 2" xfId="14492" xr:uid="{00000000-0005-0000-0000-000062720000}"/>
    <cellStyle name="Normal 41 2 2 3 2 2" xfId="34412" xr:uid="{00000000-0005-0000-0000-000063720000}"/>
    <cellStyle name="Normal 41 2 2 3 3" xfId="20644" xr:uid="{00000000-0005-0000-0000-000064720000}"/>
    <cellStyle name="Normal 41 2 2 3 3 2" xfId="40564" xr:uid="{00000000-0005-0000-0000-000065720000}"/>
    <cellStyle name="Normal 41 2 2 3 4" xfId="28259" xr:uid="{00000000-0005-0000-0000-000066720000}"/>
    <cellStyle name="Normal 41 2 2 4" xfId="11426" xr:uid="{00000000-0005-0000-0000-000067720000}"/>
    <cellStyle name="Normal 41 2 2 4 2" xfId="31346" xr:uid="{00000000-0005-0000-0000-000068720000}"/>
    <cellStyle name="Normal 41 2 2 5" xfId="17578" xr:uid="{00000000-0005-0000-0000-000069720000}"/>
    <cellStyle name="Normal 41 2 2 5 2" xfId="37498" xr:uid="{00000000-0005-0000-0000-00006A720000}"/>
    <cellStyle name="Normal 41 2 2 6" xfId="25193" xr:uid="{00000000-0005-0000-0000-00006B720000}"/>
    <cellStyle name="Normal 41 2 3" xfId="5964" xr:uid="{00000000-0005-0000-0000-00006C720000}"/>
    <cellStyle name="Normal 41 2 3 2" xfId="9064" xr:uid="{00000000-0005-0000-0000-00006D720000}"/>
    <cellStyle name="Normal 41 2 3 2 2" xfId="15257" xr:uid="{00000000-0005-0000-0000-00006E720000}"/>
    <cellStyle name="Normal 41 2 3 2 2 2" xfId="35177" xr:uid="{00000000-0005-0000-0000-00006F720000}"/>
    <cellStyle name="Normal 41 2 3 2 3" xfId="21409" xr:uid="{00000000-0005-0000-0000-000070720000}"/>
    <cellStyle name="Normal 41 2 3 2 3 2" xfId="41329" xr:uid="{00000000-0005-0000-0000-000071720000}"/>
    <cellStyle name="Normal 41 2 3 2 4" xfId="29024" xr:uid="{00000000-0005-0000-0000-000072720000}"/>
    <cellStyle name="Normal 41 2 3 3" xfId="12191" xr:uid="{00000000-0005-0000-0000-000073720000}"/>
    <cellStyle name="Normal 41 2 3 3 2" xfId="32111" xr:uid="{00000000-0005-0000-0000-000074720000}"/>
    <cellStyle name="Normal 41 2 3 4" xfId="18343" xr:uid="{00000000-0005-0000-0000-000075720000}"/>
    <cellStyle name="Normal 41 2 3 4 2" xfId="38263" xr:uid="{00000000-0005-0000-0000-000076720000}"/>
    <cellStyle name="Normal 41 2 3 5" xfId="25958" xr:uid="{00000000-0005-0000-0000-000077720000}"/>
    <cellStyle name="Normal 41 2 4" xfId="7529" xr:uid="{00000000-0005-0000-0000-000078720000}"/>
    <cellStyle name="Normal 41 2 4 2" xfId="13723" xr:uid="{00000000-0005-0000-0000-000079720000}"/>
    <cellStyle name="Normal 41 2 4 2 2" xfId="33643" xr:uid="{00000000-0005-0000-0000-00007A720000}"/>
    <cellStyle name="Normal 41 2 4 3" xfId="19875" xr:uid="{00000000-0005-0000-0000-00007B720000}"/>
    <cellStyle name="Normal 41 2 4 3 2" xfId="39795" xr:uid="{00000000-0005-0000-0000-00007C720000}"/>
    <cellStyle name="Normal 41 2 4 4" xfId="27490" xr:uid="{00000000-0005-0000-0000-00007D720000}"/>
    <cellStyle name="Normal 41 2 5" xfId="10657" xr:uid="{00000000-0005-0000-0000-00007E720000}"/>
    <cellStyle name="Normal 41 2 5 2" xfId="30577" xr:uid="{00000000-0005-0000-0000-00007F720000}"/>
    <cellStyle name="Normal 41 2 6" xfId="16809" xr:uid="{00000000-0005-0000-0000-000080720000}"/>
    <cellStyle name="Normal 41 2 6 2" xfId="36729" xr:uid="{00000000-0005-0000-0000-000081720000}"/>
    <cellStyle name="Normal 41 2 7" xfId="24424" xr:uid="{00000000-0005-0000-0000-000082720000}"/>
    <cellStyle name="Normal 41 3" xfId="3891" xr:uid="{00000000-0005-0000-0000-000083720000}"/>
    <cellStyle name="Normal 41 3 2" xfId="3892" xr:uid="{00000000-0005-0000-0000-000084720000}"/>
    <cellStyle name="Normal 41 4" xfId="3893" xr:uid="{00000000-0005-0000-0000-000085720000}"/>
    <cellStyle name="Normal 42" xfId="3894" xr:uid="{00000000-0005-0000-0000-000086720000}"/>
    <cellStyle name="Normal 42 2" xfId="3895" xr:uid="{00000000-0005-0000-0000-000087720000}"/>
    <cellStyle name="Normal 43" xfId="3896" xr:uid="{00000000-0005-0000-0000-000088720000}"/>
    <cellStyle name="Normal 44" xfId="3897" xr:uid="{00000000-0005-0000-0000-000089720000}"/>
    <cellStyle name="Normal 44 2" xfId="3898" xr:uid="{00000000-0005-0000-0000-00008A720000}"/>
    <cellStyle name="Normal 45" xfId="3899" xr:uid="{00000000-0005-0000-0000-00008B720000}"/>
    <cellStyle name="Normal 46" xfId="3900" xr:uid="{00000000-0005-0000-0000-00008C720000}"/>
    <cellStyle name="Normal 46 2" xfId="5123" xr:uid="{00000000-0005-0000-0000-00008D720000}"/>
    <cellStyle name="Normal 46 2 2" xfId="6748" xr:uid="{00000000-0005-0000-0000-00008E720000}"/>
    <cellStyle name="Normal 46 2 2 2" xfId="9834" xr:uid="{00000000-0005-0000-0000-00008F720000}"/>
    <cellStyle name="Normal 46 2 2 2 2" xfId="16027" xr:uid="{00000000-0005-0000-0000-000090720000}"/>
    <cellStyle name="Normal 46 2 2 2 2 2" xfId="35947" xr:uid="{00000000-0005-0000-0000-000091720000}"/>
    <cellStyle name="Normal 46 2 2 2 3" xfId="22179" xr:uid="{00000000-0005-0000-0000-000092720000}"/>
    <cellStyle name="Normal 46 2 2 2 3 2" xfId="42099" xr:uid="{00000000-0005-0000-0000-000093720000}"/>
    <cellStyle name="Normal 46 2 2 2 4" xfId="29794" xr:uid="{00000000-0005-0000-0000-000094720000}"/>
    <cellStyle name="Normal 46 2 2 3" xfId="12961" xr:uid="{00000000-0005-0000-0000-000095720000}"/>
    <cellStyle name="Normal 46 2 2 3 2" xfId="32881" xr:uid="{00000000-0005-0000-0000-000096720000}"/>
    <cellStyle name="Normal 46 2 2 4" xfId="19113" xr:uid="{00000000-0005-0000-0000-000097720000}"/>
    <cellStyle name="Normal 46 2 2 4 2" xfId="39033" xr:uid="{00000000-0005-0000-0000-000098720000}"/>
    <cellStyle name="Normal 46 2 2 5" xfId="26728" xr:uid="{00000000-0005-0000-0000-000099720000}"/>
    <cellStyle name="Normal 46 2 3" xfId="8299" xr:uid="{00000000-0005-0000-0000-00009A720000}"/>
    <cellStyle name="Normal 46 2 3 2" xfId="14493" xr:uid="{00000000-0005-0000-0000-00009B720000}"/>
    <cellStyle name="Normal 46 2 3 2 2" xfId="34413" xr:uid="{00000000-0005-0000-0000-00009C720000}"/>
    <cellStyle name="Normal 46 2 3 3" xfId="20645" xr:uid="{00000000-0005-0000-0000-00009D720000}"/>
    <cellStyle name="Normal 46 2 3 3 2" xfId="40565" xr:uid="{00000000-0005-0000-0000-00009E720000}"/>
    <cellStyle name="Normal 46 2 3 4" xfId="28260" xr:uid="{00000000-0005-0000-0000-00009F720000}"/>
    <cellStyle name="Normal 46 2 4" xfId="11427" xr:uid="{00000000-0005-0000-0000-0000A0720000}"/>
    <cellStyle name="Normal 46 2 4 2" xfId="31347" xr:uid="{00000000-0005-0000-0000-0000A1720000}"/>
    <cellStyle name="Normal 46 2 5" xfId="17579" xr:uid="{00000000-0005-0000-0000-0000A2720000}"/>
    <cellStyle name="Normal 46 2 5 2" xfId="37499" xr:uid="{00000000-0005-0000-0000-0000A3720000}"/>
    <cellStyle name="Normal 46 2 6" xfId="25194" xr:uid="{00000000-0005-0000-0000-0000A4720000}"/>
    <cellStyle name="Normal 46 3" xfId="5965" xr:uid="{00000000-0005-0000-0000-0000A5720000}"/>
    <cellStyle name="Normal 46 3 2" xfId="9065" xr:uid="{00000000-0005-0000-0000-0000A6720000}"/>
    <cellStyle name="Normal 46 3 2 2" xfId="15258" xr:uid="{00000000-0005-0000-0000-0000A7720000}"/>
    <cellStyle name="Normal 46 3 2 2 2" xfId="35178" xr:uid="{00000000-0005-0000-0000-0000A8720000}"/>
    <cellStyle name="Normal 46 3 2 3" xfId="21410" xr:uid="{00000000-0005-0000-0000-0000A9720000}"/>
    <cellStyle name="Normal 46 3 2 3 2" xfId="41330" xr:uid="{00000000-0005-0000-0000-0000AA720000}"/>
    <cellStyle name="Normal 46 3 2 4" xfId="29025" xr:uid="{00000000-0005-0000-0000-0000AB720000}"/>
    <cellStyle name="Normal 46 3 3" xfId="12192" xr:uid="{00000000-0005-0000-0000-0000AC720000}"/>
    <cellStyle name="Normal 46 3 3 2" xfId="32112" xr:uid="{00000000-0005-0000-0000-0000AD720000}"/>
    <cellStyle name="Normal 46 3 4" xfId="18344" xr:uid="{00000000-0005-0000-0000-0000AE720000}"/>
    <cellStyle name="Normal 46 3 4 2" xfId="38264" xr:uid="{00000000-0005-0000-0000-0000AF720000}"/>
    <cellStyle name="Normal 46 3 5" xfId="25959" xr:uid="{00000000-0005-0000-0000-0000B0720000}"/>
    <cellStyle name="Normal 46 4" xfId="7530" xr:uid="{00000000-0005-0000-0000-0000B1720000}"/>
    <cellStyle name="Normal 46 4 2" xfId="13724" xr:uid="{00000000-0005-0000-0000-0000B2720000}"/>
    <cellStyle name="Normal 46 4 2 2" xfId="33644" xr:uid="{00000000-0005-0000-0000-0000B3720000}"/>
    <cellStyle name="Normal 46 4 3" xfId="19876" xr:uid="{00000000-0005-0000-0000-0000B4720000}"/>
    <cellStyle name="Normal 46 4 3 2" xfId="39796" xr:uid="{00000000-0005-0000-0000-0000B5720000}"/>
    <cellStyle name="Normal 46 4 4" xfId="27491" xr:uid="{00000000-0005-0000-0000-0000B6720000}"/>
    <cellStyle name="Normal 46 5" xfId="10658" xr:uid="{00000000-0005-0000-0000-0000B7720000}"/>
    <cellStyle name="Normal 46 5 2" xfId="30578" xr:uid="{00000000-0005-0000-0000-0000B8720000}"/>
    <cellStyle name="Normal 46 6" xfId="16810" xr:uid="{00000000-0005-0000-0000-0000B9720000}"/>
    <cellStyle name="Normal 46 6 2" xfId="36730" xr:uid="{00000000-0005-0000-0000-0000BA720000}"/>
    <cellStyle name="Normal 46 7" xfId="24425" xr:uid="{00000000-0005-0000-0000-0000BB720000}"/>
    <cellStyle name="Normal 47" xfId="3901" xr:uid="{00000000-0005-0000-0000-0000BC720000}"/>
    <cellStyle name="Normal 48" xfId="3902" xr:uid="{00000000-0005-0000-0000-0000BD720000}"/>
    <cellStyle name="Normal 49" xfId="1200" xr:uid="{00000000-0005-0000-0000-0000BE720000}"/>
    <cellStyle name="Normal 5" xfId="25" xr:uid="{00000000-0005-0000-0000-0000BF720000}"/>
    <cellStyle name="Normal 5 10" xfId="287" xr:uid="{00000000-0005-0000-0000-0000C0720000}"/>
    <cellStyle name="Normal 5 10 2" xfId="793" xr:uid="{00000000-0005-0000-0000-0000C1720000}"/>
    <cellStyle name="Normal 5 10 2 2" xfId="23675" xr:uid="{00000000-0005-0000-0000-0000C2720000}"/>
    <cellStyle name="Normal 5 10 3" xfId="3904" xr:uid="{00000000-0005-0000-0000-0000C3720000}"/>
    <cellStyle name="Normal 5 10 4" xfId="22541" xr:uid="{00000000-0005-0000-0000-0000C4720000}"/>
    <cellStyle name="Normal 5 10 4 2" xfId="42452" xr:uid="{00000000-0005-0000-0000-0000C5720000}"/>
    <cellStyle name="Normal 5 10 5" xfId="22758" xr:uid="{00000000-0005-0000-0000-0000C6720000}"/>
    <cellStyle name="Normal 5 10 5 2" xfId="42669" xr:uid="{00000000-0005-0000-0000-0000C7720000}"/>
    <cellStyle name="Normal 5 10 6" xfId="23061" xr:uid="{00000000-0005-0000-0000-0000C8720000}"/>
    <cellStyle name="Normal 5 10 6 2" xfId="42972" xr:uid="{00000000-0005-0000-0000-0000C9720000}"/>
    <cellStyle name="Normal 5 10 7" xfId="23372" xr:uid="{00000000-0005-0000-0000-0000CA720000}"/>
    <cellStyle name="Normal 5 11" xfId="299" xr:uid="{00000000-0005-0000-0000-0000CB720000}"/>
    <cellStyle name="Normal 5 11 2" xfId="796" xr:uid="{00000000-0005-0000-0000-0000CC720000}"/>
    <cellStyle name="Normal 5 11 2 2" xfId="23678" xr:uid="{00000000-0005-0000-0000-0000CD720000}"/>
    <cellStyle name="Normal 5 11 3" xfId="3905" xr:uid="{00000000-0005-0000-0000-0000CE720000}"/>
    <cellStyle name="Normal 5 11 4" xfId="22506" xr:uid="{00000000-0005-0000-0000-0000CF720000}"/>
    <cellStyle name="Normal 5 11 4 2" xfId="42417" xr:uid="{00000000-0005-0000-0000-0000D0720000}"/>
    <cellStyle name="Normal 5 11 5" xfId="22761" xr:uid="{00000000-0005-0000-0000-0000D1720000}"/>
    <cellStyle name="Normal 5 11 5 2" xfId="42672" xr:uid="{00000000-0005-0000-0000-0000D2720000}"/>
    <cellStyle name="Normal 5 11 6" xfId="23064" xr:uid="{00000000-0005-0000-0000-0000D3720000}"/>
    <cellStyle name="Normal 5 11 6 2" xfId="42975" xr:uid="{00000000-0005-0000-0000-0000D4720000}"/>
    <cellStyle name="Normal 5 11 7" xfId="23375" xr:uid="{00000000-0005-0000-0000-0000D5720000}"/>
    <cellStyle name="Normal 5 12" xfId="310" xr:uid="{00000000-0005-0000-0000-0000D6720000}"/>
    <cellStyle name="Normal 5 12 2" xfId="799" xr:uid="{00000000-0005-0000-0000-0000D7720000}"/>
    <cellStyle name="Normal 5 12 2 2" xfId="23681" xr:uid="{00000000-0005-0000-0000-0000D8720000}"/>
    <cellStyle name="Normal 5 12 3" xfId="3906" xr:uid="{00000000-0005-0000-0000-0000D9720000}"/>
    <cellStyle name="Normal 5 12 4" xfId="22677" xr:uid="{00000000-0005-0000-0000-0000DA720000}"/>
    <cellStyle name="Normal 5 12 4 2" xfId="42588" xr:uid="{00000000-0005-0000-0000-0000DB720000}"/>
    <cellStyle name="Normal 5 12 5" xfId="22764" xr:uid="{00000000-0005-0000-0000-0000DC720000}"/>
    <cellStyle name="Normal 5 12 5 2" xfId="42675" xr:uid="{00000000-0005-0000-0000-0000DD720000}"/>
    <cellStyle name="Normal 5 12 6" xfId="23067" xr:uid="{00000000-0005-0000-0000-0000DE720000}"/>
    <cellStyle name="Normal 5 12 6 2" xfId="42978" xr:uid="{00000000-0005-0000-0000-0000DF720000}"/>
    <cellStyle name="Normal 5 12 7" xfId="23378" xr:uid="{00000000-0005-0000-0000-0000E0720000}"/>
    <cellStyle name="Normal 5 13" xfId="318" xr:uid="{00000000-0005-0000-0000-0000E1720000}"/>
    <cellStyle name="Normal 5 13 2" xfId="802" xr:uid="{00000000-0005-0000-0000-0000E2720000}"/>
    <cellStyle name="Normal 5 13 2 2" xfId="23684" xr:uid="{00000000-0005-0000-0000-0000E3720000}"/>
    <cellStyle name="Normal 5 13 3" xfId="3907" xr:uid="{00000000-0005-0000-0000-0000E4720000}"/>
    <cellStyle name="Normal 5 13 4" xfId="22478" xr:uid="{00000000-0005-0000-0000-0000E5720000}"/>
    <cellStyle name="Normal 5 13 4 2" xfId="42389" xr:uid="{00000000-0005-0000-0000-0000E6720000}"/>
    <cellStyle name="Normal 5 13 5" xfId="22767" xr:uid="{00000000-0005-0000-0000-0000E7720000}"/>
    <cellStyle name="Normal 5 13 5 2" xfId="42678" xr:uid="{00000000-0005-0000-0000-0000E8720000}"/>
    <cellStyle name="Normal 5 13 6" xfId="23070" xr:uid="{00000000-0005-0000-0000-0000E9720000}"/>
    <cellStyle name="Normal 5 13 6 2" xfId="42981" xr:uid="{00000000-0005-0000-0000-0000EA720000}"/>
    <cellStyle name="Normal 5 13 7" xfId="23381" xr:uid="{00000000-0005-0000-0000-0000EB720000}"/>
    <cellStyle name="Normal 5 14" xfId="322" xr:uid="{00000000-0005-0000-0000-0000EC720000}"/>
    <cellStyle name="Normal 5 14 2" xfId="805" xr:uid="{00000000-0005-0000-0000-0000ED720000}"/>
    <cellStyle name="Normal 5 14 2 2" xfId="23687" xr:uid="{00000000-0005-0000-0000-0000EE720000}"/>
    <cellStyle name="Normal 5 14 3" xfId="3908" xr:uid="{00000000-0005-0000-0000-0000EF720000}"/>
    <cellStyle name="Normal 5 14 4" xfId="22626" xr:uid="{00000000-0005-0000-0000-0000F0720000}"/>
    <cellStyle name="Normal 5 14 4 2" xfId="42537" xr:uid="{00000000-0005-0000-0000-0000F1720000}"/>
    <cellStyle name="Normal 5 14 5" xfId="22770" xr:uid="{00000000-0005-0000-0000-0000F2720000}"/>
    <cellStyle name="Normal 5 14 5 2" xfId="42681" xr:uid="{00000000-0005-0000-0000-0000F3720000}"/>
    <cellStyle name="Normal 5 14 6" xfId="23073" xr:uid="{00000000-0005-0000-0000-0000F4720000}"/>
    <cellStyle name="Normal 5 14 6 2" xfId="42984" xr:uid="{00000000-0005-0000-0000-0000F5720000}"/>
    <cellStyle name="Normal 5 14 7" xfId="23384" xr:uid="{00000000-0005-0000-0000-0000F6720000}"/>
    <cellStyle name="Normal 5 15" xfId="325" xr:uid="{00000000-0005-0000-0000-0000F7720000}"/>
    <cellStyle name="Normal 5 15 2" xfId="808" xr:uid="{00000000-0005-0000-0000-0000F8720000}"/>
    <cellStyle name="Normal 5 15 2 2" xfId="23690" xr:uid="{00000000-0005-0000-0000-0000F9720000}"/>
    <cellStyle name="Normal 5 15 3" xfId="3909" xr:uid="{00000000-0005-0000-0000-0000FA720000}"/>
    <cellStyle name="Normal 5 15 4" xfId="22526" xr:uid="{00000000-0005-0000-0000-0000FB720000}"/>
    <cellStyle name="Normal 5 15 4 2" xfId="42437" xr:uid="{00000000-0005-0000-0000-0000FC720000}"/>
    <cellStyle name="Normal 5 15 5" xfId="22773" xr:uid="{00000000-0005-0000-0000-0000FD720000}"/>
    <cellStyle name="Normal 5 15 5 2" xfId="42684" xr:uid="{00000000-0005-0000-0000-0000FE720000}"/>
    <cellStyle name="Normal 5 15 6" xfId="23076" xr:uid="{00000000-0005-0000-0000-0000FF720000}"/>
    <cellStyle name="Normal 5 15 6 2" xfId="42987" xr:uid="{00000000-0005-0000-0000-000000730000}"/>
    <cellStyle name="Normal 5 15 7" xfId="23387" xr:uid="{00000000-0005-0000-0000-000001730000}"/>
    <cellStyle name="Normal 5 16" xfId="389" xr:uid="{00000000-0005-0000-0000-000002730000}"/>
    <cellStyle name="Normal 5 16 2" xfId="823" xr:uid="{00000000-0005-0000-0000-000003730000}"/>
    <cellStyle name="Normal 5 16 2 2" xfId="23705" xr:uid="{00000000-0005-0000-0000-000004730000}"/>
    <cellStyle name="Normal 5 16 3" xfId="3910" xr:uid="{00000000-0005-0000-0000-000005730000}"/>
    <cellStyle name="Normal 5 16 4" xfId="22553" xr:uid="{00000000-0005-0000-0000-000006730000}"/>
    <cellStyle name="Normal 5 16 4 2" xfId="42464" xr:uid="{00000000-0005-0000-0000-000007730000}"/>
    <cellStyle name="Normal 5 16 5" xfId="22788" xr:uid="{00000000-0005-0000-0000-000008730000}"/>
    <cellStyle name="Normal 5 16 5 2" xfId="42699" xr:uid="{00000000-0005-0000-0000-000009730000}"/>
    <cellStyle name="Normal 5 16 6" xfId="23091" xr:uid="{00000000-0005-0000-0000-00000A730000}"/>
    <cellStyle name="Normal 5 16 6 2" xfId="43002" xr:uid="{00000000-0005-0000-0000-00000B730000}"/>
    <cellStyle name="Normal 5 16 7" xfId="23402" xr:uid="{00000000-0005-0000-0000-00000C730000}"/>
    <cellStyle name="Normal 5 17" xfId="419" xr:uid="{00000000-0005-0000-0000-00000D730000}"/>
    <cellStyle name="Normal 5 17 2" xfId="839" xr:uid="{00000000-0005-0000-0000-00000E730000}"/>
    <cellStyle name="Normal 5 17 2 2" xfId="23721" xr:uid="{00000000-0005-0000-0000-00000F730000}"/>
    <cellStyle name="Normal 5 17 3" xfId="3911" xr:uid="{00000000-0005-0000-0000-000010730000}"/>
    <cellStyle name="Normal 5 17 4" xfId="22664" xr:uid="{00000000-0005-0000-0000-000011730000}"/>
    <cellStyle name="Normal 5 17 4 2" xfId="42575" xr:uid="{00000000-0005-0000-0000-000012730000}"/>
    <cellStyle name="Normal 5 17 5" xfId="22804" xr:uid="{00000000-0005-0000-0000-000013730000}"/>
    <cellStyle name="Normal 5 17 5 2" xfId="42715" xr:uid="{00000000-0005-0000-0000-000014730000}"/>
    <cellStyle name="Normal 5 17 6" xfId="23107" xr:uid="{00000000-0005-0000-0000-000015730000}"/>
    <cellStyle name="Normal 5 17 6 2" xfId="43018" xr:uid="{00000000-0005-0000-0000-000016730000}"/>
    <cellStyle name="Normal 5 17 7" xfId="23418" xr:uid="{00000000-0005-0000-0000-000017730000}"/>
    <cellStyle name="Normal 5 18" xfId="446" xr:uid="{00000000-0005-0000-0000-000018730000}"/>
    <cellStyle name="Normal 5 18 2" xfId="855" xr:uid="{00000000-0005-0000-0000-000019730000}"/>
    <cellStyle name="Normal 5 18 2 2" xfId="23737" xr:uid="{00000000-0005-0000-0000-00001A730000}"/>
    <cellStyle name="Normal 5 18 3" xfId="3912" xr:uid="{00000000-0005-0000-0000-00001B730000}"/>
    <cellStyle name="Normal 5 18 4" xfId="22645" xr:uid="{00000000-0005-0000-0000-00001C730000}"/>
    <cellStyle name="Normal 5 18 4 2" xfId="42556" xr:uid="{00000000-0005-0000-0000-00001D730000}"/>
    <cellStyle name="Normal 5 18 5" xfId="22820" xr:uid="{00000000-0005-0000-0000-00001E730000}"/>
    <cellStyle name="Normal 5 18 5 2" xfId="42731" xr:uid="{00000000-0005-0000-0000-00001F730000}"/>
    <cellStyle name="Normal 5 18 6" xfId="23123" xr:uid="{00000000-0005-0000-0000-000020730000}"/>
    <cellStyle name="Normal 5 18 6 2" xfId="43034" xr:uid="{00000000-0005-0000-0000-000021730000}"/>
    <cellStyle name="Normal 5 18 7" xfId="23434" xr:uid="{00000000-0005-0000-0000-000022730000}"/>
    <cellStyle name="Normal 5 19" xfId="472" xr:uid="{00000000-0005-0000-0000-000023730000}"/>
    <cellStyle name="Normal 5 19 2" xfId="871" xr:uid="{00000000-0005-0000-0000-000024730000}"/>
    <cellStyle name="Normal 5 19 2 2" xfId="23753" xr:uid="{00000000-0005-0000-0000-000025730000}"/>
    <cellStyle name="Normal 5 19 3" xfId="3913" xr:uid="{00000000-0005-0000-0000-000026730000}"/>
    <cellStyle name="Normal 5 19 4" xfId="22640" xr:uid="{00000000-0005-0000-0000-000027730000}"/>
    <cellStyle name="Normal 5 19 4 2" xfId="42551" xr:uid="{00000000-0005-0000-0000-000028730000}"/>
    <cellStyle name="Normal 5 19 5" xfId="22836" xr:uid="{00000000-0005-0000-0000-000029730000}"/>
    <cellStyle name="Normal 5 19 5 2" xfId="42747" xr:uid="{00000000-0005-0000-0000-00002A730000}"/>
    <cellStyle name="Normal 5 19 6" xfId="23139" xr:uid="{00000000-0005-0000-0000-00002B730000}"/>
    <cellStyle name="Normal 5 19 6 2" xfId="43050" xr:uid="{00000000-0005-0000-0000-00002C730000}"/>
    <cellStyle name="Normal 5 19 7" xfId="23450" xr:uid="{00000000-0005-0000-0000-00002D730000}"/>
    <cellStyle name="Normal 5 2" xfId="26" xr:uid="{00000000-0005-0000-0000-00002E730000}"/>
    <cellStyle name="Normal 5 2 10" xfId="10660" xr:uid="{00000000-0005-0000-0000-00002F730000}"/>
    <cellStyle name="Normal 5 2 10 2" xfId="30580" xr:uid="{00000000-0005-0000-0000-000030730000}"/>
    <cellStyle name="Normal 5 2 11" xfId="16812" xr:uid="{00000000-0005-0000-0000-000031730000}"/>
    <cellStyle name="Normal 5 2 11 2" xfId="36732" xr:uid="{00000000-0005-0000-0000-000032730000}"/>
    <cellStyle name="Normal 5 2 12" xfId="3914" xr:uid="{00000000-0005-0000-0000-000033730000}"/>
    <cellStyle name="Normal 5 2 12 2" xfId="24427" xr:uid="{00000000-0005-0000-0000-000034730000}"/>
    <cellStyle name="Normal 5 2 2" xfId="3915" xr:uid="{00000000-0005-0000-0000-000035730000}"/>
    <cellStyle name="Normal 5 2 2 2" xfId="3916" xr:uid="{00000000-0005-0000-0000-000036730000}"/>
    <cellStyle name="Normal 5 2 2 2 2" xfId="3917" xr:uid="{00000000-0005-0000-0000-000037730000}"/>
    <cellStyle name="Normal 5 2 2 2 2 2" xfId="5126" xr:uid="{00000000-0005-0000-0000-000038730000}"/>
    <cellStyle name="Normal 5 2 2 2 2 2 2" xfId="6751" xr:uid="{00000000-0005-0000-0000-000039730000}"/>
    <cellStyle name="Normal 5 2 2 2 2 2 2 2" xfId="9837" xr:uid="{00000000-0005-0000-0000-00003A730000}"/>
    <cellStyle name="Normal 5 2 2 2 2 2 2 2 2" xfId="16030" xr:uid="{00000000-0005-0000-0000-00003B730000}"/>
    <cellStyle name="Normal 5 2 2 2 2 2 2 2 2 2" xfId="35950" xr:uid="{00000000-0005-0000-0000-00003C730000}"/>
    <cellStyle name="Normal 5 2 2 2 2 2 2 2 3" xfId="22182" xr:uid="{00000000-0005-0000-0000-00003D730000}"/>
    <cellStyle name="Normal 5 2 2 2 2 2 2 2 3 2" xfId="42102" xr:uid="{00000000-0005-0000-0000-00003E730000}"/>
    <cellStyle name="Normal 5 2 2 2 2 2 2 2 4" xfId="29797" xr:uid="{00000000-0005-0000-0000-00003F730000}"/>
    <cellStyle name="Normal 5 2 2 2 2 2 2 3" xfId="12964" xr:uid="{00000000-0005-0000-0000-000040730000}"/>
    <cellStyle name="Normal 5 2 2 2 2 2 2 3 2" xfId="32884" xr:uid="{00000000-0005-0000-0000-000041730000}"/>
    <cellStyle name="Normal 5 2 2 2 2 2 2 4" xfId="19116" xr:uid="{00000000-0005-0000-0000-000042730000}"/>
    <cellStyle name="Normal 5 2 2 2 2 2 2 4 2" xfId="39036" xr:uid="{00000000-0005-0000-0000-000043730000}"/>
    <cellStyle name="Normal 5 2 2 2 2 2 2 5" xfId="26731" xr:uid="{00000000-0005-0000-0000-000044730000}"/>
    <cellStyle name="Normal 5 2 2 2 2 2 3" xfId="8302" xr:uid="{00000000-0005-0000-0000-000045730000}"/>
    <cellStyle name="Normal 5 2 2 2 2 2 3 2" xfId="14496" xr:uid="{00000000-0005-0000-0000-000046730000}"/>
    <cellStyle name="Normal 5 2 2 2 2 2 3 2 2" xfId="34416" xr:uid="{00000000-0005-0000-0000-000047730000}"/>
    <cellStyle name="Normal 5 2 2 2 2 2 3 3" xfId="20648" xr:uid="{00000000-0005-0000-0000-000048730000}"/>
    <cellStyle name="Normal 5 2 2 2 2 2 3 3 2" xfId="40568" xr:uid="{00000000-0005-0000-0000-000049730000}"/>
    <cellStyle name="Normal 5 2 2 2 2 2 3 4" xfId="28263" xr:uid="{00000000-0005-0000-0000-00004A730000}"/>
    <cellStyle name="Normal 5 2 2 2 2 2 4" xfId="11430" xr:uid="{00000000-0005-0000-0000-00004B730000}"/>
    <cellStyle name="Normal 5 2 2 2 2 2 4 2" xfId="31350" xr:uid="{00000000-0005-0000-0000-00004C730000}"/>
    <cellStyle name="Normal 5 2 2 2 2 2 5" xfId="17582" xr:uid="{00000000-0005-0000-0000-00004D730000}"/>
    <cellStyle name="Normal 5 2 2 2 2 2 5 2" xfId="37502" xr:uid="{00000000-0005-0000-0000-00004E730000}"/>
    <cellStyle name="Normal 5 2 2 2 2 2 6" xfId="25197" xr:uid="{00000000-0005-0000-0000-00004F730000}"/>
    <cellStyle name="Normal 5 2 2 2 2 3" xfId="5968" xr:uid="{00000000-0005-0000-0000-000050730000}"/>
    <cellStyle name="Normal 5 2 2 2 2 3 2" xfId="9068" xr:uid="{00000000-0005-0000-0000-000051730000}"/>
    <cellStyle name="Normal 5 2 2 2 2 3 2 2" xfId="15261" xr:uid="{00000000-0005-0000-0000-000052730000}"/>
    <cellStyle name="Normal 5 2 2 2 2 3 2 2 2" xfId="35181" xr:uid="{00000000-0005-0000-0000-000053730000}"/>
    <cellStyle name="Normal 5 2 2 2 2 3 2 3" xfId="21413" xr:uid="{00000000-0005-0000-0000-000054730000}"/>
    <cellStyle name="Normal 5 2 2 2 2 3 2 3 2" xfId="41333" xr:uid="{00000000-0005-0000-0000-000055730000}"/>
    <cellStyle name="Normal 5 2 2 2 2 3 2 4" xfId="29028" xr:uid="{00000000-0005-0000-0000-000056730000}"/>
    <cellStyle name="Normal 5 2 2 2 2 3 3" xfId="12195" xr:uid="{00000000-0005-0000-0000-000057730000}"/>
    <cellStyle name="Normal 5 2 2 2 2 3 3 2" xfId="32115" xr:uid="{00000000-0005-0000-0000-000058730000}"/>
    <cellStyle name="Normal 5 2 2 2 2 3 4" xfId="18347" xr:uid="{00000000-0005-0000-0000-000059730000}"/>
    <cellStyle name="Normal 5 2 2 2 2 3 4 2" xfId="38267" xr:uid="{00000000-0005-0000-0000-00005A730000}"/>
    <cellStyle name="Normal 5 2 2 2 2 3 5" xfId="25962" xr:uid="{00000000-0005-0000-0000-00005B730000}"/>
    <cellStyle name="Normal 5 2 2 2 2 4" xfId="7533" xr:uid="{00000000-0005-0000-0000-00005C730000}"/>
    <cellStyle name="Normal 5 2 2 2 2 4 2" xfId="13727" xr:uid="{00000000-0005-0000-0000-00005D730000}"/>
    <cellStyle name="Normal 5 2 2 2 2 4 2 2" xfId="33647" xr:uid="{00000000-0005-0000-0000-00005E730000}"/>
    <cellStyle name="Normal 5 2 2 2 2 4 3" xfId="19879" xr:uid="{00000000-0005-0000-0000-00005F730000}"/>
    <cellStyle name="Normal 5 2 2 2 2 4 3 2" xfId="39799" xr:uid="{00000000-0005-0000-0000-000060730000}"/>
    <cellStyle name="Normal 5 2 2 2 2 4 4" xfId="27494" xr:uid="{00000000-0005-0000-0000-000061730000}"/>
    <cellStyle name="Normal 5 2 2 2 2 5" xfId="10661" xr:uid="{00000000-0005-0000-0000-000062730000}"/>
    <cellStyle name="Normal 5 2 2 2 2 5 2" xfId="30581" xr:uid="{00000000-0005-0000-0000-000063730000}"/>
    <cellStyle name="Normal 5 2 2 2 2 6" xfId="16813" xr:uid="{00000000-0005-0000-0000-000064730000}"/>
    <cellStyle name="Normal 5 2 2 2 2 6 2" xfId="36733" xr:uid="{00000000-0005-0000-0000-000065730000}"/>
    <cellStyle name="Normal 5 2 2 2 2 7" xfId="24428" xr:uid="{00000000-0005-0000-0000-000066730000}"/>
    <cellStyle name="Normal 5 2 2 3" xfId="3918" xr:uid="{00000000-0005-0000-0000-000067730000}"/>
    <cellStyle name="Normal 5 2 2 3 2" xfId="5127" xr:uid="{00000000-0005-0000-0000-000068730000}"/>
    <cellStyle name="Normal 5 2 2 3 2 2" xfId="6752" xr:uid="{00000000-0005-0000-0000-000069730000}"/>
    <cellStyle name="Normal 5 2 2 3 2 2 2" xfId="9838" xr:uid="{00000000-0005-0000-0000-00006A730000}"/>
    <cellStyle name="Normal 5 2 2 3 2 2 2 2" xfId="16031" xr:uid="{00000000-0005-0000-0000-00006B730000}"/>
    <cellStyle name="Normal 5 2 2 3 2 2 2 2 2" xfId="35951" xr:uid="{00000000-0005-0000-0000-00006C730000}"/>
    <cellStyle name="Normal 5 2 2 3 2 2 2 3" xfId="22183" xr:uid="{00000000-0005-0000-0000-00006D730000}"/>
    <cellStyle name="Normal 5 2 2 3 2 2 2 3 2" xfId="42103" xr:uid="{00000000-0005-0000-0000-00006E730000}"/>
    <cellStyle name="Normal 5 2 2 3 2 2 2 4" xfId="29798" xr:uid="{00000000-0005-0000-0000-00006F730000}"/>
    <cellStyle name="Normal 5 2 2 3 2 2 3" xfId="12965" xr:uid="{00000000-0005-0000-0000-000070730000}"/>
    <cellStyle name="Normal 5 2 2 3 2 2 3 2" xfId="32885" xr:uid="{00000000-0005-0000-0000-000071730000}"/>
    <cellStyle name="Normal 5 2 2 3 2 2 4" xfId="19117" xr:uid="{00000000-0005-0000-0000-000072730000}"/>
    <cellStyle name="Normal 5 2 2 3 2 2 4 2" xfId="39037" xr:uid="{00000000-0005-0000-0000-000073730000}"/>
    <cellStyle name="Normal 5 2 2 3 2 2 5" xfId="26732" xr:uid="{00000000-0005-0000-0000-000074730000}"/>
    <cellStyle name="Normal 5 2 2 3 2 3" xfId="8303" xr:uid="{00000000-0005-0000-0000-000075730000}"/>
    <cellStyle name="Normal 5 2 2 3 2 3 2" xfId="14497" xr:uid="{00000000-0005-0000-0000-000076730000}"/>
    <cellStyle name="Normal 5 2 2 3 2 3 2 2" xfId="34417" xr:uid="{00000000-0005-0000-0000-000077730000}"/>
    <cellStyle name="Normal 5 2 2 3 2 3 3" xfId="20649" xr:uid="{00000000-0005-0000-0000-000078730000}"/>
    <cellStyle name="Normal 5 2 2 3 2 3 3 2" xfId="40569" xr:uid="{00000000-0005-0000-0000-000079730000}"/>
    <cellStyle name="Normal 5 2 2 3 2 3 4" xfId="28264" xr:uid="{00000000-0005-0000-0000-00007A730000}"/>
    <cellStyle name="Normal 5 2 2 3 2 4" xfId="11431" xr:uid="{00000000-0005-0000-0000-00007B730000}"/>
    <cellStyle name="Normal 5 2 2 3 2 4 2" xfId="31351" xr:uid="{00000000-0005-0000-0000-00007C730000}"/>
    <cellStyle name="Normal 5 2 2 3 2 5" xfId="17583" xr:uid="{00000000-0005-0000-0000-00007D730000}"/>
    <cellStyle name="Normal 5 2 2 3 2 5 2" xfId="37503" xr:uid="{00000000-0005-0000-0000-00007E730000}"/>
    <cellStyle name="Normal 5 2 2 3 2 6" xfId="25198" xr:uid="{00000000-0005-0000-0000-00007F730000}"/>
    <cellStyle name="Normal 5 2 2 3 3" xfId="5969" xr:uid="{00000000-0005-0000-0000-000080730000}"/>
    <cellStyle name="Normal 5 2 2 3 3 2" xfId="9069" xr:uid="{00000000-0005-0000-0000-000081730000}"/>
    <cellStyle name="Normal 5 2 2 3 3 2 2" xfId="15262" xr:uid="{00000000-0005-0000-0000-000082730000}"/>
    <cellStyle name="Normal 5 2 2 3 3 2 2 2" xfId="35182" xr:uid="{00000000-0005-0000-0000-000083730000}"/>
    <cellStyle name="Normal 5 2 2 3 3 2 3" xfId="21414" xr:uid="{00000000-0005-0000-0000-000084730000}"/>
    <cellStyle name="Normal 5 2 2 3 3 2 3 2" xfId="41334" xr:uid="{00000000-0005-0000-0000-000085730000}"/>
    <cellStyle name="Normal 5 2 2 3 3 2 4" xfId="29029" xr:uid="{00000000-0005-0000-0000-000086730000}"/>
    <cellStyle name="Normal 5 2 2 3 3 3" xfId="12196" xr:uid="{00000000-0005-0000-0000-000087730000}"/>
    <cellStyle name="Normal 5 2 2 3 3 3 2" xfId="32116" xr:uid="{00000000-0005-0000-0000-000088730000}"/>
    <cellStyle name="Normal 5 2 2 3 3 4" xfId="18348" xr:uid="{00000000-0005-0000-0000-000089730000}"/>
    <cellStyle name="Normal 5 2 2 3 3 4 2" xfId="38268" xr:uid="{00000000-0005-0000-0000-00008A730000}"/>
    <cellStyle name="Normal 5 2 2 3 3 5" xfId="25963" xr:uid="{00000000-0005-0000-0000-00008B730000}"/>
    <cellStyle name="Normal 5 2 2 3 4" xfId="7534" xr:uid="{00000000-0005-0000-0000-00008C730000}"/>
    <cellStyle name="Normal 5 2 2 3 4 2" xfId="13728" xr:uid="{00000000-0005-0000-0000-00008D730000}"/>
    <cellStyle name="Normal 5 2 2 3 4 2 2" xfId="33648" xr:uid="{00000000-0005-0000-0000-00008E730000}"/>
    <cellStyle name="Normal 5 2 2 3 4 3" xfId="19880" xr:uid="{00000000-0005-0000-0000-00008F730000}"/>
    <cellStyle name="Normal 5 2 2 3 4 3 2" xfId="39800" xr:uid="{00000000-0005-0000-0000-000090730000}"/>
    <cellStyle name="Normal 5 2 2 3 4 4" xfId="27495" xr:uid="{00000000-0005-0000-0000-000091730000}"/>
    <cellStyle name="Normal 5 2 2 3 5" xfId="10662" xr:uid="{00000000-0005-0000-0000-000092730000}"/>
    <cellStyle name="Normal 5 2 2 3 5 2" xfId="30582" xr:uid="{00000000-0005-0000-0000-000093730000}"/>
    <cellStyle name="Normal 5 2 2 3 6" xfId="16814" xr:uid="{00000000-0005-0000-0000-000094730000}"/>
    <cellStyle name="Normal 5 2 2 3 6 2" xfId="36734" xr:uid="{00000000-0005-0000-0000-000095730000}"/>
    <cellStyle name="Normal 5 2 2 3 7" xfId="24429" xr:uid="{00000000-0005-0000-0000-000096730000}"/>
    <cellStyle name="Normal 5 2 3" xfId="3919" xr:uid="{00000000-0005-0000-0000-000097730000}"/>
    <cellStyle name="Normal 5 2 3 2" xfId="3920" xr:uid="{00000000-0005-0000-0000-000098730000}"/>
    <cellStyle name="Normal 5 2 3 2 2" xfId="3921" xr:uid="{00000000-0005-0000-0000-000099730000}"/>
    <cellStyle name="Normal 5 2 3 2 2 2" xfId="5128" xr:uid="{00000000-0005-0000-0000-00009A730000}"/>
    <cellStyle name="Normal 5 2 3 2 2 2 2" xfId="6753" xr:uid="{00000000-0005-0000-0000-00009B730000}"/>
    <cellStyle name="Normal 5 2 3 2 2 2 2 2" xfId="9839" xr:uid="{00000000-0005-0000-0000-00009C730000}"/>
    <cellStyle name="Normal 5 2 3 2 2 2 2 2 2" xfId="16032" xr:uid="{00000000-0005-0000-0000-00009D730000}"/>
    <cellStyle name="Normal 5 2 3 2 2 2 2 2 2 2" xfId="35952" xr:uid="{00000000-0005-0000-0000-00009E730000}"/>
    <cellStyle name="Normal 5 2 3 2 2 2 2 2 3" xfId="22184" xr:uid="{00000000-0005-0000-0000-00009F730000}"/>
    <cellStyle name="Normal 5 2 3 2 2 2 2 2 3 2" xfId="42104" xr:uid="{00000000-0005-0000-0000-0000A0730000}"/>
    <cellStyle name="Normal 5 2 3 2 2 2 2 2 4" xfId="29799" xr:uid="{00000000-0005-0000-0000-0000A1730000}"/>
    <cellStyle name="Normal 5 2 3 2 2 2 2 3" xfId="12966" xr:uid="{00000000-0005-0000-0000-0000A2730000}"/>
    <cellStyle name="Normal 5 2 3 2 2 2 2 3 2" xfId="32886" xr:uid="{00000000-0005-0000-0000-0000A3730000}"/>
    <cellStyle name="Normal 5 2 3 2 2 2 2 4" xfId="19118" xr:uid="{00000000-0005-0000-0000-0000A4730000}"/>
    <cellStyle name="Normal 5 2 3 2 2 2 2 4 2" xfId="39038" xr:uid="{00000000-0005-0000-0000-0000A5730000}"/>
    <cellStyle name="Normal 5 2 3 2 2 2 2 5" xfId="26733" xr:uid="{00000000-0005-0000-0000-0000A6730000}"/>
    <cellStyle name="Normal 5 2 3 2 2 2 3" xfId="8304" xr:uid="{00000000-0005-0000-0000-0000A7730000}"/>
    <cellStyle name="Normal 5 2 3 2 2 2 3 2" xfId="14498" xr:uid="{00000000-0005-0000-0000-0000A8730000}"/>
    <cellStyle name="Normal 5 2 3 2 2 2 3 2 2" xfId="34418" xr:uid="{00000000-0005-0000-0000-0000A9730000}"/>
    <cellStyle name="Normal 5 2 3 2 2 2 3 3" xfId="20650" xr:uid="{00000000-0005-0000-0000-0000AA730000}"/>
    <cellStyle name="Normal 5 2 3 2 2 2 3 3 2" xfId="40570" xr:uid="{00000000-0005-0000-0000-0000AB730000}"/>
    <cellStyle name="Normal 5 2 3 2 2 2 3 4" xfId="28265" xr:uid="{00000000-0005-0000-0000-0000AC730000}"/>
    <cellStyle name="Normal 5 2 3 2 2 2 4" xfId="11432" xr:uid="{00000000-0005-0000-0000-0000AD730000}"/>
    <cellStyle name="Normal 5 2 3 2 2 2 4 2" xfId="31352" xr:uid="{00000000-0005-0000-0000-0000AE730000}"/>
    <cellStyle name="Normal 5 2 3 2 2 2 5" xfId="17584" xr:uid="{00000000-0005-0000-0000-0000AF730000}"/>
    <cellStyle name="Normal 5 2 3 2 2 2 5 2" xfId="37504" xr:uid="{00000000-0005-0000-0000-0000B0730000}"/>
    <cellStyle name="Normal 5 2 3 2 2 2 6" xfId="25199" xr:uid="{00000000-0005-0000-0000-0000B1730000}"/>
    <cellStyle name="Normal 5 2 3 2 2 3" xfId="5970" xr:uid="{00000000-0005-0000-0000-0000B2730000}"/>
    <cellStyle name="Normal 5 2 3 2 2 3 2" xfId="9070" xr:uid="{00000000-0005-0000-0000-0000B3730000}"/>
    <cellStyle name="Normal 5 2 3 2 2 3 2 2" xfId="15263" xr:uid="{00000000-0005-0000-0000-0000B4730000}"/>
    <cellStyle name="Normal 5 2 3 2 2 3 2 2 2" xfId="35183" xr:uid="{00000000-0005-0000-0000-0000B5730000}"/>
    <cellStyle name="Normal 5 2 3 2 2 3 2 3" xfId="21415" xr:uid="{00000000-0005-0000-0000-0000B6730000}"/>
    <cellStyle name="Normal 5 2 3 2 2 3 2 3 2" xfId="41335" xr:uid="{00000000-0005-0000-0000-0000B7730000}"/>
    <cellStyle name="Normal 5 2 3 2 2 3 2 4" xfId="29030" xr:uid="{00000000-0005-0000-0000-0000B8730000}"/>
    <cellStyle name="Normal 5 2 3 2 2 3 3" xfId="12197" xr:uid="{00000000-0005-0000-0000-0000B9730000}"/>
    <cellStyle name="Normal 5 2 3 2 2 3 3 2" xfId="32117" xr:uid="{00000000-0005-0000-0000-0000BA730000}"/>
    <cellStyle name="Normal 5 2 3 2 2 3 4" xfId="18349" xr:uid="{00000000-0005-0000-0000-0000BB730000}"/>
    <cellStyle name="Normal 5 2 3 2 2 3 4 2" xfId="38269" xr:uid="{00000000-0005-0000-0000-0000BC730000}"/>
    <cellStyle name="Normal 5 2 3 2 2 3 5" xfId="25964" xr:uid="{00000000-0005-0000-0000-0000BD730000}"/>
    <cellStyle name="Normal 5 2 3 2 2 4" xfId="7535" xr:uid="{00000000-0005-0000-0000-0000BE730000}"/>
    <cellStyle name="Normal 5 2 3 2 2 4 2" xfId="13729" xr:uid="{00000000-0005-0000-0000-0000BF730000}"/>
    <cellStyle name="Normal 5 2 3 2 2 4 2 2" xfId="33649" xr:uid="{00000000-0005-0000-0000-0000C0730000}"/>
    <cellStyle name="Normal 5 2 3 2 2 4 3" xfId="19881" xr:uid="{00000000-0005-0000-0000-0000C1730000}"/>
    <cellStyle name="Normal 5 2 3 2 2 4 3 2" xfId="39801" xr:uid="{00000000-0005-0000-0000-0000C2730000}"/>
    <cellStyle name="Normal 5 2 3 2 2 4 4" xfId="27496" xr:uid="{00000000-0005-0000-0000-0000C3730000}"/>
    <cellStyle name="Normal 5 2 3 2 2 5" xfId="10663" xr:uid="{00000000-0005-0000-0000-0000C4730000}"/>
    <cellStyle name="Normal 5 2 3 2 2 5 2" xfId="30583" xr:uid="{00000000-0005-0000-0000-0000C5730000}"/>
    <cellStyle name="Normal 5 2 3 2 2 6" xfId="16815" xr:uid="{00000000-0005-0000-0000-0000C6730000}"/>
    <cellStyle name="Normal 5 2 3 2 2 6 2" xfId="36735" xr:uid="{00000000-0005-0000-0000-0000C7730000}"/>
    <cellStyle name="Normal 5 2 3 2 2 7" xfId="24430" xr:uid="{00000000-0005-0000-0000-0000C8730000}"/>
    <cellStyle name="Normal 5 2 3 3" xfId="3922" xr:uid="{00000000-0005-0000-0000-0000C9730000}"/>
    <cellStyle name="Normal 5 2 3 3 2" xfId="5129" xr:uid="{00000000-0005-0000-0000-0000CA730000}"/>
    <cellStyle name="Normal 5 2 3 3 2 2" xfId="6754" xr:uid="{00000000-0005-0000-0000-0000CB730000}"/>
    <cellStyle name="Normal 5 2 3 3 2 2 2" xfId="9840" xr:uid="{00000000-0005-0000-0000-0000CC730000}"/>
    <cellStyle name="Normal 5 2 3 3 2 2 2 2" xfId="16033" xr:uid="{00000000-0005-0000-0000-0000CD730000}"/>
    <cellStyle name="Normal 5 2 3 3 2 2 2 2 2" xfId="35953" xr:uid="{00000000-0005-0000-0000-0000CE730000}"/>
    <cellStyle name="Normal 5 2 3 3 2 2 2 3" xfId="22185" xr:uid="{00000000-0005-0000-0000-0000CF730000}"/>
    <cellStyle name="Normal 5 2 3 3 2 2 2 3 2" xfId="42105" xr:uid="{00000000-0005-0000-0000-0000D0730000}"/>
    <cellStyle name="Normal 5 2 3 3 2 2 2 4" xfId="29800" xr:uid="{00000000-0005-0000-0000-0000D1730000}"/>
    <cellStyle name="Normal 5 2 3 3 2 2 3" xfId="12967" xr:uid="{00000000-0005-0000-0000-0000D2730000}"/>
    <cellStyle name="Normal 5 2 3 3 2 2 3 2" xfId="32887" xr:uid="{00000000-0005-0000-0000-0000D3730000}"/>
    <cellStyle name="Normal 5 2 3 3 2 2 4" xfId="19119" xr:uid="{00000000-0005-0000-0000-0000D4730000}"/>
    <cellStyle name="Normal 5 2 3 3 2 2 4 2" xfId="39039" xr:uid="{00000000-0005-0000-0000-0000D5730000}"/>
    <cellStyle name="Normal 5 2 3 3 2 2 5" xfId="26734" xr:uid="{00000000-0005-0000-0000-0000D6730000}"/>
    <cellStyle name="Normal 5 2 3 3 2 3" xfId="8305" xr:uid="{00000000-0005-0000-0000-0000D7730000}"/>
    <cellStyle name="Normal 5 2 3 3 2 3 2" xfId="14499" xr:uid="{00000000-0005-0000-0000-0000D8730000}"/>
    <cellStyle name="Normal 5 2 3 3 2 3 2 2" xfId="34419" xr:uid="{00000000-0005-0000-0000-0000D9730000}"/>
    <cellStyle name="Normal 5 2 3 3 2 3 3" xfId="20651" xr:uid="{00000000-0005-0000-0000-0000DA730000}"/>
    <cellStyle name="Normal 5 2 3 3 2 3 3 2" xfId="40571" xr:uid="{00000000-0005-0000-0000-0000DB730000}"/>
    <cellStyle name="Normal 5 2 3 3 2 3 4" xfId="28266" xr:uid="{00000000-0005-0000-0000-0000DC730000}"/>
    <cellStyle name="Normal 5 2 3 3 2 4" xfId="11433" xr:uid="{00000000-0005-0000-0000-0000DD730000}"/>
    <cellStyle name="Normal 5 2 3 3 2 4 2" xfId="31353" xr:uid="{00000000-0005-0000-0000-0000DE730000}"/>
    <cellStyle name="Normal 5 2 3 3 2 5" xfId="17585" xr:uid="{00000000-0005-0000-0000-0000DF730000}"/>
    <cellStyle name="Normal 5 2 3 3 2 5 2" xfId="37505" xr:uid="{00000000-0005-0000-0000-0000E0730000}"/>
    <cellStyle name="Normal 5 2 3 3 2 6" xfId="25200" xr:uid="{00000000-0005-0000-0000-0000E1730000}"/>
    <cellStyle name="Normal 5 2 3 3 3" xfId="5971" xr:uid="{00000000-0005-0000-0000-0000E2730000}"/>
    <cellStyle name="Normal 5 2 3 3 3 2" xfId="9071" xr:uid="{00000000-0005-0000-0000-0000E3730000}"/>
    <cellStyle name="Normal 5 2 3 3 3 2 2" xfId="15264" xr:uid="{00000000-0005-0000-0000-0000E4730000}"/>
    <cellStyle name="Normal 5 2 3 3 3 2 2 2" xfId="35184" xr:uid="{00000000-0005-0000-0000-0000E5730000}"/>
    <cellStyle name="Normal 5 2 3 3 3 2 3" xfId="21416" xr:uid="{00000000-0005-0000-0000-0000E6730000}"/>
    <cellStyle name="Normal 5 2 3 3 3 2 3 2" xfId="41336" xr:uid="{00000000-0005-0000-0000-0000E7730000}"/>
    <cellStyle name="Normal 5 2 3 3 3 2 4" xfId="29031" xr:uid="{00000000-0005-0000-0000-0000E8730000}"/>
    <cellStyle name="Normal 5 2 3 3 3 3" xfId="12198" xr:uid="{00000000-0005-0000-0000-0000E9730000}"/>
    <cellStyle name="Normal 5 2 3 3 3 3 2" xfId="32118" xr:uid="{00000000-0005-0000-0000-0000EA730000}"/>
    <cellStyle name="Normal 5 2 3 3 3 4" xfId="18350" xr:uid="{00000000-0005-0000-0000-0000EB730000}"/>
    <cellStyle name="Normal 5 2 3 3 3 4 2" xfId="38270" xr:uid="{00000000-0005-0000-0000-0000EC730000}"/>
    <cellStyle name="Normal 5 2 3 3 3 5" xfId="25965" xr:uid="{00000000-0005-0000-0000-0000ED730000}"/>
    <cellStyle name="Normal 5 2 3 3 4" xfId="7536" xr:uid="{00000000-0005-0000-0000-0000EE730000}"/>
    <cellStyle name="Normal 5 2 3 3 4 2" xfId="13730" xr:uid="{00000000-0005-0000-0000-0000EF730000}"/>
    <cellStyle name="Normal 5 2 3 3 4 2 2" xfId="33650" xr:uid="{00000000-0005-0000-0000-0000F0730000}"/>
    <cellStyle name="Normal 5 2 3 3 4 3" xfId="19882" xr:uid="{00000000-0005-0000-0000-0000F1730000}"/>
    <cellStyle name="Normal 5 2 3 3 4 3 2" xfId="39802" xr:uid="{00000000-0005-0000-0000-0000F2730000}"/>
    <cellStyle name="Normal 5 2 3 3 4 4" xfId="27497" xr:uid="{00000000-0005-0000-0000-0000F3730000}"/>
    <cellStyle name="Normal 5 2 3 3 5" xfId="10664" xr:uid="{00000000-0005-0000-0000-0000F4730000}"/>
    <cellStyle name="Normal 5 2 3 3 5 2" xfId="30584" xr:uid="{00000000-0005-0000-0000-0000F5730000}"/>
    <cellStyle name="Normal 5 2 3 3 6" xfId="16816" xr:uid="{00000000-0005-0000-0000-0000F6730000}"/>
    <cellStyle name="Normal 5 2 3 3 6 2" xfId="36736" xr:uid="{00000000-0005-0000-0000-0000F7730000}"/>
    <cellStyle name="Normal 5 2 3 3 7" xfId="24431" xr:uid="{00000000-0005-0000-0000-0000F8730000}"/>
    <cellStyle name="Normal 5 2 4" xfId="3923" xr:uid="{00000000-0005-0000-0000-0000F9730000}"/>
    <cellStyle name="Normal 5 2 4 2" xfId="3924" xr:uid="{00000000-0005-0000-0000-0000FA730000}"/>
    <cellStyle name="Normal 5 2 4 2 2" xfId="5130" xr:uid="{00000000-0005-0000-0000-0000FB730000}"/>
    <cellStyle name="Normal 5 2 4 2 2 2" xfId="6755" xr:uid="{00000000-0005-0000-0000-0000FC730000}"/>
    <cellStyle name="Normal 5 2 4 2 2 2 2" xfId="9841" xr:uid="{00000000-0005-0000-0000-0000FD730000}"/>
    <cellStyle name="Normal 5 2 4 2 2 2 2 2" xfId="16034" xr:uid="{00000000-0005-0000-0000-0000FE730000}"/>
    <cellStyle name="Normal 5 2 4 2 2 2 2 2 2" xfId="35954" xr:uid="{00000000-0005-0000-0000-0000FF730000}"/>
    <cellStyle name="Normal 5 2 4 2 2 2 2 3" xfId="22186" xr:uid="{00000000-0005-0000-0000-000000740000}"/>
    <cellStyle name="Normal 5 2 4 2 2 2 2 3 2" xfId="42106" xr:uid="{00000000-0005-0000-0000-000001740000}"/>
    <cellStyle name="Normal 5 2 4 2 2 2 2 4" xfId="29801" xr:uid="{00000000-0005-0000-0000-000002740000}"/>
    <cellStyle name="Normal 5 2 4 2 2 2 3" xfId="12968" xr:uid="{00000000-0005-0000-0000-000003740000}"/>
    <cellStyle name="Normal 5 2 4 2 2 2 3 2" xfId="32888" xr:uid="{00000000-0005-0000-0000-000004740000}"/>
    <cellStyle name="Normal 5 2 4 2 2 2 4" xfId="19120" xr:uid="{00000000-0005-0000-0000-000005740000}"/>
    <cellStyle name="Normal 5 2 4 2 2 2 4 2" xfId="39040" xr:uid="{00000000-0005-0000-0000-000006740000}"/>
    <cellStyle name="Normal 5 2 4 2 2 2 5" xfId="26735" xr:uid="{00000000-0005-0000-0000-000007740000}"/>
    <cellStyle name="Normal 5 2 4 2 2 3" xfId="8306" xr:uid="{00000000-0005-0000-0000-000008740000}"/>
    <cellStyle name="Normal 5 2 4 2 2 3 2" xfId="14500" xr:uid="{00000000-0005-0000-0000-000009740000}"/>
    <cellStyle name="Normal 5 2 4 2 2 3 2 2" xfId="34420" xr:uid="{00000000-0005-0000-0000-00000A740000}"/>
    <cellStyle name="Normal 5 2 4 2 2 3 3" xfId="20652" xr:uid="{00000000-0005-0000-0000-00000B740000}"/>
    <cellStyle name="Normal 5 2 4 2 2 3 3 2" xfId="40572" xr:uid="{00000000-0005-0000-0000-00000C740000}"/>
    <cellStyle name="Normal 5 2 4 2 2 3 4" xfId="28267" xr:uid="{00000000-0005-0000-0000-00000D740000}"/>
    <cellStyle name="Normal 5 2 4 2 2 4" xfId="11434" xr:uid="{00000000-0005-0000-0000-00000E740000}"/>
    <cellStyle name="Normal 5 2 4 2 2 4 2" xfId="31354" xr:uid="{00000000-0005-0000-0000-00000F740000}"/>
    <cellStyle name="Normal 5 2 4 2 2 5" xfId="17586" xr:uid="{00000000-0005-0000-0000-000010740000}"/>
    <cellStyle name="Normal 5 2 4 2 2 5 2" xfId="37506" xr:uid="{00000000-0005-0000-0000-000011740000}"/>
    <cellStyle name="Normal 5 2 4 2 2 6" xfId="25201" xr:uid="{00000000-0005-0000-0000-000012740000}"/>
    <cellStyle name="Normal 5 2 4 2 3" xfId="5972" xr:uid="{00000000-0005-0000-0000-000013740000}"/>
    <cellStyle name="Normal 5 2 4 2 3 2" xfId="9072" xr:uid="{00000000-0005-0000-0000-000014740000}"/>
    <cellStyle name="Normal 5 2 4 2 3 2 2" xfId="15265" xr:uid="{00000000-0005-0000-0000-000015740000}"/>
    <cellStyle name="Normal 5 2 4 2 3 2 2 2" xfId="35185" xr:uid="{00000000-0005-0000-0000-000016740000}"/>
    <cellStyle name="Normal 5 2 4 2 3 2 3" xfId="21417" xr:uid="{00000000-0005-0000-0000-000017740000}"/>
    <cellStyle name="Normal 5 2 4 2 3 2 3 2" xfId="41337" xr:uid="{00000000-0005-0000-0000-000018740000}"/>
    <cellStyle name="Normal 5 2 4 2 3 2 4" xfId="29032" xr:uid="{00000000-0005-0000-0000-000019740000}"/>
    <cellStyle name="Normal 5 2 4 2 3 3" xfId="12199" xr:uid="{00000000-0005-0000-0000-00001A740000}"/>
    <cellStyle name="Normal 5 2 4 2 3 3 2" xfId="32119" xr:uid="{00000000-0005-0000-0000-00001B740000}"/>
    <cellStyle name="Normal 5 2 4 2 3 4" xfId="18351" xr:uid="{00000000-0005-0000-0000-00001C740000}"/>
    <cellStyle name="Normal 5 2 4 2 3 4 2" xfId="38271" xr:uid="{00000000-0005-0000-0000-00001D740000}"/>
    <cellStyle name="Normal 5 2 4 2 3 5" xfId="25966" xr:uid="{00000000-0005-0000-0000-00001E740000}"/>
    <cellStyle name="Normal 5 2 4 2 4" xfId="7537" xr:uid="{00000000-0005-0000-0000-00001F740000}"/>
    <cellStyle name="Normal 5 2 4 2 4 2" xfId="13731" xr:uid="{00000000-0005-0000-0000-000020740000}"/>
    <cellStyle name="Normal 5 2 4 2 4 2 2" xfId="33651" xr:uid="{00000000-0005-0000-0000-000021740000}"/>
    <cellStyle name="Normal 5 2 4 2 4 3" xfId="19883" xr:uid="{00000000-0005-0000-0000-000022740000}"/>
    <cellStyle name="Normal 5 2 4 2 4 3 2" xfId="39803" xr:uid="{00000000-0005-0000-0000-000023740000}"/>
    <cellStyle name="Normal 5 2 4 2 4 4" xfId="27498" xr:uid="{00000000-0005-0000-0000-000024740000}"/>
    <cellStyle name="Normal 5 2 4 2 5" xfId="10665" xr:uid="{00000000-0005-0000-0000-000025740000}"/>
    <cellStyle name="Normal 5 2 4 2 5 2" xfId="30585" xr:uid="{00000000-0005-0000-0000-000026740000}"/>
    <cellStyle name="Normal 5 2 4 2 6" xfId="16817" xr:uid="{00000000-0005-0000-0000-000027740000}"/>
    <cellStyle name="Normal 5 2 4 2 6 2" xfId="36737" xr:uid="{00000000-0005-0000-0000-000028740000}"/>
    <cellStyle name="Normal 5 2 4 2 7" xfId="24432" xr:uid="{00000000-0005-0000-0000-000029740000}"/>
    <cellStyle name="Normal 5 2 5" xfId="3925" xr:uid="{00000000-0005-0000-0000-00002A740000}"/>
    <cellStyle name="Normal 5 2 6" xfId="3926" xr:uid="{00000000-0005-0000-0000-00002B740000}"/>
    <cellStyle name="Normal 5 2 6 2" xfId="5131" xr:uid="{00000000-0005-0000-0000-00002C740000}"/>
    <cellStyle name="Normal 5 2 6 2 2" xfId="6756" xr:uid="{00000000-0005-0000-0000-00002D740000}"/>
    <cellStyle name="Normal 5 2 6 2 2 2" xfId="9842" xr:uid="{00000000-0005-0000-0000-00002E740000}"/>
    <cellStyle name="Normal 5 2 6 2 2 2 2" xfId="16035" xr:uid="{00000000-0005-0000-0000-00002F740000}"/>
    <cellStyle name="Normal 5 2 6 2 2 2 2 2" xfId="35955" xr:uid="{00000000-0005-0000-0000-000030740000}"/>
    <cellStyle name="Normal 5 2 6 2 2 2 3" xfId="22187" xr:uid="{00000000-0005-0000-0000-000031740000}"/>
    <cellStyle name="Normal 5 2 6 2 2 2 3 2" xfId="42107" xr:uid="{00000000-0005-0000-0000-000032740000}"/>
    <cellStyle name="Normal 5 2 6 2 2 2 4" xfId="29802" xr:uid="{00000000-0005-0000-0000-000033740000}"/>
    <cellStyle name="Normal 5 2 6 2 2 3" xfId="12969" xr:uid="{00000000-0005-0000-0000-000034740000}"/>
    <cellStyle name="Normal 5 2 6 2 2 3 2" xfId="32889" xr:uid="{00000000-0005-0000-0000-000035740000}"/>
    <cellStyle name="Normal 5 2 6 2 2 4" xfId="19121" xr:uid="{00000000-0005-0000-0000-000036740000}"/>
    <cellStyle name="Normal 5 2 6 2 2 4 2" xfId="39041" xr:uid="{00000000-0005-0000-0000-000037740000}"/>
    <cellStyle name="Normal 5 2 6 2 2 5" xfId="26736" xr:uid="{00000000-0005-0000-0000-000038740000}"/>
    <cellStyle name="Normal 5 2 6 2 3" xfId="8307" xr:uid="{00000000-0005-0000-0000-000039740000}"/>
    <cellStyle name="Normal 5 2 6 2 3 2" xfId="14501" xr:uid="{00000000-0005-0000-0000-00003A740000}"/>
    <cellStyle name="Normal 5 2 6 2 3 2 2" xfId="34421" xr:uid="{00000000-0005-0000-0000-00003B740000}"/>
    <cellStyle name="Normal 5 2 6 2 3 3" xfId="20653" xr:uid="{00000000-0005-0000-0000-00003C740000}"/>
    <cellStyle name="Normal 5 2 6 2 3 3 2" xfId="40573" xr:uid="{00000000-0005-0000-0000-00003D740000}"/>
    <cellStyle name="Normal 5 2 6 2 3 4" xfId="28268" xr:uid="{00000000-0005-0000-0000-00003E740000}"/>
    <cellStyle name="Normal 5 2 6 2 4" xfId="11435" xr:uid="{00000000-0005-0000-0000-00003F740000}"/>
    <cellStyle name="Normal 5 2 6 2 4 2" xfId="31355" xr:uid="{00000000-0005-0000-0000-000040740000}"/>
    <cellStyle name="Normal 5 2 6 2 5" xfId="17587" xr:uid="{00000000-0005-0000-0000-000041740000}"/>
    <cellStyle name="Normal 5 2 6 2 5 2" xfId="37507" xr:uid="{00000000-0005-0000-0000-000042740000}"/>
    <cellStyle name="Normal 5 2 6 2 6" xfId="25202" xr:uid="{00000000-0005-0000-0000-000043740000}"/>
    <cellStyle name="Normal 5 2 6 3" xfId="5973" xr:uid="{00000000-0005-0000-0000-000044740000}"/>
    <cellStyle name="Normal 5 2 6 3 2" xfId="9073" xr:uid="{00000000-0005-0000-0000-000045740000}"/>
    <cellStyle name="Normal 5 2 6 3 2 2" xfId="15266" xr:uid="{00000000-0005-0000-0000-000046740000}"/>
    <cellStyle name="Normal 5 2 6 3 2 2 2" xfId="35186" xr:uid="{00000000-0005-0000-0000-000047740000}"/>
    <cellStyle name="Normal 5 2 6 3 2 3" xfId="21418" xr:uid="{00000000-0005-0000-0000-000048740000}"/>
    <cellStyle name="Normal 5 2 6 3 2 3 2" xfId="41338" xr:uid="{00000000-0005-0000-0000-000049740000}"/>
    <cellStyle name="Normal 5 2 6 3 2 4" xfId="29033" xr:uid="{00000000-0005-0000-0000-00004A740000}"/>
    <cellStyle name="Normal 5 2 6 3 3" xfId="12200" xr:uid="{00000000-0005-0000-0000-00004B740000}"/>
    <cellStyle name="Normal 5 2 6 3 3 2" xfId="32120" xr:uid="{00000000-0005-0000-0000-00004C740000}"/>
    <cellStyle name="Normal 5 2 6 3 4" xfId="18352" xr:uid="{00000000-0005-0000-0000-00004D740000}"/>
    <cellStyle name="Normal 5 2 6 3 4 2" xfId="38272" xr:uid="{00000000-0005-0000-0000-00004E740000}"/>
    <cellStyle name="Normal 5 2 6 3 5" xfId="25967" xr:uid="{00000000-0005-0000-0000-00004F740000}"/>
    <cellStyle name="Normal 5 2 6 4" xfId="7538" xr:uid="{00000000-0005-0000-0000-000050740000}"/>
    <cellStyle name="Normal 5 2 6 4 2" xfId="13732" xr:uid="{00000000-0005-0000-0000-000051740000}"/>
    <cellStyle name="Normal 5 2 6 4 2 2" xfId="33652" xr:uid="{00000000-0005-0000-0000-000052740000}"/>
    <cellStyle name="Normal 5 2 6 4 3" xfId="19884" xr:uid="{00000000-0005-0000-0000-000053740000}"/>
    <cellStyle name="Normal 5 2 6 4 3 2" xfId="39804" xr:uid="{00000000-0005-0000-0000-000054740000}"/>
    <cellStyle name="Normal 5 2 6 4 4" xfId="27499" xr:uid="{00000000-0005-0000-0000-000055740000}"/>
    <cellStyle name="Normal 5 2 6 5" xfId="10666" xr:uid="{00000000-0005-0000-0000-000056740000}"/>
    <cellStyle name="Normal 5 2 6 5 2" xfId="30586" xr:uid="{00000000-0005-0000-0000-000057740000}"/>
    <cellStyle name="Normal 5 2 6 6" xfId="16818" xr:uid="{00000000-0005-0000-0000-000058740000}"/>
    <cellStyle name="Normal 5 2 6 6 2" xfId="36738" xr:uid="{00000000-0005-0000-0000-000059740000}"/>
    <cellStyle name="Normal 5 2 6 7" xfId="24433" xr:uid="{00000000-0005-0000-0000-00005A740000}"/>
    <cellStyle name="Normal 5 2 7" xfId="5125" xr:uid="{00000000-0005-0000-0000-00005B740000}"/>
    <cellStyle name="Normal 5 2 7 2" xfId="6750" xr:uid="{00000000-0005-0000-0000-00005C740000}"/>
    <cellStyle name="Normal 5 2 7 2 2" xfId="9836" xr:uid="{00000000-0005-0000-0000-00005D740000}"/>
    <cellStyle name="Normal 5 2 7 2 2 2" xfId="16029" xr:uid="{00000000-0005-0000-0000-00005E740000}"/>
    <cellStyle name="Normal 5 2 7 2 2 2 2" xfId="35949" xr:uid="{00000000-0005-0000-0000-00005F740000}"/>
    <cellStyle name="Normal 5 2 7 2 2 3" xfId="22181" xr:uid="{00000000-0005-0000-0000-000060740000}"/>
    <cellStyle name="Normal 5 2 7 2 2 3 2" xfId="42101" xr:uid="{00000000-0005-0000-0000-000061740000}"/>
    <cellStyle name="Normal 5 2 7 2 2 4" xfId="29796" xr:uid="{00000000-0005-0000-0000-000062740000}"/>
    <cellStyle name="Normal 5 2 7 2 3" xfId="12963" xr:uid="{00000000-0005-0000-0000-000063740000}"/>
    <cellStyle name="Normal 5 2 7 2 3 2" xfId="32883" xr:uid="{00000000-0005-0000-0000-000064740000}"/>
    <cellStyle name="Normal 5 2 7 2 4" xfId="19115" xr:uid="{00000000-0005-0000-0000-000065740000}"/>
    <cellStyle name="Normal 5 2 7 2 4 2" xfId="39035" xr:uid="{00000000-0005-0000-0000-000066740000}"/>
    <cellStyle name="Normal 5 2 7 2 5" xfId="26730" xr:uid="{00000000-0005-0000-0000-000067740000}"/>
    <cellStyle name="Normal 5 2 7 3" xfId="8301" xr:uid="{00000000-0005-0000-0000-000068740000}"/>
    <cellStyle name="Normal 5 2 7 3 2" xfId="14495" xr:uid="{00000000-0005-0000-0000-000069740000}"/>
    <cellStyle name="Normal 5 2 7 3 2 2" xfId="34415" xr:uid="{00000000-0005-0000-0000-00006A740000}"/>
    <cellStyle name="Normal 5 2 7 3 3" xfId="20647" xr:uid="{00000000-0005-0000-0000-00006B740000}"/>
    <cellStyle name="Normal 5 2 7 3 3 2" xfId="40567" xr:uid="{00000000-0005-0000-0000-00006C740000}"/>
    <cellStyle name="Normal 5 2 7 3 4" xfId="28262" xr:uid="{00000000-0005-0000-0000-00006D740000}"/>
    <cellStyle name="Normal 5 2 7 4" xfId="11429" xr:uid="{00000000-0005-0000-0000-00006E740000}"/>
    <cellStyle name="Normal 5 2 7 4 2" xfId="31349" xr:uid="{00000000-0005-0000-0000-00006F740000}"/>
    <cellStyle name="Normal 5 2 7 5" xfId="17581" xr:uid="{00000000-0005-0000-0000-000070740000}"/>
    <cellStyle name="Normal 5 2 7 5 2" xfId="37501" xr:uid="{00000000-0005-0000-0000-000071740000}"/>
    <cellStyle name="Normal 5 2 7 6" xfId="25196" xr:uid="{00000000-0005-0000-0000-000072740000}"/>
    <cellStyle name="Normal 5 2 8" xfId="5967" xr:uid="{00000000-0005-0000-0000-000073740000}"/>
    <cellStyle name="Normal 5 2 8 2" xfId="9067" xr:uid="{00000000-0005-0000-0000-000074740000}"/>
    <cellStyle name="Normal 5 2 8 2 2" xfId="15260" xr:uid="{00000000-0005-0000-0000-000075740000}"/>
    <cellStyle name="Normal 5 2 8 2 2 2" xfId="35180" xr:uid="{00000000-0005-0000-0000-000076740000}"/>
    <cellStyle name="Normal 5 2 8 2 3" xfId="21412" xr:uid="{00000000-0005-0000-0000-000077740000}"/>
    <cellStyle name="Normal 5 2 8 2 3 2" xfId="41332" xr:uid="{00000000-0005-0000-0000-000078740000}"/>
    <cellStyle name="Normal 5 2 8 2 4" xfId="29027" xr:uid="{00000000-0005-0000-0000-000079740000}"/>
    <cellStyle name="Normal 5 2 8 3" xfId="12194" xr:uid="{00000000-0005-0000-0000-00007A740000}"/>
    <cellStyle name="Normal 5 2 8 3 2" xfId="32114" xr:uid="{00000000-0005-0000-0000-00007B740000}"/>
    <cellStyle name="Normal 5 2 8 4" xfId="18346" xr:uid="{00000000-0005-0000-0000-00007C740000}"/>
    <cellStyle name="Normal 5 2 8 4 2" xfId="38266" xr:uid="{00000000-0005-0000-0000-00007D740000}"/>
    <cellStyle name="Normal 5 2 8 5" xfId="25961" xr:uid="{00000000-0005-0000-0000-00007E740000}"/>
    <cellStyle name="Normal 5 2 9" xfId="7532" xr:uid="{00000000-0005-0000-0000-00007F740000}"/>
    <cellStyle name="Normal 5 2 9 2" xfId="13726" xr:uid="{00000000-0005-0000-0000-000080740000}"/>
    <cellStyle name="Normal 5 2 9 2 2" xfId="33646" xr:uid="{00000000-0005-0000-0000-000081740000}"/>
    <cellStyle name="Normal 5 2 9 3" xfId="19878" xr:uid="{00000000-0005-0000-0000-000082740000}"/>
    <cellStyle name="Normal 5 2 9 3 2" xfId="39798" xr:uid="{00000000-0005-0000-0000-000083740000}"/>
    <cellStyle name="Normal 5 2 9 4" xfId="27493" xr:uid="{00000000-0005-0000-0000-000084740000}"/>
    <cellStyle name="Normal 5 20" xfId="498" xr:uid="{00000000-0005-0000-0000-000085740000}"/>
    <cellStyle name="Normal 5 20 2" xfId="887" xr:uid="{00000000-0005-0000-0000-000086740000}"/>
    <cellStyle name="Normal 5 20 2 2" xfId="23769" xr:uid="{00000000-0005-0000-0000-000087740000}"/>
    <cellStyle name="Normal 5 20 3" xfId="3927" xr:uid="{00000000-0005-0000-0000-000088740000}"/>
    <cellStyle name="Normal 5 20 4" xfId="22554" xr:uid="{00000000-0005-0000-0000-000089740000}"/>
    <cellStyle name="Normal 5 20 4 2" xfId="42465" xr:uid="{00000000-0005-0000-0000-00008A740000}"/>
    <cellStyle name="Normal 5 20 5" xfId="22852" xr:uid="{00000000-0005-0000-0000-00008B740000}"/>
    <cellStyle name="Normal 5 20 5 2" xfId="42763" xr:uid="{00000000-0005-0000-0000-00008C740000}"/>
    <cellStyle name="Normal 5 20 6" xfId="23155" xr:uid="{00000000-0005-0000-0000-00008D740000}"/>
    <cellStyle name="Normal 5 20 6 2" xfId="43066" xr:uid="{00000000-0005-0000-0000-00008E740000}"/>
    <cellStyle name="Normal 5 20 7" xfId="23466" xr:uid="{00000000-0005-0000-0000-00008F740000}"/>
    <cellStyle name="Normal 5 21" xfId="522" xr:uid="{00000000-0005-0000-0000-000090740000}"/>
    <cellStyle name="Normal 5 21 2" xfId="903" xr:uid="{00000000-0005-0000-0000-000091740000}"/>
    <cellStyle name="Normal 5 21 2 2" xfId="23785" xr:uid="{00000000-0005-0000-0000-000092740000}"/>
    <cellStyle name="Normal 5 21 3" xfId="3928" xr:uid="{00000000-0005-0000-0000-000093740000}"/>
    <cellStyle name="Normal 5 21 4" xfId="22486" xr:uid="{00000000-0005-0000-0000-000094740000}"/>
    <cellStyle name="Normal 5 21 4 2" xfId="42397" xr:uid="{00000000-0005-0000-0000-000095740000}"/>
    <cellStyle name="Normal 5 21 5" xfId="22868" xr:uid="{00000000-0005-0000-0000-000096740000}"/>
    <cellStyle name="Normal 5 21 5 2" xfId="42779" xr:uid="{00000000-0005-0000-0000-000097740000}"/>
    <cellStyle name="Normal 5 21 6" xfId="23171" xr:uid="{00000000-0005-0000-0000-000098740000}"/>
    <cellStyle name="Normal 5 21 6 2" xfId="43082" xr:uid="{00000000-0005-0000-0000-000099740000}"/>
    <cellStyle name="Normal 5 21 7" xfId="23482" xr:uid="{00000000-0005-0000-0000-00009A740000}"/>
    <cellStyle name="Normal 5 22" xfId="548" xr:uid="{00000000-0005-0000-0000-00009B740000}"/>
    <cellStyle name="Normal 5 22 2" xfId="919" xr:uid="{00000000-0005-0000-0000-00009C740000}"/>
    <cellStyle name="Normal 5 22 2 2" xfId="23801" xr:uid="{00000000-0005-0000-0000-00009D740000}"/>
    <cellStyle name="Normal 5 22 3" xfId="3929" xr:uid="{00000000-0005-0000-0000-00009E740000}"/>
    <cellStyle name="Normal 5 22 4" xfId="22545" xr:uid="{00000000-0005-0000-0000-00009F740000}"/>
    <cellStyle name="Normal 5 22 4 2" xfId="42456" xr:uid="{00000000-0005-0000-0000-0000A0740000}"/>
    <cellStyle name="Normal 5 22 5" xfId="22884" xr:uid="{00000000-0005-0000-0000-0000A1740000}"/>
    <cellStyle name="Normal 5 22 5 2" xfId="42795" xr:uid="{00000000-0005-0000-0000-0000A2740000}"/>
    <cellStyle name="Normal 5 22 6" xfId="23187" xr:uid="{00000000-0005-0000-0000-0000A3740000}"/>
    <cellStyle name="Normal 5 22 6 2" xfId="43098" xr:uid="{00000000-0005-0000-0000-0000A4740000}"/>
    <cellStyle name="Normal 5 22 7" xfId="23498" xr:uid="{00000000-0005-0000-0000-0000A5740000}"/>
    <cellStyle name="Normal 5 23" xfId="588" xr:uid="{00000000-0005-0000-0000-0000A6740000}"/>
    <cellStyle name="Normal 5 23 2" xfId="935" xr:uid="{00000000-0005-0000-0000-0000A7740000}"/>
    <cellStyle name="Normal 5 23 2 2" xfId="23817" xr:uid="{00000000-0005-0000-0000-0000A8740000}"/>
    <cellStyle name="Normal 5 23 3" xfId="3930" xr:uid="{00000000-0005-0000-0000-0000A9740000}"/>
    <cellStyle name="Normal 5 23 4" xfId="22580" xr:uid="{00000000-0005-0000-0000-0000AA740000}"/>
    <cellStyle name="Normal 5 23 4 2" xfId="42491" xr:uid="{00000000-0005-0000-0000-0000AB740000}"/>
    <cellStyle name="Normal 5 23 5" xfId="22900" xr:uid="{00000000-0005-0000-0000-0000AC740000}"/>
    <cellStyle name="Normal 5 23 5 2" xfId="42811" xr:uid="{00000000-0005-0000-0000-0000AD740000}"/>
    <cellStyle name="Normal 5 23 6" xfId="23203" xr:uid="{00000000-0005-0000-0000-0000AE740000}"/>
    <cellStyle name="Normal 5 23 6 2" xfId="43114" xr:uid="{00000000-0005-0000-0000-0000AF740000}"/>
    <cellStyle name="Normal 5 23 7" xfId="23514" xr:uid="{00000000-0005-0000-0000-0000B0740000}"/>
    <cellStyle name="Normal 5 24" xfId="616" xr:uid="{00000000-0005-0000-0000-0000B1740000}"/>
    <cellStyle name="Normal 5 24 10" xfId="23530" xr:uid="{00000000-0005-0000-0000-0000B2740000}"/>
    <cellStyle name="Normal 5 24 2" xfId="951" xr:uid="{00000000-0005-0000-0000-0000B3740000}"/>
    <cellStyle name="Normal 5 24 2 2" xfId="6757" xr:uid="{00000000-0005-0000-0000-0000B4740000}"/>
    <cellStyle name="Normal 5 24 2 2 2" xfId="9843" xr:uid="{00000000-0005-0000-0000-0000B5740000}"/>
    <cellStyle name="Normal 5 24 2 2 2 2" xfId="16036" xr:uid="{00000000-0005-0000-0000-0000B6740000}"/>
    <cellStyle name="Normal 5 24 2 2 2 2 2" xfId="35956" xr:uid="{00000000-0005-0000-0000-0000B7740000}"/>
    <cellStyle name="Normal 5 24 2 2 2 3" xfId="22188" xr:uid="{00000000-0005-0000-0000-0000B8740000}"/>
    <cellStyle name="Normal 5 24 2 2 2 3 2" xfId="42108" xr:uid="{00000000-0005-0000-0000-0000B9740000}"/>
    <cellStyle name="Normal 5 24 2 2 2 4" xfId="29803" xr:uid="{00000000-0005-0000-0000-0000BA740000}"/>
    <cellStyle name="Normal 5 24 2 2 3" xfId="12970" xr:uid="{00000000-0005-0000-0000-0000BB740000}"/>
    <cellStyle name="Normal 5 24 2 2 3 2" xfId="32890" xr:uid="{00000000-0005-0000-0000-0000BC740000}"/>
    <cellStyle name="Normal 5 24 2 2 4" xfId="19122" xr:uid="{00000000-0005-0000-0000-0000BD740000}"/>
    <cellStyle name="Normal 5 24 2 2 4 2" xfId="39042" xr:uid="{00000000-0005-0000-0000-0000BE740000}"/>
    <cellStyle name="Normal 5 24 2 2 5" xfId="26737" xr:uid="{00000000-0005-0000-0000-0000BF740000}"/>
    <cellStyle name="Normal 5 24 2 3" xfId="8308" xr:uid="{00000000-0005-0000-0000-0000C0740000}"/>
    <cellStyle name="Normal 5 24 2 3 2" xfId="14502" xr:uid="{00000000-0005-0000-0000-0000C1740000}"/>
    <cellStyle name="Normal 5 24 2 3 2 2" xfId="34422" xr:uid="{00000000-0005-0000-0000-0000C2740000}"/>
    <cellStyle name="Normal 5 24 2 3 3" xfId="20654" xr:uid="{00000000-0005-0000-0000-0000C3740000}"/>
    <cellStyle name="Normal 5 24 2 3 3 2" xfId="40574" xr:uid="{00000000-0005-0000-0000-0000C4740000}"/>
    <cellStyle name="Normal 5 24 2 3 4" xfId="28269" xr:uid="{00000000-0005-0000-0000-0000C5740000}"/>
    <cellStyle name="Normal 5 24 2 4" xfId="11436" xr:uid="{00000000-0005-0000-0000-0000C6740000}"/>
    <cellStyle name="Normal 5 24 2 4 2" xfId="31356" xr:uid="{00000000-0005-0000-0000-0000C7740000}"/>
    <cellStyle name="Normal 5 24 2 5" xfId="17588" xr:uid="{00000000-0005-0000-0000-0000C8740000}"/>
    <cellStyle name="Normal 5 24 2 5 2" xfId="37508" xr:uid="{00000000-0005-0000-0000-0000C9740000}"/>
    <cellStyle name="Normal 5 24 2 6" xfId="5132" xr:uid="{00000000-0005-0000-0000-0000CA740000}"/>
    <cellStyle name="Normal 5 24 2 6 2" xfId="25203" xr:uid="{00000000-0005-0000-0000-0000CB740000}"/>
    <cellStyle name="Normal 5 24 2 7" xfId="23833" xr:uid="{00000000-0005-0000-0000-0000CC740000}"/>
    <cellStyle name="Normal 5 24 3" xfId="5974" xr:uid="{00000000-0005-0000-0000-0000CD740000}"/>
    <cellStyle name="Normal 5 24 3 2" xfId="9074" xr:uid="{00000000-0005-0000-0000-0000CE740000}"/>
    <cellStyle name="Normal 5 24 3 2 2" xfId="15267" xr:uid="{00000000-0005-0000-0000-0000CF740000}"/>
    <cellStyle name="Normal 5 24 3 2 2 2" xfId="35187" xr:uid="{00000000-0005-0000-0000-0000D0740000}"/>
    <cellStyle name="Normal 5 24 3 2 3" xfId="21419" xr:uid="{00000000-0005-0000-0000-0000D1740000}"/>
    <cellStyle name="Normal 5 24 3 2 3 2" xfId="41339" xr:uid="{00000000-0005-0000-0000-0000D2740000}"/>
    <cellStyle name="Normal 5 24 3 2 4" xfId="29034" xr:uid="{00000000-0005-0000-0000-0000D3740000}"/>
    <cellStyle name="Normal 5 24 3 3" xfId="12201" xr:uid="{00000000-0005-0000-0000-0000D4740000}"/>
    <cellStyle name="Normal 5 24 3 3 2" xfId="32121" xr:uid="{00000000-0005-0000-0000-0000D5740000}"/>
    <cellStyle name="Normal 5 24 3 4" xfId="18353" xr:uid="{00000000-0005-0000-0000-0000D6740000}"/>
    <cellStyle name="Normal 5 24 3 4 2" xfId="38273" xr:uid="{00000000-0005-0000-0000-0000D7740000}"/>
    <cellStyle name="Normal 5 24 3 5" xfId="25968" xr:uid="{00000000-0005-0000-0000-0000D8740000}"/>
    <cellStyle name="Normal 5 24 4" xfId="7539" xr:uid="{00000000-0005-0000-0000-0000D9740000}"/>
    <cellStyle name="Normal 5 24 4 2" xfId="13733" xr:uid="{00000000-0005-0000-0000-0000DA740000}"/>
    <cellStyle name="Normal 5 24 4 2 2" xfId="33653" xr:uid="{00000000-0005-0000-0000-0000DB740000}"/>
    <cellStyle name="Normal 5 24 4 3" xfId="19885" xr:uid="{00000000-0005-0000-0000-0000DC740000}"/>
    <cellStyle name="Normal 5 24 4 3 2" xfId="39805" xr:uid="{00000000-0005-0000-0000-0000DD740000}"/>
    <cellStyle name="Normal 5 24 4 4" xfId="27500" xr:uid="{00000000-0005-0000-0000-0000DE740000}"/>
    <cellStyle name="Normal 5 24 5" xfId="10667" xr:uid="{00000000-0005-0000-0000-0000DF740000}"/>
    <cellStyle name="Normal 5 24 5 2" xfId="30587" xr:uid="{00000000-0005-0000-0000-0000E0740000}"/>
    <cellStyle name="Normal 5 24 6" xfId="16819" xr:uid="{00000000-0005-0000-0000-0000E1740000}"/>
    <cellStyle name="Normal 5 24 6 2" xfId="36739" xr:uid="{00000000-0005-0000-0000-0000E2740000}"/>
    <cellStyle name="Normal 5 24 7" xfId="3931" xr:uid="{00000000-0005-0000-0000-0000E3740000}"/>
    <cellStyle name="Normal 5 24 7 2" xfId="24434" xr:uid="{00000000-0005-0000-0000-0000E4740000}"/>
    <cellStyle name="Normal 5 24 8" xfId="22916" xr:uid="{00000000-0005-0000-0000-0000E5740000}"/>
    <cellStyle name="Normal 5 24 8 2" xfId="42827" xr:uid="{00000000-0005-0000-0000-0000E6740000}"/>
    <cellStyle name="Normal 5 24 9" xfId="23219" xr:uid="{00000000-0005-0000-0000-0000E7740000}"/>
    <cellStyle name="Normal 5 24 9 2" xfId="43130" xr:uid="{00000000-0005-0000-0000-0000E8740000}"/>
    <cellStyle name="Normal 5 25" xfId="642" xr:uid="{00000000-0005-0000-0000-0000E9740000}"/>
    <cellStyle name="Normal 5 25 2" xfId="967" xr:uid="{00000000-0005-0000-0000-0000EA740000}"/>
    <cellStyle name="Normal 5 25 2 2" xfId="3933" xr:uid="{00000000-0005-0000-0000-0000EB740000}"/>
    <cellStyle name="Normal 5 25 2 3" xfId="23849" xr:uid="{00000000-0005-0000-0000-0000EC740000}"/>
    <cellStyle name="Normal 5 25 3" xfId="3932" xr:uid="{00000000-0005-0000-0000-0000ED740000}"/>
    <cellStyle name="Normal 5 25 4" xfId="22504" xr:uid="{00000000-0005-0000-0000-0000EE740000}"/>
    <cellStyle name="Normal 5 25 4 2" xfId="42415" xr:uid="{00000000-0005-0000-0000-0000EF740000}"/>
    <cellStyle name="Normal 5 25 5" xfId="22932" xr:uid="{00000000-0005-0000-0000-0000F0740000}"/>
    <cellStyle name="Normal 5 25 5 2" xfId="42843" xr:uid="{00000000-0005-0000-0000-0000F1740000}"/>
    <cellStyle name="Normal 5 25 6" xfId="23235" xr:uid="{00000000-0005-0000-0000-0000F2740000}"/>
    <cellStyle name="Normal 5 25 6 2" xfId="43146" xr:uid="{00000000-0005-0000-0000-0000F3740000}"/>
    <cellStyle name="Normal 5 25 7" xfId="23546" xr:uid="{00000000-0005-0000-0000-0000F4740000}"/>
    <cellStyle name="Normal 5 26" xfId="667" xr:uid="{00000000-0005-0000-0000-0000F5740000}"/>
    <cellStyle name="Normal 5 26 2" xfId="983" xr:uid="{00000000-0005-0000-0000-0000F6740000}"/>
    <cellStyle name="Normal 5 26 2 2" xfId="3935" xr:uid="{00000000-0005-0000-0000-0000F7740000}"/>
    <cellStyle name="Normal 5 26 2 3" xfId="23865" xr:uid="{00000000-0005-0000-0000-0000F8740000}"/>
    <cellStyle name="Normal 5 26 3" xfId="3934" xr:uid="{00000000-0005-0000-0000-0000F9740000}"/>
    <cellStyle name="Normal 5 26 4" xfId="22632" xr:uid="{00000000-0005-0000-0000-0000FA740000}"/>
    <cellStyle name="Normal 5 26 4 2" xfId="42543" xr:uid="{00000000-0005-0000-0000-0000FB740000}"/>
    <cellStyle name="Normal 5 26 5" xfId="22948" xr:uid="{00000000-0005-0000-0000-0000FC740000}"/>
    <cellStyle name="Normal 5 26 5 2" xfId="42859" xr:uid="{00000000-0005-0000-0000-0000FD740000}"/>
    <cellStyle name="Normal 5 26 6" xfId="23251" xr:uid="{00000000-0005-0000-0000-0000FE740000}"/>
    <cellStyle name="Normal 5 26 6 2" xfId="43162" xr:uid="{00000000-0005-0000-0000-0000FF740000}"/>
    <cellStyle name="Normal 5 26 7" xfId="23562" xr:uid="{00000000-0005-0000-0000-000000750000}"/>
    <cellStyle name="Normal 5 27" xfId="691" xr:uid="{00000000-0005-0000-0000-000001750000}"/>
    <cellStyle name="Normal 5 27 2" xfId="999" xr:uid="{00000000-0005-0000-0000-000002750000}"/>
    <cellStyle name="Normal 5 27 2 2" xfId="23881" xr:uid="{00000000-0005-0000-0000-000003750000}"/>
    <cellStyle name="Normal 5 27 3" xfId="4501" xr:uid="{00000000-0005-0000-0000-000004750000}"/>
    <cellStyle name="Normal 5 27 4" xfId="22485" xr:uid="{00000000-0005-0000-0000-000005750000}"/>
    <cellStyle name="Normal 5 27 4 2" xfId="42396" xr:uid="{00000000-0005-0000-0000-000006750000}"/>
    <cellStyle name="Normal 5 27 5" xfId="22964" xr:uid="{00000000-0005-0000-0000-000007750000}"/>
    <cellStyle name="Normal 5 27 5 2" xfId="42875" xr:uid="{00000000-0005-0000-0000-000008750000}"/>
    <cellStyle name="Normal 5 27 6" xfId="23267" xr:uid="{00000000-0005-0000-0000-000009750000}"/>
    <cellStyle name="Normal 5 27 6 2" xfId="43178" xr:uid="{00000000-0005-0000-0000-00000A750000}"/>
    <cellStyle name="Normal 5 27 7" xfId="23578" xr:uid="{00000000-0005-0000-0000-00000B750000}"/>
    <cellStyle name="Normal 5 28" xfId="707" xr:uid="{00000000-0005-0000-0000-00000C750000}"/>
    <cellStyle name="Normal 5 28 10" xfId="23594" xr:uid="{00000000-0005-0000-0000-00000D750000}"/>
    <cellStyle name="Normal 5 28 2" xfId="1015" xr:uid="{00000000-0005-0000-0000-00000E750000}"/>
    <cellStyle name="Normal 5 28 2 2" xfId="6749" xr:uid="{00000000-0005-0000-0000-00000F750000}"/>
    <cellStyle name="Normal 5 28 2 2 2" xfId="9835" xr:uid="{00000000-0005-0000-0000-000010750000}"/>
    <cellStyle name="Normal 5 28 2 2 2 2" xfId="16028" xr:uid="{00000000-0005-0000-0000-000011750000}"/>
    <cellStyle name="Normal 5 28 2 2 2 2 2" xfId="35948" xr:uid="{00000000-0005-0000-0000-000012750000}"/>
    <cellStyle name="Normal 5 28 2 2 2 3" xfId="22180" xr:uid="{00000000-0005-0000-0000-000013750000}"/>
    <cellStyle name="Normal 5 28 2 2 2 3 2" xfId="42100" xr:uid="{00000000-0005-0000-0000-000014750000}"/>
    <cellStyle name="Normal 5 28 2 2 2 4" xfId="29795" xr:uid="{00000000-0005-0000-0000-000015750000}"/>
    <cellStyle name="Normal 5 28 2 2 3" xfId="12962" xr:uid="{00000000-0005-0000-0000-000016750000}"/>
    <cellStyle name="Normal 5 28 2 2 3 2" xfId="32882" xr:uid="{00000000-0005-0000-0000-000017750000}"/>
    <cellStyle name="Normal 5 28 2 2 4" xfId="19114" xr:uid="{00000000-0005-0000-0000-000018750000}"/>
    <cellStyle name="Normal 5 28 2 2 4 2" xfId="39034" xr:uid="{00000000-0005-0000-0000-000019750000}"/>
    <cellStyle name="Normal 5 28 2 2 5" xfId="26729" xr:uid="{00000000-0005-0000-0000-00001A750000}"/>
    <cellStyle name="Normal 5 28 2 3" xfId="8300" xr:uid="{00000000-0005-0000-0000-00001B750000}"/>
    <cellStyle name="Normal 5 28 2 3 2" xfId="14494" xr:uid="{00000000-0005-0000-0000-00001C750000}"/>
    <cellStyle name="Normal 5 28 2 3 2 2" xfId="34414" xr:uid="{00000000-0005-0000-0000-00001D750000}"/>
    <cellStyle name="Normal 5 28 2 3 3" xfId="20646" xr:uid="{00000000-0005-0000-0000-00001E750000}"/>
    <cellStyle name="Normal 5 28 2 3 3 2" xfId="40566" xr:uid="{00000000-0005-0000-0000-00001F750000}"/>
    <cellStyle name="Normal 5 28 2 3 4" xfId="28261" xr:uid="{00000000-0005-0000-0000-000020750000}"/>
    <cellStyle name="Normal 5 28 2 4" xfId="11428" xr:uid="{00000000-0005-0000-0000-000021750000}"/>
    <cellStyle name="Normal 5 28 2 4 2" xfId="31348" xr:uid="{00000000-0005-0000-0000-000022750000}"/>
    <cellStyle name="Normal 5 28 2 5" xfId="17580" xr:uid="{00000000-0005-0000-0000-000023750000}"/>
    <cellStyle name="Normal 5 28 2 5 2" xfId="37500" xr:uid="{00000000-0005-0000-0000-000024750000}"/>
    <cellStyle name="Normal 5 28 2 6" xfId="5124" xr:uid="{00000000-0005-0000-0000-000025750000}"/>
    <cellStyle name="Normal 5 28 2 6 2" xfId="25195" xr:uid="{00000000-0005-0000-0000-000026750000}"/>
    <cellStyle name="Normal 5 28 2 7" xfId="23897" xr:uid="{00000000-0005-0000-0000-000027750000}"/>
    <cellStyle name="Normal 5 28 3" xfId="5966" xr:uid="{00000000-0005-0000-0000-000028750000}"/>
    <cellStyle name="Normal 5 28 3 2" xfId="9066" xr:uid="{00000000-0005-0000-0000-000029750000}"/>
    <cellStyle name="Normal 5 28 3 2 2" xfId="15259" xr:uid="{00000000-0005-0000-0000-00002A750000}"/>
    <cellStyle name="Normal 5 28 3 2 2 2" xfId="35179" xr:uid="{00000000-0005-0000-0000-00002B750000}"/>
    <cellStyle name="Normal 5 28 3 2 3" xfId="21411" xr:uid="{00000000-0005-0000-0000-00002C750000}"/>
    <cellStyle name="Normal 5 28 3 2 3 2" xfId="41331" xr:uid="{00000000-0005-0000-0000-00002D750000}"/>
    <cellStyle name="Normal 5 28 3 2 4" xfId="29026" xr:uid="{00000000-0005-0000-0000-00002E750000}"/>
    <cellStyle name="Normal 5 28 3 3" xfId="12193" xr:uid="{00000000-0005-0000-0000-00002F750000}"/>
    <cellStyle name="Normal 5 28 3 3 2" xfId="32113" xr:uid="{00000000-0005-0000-0000-000030750000}"/>
    <cellStyle name="Normal 5 28 3 4" xfId="18345" xr:uid="{00000000-0005-0000-0000-000031750000}"/>
    <cellStyle name="Normal 5 28 3 4 2" xfId="38265" xr:uid="{00000000-0005-0000-0000-000032750000}"/>
    <cellStyle name="Normal 5 28 3 5" xfId="25960" xr:uid="{00000000-0005-0000-0000-000033750000}"/>
    <cellStyle name="Normal 5 28 4" xfId="7531" xr:uid="{00000000-0005-0000-0000-000034750000}"/>
    <cellStyle name="Normal 5 28 4 2" xfId="13725" xr:uid="{00000000-0005-0000-0000-000035750000}"/>
    <cellStyle name="Normal 5 28 4 2 2" xfId="33645" xr:uid="{00000000-0005-0000-0000-000036750000}"/>
    <cellStyle name="Normal 5 28 4 3" xfId="19877" xr:uid="{00000000-0005-0000-0000-000037750000}"/>
    <cellStyle name="Normal 5 28 4 3 2" xfId="39797" xr:uid="{00000000-0005-0000-0000-000038750000}"/>
    <cellStyle name="Normal 5 28 4 4" xfId="27492" xr:uid="{00000000-0005-0000-0000-000039750000}"/>
    <cellStyle name="Normal 5 28 5" xfId="10659" xr:uid="{00000000-0005-0000-0000-00003A750000}"/>
    <cellStyle name="Normal 5 28 5 2" xfId="30579" xr:uid="{00000000-0005-0000-0000-00003B750000}"/>
    <cellStyle name="Normal 5 28 6" xfId="16811" xr:uid="{00000000-0005-0000-0000-00003C750000}"/>
    <cellStyle name="Normal 5 28 6 2" xfId="36731" xr:uid="{00000000-0005-0000-0000-00003D750000}"/>
    <cellStyle name="Normal 5 28 7" xfId="3903" xr:uid="{00000000-0005-0000-0000-00003E750000}"/>
    <cellStyle name="Normal 5 28 7 2" xfId="24426" xr:uid="{00000000-0005-0000-0000-00003F750000}"/>
    <cellStyle name="Normal 5 28 8" xfId="22980" xr:uid="{00000000-0005-0000-0000-000040750000}"/>
    <cellStyle name="Normal 5 28 8 2" xfId="42891" xr:uid="{00000000-0005-0000-0000-000041750000}"/>
    <cellStyle name="Normal 5 28 9" xfId="23283" xr:uid="{00000000-0005-0000-0000-000042750000}"/>
    <cellStyle name="Normal 5 28 9 2" xfId="43194" xr:uid="{00000000-0005-0000-0000-000043750000}"/>
    <cellStyle name="Normal 5 29" xfId="723" xr:uid="{00000000-0005-0000-0000-000044750000}"/>
    <cellStyle name="Normal 5 29 2" xfId="1031" xr:uid="{00000000-0005-0000-0000-000045750000}"/>
    <cellStyle name="Normal 5 29 2 2" xfId="23913" xr:uid="{00000000-0005-0000-0000-000046750000}"/>
    <cellStyle name="Normal 5 29 3" xfId="1059" xr:uid="{00000000-0005-0000-0000-000047750000}"/>
    <cellStyle name="Normal 5 29 4" xfId="22610" xr:uid="{00000000-0005-0000-0000-000048750000}"/>
    <cellStyle name="Normal 5 29 4 2" xfId="42521" xr:uid="{00000000-0005-0000-0000-000049750000}"/>
    <cellStyle name="Normal 5 29 5" xfId="22996" xr:uid="{00000000-0005-0000-0000-00004A750000}"/>
    <cellStyle name="Normal 5 29 5 2" xfId="42907" xr:uid="{00000000-0005-0000-0000-00004B750000}"/>
    <cellStyle name="Normal 5 29 6" xfId="23299" xr:uid="{00000000-0005-0000-0000-00004C750000}"/>
    <cellStyle name="Normal 5 29 6 2" xfId="43210" xr:uid="{00000000-0005-0000-0000-00004D750000}"/>
    <cellStyle name="Normal 5 29 7" xfId="23610" xr:uid="{00000000-0005-0000-0000-00004E750000}"/>
    <cellStyle name="Normal 5 3" xfId="175" xr:uid="{00000000-0005-0000-0000-00004F750000}"/>
    <cellStyle name="Normal 5 3 10" xfId="23039" xr:uid="{00000000-0005-0000-0000-000050750000}"/>
    <cellStyle name="Normal 5 3 10 2" xfId="42950" xr:uid="{00000000-0005-0000-0000-000051750000}"/>
    <cellStyle name="Normal 5 3 11" xfId="23350" xr:uid="{00000000-0005-0000-0000-000052750000}"/>
    <cellStyle name="Normal 5 3 2" xfId="771" xr:uid="{00000000-0005-0000-0000-000053750000}"/>
    <cellStyle name="Normal 5 3 2 2" xfId="3937" xr:uid="{00000000-0005-0000-0000-000054750000}"/>
    <cellStyle name="Normal 5 3 2 3" xfId="23653" xr:uid="{00000000-0005-0000-0000-000055750000}"/>
    <cellStyle name="Normal 5 3 3" xfId="5133" xr:uid="{00000000-0005-0000-0000-000056750000}"/>
    <cellStyle name="Normal 5 3 3 2" xfId="6758" xr:uid="{00000000-0005-0000-0000-000057750000}"/>
    <cellStyle name="Normal 5 3 3 2 2" xfId="9844" xr:uid="{00000000-0005-0000-0000-000058750000}"/>
    <cellStyle name="Normal 5 3 3 2 2 2" xfId="16037" xr:uid="{00000000-0005-0000-0000-000059750000}"/>
    <cellStyle name="Normal 5 3 3 2 2 2 2" xfId="35957" xr:uid="{00000000-0005-0000-0000-00005A750000}"/>
    <cellStyle name="Normal 5 3 3 2 2 3" xfId="22189" xr:uid="{00000000-0005-0000-0000-00005B750000}"/>
    <cellStyle name="Normal 5 3 3 2 2 3 2" xfId="42109" xr:uid="{00000000-0005-0000-0000-00005C750000}"/>
    <cellStyle name="Normal 5 3 3 2 2 4" xfId="29804" xr:uid="{00000000-0005-0000-0000-00005D750000}"/>
    <cellStyle name="Normal 5 3 3 2 3" xfId="12971" xr:uid="{00000000-0005-0000-0000-00005E750000}"/>
    <cellStyle name="Normal 5 3 3 2 3 2" xfId="32891" xr:uid="{00000000-0005-0000-0000-00005F750000}"/>
    <cellStyle name="Normal 5 3 3 2 4" xfId="19123" xr:uid="{00000000-0005-0000-0000-000060750000}"/>
    <cellStyle name="Normal 5 3 3 2 4 2" xfId="39043" xr:uid="{00000000-0005-0000-0000-000061750000}"/>
    <cellStyle name="Normal 5 3 3 2 5" xfId="26738" xr:uid="{00000000-0005-0000-0000-000062750000}"/>
    <cellStyle name="Normal 5 3 3 3" xfId="8309" xr:uid="{00000000-0005-0000-0000-000063750000}"/>
    <cellStyle name="Normal 5 3 3 3 2" xfId="14503" xr:uid="{00000000-0005-0000-0000-000064750000}"/>
    <cellStyle name="Normal 5 3 3 3 2 2" xfId="34423" xr:uid="{00000000-0005-0000-0000-000065750000}"/>
    <cellStyle name="Normal 5 3 3 3 3" xfId="20655" xr:uid="{00000000-0005-0000-0000-000066750000}"/>
    <cellStyle name="Normal 5 3 3 3 3 2" xfId="40575" xr:uid="{00000000-0005-0000-0000-000067750000}"/>
    <cellStyle name="Normal 5 3 3 3 4" xfId="28270" xr:uid="{00000000-0005-0000-0000-000068750000}"/>
    <cellStyle name="Normal 5 3 3 4" xfId="11437" xr:uid="{00000000-0005-0000-0000-000069750000}"/>
    <cellStyle name="Normal 5 3 3 4 2" xfId="31357" xr:uid="{00000000-0005-0000-0000-00006A750000}"/>
    <cellStyle name="Normal 5 3 3 5" xfId="17589" xr:uid="{00000000-0005-0000-0000-00006B750000}"/>
    <cellStyle name="Normal 5 3 3 5 2" xfId="37509" xr:uid="{00000000-0005-0000-0000-00006C750000}"/>
    <cellStyle name="Normal 5 3 3 6" xfId="25204" xr:uid="{00000000-0005-0000-0000-00006D750000}"/>
    <cellStyle name="Normal 5 3 4" xfId="5975" xr:uid="{00000000-0005-0000-0000-00006E750000}"/>
    <cellStyle name="Normal 5 3 4 2" xfId="9075" xr:uid="{00000000-0005-0000-0000-00006F750000}"/>
    <cellStyle name="Normal 5 3 4 2 2" xfId="15268" xr:uid="{00000000-0005-0000-0000-000070750000}"/>
    <cellStyle name="Normal 5 3 4 2 2 2" xfId="35188" xr:uid="{00000000-0005-0000-0000-000071750000}"/>
    <cellStyle name="Normal 5 3 4 2 3" xfId="21420" xr:uid="{00000000-0005-0000-0000-000072750000}"/>
    <cellStyle name="Normal 5 3 4 2 3 2" xfId="41340" xr:uid="{00000000-0005-0000-0000-000073750000}"/>
    <cellStyle name="Normal 5 3 4 2 4" xfId="29035" xr:uid="{00000000-0005-0000-0000-000074750000}"/>
    <cellStyle name="Normal 5 3 4 3" xfId="12202" xr:uid="{00000000-0005-0000-0000-000075750000}"/>
    <cellStyle name="Normal 5 3 4 3 2" xfId="32122" xr:uid="{00000000-0005-0000-0000-000076750000}"/>
    <cellStyle name="Normal 5 3 4 4" xfId="18354" xr:uid="{00000000-0005-0000-0000-000077750000}"/>
    <cellStyle name="Normal 5 3 4 4 2" xfId="38274" xr:uid="{00000000-0005-0000-0000-000078750000}"/>
    <cellStyle name="Normal 5 3 4 5" xfId="25969" xr:uid="{00000000-0005-0000-0000-000079750000}"/>
    <cellStyle name="Normal 5 3 5" xfId="7540" xr:uid="{00000000-0005-0000-0000-00007A750000}"/>
    <cellStyle name="Normal 5 3 5 2" xfId="13734" xr:uid="{00000000-0005-0000-0000-00007B750000}"/>
    <cellStyle name="Normal 5 3 5 2 2" xfId="33654" xr:uid="{00000000-0005-0000-0000-00007C750000}"/>
    <cellStyle name="Normal 5 3 5 3" xfId="19886" xr:uid="{00000000-0005-0000-0000-00007D750000}"/>
    <cellStyle name="Normal 5 3 5 3 2" xfId="39806" xr:uid="{00000000-0005-0000-0000-00007E750000}"/>
    <cellStyle name="Normal 5 3 5 4" xfId="27501" xr:uid="{00000000-0005-0000-0000-00007F750000}"/>
    <cellStyle name="Normal 5 3 6" xfId="10668" xr:uid="{00000000-0005-0000-0000-000080750000}"/>
    <cellStyle name="Normal 5 3 6 2" xfId="30588" xr:uid="{00000000-0005-0000-0000-000081750000}"/>
    <cellStyle name="Normal 5 3 7" xfId="16820" xr:uid="{00000000-0005-0000-0000-000082750000}"/>
    <cellStyle name="Normal 5 3 7 2" xfId="36740" xr:uid="{00000000-0005-0000-0000-000083750000}"/>
    <cellStyle name="Normal 5 3 8" xfId="3936" xr:uid="{00000000-0005-0000-0000-000084750000}"/>
    <cellStyle name="Normal 5 3 8 2" xfId="24435" xr:uid="{00000000-0005-0000-0000-000085750000}"/>
    <cellStyle name="Normal 5 3 9" xfId="22736" xr:uid="{00000000-0005-0000-0000-000086750000}"/>
    <cellStyle name="Normal 5 3 9 2" xfId="42647" xr:uid="{00000000-0005-0000-0000-000087750000}"/>
    <cellStyle name="Normal 5 4" xfId="198" xr:uid="{00000000-0005-0000-0000-000088750000}"/>
    <cellStyle name="Normal 5 4 10" xfId="23043" xr:uid="{00000000-0005-0000-0000-000089750000}"/>
    <cellStyle name="Normal 5 4 10 2" xfId="42954" xr:uid="{00000000-0005-0000-0000-00008A750000}"/>
    <cellStyle name="Normal 5 4 11" xfId="23354" xr:uid="{00000000-0005-0000-0000-00008B750000}"/>
    <cellStyle name="Normal 5 4 2" xfId="775" xr:uid="{00000000-0005-0000-0000-00008C750000}"/>
    <cellStyle name="Normal 5 4 2 2" xfId="3939" xr:uid="{00000000-0005-0000-0000-00008D750000}"/>
    <cellStyle name="Normal 5 4 2 3" xfId="23657" xr:uid="{00000000-0005-0000-0000-00008E750000}"/>
    <cellStyle name="Normal 5 4 3" xfId="5134" xr:uid="{00000000-0005-0000-0000-00008F750000}"/>
    <cellStyle name="Normal 5 4 3 2" xfId="6759" xr:uid="{00000000-0005-0000-0000-000090750000}"/>
    <cellStyle name="Normal 5 4 3 2 2" xfId="9845" xr:uid="{00000000-0005-0000-0000-000091750000}"/>
    <cellStyle name="Normal 5 4 3 2 2 2" xfId="16038" xr:uid="{00000000-0005-0000-0000-000092750000}"/>
    <cellStyle name="Normal 5 4 3 2 2 2 2" xfId="35958" xr:uid="{00000000-0005-0000-0000-000093750000}"/>
    <cellStyle name="Normal 5 4 3 2 2 3" xfId="22190" xr:uid="{00000000-0005-0000-0000-000094750000}"/>
    <cellStyle name="Normal 5 4 3 2 2 3 2" xfId="42110" xr:uid="{00000000-0005-0000-0000-000095750000}"/>
    <cellStyle name="Normal 5 4 3 2 2 4" xfId="29805" xr:uid="{00000000-0005-0000-0000-000096750000}"/>
    <cellStyle name="Normal 5 4 3 2 3" xfId="12972" xr:uid="{00000000-0005-0000-0000-000097750000}"/>
    <cellStyle name="Normal 5 4 3 2 3 2" xfId="32892" xr:uid="{00000000-0005-0000-0000-000098750000}"/>
    <cellStyle name="Normal 5 4 3 2 4" xfId="19124" xr:uid="{00000000-0005-0000-0000-000099750000}"/>
    <cellStyle name="Normal 5 4 3 2 4 2" xfId="39044" xr:uid="{00000000-0005-0000-0000-00009A750000}"/>
    <cellStyle name="Normal 5 4 3 2 5" xfId="26739" xr:uid="{00000000-0005-0000-0000-00009B750000}"/>
    <cellStyle name="Normal 5 4 3 3" xfId="8310" xr:uid="{00000000-0005-0000-0000-00009C750000}"/>
    <cellStyle name="Normal 5 4 3 3 2" xfId="14504" xr:uid="{00000000-0005-0000-0000-00009D750000}"/>
    <cellStyle name="Normal 5 4 3 3 2 2" xfId="34424" xr:uid="{00000000-0005-0000-0000-00009E750000}"/>
    <cellStyle name="Normal 5 4 3 3 3" xfId="20656" xr:uid="{00000000-0005-0000-0000-00009F750000}"/>
    <cellStyle name="Normal 5 4 3 3 3 2" xfId="40576" xr:uid="{00000000-0005-0000-0000-0000A0750000}"/>
    <cellStyle name="Normal 5 4 3 3 4" xfId="28271" xr:uid="{00000000-0005-0000-0000-0000A1750000}"/>
    <cellStyle name="Normal 5 4 3 4" xfId="11438" xr:uid="{00000000-0005-0000-0000-0000A2750000}"/>
    <cellStyle name="Normal 5 4 3 4 2" xfId="31358" xr:uid="{00000000-0005-0000-0000-0000A3750000}"/>
    <cellStyle name="Normal 5 4 3 5" xfId="17590" xr:uid="{00000000-0005-0000-0000-0000A4750000}"/>
    <cellStyle name="Normal 5 4 3 5 2" xfId="37510" xr:uid="{00000000-0005-0000-0000-0000A5750000}"/>
    <cellStyle name="Normal 5 4 3 6" xfId="25205" xr:uid="{00000000-0005-0000-0000-0000A6750000}"/>
    <cellStyle name="Normal 5 4 4" xfId="5976" xr:uid="{00000000-0005-0000-0000-0000A7750000}"/>
    <cellStyle name="Normal 5 4 4 2" xfId="9076" xr:uid="{00000000-0005-0000-0000-0000A8750000}"/>
    <cellStyle name="Normal 5 4 4 2 2" xfId="15269" xr:uid="{00000000-0005-0000-0000-0000A9750000}"/>
    <cellStyle name="Normal 5 4 4 2 2 2" xfId="35189" xr:uid="{00000000-0005-0000-0000-0000AA750000}"/>
    <cellStyle name="Normal 5 4 4 2 3" xfId="21421" xr:uid="{00000000-0005-0000-0000-0000AB750000}"/>
    <cellStyle name="Normal 5 4 4 2 3 2" xfId="41341" xr:uid="{00000000-0005-0000-0000-0000AC750000}"/>
    <cellStyle name="Normal 5 4 4 2 4" xfId="29036" xr:uid="{00000000-0005-0000-0000-0000AD750000}"/>
    <cellStyle name="Normal 5 4 4 3" xfId="12203" xr:uid="{00000000-0005-0000-0000-0000AE750000}"/>
    <cellStyle name="Normal 5 4 4 3 2" xfId="32123" xr:uid="{00000000-0005-0000-0000-0000AF750000}"/>
    <cellStyle name="Normal 5 4 4 4" xfId="18355" xr:uid="{00000000-0005-0000-0000-0000B0750000}"/>
    <cellStyle name="Normal 5 4 4 4 2" xfId="38275" xr:uid="{00000000-0005-0000-0000-0000B1750000}"/>
    <cellStyle name="Normal 5 4 4 5" xfId="25970" xr:uid="{00000000-0005-0000-0000-0000B2750000}"/>
    <cellStyle name="Normal 5 4 5" xfId="7541" xr:uid="{00000000-0005-0000-0000-0000B3750000}"/>
    <cellStyle name="Normal 5 4 5 2" xfId="13735" xr:uid="{00000000-0005-0000-0000-0000B4750000}"/>
    <cellStyle name="Normal 5 4 5 2 2" xfId="33655" xr:uid="{00000000-0005-0000-0000-0000B5750000}"/>
    <cellStyle name="Normal 5 4 5 3" xfId="19887" xr:uid="{00000000-0005-0000-0000-0000B6750000}"/>
    <cellStyle name="Normal 5 4 5 3 2" xfId="39807" xr:uid="{00000000-0005-0000-0000-0000B7750000}"/>
    <cellStyle name="Normal 5 4 5 4" xfId="27502" xr:uid="{00000000-0005-0000-0000-0000B8750000}"/>
    <cellStyle name="Normal 5 4 6" xfId="10669" xr:uid="{00000000-0005-0000-0000-0000B9750000}"/>
    <cellStyle name="Normal 5 4 6 2" xfId="30589" xr:uid="{00000000-0005-0000-0000-0000BA750000}"/>
    <cellStyle name="Normal 5 4 7" xfId="16821" xr:uid="{00000000-0005-0000-0000-0000BB750000}"/>
    <cellStyle name="Normal 5 4 7 2" xfId="36741" xr:uid="{00000000-0005-0000-0000-0000BC750000}"/>
    <cellStyle name="Normal 5 4 8" xfId="3938" xr:uid="{00000000-0005-0000-0000-0000BD750000}"/>
    <cellStyle name="Normal 5 4 8 2" xfId="24436" xr:uid="{00000000-0005-0000-0000-0000BE750000}"/>
    <cellStyle name="Normal 5 4 9" xfId="22740" xr:uid="{00000000-0005-0000-0000-0000BF750000}"/>
    <cellStyle name="Normal 5 4 9 2" xfId="42651" xr:uid="{00000000-0005-0000-0000-0000C0750000}"/>
    <cellStyle name="Normal 5 5" xfId="213" xr:uid="{00000000-0005-0000-0000-0000C1750000}"/>
    <cellStyle name="Normal 5 5 10" xfId="23046" xr:uid="{00000000-0005-0000-0000-0000C2750000}"/>
    <cellStyle name="Normal 5 5 10 2" xfId="42957" xr:uid="{00000000-0005-0000-0000-0000C3750000}"/>
    <cellStyle name="Normal 5 5 11" xfId="23357" xr:uid="{00000000-0005-0000-0000-0000C4750000}"/>
    <cellStyle name="Normal 5 5 2" xfId="778" xr:uid="{00000000-0005-0000-0000-0000C5750000}"/>
    <cellStyle name="Normal 5 5 2 2" xfId="3941" xr:uid="{00000000-0005-0000-0000-0000C6750000}"/>
    <cellStyle name="Normal 5 5 2 3" xfId="23660" xr:uid="{00000000-0005-0000-0000-0000C7750000}"/>
    <cellStyle name="Normal 5 5 3" xfId="5135" xr:uid="{00000000-0005-0000-0000-0000C8750000}"/>
    <cellStyle name="Normal 5 5 3 2" xfId="6760" xr:uid="{00000000-0005-0000-0000-0000C9750000}"/>
    <cellStyle name="Normal 5 5 3 2 2" xfId="9846" xr:uid="{00000000-0005-0000-0000-0000CA750000}"/>
    <cellStyle name="Normal 5 5 3 2 2 2" xfId="16039" xr:uid="{00000000-0005-0000-0000-0000CB750000}"/>
    <cellStyle name="Normal 5 5 3 2 2 2 2" xfId="35959" xr:uid="{00000000-0005-0000-0000-0000CC750000}"/>
    <cellStyle name="Normal 5 5 3 2 2 3" xfId="22191" xr:uid="{00000000-0005-0000-0000-0000CD750000}"/>
    <cellStyle name="Normal 5 5 3 2 2 3 2" xfId="42111" xr:uid="{00000000-0005-0000-0000-0000CE750000}"/>
    <cellStyle name="Normal 5 5 3 2 2 4" xfId="29806" xr:uid="{00000000-0005-0000-0000-0000CF750000}"/>
    <cellStyle name="Normal 5 5 3 2 3" xfId="12973" xr:uid="{00000000-0005-0000-0000-0000D0750000}"/>
    <cellStyle name="Normal 5 5 3 2 3 2" xfId="32893" xr:uid="{00000000-0005-0000-0000-0000D1750000}"/>
    <cellStyle name="Normal 5 5 3 2 4" xfId="19125" xr:uid="{00000000-0005-0000-0000-0000D2750000}"/>
    <cellStyle name="Normal 5 5 3 2 4 2" xfId="39045" xr:uid="{00000000-0005-0000-0000-0000D3750000}"/>
    <cellStyle name="Normal 5 5 3 2 5" xfId="26740" xr:uid="{00000000-0005-0000-0000-0000D4750000}"/>
    <cellStyle name="Normal 5 5 3 3" xfId="8311" xr:uid="{00000000-0005-0000-0000-0000D5750000}"/>
    <cellStyle name="Normal 5 5 3 3 2" xfId="14505" xr:uid="{00000000-0005-0000-0000-0000D6750000}"/>
    <cellStyle name="Normal 5 5 3 3 2 2" xfId="34425" xr:uid="{00000000-0005-0000-0000-0000D7750000}"/>
    <cellStyle name="Normal 5 5 3 3 3" xfId="20657" xr:uid="{00000000-0005-0000-0000-0000D8750000}"/>
    <cellStyle name="Normal 5 5 3 3 3 2" xfId="40577" xr:uid="{00000000-0005-0000-0000-0000D9750000}"/>
    <cellStyle name="Normal 5 5 3 3 4" xfId="28272" xr:uid="{00000000-0005-0000-0000-0000DA750000}"/>
    <cellStyle name="Normal 5 5 3 4" xfId="11439" xr:uid="{00000000-0005-0000-0000-0000DB750000}"/>
    <cellStyle name="Normal 5 5 3 4 2" xfId="31359" xr:uid="{00000000-0005-0000-0000-0000DC750000}"/>
    <cellStyle name="Normal 5 5 3 5" xfId="17591" xr:uid="{00000000-0005-0000-0000-0000DD750000}"/>
    <cellStyle name="Normal 5 5 3 5 2" xfId="37511" xr:uid="{00000000-0005-0000-0000-0000DE750000}"/>
    <cellStyle name="Normal 5 5 3 6" xfId="25206" xr:uid="{00000000-0005-0000-0000-0000DF750000}"/>
    <cellStyle name="Normal 5 5 4" xfId="5977" xr:uid="{00000000-0005-0000-0000-0000E0750000}"/>
    <cellStyle name="Normal 5 5 4 2" xfId="9077" xr:uid="{00000000-0005-0000-0000-0000E1750000}"/>
    <cellStyle name="Normal 5 5 4 2 2" xfId="15270" xr:uid="{00000000-0005-0000-0000-0000E2750000}"/>
    <cellStyle name="Normal 5 5 4 2 2 2" xfId="35190" xr:uid="{00000000-0005-0000-0000-0000E3750000}"/>
    <cellStyle name="Normal 5 5 4 2 3" xfId="21422" xr:uid="{00000000-0005-0000-0000-0000E4750000}"/>
    <cellStyle name="Normal 5 5 4 2 3 2" xfId="41342" xr:uid="{00000000-0005-0000-0000-0000E5750000}"/>
    <cellStyle name="Normal 5 5 4 2 4" xfId="29037" xr:uid="{00000000-0005-0000-0000-0000E6750000}"/>
    <cellStyle name="Normal 5 5 4 3" xfId="12204" xr:uid="{00000000-0005-0000-0000-0000E7750000}"/>
    <cellStyle name="Normal 5 5 4 3 2" xfId="32124" xr:uid="{00000000-0005-0000-0000-0000E8750000}"/>
    <cellStyle name="Normal 5 5 4 4" xfId="18356" xr:uid="{00000000-0005-0000-0000-0000E9750000}"/>
    <cellStyle name="Normal 5 5 4 4 2" xfId="38276" xr:uid="{00000000-0005-0000-0000-0000EA750000}"/>
    <cellStyle name="Normal 5 5 4 5" xfId="25971" xr:uid="{00000000-0005-0000-0000-0000EB750000}"/>
    <cellStyle name="Normal 5 5 5" xfId="7542" xr:uid="{00000000-0005-0000-0000-0000EC750000}"/>
    <cellStyle name="Normal 5 5 5 2" xfId="13736" xr:uid="{00000000-0005-0000-0000-0000ED750000}"/>
    <cellStyle name="Normal 5 5 5 2 2" xfId="33656" xr:uid="{00000000-0005-0000-0000-0000EE750000}"/>
    <cellStyle name="Normal 5 5 5 3" xfId="19888" xr:uid="{00000000-0005-0000-0000-0000EF750000}"/>
    <cellStyle name="Normal 5 5 5 3 2" xfId="39808" xr:uid="{00000000-0005-0000-0000-0000F0750000}"/>
    <cellStyle name="Normal 5 5 5 4" xfId="27503" xr:uid="{00000000-0005-0000-0000-0000F1750000}"/>
    <cellStyle name="Normal 5 5 6" xfId="10670" xr:uid="{00000000-0005-0000-0000-0000F2750000}"/>
    <cellStyle name="Normal 5 5 6 2" xfId="30590" xr:uid="{00000000-0005-0000-0000-0000F3750000}"/>
    <cellStyle name="Normal 5 5 7" xfId="16822" xr:uid="{00000000-0005-0000-0000-0000F4750000}"/>
    <cellStyle name="Normal 5 5 7 2" xfId="36742" xr:uid="{00000000-0005-0000-0000-0000F5750000}"/>
    <cellStyle name="Normal 5 5 8" xfId="3940" xr:uid="{00000000-0005-0000-0000-0000F6750000}"/>
    <cellStyle name="Normal 5 5 8 2" xfId="24437" xr:uid="{00000000-0005-0000-0000-0000F7750000}"/>
    <cellStyle name="Normal 5 5 9" xfId="22743" xr:uid="{00000000-0005-0000-0000-0000F8750000}"/>
    <cellStyle name="Normal 5 5 9 2" xfId="42654" xr:uid="{00000000-0005-0000-0000-0000F9750000}"/>
    <cellStyle name="Normal 5 6" xfId="227" xr:uid="{00000000-0005-0000-0000-0000FA750000}"/>
    <cellStyle name="Normal 5 6 10" xfId="23049" xr:uid="{00000000-0005-0000-0000-0000FB750000}"/>
    <cellStyle name="Normal 5 6 10 2" xfId="42960" xr:uid="{00000000-0005-0000-0000-0000FC750000}"/>
    <cellStyle name="Normal 5 6 11" xfId="23360" xr:uid="{00000000-0005-0000-0000-0000FD750000}"/>
    <cellStyle name="Normal 5 6 2" xfId="781" xr:uid="{00000000-0005-0000-0000-0000FE750000}"/>
    <cellStyle name="Normal 5 6 2 2" xfId="3943" xr:uid="{00000000-0005-0000-0000-0000FF750000}"/>
    <cellStyle name="Normal 5 6 2 3" xfId="23663" xr:uid="{00000000-0005-0000-0000-000000760000}"/>
    <cellStyle name="Normal 5 6 3" xfId="5136" xr:uid="{00000000-0005-0000-0000-000001760000}"/>
    <cellStyle name="Normal 5 6 3 2" xfId="6761" xr:uid="{00000000-0005-0000-0000-000002760000}"/>
    <cellStyle name="Normal 5 6 3 2 2" xfId="9847" xr:uid="{00000000-0005-0000-0000-000003760000}"/>
    <cellStyle name="Normal 5 6 3 2 2 2" xfId="16040" xr:uid="{00000000-0005-0000-0000-000004760000}"/>
    <cellStyle name="Normal 5 6 3 2 2 2 2" xfId="35960" xr:uid="{00000000-0005-0000-0000-000005760000}"/>
    <cellStyle name="Normal 5 6 3 2 2 3" xfId="22192" xr:uid="{00000000-0005-0000-0000-000006760000}"/>
    <cellStyle name="Normal 5 6 3 2 2 3 2" xfId="42112" xr:uid="{00000000-0005-0000-0000-000007760000}"/>
    <cellStyle name="Normal 5 6 3 2 2 4" xfId="29807" xr:uid="{00000000-0005-0000-0000-000008760000}"/>
    <cellStyle name="Normal 5 6 3 2 3" xfId="12974" xr:uid="{00000000-0005-0000-0000-000009760000}"/>
    <cellStyle name="Normal 5 6 3 2 3 2" xfId="32894" xr:uid="{00000000-0005-0000-0000-00000A760000}"/>
    <cellStyle name="Normal 5 6 3 2 4" xfId="19126" xr:uid="{00000000-0005-0000-0000-00000B760000}"/>
    <cellStyle name="Normal 5 6 3 2 4 2" xfId="39046" xr:uid="{00000000-0005-0000-0000-00000C760000}"/>
    <cellStyle name="Normal 5 6 3 2 5" xfId="26741" xr:uid="{00000000-0005-0000-0000-00000D760000}"/>
    <cellStyle name="Normal 5 6 3 3" xfId="8312" xr:uid="{00000000-0005-0000-0000-00000E760000}"/>
    <cellStyle name="Normal 5 6 3 3 2" xfId="14506" xr:uid="{00000000-0005-0000-0000-00000F760000}"/>
    <cellStyle name="Normal 5 6 3 3 2 2" xfId="34426" xr:uid="{00000000-0005-0000-0000-000010760000}"/>
    <cellStyle name="Normal 5 6 3 3 3" xfId="20658" xr:uid="{00000000-0005-0000-0000-000011760000}"/>
    <cellStyle name="Normal 5 6 3 3 3 2" xfId="40578" xr:uid="{00000000-0005-0000-0000-000012760000}"/>
    <cellStyle name="Normal 5 6 3 3 4" xfId="28273" xr:uid="{00000000-0005-0000-0000-000013760000}"/>
    <cellStyle name="Normal 5 6 3 4" xfId="11440" xr:uid="{00000000-0005-0000-0000-000014760000}"/>
    <cellStyle name="Normal 5 6 3 4 2" xfId="31360" xr:uid="{00000000-0005-0000-0000-000015760000}"/>
    <cellStyle name="Normal 5 6 3 5" xfId="17592" xr:uid="{00000000-0005-0000-0000-000016760000}"/>
    <cellStyle name="Normal 5 6 3 5 2" xfId="37512" xr:uid="{00000000-0005-0000-0000-000017760000}"/>
    <cellStyle name="Normal 5 6 3 6" xfId="25207" xr:uid="{00000000-0005-0000-0000-000018760000}"/>
    <cellStyle name="Normal 5 6 4" xfId="5978" xr:uid="{00000000-0005-0000-0000-000019760000}"/>
    <cellStyle name="Normal 5 6 4 2" xfId="9078" xr:uid="{00000000-0005-0000-0000-00001A760000}"/>
    <cellStyle name="Normal 5 6 4 2 2" xfId="15271" xr:uid="{00000000-0005-0000-0000-00001B760000}"/>
    <cellStyle name="Normal 5 6 4 2 2 2" xfId="35191" xr:uid="{00000000-0005-0000-0000-00001C760000}"/>
    <cellStyle name="Normal 5 6 4 2 3" xfId="21423" xr:uid="{00000000-0005-0000-0000-00001D760000}"/>
    <cellStyle name="Normal 5 6 4 2 3 2" xfId="41343" xr:uid="{00000000-0005-0000-0000-00001E760000}"/>
    <cellStyle name="Normal 5 6 4 2 4" xfId="29038" xr:uid="{00000000-0005-0000-0000-00001F760000}"/>
    <cellStyle name="Normal 5 6 4 3" xfId="12205" xr:uid="{00000000-0005-0000-0000-000020760000}"/>
    <cellStyle name="Normal 5 6 4 3 2" xfId="32125" xr:uid="{00000000-0005-0000-0000-000021760000}"/>
    <cellStyle name="Normal 5 6 4 4" xfId="18357" xr:uid="{00000000-0005-0000-0000-000022760000}"/>
    <cellStyle name="Normal 5 6 4 4 2" xfId="38277" xr:uid="{00000000-0005-0000-0000-000023760000}"/>
    <cellStyle name="Normal 5 6 4 5" xfId="25972" xr:uid="{00000000-0005-0000-0000-000024760000}"/>
    <cellStyle name="Normal 5 6 5" xfId="7543" xr:uid="{00000000-0005-0000-0000-000025760000}"/>
    <cellStyle name="Normal 5 6 5 2" xfId="13737" xr:uid="{00000000-0005-0000-0000-000026760000}"/>
    <cellStyle name="Normal 5 6 5 2 2" xfId="33657" xr:uid="{00000000-0005-0000-0000-000027760000}"/>
    <cellStyle name="Normal 5 6 5 3" xfId="19889" xr:uid="{00000000-0005-0000-0000-000028760000}"/>
    <cellStyle name="Normal 5 6 5 3 2" xfId="39809" xr:uid="{00000000-0005-0000-0000-000029760000}"/>
    <cellStyle name="Normal 5 6 5 4" xfId="27504" xr:uid="{00000000-0005-0000-0000-00002A760000}"/>
    <cellStyle name="Normal 5 6 6" xfId="10671" xr:uid="{00000000-0005-0000-0000-00002B760000}"/>
    <cellStyle name="Normal 5 6 6 2" xfId="30591" xr:uid="{00000000-0005-0000-0000-00002C760000}"/>
    <cellStyle name="Normal 5 6 7" xfId="16823" xr:uid="{00000000-0005-0000-0000-00002D760000}"/>
    <cellStyle name="Normal 5 6 7 2" xfId="36743" xr:uid="{00000000-0005-0000-0000-00002E760000}"/>
    <cellStyle name="Normal 5 6 8" xfId="3942" xr:uid="{00000000-0005-0000-0000-00002F760000}"/>
    <cellStyle name="Normal 5 6 8 2" xfId="24438" xr:uid="{00000000-0005-0000-0000-000030760000}"/>
    <cellStyle name="Normal 5 6 9" xfId="22746" xr:uid="{00000000-0005-0000-0000-000031760000}"/>
    <cellStyle name="Normal 5 6 9 2" xfId="42657" xr:uid="{00000000-0005-0000-0000-000032760000}"/>
    <cellStyle name="Normal 5 7" xfId="243" xr:uid="{00000000-0005-0000-0000-000033760000}"/>
    <cellStyle name="Normal 5 7 10" xfId="23052" xr:uid="{00000000-0005-0000-0000-000034760000}"/>
    <cellStyle name="Normal 5 7 10 2" xfId="42963" xr:uid="{00000000-0005-0000-0000-000035760000}"/>
    <cellStyle name="Normal 5 7 11" xfId="23363" xr:uid="{00000000-0005-0000-0000-000036760000}"/>
    <cellStyle name="Normal 5 7 2" xfId="784" xr:uid="{00000000-0005-0000-0000-000037760000}"/>
    <cellStyle name="Normal 5 7 2 2" xfId="3945" xr:uid="{00000000-0005-0000-0000-000038760000}"/>
    <cellStyle name="Normal 5 7 2 3" xfId="23666" xr:uid="{00000000-0005-0000-0000-000039760000}"/>
    <cellStyle name="Normal 5 7 3" xfId="5137" xr:uid="{00000000-0005-0000-0000-00003A760000}"/>
    <cellStyle name="Normal 5 7 3 2" xfId="6762" xr:uid="{00000000-0005-0000-0000-00003B760000}"/>
    <cellStyle name="Normal 5 7 3 2 2" xfId="9848" xr:uid="{00000000-0005-0000-0000-00003C760000}"/>
    <cellStyle name="Normal 5 7 3 2 2 2" xfId="16041" xr:uid="{00000000-0005-0000-0000-00003D760000}"/>
    <cellStyle name="Normal 5 7 3 2 2 2 2" xfId="35961" xr:uid="{00000000-0005-0000-0000-00003E760000}"/>
    <cellStyle name="Normal 5 7 3 2 2 3" xfId="22193" xr:uid="{00000000-0005-0000-0000-00003F760000}"/>
    <cellStyle name="Normal 5 7 3 2 2 3 2" xfId="42113" xr:uid="{00000000-0005-0000-0000-000040760000}"/>
    <cellStyle name="Normal 5 7 3 2 2 4" xfId="29808" xr:uid="{00000000-0005-0000-0000-000041760000}"/>
    <cellStyle name="Normal 5 7 3 2 3" xfId="12975" xr:uid="{00000000-0005-0000-0000-000042760000}"/>
    <cellStyle name="Normal 5 7 3 2 3 2" xfId="32895" xr:uid="{00000000-0005-0000-0000-000043760000}"/>
    <cellStyle name="Normal 5 7 3 2 4" xfId="19127" xr:uid="{00000000-0005-0000-0000-000044760000}"/>
    <cellStyle name="Normal 5 7 3 2 4 2" xfId="39047" xr:uid="{00000000-0005-0000-0000-000045760000}"/>
    <cellStyle name="Normal 5 7 3 2 5" xfId="26742" xr:uid="{00000000-0005-0000-0000-000046760000}"/>
    <cellStyle name="Normal 5 7 3 3" xfId="8313" xr:uid="{00000000-0005-0000-0000-000047760000}"/>
    <cellStyle name="Normal 5 7 3 3 2" xfId="14507" xr:uid="{00000000-0005-0000-0000-000048760000}"/>
    <cellStyle name="Normal 5 7 3 3 2 2" xfId="34427" xr:uid="{00000000-0005-0000-0000-000049760000}"/>
    <cellStyle name="Normal 5 7 3 3 3" xfId="20659" xr:uid="{00000000-0005-0000-0000-00004A760000}"/>
    <cellStyle name="Normal 5 7 3 3 3 2" xfId="40579" xr:uid="{00000000-0005-0000-0000-00004B760000}"/>
    <cellStyle name="Normal 5 7 3 3 4" xfId="28274" xr:uid="{00000000-0005-0000-0000-00004C760000}"/>
    <cellStyle name="Normal 5 7 3 4" xfId="11441" xr:uid="{00000000-0005-0000-0000-00004D760000}"/>
    <cellStyle name="Normal 5 7 3 4 2" xfId="31361" xr:uid="{00000000-0005-0000-0000-00004E760000}"/>
    <cellStyle name="Normal 5 7 3 5" xfId="17593" xr:uid="{00000000-0005-0000-0000-00004F760000}"/>
    <cellStyle name="Normal 5 7 3 5 2" xfId="37513" xr:uid="{00000000-0005-0000-0000-000050760000}"/>
    <cellStyle name="Normal 5 7 3 6" xfId="25208" xr:uid="{00000000-0005-0000-0000-000051760000}"/>
    <cellStyle name="Normal 5 7 4" xfId="5979" xr:uid="{00000000-0005-0000-0000-000052760000}"/>
    <cellStyle name="Normal 5 7 4 2" xfId="9079" xr:uid="{00000000-0005-0000-0000-000053760000}"/>
    <cellStyle name="Normal 5 7 4 2 2" xfId="15272" xr:uid="{00000000-0005-0000-0000-000054760000}"/>
    <cellStyle name="Normal 5 7 4 2 2 2" xfId="35192" xr:uid="{00000000-0005-0000-0000-000055760000}"/>
    <cellStyle name="Normal 5 7 4 2 3" xfId="21424" xr:uid="{00000000-0005-0000-0000-000056760000}"/>
    <cellStyle name="Normal 5 7 4 2 3 2" xfId="41344" xr:uid="{00000000-0005-0000-0000-000057760000}"/>
    <cellStyle name="Normal 5 7 4 2 4" xfId="29039" xr:uid="{00000000-0005-0000-0000-000058760000}"/>
    <cellStyle name="Normal 5 7 4 3" xfId="12206" xr:uid="{00000000-0005-0000-0000-000059760000}"/>
    <cellStyle name="Normal 5 7 4 3 2" xfId="32126" xr:uid="{00000000-0005-0000-0000-00005A760000}"/>
    <cellStyle name="Normal 5 7 4 4" xfId="18358" xr:uid="{00000000-0005-0000-0000-00005B760000}"/>
    <cellStyle name="Normal 5 7 4 4 2" xfId="38278" xr:uid="{00000000-0005-0000-0000-00005C760000}"/>
    <cellStyle name="Normal 5 7 4 5" xfId="25973" xr:uid="{00000000-0005-0000-0000-00005D760000}"/>
    <cellStyle name="Normal 5 7 5" xfId="7544" xr:uid="{00000000-0005-0000-0000-00005E760000}"/>
    <cellStyle name="Normal 5 7 5 2" xfId="13738" xr:uid="{00000000-0005-0000-0000-00005F760000}"/>
    <cellStyle name="Normal 5 7 5 2 2" xfId="33658" xr:uid="{00000000-0005-0000-0000-000060760000}"/>
    <cellStyle name="Normal 5 7 5 3" xfId="19890" xr:uid="{00000000-0005-0000-0000-000061760000}"/>
    <cellStyle name="Normal 5 7 5 3 2" xfId="39810" xr:uid="{00000000-0005-0000-0000-000062760000}"/>
    <cellStyle name="Normal 5 7 5 4" xfId="27505" xr:uid="{00000000-0005-0000-0000-000063760000}"/>
    <cellStyle name="Normal 5 7 6" xfId="10672" xr:uid="{00000000-0005-0000-0000-000064760000}"/>
    <cellStyle name="Normal 5 7 6 2" xfId="30592" xr:uid="{00000000-0005-0000-0000-000065760000}"/>
    <cellStyle name="Normal 5 7 7" xfId="16824" xr:uid="{00000000-0005-0000-0000-000066760000}"/>
    <cellStyle name="Normal 5 7 7 2" xfId="36744" xr:uid="{00000000-0005-0000-0000-000067760000}"/>
    <cellStyle name="Normal 5 7 8" xfId="3944" xr:uid="{00000000-0005-0000-0000-000068760000}"/>
    <cellStyle name="Normal 5 7 8 2" xfId="24439" xr:uid="{00000000-0005-0000-0000-000069760000}"/>
    <cellStyle name="Normal 5 7 9" xfId="22749" xr:uid="{00000000-0005-0000-0000-00006A760000}"/>
    <cellStyle name="Normal 5 7 9 2" xfId="42660" xr:uid="{00000000-0005-0000-0000-00006B760000}"/>
    <cellStyle name="Normal 5 8" xfId="258" xr:uid="{00000000-0005-0000-0000-00006C760000}"/>
    <cellStyle name="Normal 5 8 2" xfId="787" xr:uid="{00000000-0005-0000-0000-00006D760000}"/>
    <cellStyle name="Normal 5 8 2 2" xfId="23669" xr:uid="{00000000-0005-0000-0000-00006E760000}"/>
    <cellStyle name="Normal 5 8 3" xfId="3946" xr:uid="{00000000-0005-0000-0000-00006F760000}"/>
    <cellStyle name="Normal 5 8 4" xfId="22568" xr:uid="{00000000-0005-0000-0000-000070760000}"/>
    <cellStyle name="Normal 5 8 4 2" xfId="42479" xr:uid="{00000000-0005-0000-0000-000071760000}"/>
    <cellStyle name="Normal 5 8 5" xfId="22752" xr:uid="{00000000-0005-0000-0000-000072760000}"/>
    <cellStyle name="Normal 5 8 5 2" xfId="42663" xr:uid="{00000000-0005-0000-0000-000073760000}"/>
    <cellStyle name="Normal 5 8 6" xfId="23055" xr:uid="{00000000-0005-0000-0000-000074760000}"/>
    <cellStyle name="Normal 5 8 6 2" xfId="42966" xr:uid="{00000000-0005-0000-0000-000075760000}"/>
    <cellStyle name="Normal 5 8 7" xfId="23366" xr:uid="{00000000-0005-0000-0000-000076760000}"/>
    <cellStyle name="Normal 5 9" xfId="274" xr:uid="{00000000-0005-0000-0000-000077760000}"/>
    <cellStyle name="Normal 5 9 2" xfId="790" xr:uid="{00000000-0005-0000-0000-000078760000}"/>
    <cellStyle name="Normal 5 9 2 2" xfId="23672" xr:uid="{00000000-0005-0000-0000-000079760000}"/>
    <cellStyle name="Normal 5 9 3" xfId="3947" xr:uid="{00000000-0005-0000-0000-00007A760000}"/>
    <cellStyle name="Normal 5 9 4" xfId="22515" xr:uid="{00000000-0005-0000-0000-00007B760000}"/>
    <cellStyle name="Normal 5 9 4 2" xfId="42426" xr:uid="{00000000-0005-0000-0000-00007C760000}"/>
    <cellStyle name="Normal 5 9 5" xfId="22755" xr:uid="{00000000-0005-0000-0000-00007D760000}"/>
    <cellStyle name="Normal 5 9 5 2" xfId="42666" xr:uid="{00000000-0005-0000-0000-00007E760000}"/>
    <cellStyle name="Normal 5 9 6" xfId="23058" xr:uid="{00000000-0005-0000-0000-00007F760000}"/>
    <cellStyle name="Normal 5 9 6 2" xfId="42969" xr:uid="{00000000-0005-0000-0000-000080760000}"/>
    <cellStyle name="Normal 5 9 7" xfId="23369" xr:uid="{00000000-0005-0000-0000-000081760000}"/>
    <cellStyle name="Normal 5_GRCW" xfId="27" xr:uid="{00000000-0005-0000-0000-000082760000}"/>
    <cellStyle name="Normal 50" xfId="1197" xr:uid="{00000000-0005-0000-0000-000083760000}"/>
    <cellStyle name="Normal 50 2" xfId="4645" xr:uid="{00000000-0005-0000-0000-000084760000}"/>
    <cellStyle name="Normal 50 2 2" xfId="6270" xr:uid="{00000000-0005-0000-0000-000085760000}"/>
    <cellStyle name="Normal 50 2 2 2" xfId="9356" xr:uid="{00000000-0005-0000-0000-000086760000}"/>
    <cellStyle name="Normal 50 2 2 2 2" xfId="15549" xr:uid="{00000000-0005-0000-0000-000087760000}"/>
    <cellStyle name="Normal 50 2 2 2 2 2" xfId="35469" xr:uid="{00000000-0005-0000-0000-000088760000}"/>
    <cellStyle name="Normal 50 2 2 2 3" xfId="21701" xr:uid="{00000000-0005-0000-0000-000089760000}"/>
    <cellStyle name="Normal 50 2 2 2 3 2" xfId="41621" xr:uid="{00000000-0005-0000-0000-00008A760000}"/>
    <cellStyle name="Normal 50 2 2 2 4" xfId="29316" xr:uid="{00000000-0005-0000-0000-00008B760000}"/>
    <cellStyle name="Normal 50 2 2 3" xfId="12483" xr:uid="{00000000-0005-0000-0000-00008C760000}"/>
    <cellStyle name="Normal 50 2 2 3 2" xfId="32403" xr:uid="{00000000-0005-0000-0000-00008D760000}"/>
    <cellStyle name="Normal 50 2 2 4" xfId="18635" xr:uid="{00000000-0005-0000-0000-00008E760000}"/>
    <cellStyle name="Normal 50 2 2 4 2" xfId="38555" xr:uid="{00000000-0005-0000-0000-00008F760000}"/>
    <cellStyle name="Normal 50 2 2 5" xfId="26250" xr:uid="{00000000-0005-0000-0000-000090760000}"/>
    <cellStyle name="Normal 50 2 3" xfId="7821" xr:uid="{00000000-0005-0000-0000-000091760000}"/>
    <cellStyle name="Normal 50 2 3 2" xfId="14015" xr:uid="{00000000-0005-0000-0000-000092760000}"/>
    <cellStyle name="Normal 50 2 3 2 2" xfId="33935" xr:uid="{00000000-0005-0000-0000-000093760000}"/>
    <cellStyle name="Normal 50 2 3 3" xfId="20167" xr:uid="{00000000-0005-0000-0000-000094760000}"/>
    <cellStyle name="Normal 50 2 3 3 2" xfId="40087" xr:uid="{00000000-0005-0000-0000-000095760000}"/>
    <cellStyle name="Normal 50 2 3 4" xfId="27782" xr:uid="{00000000-0005-0000-0000-000096760000}"/>
    <cellStyle name="Normal 50 2 4" xfId="10949" xr:uid="{00000000-0005-0000-0000-000097760000}"/>
    <cellStyle name="Normal 50 2 4 2" xfId="30869" xr:uid="{00000000-0005-0000-0000-000098760000}"/>
    <cellStyle name="Normal 50 2 5" xfId="17101" xr:uid="{00000000-0005-0000-0000-000099760000}"/>
    <cellStyle name="Normal 50 2 5 2" xfId="37021" xr:uid="{00000000-0005-0000-0000-00009A760000}"/>
    <cellStyle name="Normal 50 2 6" xfId="24716" xr:uid="{00000000-0005-0000-0000-00009B760000}"/>
    <cellStyle name="Normal 50 3" xfId="5484" xr:uid="{00000000-0005-0000-0000-00009C760000}"/>
    <cellStyle name="Normal 50 3 2" xfId="8587" xr:uid="{00000000-0005-0000-0000-00009D760000}"/>
    <cellStyle name="Normal 50 3 2 2" xfId="14780" xr:uid="{00000000-0005-0000-0000-00009E760000}"/>
    <cellStyle name="Normal 50 3 2 2 2" xfId="34700" xr:uid="{00000000-0005-0000-0000-00009F760000}"/>
    <cellStyle name="Normal 50 3 2 3" xfId="20932" xr:uid="{00000000-0005-0000-0000-0000A0760000}"/>
    <cellStyle name="Normal 50 3 2 3 2" xfId="40852" xr:uid="{00000000-0005-0000-0000-0000A1760000}"/>
    <cellStyle name="Normal 50 3 2 4" xfId="28547" xr:uid="{00000000-0005-0000-0000-0000A2760000}"/>
    <cellStyle name="Normal 50 3 3" xfId="11714" xr:uid="{00000000-0005-0000-0000-0000A3760000}"/>
    <cellStyle name="Normal 50 3 3 2" xfId="31634" xr:uid="{00000000-0005-0000-0000-0000A4760000}"/>
    <cellStyle name="Normal 50 3 4" xfId="17866" xr:uid="{00000000-0005-0000-0000-0000A5760000}"/>
    <cellStyle name="Normal 50 3 4 2" xfId="37786" xr:uid="{00000000-0005-0000-0000-0000A6760000}"/>
    <cellStyle name="Normal 50 3 5" xfId="25481" xr:uid="{00000000-0005-0000-0000-0000A7760000}"/>
    <cellStyle name="Normal 50 4" xfId="7052" xr:uid="{00000000-0005-0000-0000-0000A8760000}"/>
    <cellStyle name="Normal 50 4 2" xfId="13246" xr:uid="{00000000-0005-0000-0000-0000A9760000}"/>
    <cellStyle name="Normal 50 4 2 2" xfId="33166" xr:uid="{00000000-0005-0000-0000-0000AA760000}"/>
    <cellStyle name="Normal 50 4 3" xfId="19398" xr:uid="{00000000-0005-0000-0000-0000AB760000}"/>
    <cellStyle name="Normal 50 4 3 2" xfId="39318" xr:uid="{00000000-0005-0000-0000-0000AC760000}"/>
    <cellStyle name="Normal 50 4 4" xfId="27013" xr:uid="{00000000-0005-0000-0000-0000AD760000}"/>
    <cellStyle name="Normal 50 5" xfId="10180" xr:uid="{00000000-0005-0000-0000-0000AE760000}"/>
    <cellStyle name="Normal 50 5 2" xfId="30100" xr:uid="{00000000-0005-0000-0000-0000AF760000}"/>
    <cellStyle name="Normal 50 6" xfId="16332" xr:uid="{00000000-0005-0000-0000-0000B0760000}"/>
    <cellStyle name="Normal 50 6 2" xfId="36252" xr:uid="{00000000-0005-0000-0000-0000B1760000}"/>
    <cellStyle name="Normal 50 7" xfId="23947" xr:uid="{00000000-0005-0000-0000-0000B2760000}"/>
    <cellStyle name="Normal 51" xfId="4609" xr:uid="{00000000-0005-0000-0000-0000B3760000}"/>
    <cellStyle name="Normal 51 2" xfId="4620" xr:uid="{00000000-0005-0000-0000-0000B4760000}"/>
    <cellStyle name="Normal 51 3" xfId="6241" xr:uid="{00000000-0005-0000-0000-0000B5760000}"/>
    <cellStyle name="Normal 51 3 2" xfId="9327" xr:uid="{00000000-0005-0000-0000-0000B6760000}"/>
    <cellStyle name="Normal 51 3 2 2" xfId="15520" xr:uid="{00000000-0005-0000-0000-0000B7760000}"/>
    <cellStyle name="Normal 51 3 2 2 2" xfId="35440" xr:uid="{00000000-0005-0000-0000-0000B8760000}"/>
    <cellStyle name="Normal 51 3 2 3" xfId="21672" xr:uid="{00000000-0005-0000-0000-0000B9760000}"/>
    <cellStyle name="Normal 51 3 2 3 2" xfId="41592" xr:uid="{00000000-0005-0000-0000-0000BA760000}"/>
    <cellStyle name="Normal 51 3 2 4" xfId="29287" xr:uid="{00000000-0005-0000-0000-0000BB760000}"/>
    <cellStyle name="Normal 51 3 3" xfId="12454" xr:uid="{00000000-0005-0000-0000-0000BC760000}"/>
    <cellStyle name="Normal 51 3 3 2" xfId="32374" xr:uid="{00000000-0005-0000-0000-0000BD760000}"/>
    <cellStyle name="Normal 51 3 4" xfId="18606" xr:uid="{00000000-0005-0000-0000-0000BE760000}"/>
    <cellStyle name="Normal 51 3 4 2" xfId="38526" xr:uid="{00000000-0005-0000-0000-0000BF760000}"/>
    <cellStyle name="Normal 51 3 5" xfId="26221" xr:uid="{00000000-0005-0000-0000-0000C0760000}"/>
    <cellStyle name="Normal 51 4" xfId="7792" xr:uid="{00000000-0005-0000-0000-0000C1760000}"/>
    <cellStyle name="Normal 51 4 2" xfId="13986" xr:uid="{00000000-0005-0000-0000-0000C2760000}"/>
    <cellStyle name="Normal 51 4 2 2" xfId="33906" xr:uid="{00000000-0005-0000-0000-0000C3760000}"/>
    <cellStyle name="Normal 51 4 3" xfId="20138" xr:uid="{00000000-0005-0000-0000-0000C4760000}"/>
    <cellStyle name="Normal 51 4 3 2" xfId="40058" xr:uid="{00000000-0005-0000-0000-0000C5760000}"/>
    <cellStyle name="Normal 51 4 4" xfId="27753" xr:uid="{00000000-0005-0000-0000-0000C6760000}"/>
    <cellStyle name="Normal 51 5" xfId="10920" xr:uid="{00000000-0005-0000-0000-0000C7760000}"/>
    <cellStyle name="Normal 51 5 2" xfId="30840" xr:uid="{00000000-0005-0000-0000-0000C8760000}"/>
    <cellStyle name="Normal 51 6" xfId="17072" xr:uid="{00000000-0005-0000-0000-0000C9760000}"/>
    <cellStyle name="Normal 51 6 2" xfId="36992" xr:uid="{00000000-0005-0000-0000-0000CA760000}"/>
    <cellStyle name="Normal 51 7" xfId="24687" xr:uid="{00000000-0005-0000-0000-0000CB760000}"/>
    <cellStyle name="Normal 52" xfId="5457" xr:uid="{00000000-0005-0000-0000-0000CC760000}"/>
    <cellStyle name="Normal 52 2" xfId="8561" xr:uid="{00000000-0005-0000-0000-0000CD760000}"/>
    <cellStyle name="Normal 52 2 2" xfId="14755" xr:uid="{00000000-0005-0000-0000-0000CE760000}"/>
    <cellStyle name="Normal 52 2 2 2" xfId="34675" xr:uid="{00000000-0005-0000-0000-0000CF760000}"/>
    <cellStyle name="Normal 52 2 3" xfId="20907" xr:uid="{00000000-0005-0000-0000-0000D0760000}"/>
    <cellStyle name="Normal 52 2 3 2" xfId="40827" xr:uid="{00000000-0005-0000-0000-0000D1760000}"/>
    <cellStyle name="Normal 52 2 4" xfId="28522" xr:uid="{00000000-0005-0000-0000-0000D2760000}"/>
    <cellStyle name="Normal 52 3" xfId="11689" xr:uid="{00000000-0005-0000-0000-0000D3760000}"/>
    <cellStyle name="Normal 52 3 2" xfId="31609" xr:uid="{00000000-0005-0000-0000-0000D4760000}"/>
    <cellStyle name="Normal 52 4" xfId="17841" xr:uid="{00000000-0005-0000-0000-0000D5760000}"/>
    <cellStyle name="Normal 52 4 2" xfId="37761" xr:uid="{00000000-0005-0000-0000-0000D6760000}"/>
    <cellStyle name="Normal 52 5" xfId="25456" xr:uid="{00000000-0005-0000-0000-0000D7760000}"/>
    <cellStyle name="Normal 53" xfId="7023" xr:uid="{00000000-0005-0000-0000-0000D8760000}"/>
    <cellStyle name="Normal 54" xfId="7022" xr:uid="{00000000-0005-0000-0000-0000D9760000}"/>
    <cellStyle name="Normal 54 2" xfId="13223" xr:uid="{00000000-0005-0000-0000-0000DA760000}"/>
    <cellStyle name="Normal 54 2 2" xfId="33143" xr:uid="{00000000-0005-0000-0000-0000DB760000}"/>
    <cellStyle name="Normal 54 3" xfId="19375" xr:uid="{00000000-0005-0000-0000-0000DC760000}"/>
    <cellStyle name="Normal 54 3 2" xfId="39295" xr:uid="{00000000-0005-0000-0000-0000DD760000}"/>
    <cellStyle name="Normal 54 4" xfId="26990" xr:uid="{00000000-0005-0000-0000-0000DE760000}"/>
    <cellStyle name="Normal 55" xfId="10099" xr:uid="{00000000-0005-0000-0000-0000DF760000}"/>
    <cellStyle name="Normal 56" xfId="10151" xr:uid="{00000000-0005-0000-0000-0000E0760000}"/>
    <cellStyle name="Normal 57" xfId="10150" xr:uid="{00000000-0005-0000-0000-0000E1760000}"/>
    <cellStyle name="Normal 57 2" xfId="30077" xr:uid="{00000000-0005-0000-0000-0000E2760000}"/>
    <cellStyle name="Normal 58" xfId="1055" xr:uid="{00000000-0005-0000-0000-0000E3760000}"/>
    <cellStyle name="Normal 59" xfId="1036" xr:uid="{00000000-0005-0000-0000-0000E4760000}"/>
    <cellStyle name="Normal 59 2" xfId="23917" xr:uid="{00000000-0005-0000-0000-0000E5760000}"/>
    <cellStyle name="Normal 6" xfId="28" xr:uid="{00000000-0005-0000-0000-0000E6760000}"/>
    <cellStyle name="Normal 6 2" xfId="1049" xr:uid="{00000000-0005-0000-0000-0000E7760000}"/>
    <cellStyle name="Normal 6 2 2" xfId="3949" xr:uid="{00000000-0005-0000-0000-0000E8760000}"/>
    <cellStyle name="Normal 6 3" xfId="3950" xr:uid="{00000000-0005-0000-0000-0000E9760000}"/>
    <cellStyle name="Normal 6 4" xfId="3951" xr:uid="{00000000-0005-0000-0000-0000EA760000}"/>
    <cellStyle name="Normal 6 5" xfId="3952" xr:uid="{00000000-0005-0000-0000-0000EB760000}"/>
    <cellStyle name="Normal 6 5 2" xfId="3953" xr:uid="{00000000-0005-0000-0000-0000EC760000}"/>
    <cellStyle name="Normal 6 6" xfId="3954" xr:uid="{00000000-0005-0000-0000-0000ED760000}"/>
    <cellStyle name="Normal 6 6 2" xfId="3955" xr:uid="{00000000-0005-0000-0000-0000EE760000}"/>
    <cellStyle name="Normal 6 7" xfId="4502" xr:uid="{00000000-0005-0000-0000-0000EF760000}"/>
    <cellStyle name="Normal 6 8" xfId="3948" xr:uid="{00000000-0005-0000-0000-0000F0760000}"/>
    <cellStyle name="Normal 60" xfId="23319" xr:uid="{00000000-0005-0000-0000-0000F1760000}"/>
    <cellStyle name="Normal 61" xfId="43214" xr:uid="{00000000-0005-0000-0000-0000F2760000}"/>
    <cellStyle name="Normal 62" xfId="43216" xr:uid="{00000000-0005-0000-0000-0000F3760000}"/>
    <cellStyle name="Normal 63" xfId="43218" xr:uid="{00000000-0005-0000-0000-0000F4760000}"/>
    <cellStyle name="Normal 64" xfId="43220" xr:uid="{00000000-0005-0000-0000-0000F5760000}"/>
    <cellStyle name="Normal 65" xfId="43222" xr:uid="{00000000-0005-0000-0000-0000F6760000}"/>
    <cellStyle name="Normal 66" xfId="43224" xr:uid="{00000000-0005-0000-0000-0000F7760000}"/>
    <cellStyle name="Normal 67" xfId="43226" xr:uid="{00000000-0005-0000-0000-0000F8760000}"/>
    <cellStyle name="Normal 7" xfId="29" xr:uid="{00000000-0005-0000-0000-0000F9760000}"/>
    <cellStyle name="Normal 7 10" xfId="3957" xr:uid="{00000000-0005-0000-0000-0000FA760000}"/>
    <cellStyle name="Normal 7 10 2" xfId="5139" xr:uid="{00000000-0005-0000-0000-0000FB760000}"/>
    <cellStyle name="Normal 7 10 2 2" xfId="6764" xr:uid="{00000000-0005-0000-0000-0000FC760000}"/>
    <cellStyle name="Normal 7 10 2 2 2" xfId="9850" xr:uid="{00000000-0005-0000-0000-0000FD760000}"/>
    <cellStyle name="Normal 7 10 2 2 2 2" xfId="16043" xr:uid="{00000000-0005-0000-0000-0000FE760000}"/>
    <cellStyle name="Normal 7 10 2 2 2 2 2" xfId="35963" xr:uid="{00000000-0005-0000-0000-0000FF760000}"/>
    <cellStyle name="Normal 7 10 2 2 2 3" xfId="22195" xr:uid="{00000000-0005-0000-0000-000000770000}"/>
    <cellStyle name="Normal 7 10 2 2 2 3 2" xfId="42115" xr:uid="{00000000-0005-0000-0000-000001770000}"/>
    <cellStyle name="Normal 7 10 2 2 2 4" xfId="29810" xr:uid="{00000000-0005-0000-0000-000002770000}"/>
    <cellStyle name="Normal 7 10 2 2 3" xfId="12977" xr:uid="{00000000-0005-0000-0000-000003770000}"/>
    <cellStyle name="Normal 7 10 2 2 3 2" xfId="32897" xr:uid="{00000000-0005-0000-0000-000004770000}"/>
    <cellStyle name="Normal 7 10 2 2 4" xfId="19129" xr:uid="{00000000-0005-0000-0000-000005770000}"/>
    <cellStyle name="Normal 7 10 2 2 4 2" xfId="39049" xr:uid="{00000000-0005-0000-0000-000006770000}"/>
    <cellStyle name="Normal 7 10 2 2 5" xfId="26744" xr:uid="{00000000-0005-0000-0000-000007770000}"/>
    <cellStyle name="Normal 7 10 2 3" xfId="8315" xr:uid="{00000000-0005-0000-0000-000008770000}"/>
    <cellStyle name="Normal 7 10 2 3 2" xfId="14509" xr:uid="{00000000-0005-0000-0000-000009770000}"/>
    <cellStyle name="Normal 7 10 2 3 2 2" xfId="34429" xr:uid="{00000000-0005-0000-0000-00000A770000}"/>
    <cellStyle name="Normal 7 10 2 3 3" xfId="20661" xr:uid="{00000000-0005-0000-0000-00000B770000}"/>
    <cellStyle name="Normal 7 10 2 3 3 2" xfId="40581" xr:uid="{00000000-0005-0000-0000-00000C770000}"/>
    <cellStyle name="Normal 7 10 2 3 4" xfId="28276" xr:uid="{00000000-0005-0000-0000-00000D770000}"/>
    <cellStyle name="Normal 7 10 2 4" xfId="11443" xr:uid="{00000000-0005-0000-0000-00000E770000}"/>
    <cellStyle name="Normal 7 10 2 4 2" xfId="31363" xr:uid="{00000000-0005-0000-0000-00000F770000}"/>
    <cellStyle name="Normal 7 10 2 5" xfId="17595" xr:uid="{00000000-0005-0000-0000-000010770000}"/>
    <cellStyle name="Normal 7 10 2 5 2" xfId="37515" xr:uid="{00000000-0005-0000-0000-000011770000}"/>
    <cellStyle name="Normal 7 10 2 6" xfId="25210" xr:uid="{00000000-0005-0000-0000-000012770000}"/>
    <cellStyle name="Normal 7 10 3" xfId="5981" xr:uid="{00000000-0005-0000-0000-000013770000}"/>
    <cellStyle name="Normal 7 10 3 2" xfId="9081" xr:uid="{00000000-0005-0000-0000-000014770000}"/>
    <cellStyle name="Normal 7 10 3 2 2" xfId="15274" xr:uid="{00000000-0005-0000-0000-000015770000}"/>
    <cellStyle name="Normal 7 10 3 2 2 2" xfId="35194" xr:uid="{00000000-0005-0000-0000-000016770000}"/>
    <cellStyle name="Normal 7 10 3 2 3" xfId="21426" xr:uid="{00000000-0005-0000-0000-000017770000}"/>
    <cellStyle name="Normal 7 10 3 2 3 2" xfId="41346" xr:uid="{00000000-0005-0000-0000-000018770000}"/>
    <cellStyle name="Normal 7 10 3 2 4" xfId="29041" xr:uid="{00000000-0005-0000-0000-000019770000}"/>
    <cellStyle name="Normal 7 10 3 3" xfId="12208" xr:uid="{00000000-0005-0000-0000-00001A770000}"/>
    <cellStyle name="Normal 7 10 3 3 2" xfId="32128" xr:uid="{00000000-0005-0000-0000-00001B770000}"/>
    <cellStyle name="Normal 7 10 3 4" xfId="18360" xr:uid="{00000000-0005-0000-0000-00001C770000}"/>
    <cellStyle name="Normal 7 10 3 4 2" xfId="38280" xr:uid="{00000000-0005-0000-0000-00001D770000}"/>
    <cellStyle name="Normal 7 10 3 5" xfId="25975" xr:uid="{00000000-0005-0000-0000-00001E770000}"/>
    <cellStyle name="Normal 7 10 4" xfId="7546" xr:uid="{00000000-0005-0000-0000-00001F770000}"/>
    <cellStyle name="Normal 7 10 4 2" xfId="13740" xr:uid="{00000000-0005-0000-0000-000020770000}"/>
    <cellStyle name="Normal 7 10 4 2 2" xfId="33660" xr:uid="{00000000-0005-0000-0000-000021770000}"/>
    <cellStyle name="Normal 7 10 4 3" xfId="19892" xr:uid="{00000000-0005-0000-0000-000022770000}"/>
    <cellStyle name="Normal 7 10 4 3 2" xfId="39812" xr:uid="{00000000-0005-0000-0000-000023770000}"/>
    <cellStyle name="Normal 7 10 4 4" xfId="27507" xr:uid="{00000000-0005-0000-0000-000024770000}"/>
    <cellStyle name="Normal 7 10 5" xfId="10674" xr:uid="{00000000-0005-0000-0000-000025770000}"/>
    <cellStyle name="Normal 7 10 5 2" xfId="30594" xr:uid="{00000000-0005-0000-0000-000026770000}"/>
    <cellStyle name="Normal 7 10 6" xfId="16826" xr:uid="{00000000-0005-0000-0000-000027770000}"/>
    <cellStyle name="Normal 7 10 6 2" xfId="36746" xr:uid="{00000000-0005-0000-0000-000028770000}"/>
    <cellStyle name="Normal 7 10 7" xfId="24441" xr:uid="{00000000-0005-0000-0000-000029770000}"/>
    <cellStyle name="Normal 7 11" xfId="3958" xr:uid="{00000000-0005-0000-0000-00002A770000}"/>
    <cellStyle name="Normal 7 11 2" xfId="5140" xr:uid="{00000000-0005-0000-0000-00002B770000}"/>
    <cellStyle name="Normal 7 11 2 2" xfId="6765" xr:uid="{00000000-0005-0000-0000-00002C770000}"/>
    <cellStyle name="Normal 7 11 2 2 2" xfId="9851" xr:uid="{00000000-0005-0000-0000-00002D770000}"/>
    <cellStyle name="Normal 7 11 2 2 2 2" xfId="16044" xr:uid="{00000000-0005-0000-0000-00002E770000}"/>
    <cellStyle name="Normal 7 11 2 2 2 2 2" xfId="35964" xr:uid="{00000000-0005-0000-0000-00002F770000}"/>
    <cellStyle name="Normal 7 11 2 2 2 3" xfId="22196" xr:uid="{00000000-0005-0000-0000-000030770000}"/>
    <cellStyle name="Normal 7 11 2 2 2 3 2" xfId="42116" xr:uid="{00000000-0005-0000-0000-000031770000}"/>
    <cellStyle name="Normal 7 11 2 2 2 4" xfId="29811" xr:uid="{00000000-0005-0000-0000-000032770000}"/>
    <cellStyle name="Normal 7 11 2 2 3" xfId="12978" xr:uid="{00000000-0005-0000-0000-000033770000}"/>
    <cellStyle name="Normal 7 11 2 2 3 2" xfId="32898" xr:uid="{00000000-0005-0000-0000-000034770000}"/>
    <cellStyle name="Normal 7 11 2 2 4" xfId="19130" xr:uid="{00000000-0005-0000-0000-000035770000}"/>
    <cellStyle name="Normal 7 11 2 2 4 2" xfId="39050" xr:uid="{00000000-0005-0000-0000-000036770000}"/>
    <cellStyle name="Normal 7 11 2 2 5" xfId="26745" xr:uid="{00000000-0005-0000-0000-000037770000}"/>
    <cellStyle name="Normal 7 11 2 3" xfId="8316" xr:uid="{00000000-0005-0000-0000-000038770000}"/>
    <cellStyle name="Normal 7 11 2 3 2" xfId="14510" xr:uid="{00000000-0005-0000-0000-000039770000}"/>
    <cellStyle name="Normal 7 11 2 3 2 2" xfId="34430" xr:uid="{00000000-0005-0000-0000-00003A770000}"/>
    <cellStyle name="Normal 7 11 2 3 3" xfId="20662" xr:uid="{00000000-0005-0000-0000-00003B770000}"/>
    <cellStyle name="Normal 7 11 2 3 3 2" xfId="40582" xr:uid="{00000000-0005-0000-0000-00003C770000}"/>
    <cellStyle name="Normal 7 11 2 3 4" xfId="28277" xr:uid="{00000000-0005-0000-0000-00003D770000}"/>
    <cellStyle name="Normal 7 11 2 4" xfId="11444" xr:uid="{00000000-0005-0000-0000-00003E770000}"/>
    <cellStyle name="Normal 7 11 2 4 2" xfId="31364" xr:uid="{00000000-0005-0000-0000-00003F770000}"/>
    <cellStyle name="Normal 7 11 2 5" xfId="17596" xr:uid="{00000000-0005-0000-0000-000040770000}"/>
    <cellStyle name="Normal 7 11 2 5 2" xfId="37516" xr:uid="{00000000-0005-0000-0000-000041770000}"/>
    <cellStyle name="Normal 7 11 2 6" xfId="25211" xr:uid="{00000000-0005-0000-0000-000042770000}"/>
    <cellStyle name="Normal 7 11 3" xfId="5982" xr:uid="{00000000-0005-0000-0000-000043770000}"/>
    <cellStyle name="Normal 7 11 3 2" xfId="9082" xr:uid="{00000000-0005-0000-0000-000044770000}"/>
    <cellStyle name="Normal 7 11 3 2 2" xfId="15275" xr:uid="{00000000-0005-0000-0000-000045770000}"/>
    <cellStyle name="Normal 7 11 3 2 2 2" xfId="35195" xr:uid="{00000000-0005-0000-0000-000046770000}"/>
    <cellStyle name="Normal 7 11 3 2 3" xfId="21427" xr:uid="{00000000-0005-0000-0000-000047770000}"/>
    <cellStyle name="Normal 7 11 3 2 3 2" xfId="41347" xr:uid="{00000000-0005-0000-0000-000048770000}"/>
    <cellStyle name="Normal 7 11 3 2 4" xfId="29042" xr:uid="{00000000-0005-0000-0000-000049770000}"/>
    <cellStyle name="Normal 7 11 3 3" xfId="12209" xr:uid="{00000000-0005-0000-0000-00004A770000}"/>
    <cellStyle name="Normal 7 11 3 3 2" xfId="32129" xr:uid="{00000000-0005-0000-0000-00004B770000}"/>
    <cellStyle name="Normal 7 11 3 4" xfId="18361" xr:uid="{00000000-0005-0000-0000-00004C770000}"/>
    <cellStyle name="Normal 7 11 3 4 2" xfId="38281" xr:uid="{00000000-0005-0000-0000-00004D770000}"/>
    <cellStyle name="Normal 7 11 3 5" xfId="25976" xr:uid="{00000000-0005-0000-0000-00004E770000}"/>
    <cellStyle name="Normal 7 11 4" xfId="7547" xr:uid="{00000000-0005-0000-0000-00004F770000}"/>
    <cellStyle name="Normal 7 11 4 2" xfId="13741" xr:uid="{00000000-0005-0000-0000-000050770000}"/>
    <cellStyle name="Normal 7 11 4 2 2" xfId="33661" xr:uid="{00000000-0005-0000-0000-000051770000}"/>
    <cellStyle name="Normal 7 11 4 3" xfId="19893" xr:uid="{00000000-0005-0000-0000-000052770000}"/>
    <cellStyle name="Normal 7 11 4 3 2" xfId="39813" xr:uid="{00000000-0005-0000-0000-000053770000}"/>
    <cellStyle name="Normal 7 11 4 4" xfId="27508" xr:uid="{00000000-0005-0000-0000-000054770000}"/>
    <cellStyle name="Normal 7 11 5" xfId="10675" xr:uid="{00000000-0005-0000-0000-000055770000}"/>
    <cellStyle name="Normal 7 11 5 2" xfId="30595" xr:uid="{00000000-0005-0000-0000-000056770000}"/>
    <cellStyle name="Normal 7 11 6" xfId="16827" xr:uid="{00000000-0005-0000-0000-000057770000}"/>
    <cellStyle name="Normal 7 11 6 2" xfId="36747" xr:uid="{00000000-0005-0000-0000-000058770000}"/>
    <cellStyle name="Normal 7 11 7" xfId="24442" xr:uid="{00000000-0005-0000-0000-000059770000}"/>
    <cellStyle name="Normal 7 12" xfId="3959" xr:uid="{00000000-0005-0000-0000-00005A770000}"/>
    <cellStyle name="Normal 7 12 2" xfId="5141" xr:uid="{00000000-0005-0000-0000-00005B770000}"/>
    <cellStyle name="Normal 7 12 2 2" xfId="6766" xr:uid="{00000000-0005-0000-0000-00005C770000}"/>
    <cellStyle name="Normal 7 12 2 2 2" xfId="9852" xr:uid="{00000000-0005-0000-0000-00005D770000}"/>
    <cellStyle name="Normal 7 12 2 2 2 2" xfId="16045" xr:uid="{00000000-0005-0000-0000-00005E770000}"/>
    <cellStyle name="Normal 7 12 2 2 2 2 2" xfId="35965" xr:uid="{00000000-0005-0000-0000-00005F770000}"/>
    <cellStyle name="Normal 7 12 2 2 2 3" xfId="22197" xr:uid="{00000000-0005-0000-0000-000060770000}"/>
    <cellStyle name="Normal 7 12 2 2 2 3 2" xfId="42117" xr:uid="{00000000-0005-0000-0000-000061770000}"/>
    <cellStyle name="Normal 7 12 2 2 2 4" xfId="29812" xr:uid="{00000000-0005-0000-0000-000062770000}"/>
    <cellStyle name="Normal 7 12 2 2 3" xfId="12979" xr:uid="{00000000-0005-0000-0000-000063770000}"/>
    <cellStyle name="Normal 7 12 2 2 3 2" xfId="32899" xr:uid="{00000000-0005-0000-0000-000064770000}"/>
    <cellStyle name="Normal 7 12 2 2 4" xfId="19131" xr:uid="{00000000-0005-0000-0000-000065770000}"/>
    <cellStyle name="Normal 7 12 2 2 4 2" xfId="39051" xr:uid="{00000000-0005-0000-0000-000066770000}"/>
    <cellStyle name="Normal 7 12 2 2 5" xfId="26746" xr:uid="{00000000-0005-0000-0000-000067770000}"/>
    <cellStyle name="Normal 7 12 2 3" xfId="8317" xr:uid="{00000000-0005-0000-0000-000068770000}"/>
    <cellStyle name="Normal 7 12 2 3 2" xfId="14511" xr:uid="{00000000-0005-0000-0000-000069770000}"/>
    <cellStyle name="Normal 7 12 2 3 2 2" xfId="34431" xr:uid="{00000000-0005-0000-0000-00006A770000}"/>
    <cellStyle name="Normal 7 12 2 3 3" xfId="20663" xr:uid="{00000000-0005-0000-0000-00006B770000}"/>
    <cellStyle name="Normal 7 12 2 3 3 2" xfId="40583" xr:uid="{00000000-0005-0000-0000-00006C770000}"/>
    <cellStyle name="Normal 7 12 2 3 4" xfId="28278" xr:uid="{00000000-0005-0000-0000-00006D770000}"/>
    <cellStyle name="Normal 7 12 2 4" xfId="11445" xr:uid="{00000000-0005-0000-0000-00006E770000}"/>
    <cellStyle name="Normal 7 12 2 4 2" xfId="31365" xr:uid="{00000000-0005-0000-0000-00006F770000}"/>
    <cellStyle name="Normal 7 12 2 5" xfId="17597" xr:uid="{00000000-0005-0000-0000-000070770000}"/>
    <cellStyle name="Normal 7 12 2 5 2" xfId="37517" xr:uid="{00000000-0005-0000-0000-000071770000}"/>
    <cellStyle name="Normal 7 12 2 6" xfId="25212" xr:uid="{00000000-0005-0000-0000-000072770000}"/>
    <cellStyle name="Normal 7 12 3" xfId="5983" xr:uid="{00000000-0005-0000-0000-000073770000}"/>
    <cellStyle name="Normal 7 12 3 2" xfId="9083" xr:uid="{00000000-0005-0000-0000-000074770000}"/>
    <cellStyle name="Normal 7 12 3 2 2" xfId="15276" xr:uid="{00000000-0005-0000-0000-000075770000}"/>
    <cellStyle name="Normal 7 12 3 2 2 2" xfId="35196" xr:uid="{00000000-0005-0000-0000-000076770000}"/>
    <cellStyle name="Normal 7 12 3 2 3" xfId="21428" xr:uid="{00000000-0005-0000-0000-000077770000}"/>
    <cellStyle name="Normal 7 12 3 2 3 2" xfId="41348" xr:uid="{00000000-0005-0000-0000-000078770000}"/>
    <cellStyle name="Normal 7 12 3 2 4" xfId="29043" xr:uid="{00000000-0005-0000-0000-000079770000}"/>
    <cellStyle name="Normal 7 12 3 3" xfId="12210" xr:uid="{00000000-0005-0000-0000-00007A770000}"/>
    <cellStyle name="Normal 7 12 3 3 2" xfId="32130" xr:uid="{00000000-0005-0000-0000-00007B770000}"/>
    <cellStyle name="Normal 7 12 3 4" xfId="18362" xr:uid="{00000000-0005-0000-0000-00007C770000}"/>
    <cellStyle name="Normal 7 12 3 4 2" xfId="38282" xr:uid="{00000000-0005-0000-0000-00007D770000}"/>
    <cellStyle name="Normal 7 12 3 5" xfId="25977" xr:uid="{00000000-0005-0000-0000-00007E770000}"/>
    <cellStyle name="Normal 7 12 4" xfId="7548" xr:uid="{00000000-0005-0000-0000-00007F770000}"/>
    <cellStyle name="Normal 7 12 4 2" xfId="13742" xr:uid="{00000000-0005-0000-0000-000080770000}"/>
    <cellStyle name="Normal 7 12 4 2 2" xfId="33662" xr:uid="{00000000-0005-0000-0000-000081770000}"/>
    <cellStyle name="Normal 7 12 4 3" xfId="19894" xr:uid="{00000000-0005-0000-0000-000082770000}"/>
    <cellStyle name="Normal 7 12 4 3 2" xfId="39814" xr:uid="{00000000-0005-0000-0000-000083770000}"/>
    <cellStyle name="Normal 7 12 4 4" xfId="27509" xr:uid="{00000000-0005-0000-0000-000084770000}"/>
    <cellStyle name="Normal 7 12 5" xfId="10676" xr:uid="{00000000-0005-0000-0000-000085770000}"/>
    <cellStyle name="Normal 7 12 5 2" xfId="30596" xr:uid="{00000000-0005-0000-0000-000086770000}"/>
    <cellStyle name="Normal 7 12 6" xfId="16828" xr:uid="{00000000-0005-0000-0000-000087770000}"/>
    <cellStyle name="Normal 7 12 6 2" xfId="36748" xr:uid="{00000000-0005-0000-0000-000088770000}"/>
    <cellStyle name="Normal 7 12 7" xfId="24443" xr:uid="{00000000-0005-0000-0000-000089770000}"/>
    <cellStyle name="Normal 7 13" xfId="3960" xr:uid="{00000000-0005-0000-0000-00008A770000}"/>
    <cellStyle name="Normal 7 13 2" xfId="5142" xr:uid="{00000000-0005-0000-0000-00008B770000}"/>
    <cellStyle name="Normal 7 13 2 2" xfId="6767" xr:uid="{00000000-0005-0000-0000-00008C770000}"/>
    <cellStyle name="Normal 7 13 2 2 2" xfId="9853" xr:uid="{00000000-0005-0000-0000-00008D770000}"/>
    <cellStyle name="Normal 7 13 2 2 2 2" xfId="16046" xr:uid="{00000000-0005-0000-0000-00008E770000}"/>
    <cellStyle name="Normal 7 13 2 2 2 2 2" xfId="35966" xr:uid="{00000000-0005-0000-0000-00008F770000}"/>
    <cellStyle name="Normal 7 13 2 2 2 3" xfId="22198" xr:uid="{00000000-0005-0000-0000-000090770000}"/>
    <cellStyle name="Normal 7 13 2 2 2 3 2" xfId="42118" xr:uid="{00000000-0005-0000-0000-000091770000}"/>
    <cellStyle name="Normal 7 13 2 2 2 4" xfId="29813" xr:uid="{00000000-0005-0000-0000-000092770000}"/>
    <cellStyle name="Normal 7 13 2 2 3" xfId="12980" xr:uid="{00000000-0005-0000-0000-000093770000}"/>
    <cellStyle name="Normal 7 13 2 2 3 2" xfId="32900" xr:uid="{00000000-0005-0000-0000-000094770000}"/>
    <cellStyle name="Normal 7 13 2 2 4" xfId="19132" xr:uid="{00000000-0005-0000-0000-000095770000}"/>
    <cellStyle name="Normal 7 13 2 2 4 2" xfId="39052" xr:uid="{00000000-0005-0000-0000-000096770000}"/>
    <cellStyle name="Normal 7 13 2 2 5" xfId="26747" xr:uid="{00000000-0005-0000-0000-000097770000}"/>
    <cellStyle name="Normal 7 13 2 3" xfId="8318" xr:uid="{00000000-0005-0000-0000-000098770000}"/>
    <cellStyle name="Normal 7 13 2 3 2" xfId="14512" xr:uid="{00000000-0005-0000-0000-000099770000}"/>
    <cellStyle name="Normal 7 13 2 3 2 2" xfId="34432" xr:uid="{00000000-0005-0000-0000-00009A770000}"/>
    <cellStyle name="Normal 7 13 2 3 3" xfId="20664" xr:uid="{00000000-0005-0000-0000-00009B770000}"/>
    <cellStyle name="Normal 7 13 2 3 3 2" xfId="40584" xr:uid="{00000000-0005-0000-0000-00009C770000}"/>
    <cellStyle name="Normal 7 13 2 3 4" xfId="28279" xr:uid="{00000000-0005-0000-0000-00009D770000}"/>
    <cellStyle name="Normal 7 13 2 4" xfId="11446" xr:uid="{00000000-0005-0000-0000-00009E770000}"/>
    <cellStyle name="Normal 7 13 2 4 2" xfId="31366" xr:uid="{00000000-0005-0000-0000-00009F770000}"/>
    <cellStyle name="Normal 7 13 2 5" xfId="17598" xr:uid="{00000000-0005-0000-0000-0000A0770000}"/>
    <cellStyle name="Normal 7 13 2 5 2" xfId="37518" xr:uid="{00000000-0005-0000-0000-0000A1770000}"/>
    <cellStyle name="Normal 7 13 2 6" xfId="25213" xr:uid="{00000000-0005-0000-0000-0000A2770000}"/>
    <cellStyle name="Normal 7 13 3" xfId="5984" xr:uid="{00000000-0005-0000-0000-0000A3770000}"/>
    <cellStyle name="Normal 7 13 3 2" xfId="9084" xr:uid="{00000000-0005-0000-0000-0000A4770000}"/>
    <cellStyle name="Normal 7 13 3 2 2" xfId="15277" xr:uid="{00000000-0005-0000-0000-0000A5770000}"/>
    <cellStyle name="Normal 7 13 3 2 2 2" xfId="35197" xr:uid="{00000000-0005-0000-0000-0000A6770000}"/>
    <cellStyle name="Normal 7 13 3 2 3" xfId="21429" xr:uid="{00000000-0005-0000-0000-0000A7770000}"/>
    <cellStyle name="Normal 7 13 3 2 3 2" xfId="41349" xr:uid="{00000000-0005-0000-0000-0000A8770000}"/>
    <cellStyle name="Normal 7 13 3 2 4" xfId="29044" xr:uid="{00000000-0005-0000-0000-0000A9770000}"/>
    <cellStyle name="Normal 7 13 3 3" xfId="12211" xr:uid="{00000000-0005-0000-0000-0000AA770000}"/>
    <cellStyle name="Normal 7 13 3 3 2" xfId="32131" xr:uid="{00000000-0005-0000-0000-0000AB770000}"/>
    <cellStyle name="Normal 7 13 3 4" xfId="18363" xr:uid="{00000000-0005-0000-0000-0000AC770000}"/>
    <cellStyle name="Normal 7 13 3 4 2" xfId="38283" xr:uid="{00000000-0005-0000-0000-0000AD770000}"/>
    <cellStyle name="Normal 7 13 3 5" xfId="25978" xr:uid="{00000000-0005-0000-0000-0000AE770000}"/>
    <cellStyle name="Normal 7 13 4" xfId="7549" xr:uid="{00000000-0005-0000-0000-0000AF770000}"/>
    <cellStyle name="Normal 7 13 4 2" xfId="13743" xr:uid="{00000000-0005-0000-0000-0000B0770000}"/>
    <cellStyle name="Normal 7 13 4 2 2" xfId="33663" xr:uid="{00000000-0005-0000-0000-0000B1770000}"/>
    <cellStyle name="Normal 7 13 4 3" xfId="19895" xr:uid="{00000000-0005-0000-0000-0000B2770000}"/>
    <cellStyle name="Normal 7 13 4 3 2" xfId="39815" xr:uid="{00000000-0005-0000-0000-0000B3770000}"/>
    <cellStyle name="Normal 7 13 4 4" xfId="27510" xr:uid="{00000000-0005-0000-0000-0000B4770000}"/>
    <cellStyle name="Normal 7 13 5" xfId="10677" xr:uid="{00000000-0005-0000-0000-0000B5770000}"/>
    <cellStyle name="Normal 7 13 5 2" xfId="30597" xr:uid="{00000000-0005-0000-0000-0000B6770000}"/>
    <cellStyle name="Normal 7 13 6" xfId="16829" xr:uid="{00000000-0005-0000-0000-0000B7770000}"/>
    <cellStyle name="Normal 7 13 6 2" xfId="36749" xr:uid="{00000000-0005-0000-0000-0000B8770000}"/>
    <cellStyle name="Normal 7 13 7" xfId="24444" xr:uid="{00000000-0005-0000-0000-0000B9770000}"/>
    <cellStyle name="Normal 7 14" xfId="3961" xr:uid="{00000000-0005-0000-0000-0000BA770000}"/>
    <cellStyle name="Normal 7 14 2" xfId="5143" xr:uid="{00000000-0005-0000-0000-0000BB770000}"/>
    <cellStyle name="Normal 7 14 2 2" xfId="6768" xr:uid="{00000000-0005-0000-0000-0000BC770000}"/>
    <cellStyle name="Normal 7 14 2 2 2" xfId="9854" xr:uid="{00000000-0005-0000-0000-0000BD770000}"/>
    <cellStyle name="Normal 7 14 2 2 2 2" xfId="16047" xr:uid="{00000000-0005-0000-0000-0000BE770000}"/>
    <cellStyle name="Normal 7 14 2 2 2 2 2" xfId="35967" xr:uid="{00000000-0005-0000-0000-0000BF770000}"/>
    <cellStyle name="Normal 7 14 2 2 2 3" xfId="22199" xr:uid="{00000000-0005-0000-0000-0000C0770000}"/>
    <cellStyle name="Normal 7 14 2 2 2 3 2" xfId="42119" xr:uid="{00000000-0005-0000-0000-0000C1770000}"/>
    <cellStyle name="Normal 7 14 2 2 2 4" xfId="29814" xr:uid="{00000000-0005-0000-0000-0000C2770000}"/>
    <cellStyle name="Normal 7 14 2 2 3" xfId="12981" xr:uid="{00000000-0005-0000-0000-0000C3770000}"/>
    <cellStyle name="Normal 7 14 2 2 3 2" xfId="32901" xr:uid="{00000000-0005-0000-0000-0000C4770000}"/>
    <cellStyle name="Normal 7 14 2 2 4" xfId="19133" xr:uid="{00000000-0005-0000-0000-0000C5770000}"/>
    <cellStyle name="Normal 7 14 2 2 4 2" xfId="39053" xr:uid="{00000000-0005-0000-0000-0000C6770000}"/>
    <cellStyle name="Normal 7 14 2 2 5" xfId="26748" xr:uid="{00000000-0005-0000-0000-0000C7770000}"/>
    <cellStyle name="Normal 7 14 2 3" xfId="8319" xr:uid="{00000000-0005-0000-0000-0000C8770000}"/>
    <cellStyle name="Normal 7 14 2 3 2" xfId="14513" xr:uid="{00000000-0005-0000-0000-0000C9770000}"/>
    <cellStyle name="Normal 7 14 2 3 2 2" xfId="34433" xr:uid="{00000000-0005-0000-0000-0000CA770000}"/>
    <cellStyle name="Normal 7 14 2 3 3" xfId="20665" xr:uid="{00000000-0005-0000-0000-0000CB770000}"/>
    <cellStyle name="Normal 7 14 2 3 3 2" xfId="40585" xr:uid="{00000000-0005-0000-0000-0000CC770000}"/>
    <cellStyle name="Normal 7 14 2 3 4" xfId="28280" xr:uid="{00000000-0005-0000-0000-0000CD770000}"/>
    <cellStyle name="Normal 7 14 2 4" xfId="11447" xr:uid="{00000000-0005-0000-0000-0000CE770000}"/>
    <cellStyle name="Normal 7 14 2 4 2" xfId="31367" xr:uid="{00000000-0005-0000-0000-0000CF770000}"/>
    <cellStyle name="Normal 7 14 2 5" xfId="17599" xr:uid="{00000000-0005-0000-0000-0000D0770000}"/>
    <cellStyle name="Normal 7 14 2 5 2" xfId="37519" xr:uid="{00000000-0005-0000-0000-0000D1770000}"/>
    <cellStyle name="Normal 7 14 2 6" xfId="25214" xr:uid="{00000000-0005-0000-0000-0000D2770000}"/>
    <cellStyle name="Normal 7 14 3" xfId="5985" xr:uid="{00000000-0005-0000-0000-0000D3770000}"/>
    <cellStyle name="Normal 7 14 3 2" xfId="9085" xr:uid="{00000000-0005-0000-0000-0000D4770000}"/>
    <cellStyle name="Normal 7 14 3 2 2" xfId="15278" xr:uid="{00000000-0005-0000-0000-0000D5770000}"/>
    <cellStyle name="Normal 7 14 3 2 2 2" xfId="35198" xr:uid="{00000000-0005-0000-0000-0000D6770000}"/>
    <cellStyle name="Normal 7 14 3 2 3" xfId="21430" xr:uid="{00000000-0005-0000-0000-0000D7770000}"/>
    <cellStyle name="Normal 7 14 3 2 3 2" xfId="41350" xr:uid="{00000000-0005-0000-0000-0000D8770000}"/>
    <cellStyle name="Normal 7 14 3 2 4" xfId="29045" xr:uid="{00000000-0005-0000-0000-0000D9770000}"/>
    <cellStyle name="Normal 7 14 3 3" xfId="12212" xr:uid="{00000000-0005-0000-0000-0000DA770000}"/>
    <cellStyle name="Normal 7 14 3 3 2" xfId="32132" xr:uid="{00000000-0005-0000-0000-0000DB770000}"/>
    <cellStyle name="Normal 7 14 3 4" xfId="18364" xr:uid="{00000000-0005-0000-0000-0000DC770000}"/>
    <cellStyle name="Normal 7 14 3 4 2" xfId="38284" xr:uid="{00000000-0005-0000-0000-0000DD770000}"/>
    <cellStyle name="Normal 7 14 3 5" xfId="25979" xr:uid="{00000000-0005-0000-0000-0000DE770000}"/>
    <cellStyle name="Normal 7 14 4" xfId="7550" xr:uid="{00000000-0005-0000-0000-0000DF770000}"/>
    <cellStyle name="Normal 7 14 4 2" xfId="13744" xr:uid="{00000000-0005-0000-0000-0000E0770000}"/>
    <cellStyle name="Normal 7 14 4 2 2" xfId="33664" xr:uid="{00000000-0005-0000-0000-0000E1770000}"/>
    <cellStyle name="Normal 7 14 4 3" xfId="19896" xr:uid="{00000000-0005-0000-0000-0000E2770000}"/>
    <cellStyle name="Normal 7 14 4 3 2" xfId="39816" xr:uid="{00000000-0005-0000-0000-0000E3770000}"/>
    <cellStyle name="Normal 7 14 4 4" xfId="27511" xr:uid="{00000000-0005-0000-0000-0000E4770000}"/>
    <cellStyle name="Normal 7 14 5" xfId="10678" xr:uid="{00000000-0005-0000-0000-0000E5770000}"/>
    <cellStyle name="Normal 7 14 5 2" xfId="30598" xr:uid="{00000000-0005-0000-0000-0000E6770000}"/>
    <cellStyle name="Normal 7 14 6" xfId="16830" xr:uid="{00000000-0005-0000-0000-0000E7770000}"/>
    <cellStyle name="Normal 7 14 6 2" xfId="36750" xr:uid="{00000000-0005-0000-0000-0000E8770000}"/>
    <cellStyle name="Normal 7 14 7" xfId="24445" xr:uid="{00000000-0005-0000-0000-0000E9770000}"/>
    <cellStyle name="Normal 7 15" xfId="3962" xr:uid="{00000000-0005-0000-0000-0000EA770000}"/>
    <cellStyle name="Normal 7 15 2" xfId="5144" xr:uid="{00000000-0005-0000-0000-0000EB770000}"/>
    <cellStyle name="Normal 7 15 2 2" xfId="6769" xr:uid="{00000000-0005-0000-0000-0000EC770000}"/>
    <cellStyle name="Normal 7 15 2 2 2" xfId="9855" xr:uid="{00000000-0005-0000-0000-0000ED770000}"/>
    <cellStyle name="Normal 7 15 2 2 2 2" xfId="16048" xr:uid="{00000000-0005-0000-0000-0000EE770000}"/>
    <cellStyle name="Normal 7 15 2 2 2 2 2" xfId="35968" xr:uid="{00000000-0005-0000-0000-0000EF770000}"/>
    <cellStyle name="Normal 7 15 2 2 2 3" xfId="22200" xr:uid="{00000000-0005-0000-0000-0000F0770000}"/>
    <cellStyle name="Normal 7 15 2 2 2 3 2" xfId="42120" xr:uid="{00000000-0005-0000-0000-0000F1770000}"/>
    <cellStyle name="Normal 7 15 2 2 2 4" xfId="29815" xr:uid="{00000000-0005-0000-0000-0000F2770000}"/>
    <cellStyle name="Normal 7 15 2 2 3" xfId="12982" xr:uid="{00000000-0005-0000-0000-0000F3770000}"/>
    <cellStyle name="Normal 7 15 2 2 3 2" xfId="32902" xr:uid="{00000000-0005-0000-0000-0000F4770000}"/>
    <cellStyle name="Normal 7 15 2 2 4" xfId="19134" xr:uid="{00000000-0005-0000-0000-0000F5770000}"/>
    <cellStyle name="Normal 7 15 2 2 4 2" xfId="39054" xr:uid="{00000000-0005-0000-0000-0000F6770000}"/>
    <cellStyle name="Normal 7 15 2 2 5" xfId="26749" xr:uid="{00000000-0005-0000-0000-0000F7770000}"/>
    <cellStyle name="Normal 7 15 2 3" xfId="8320" xr:uid="{00000000-0005-0000-0000-0000F8770000}"/>
    <cellStyle name="Normal 7 15 2 3 2" xfId="14514" xr:uid="{00000000-0005-0000-0000-0000F9770000}"/>
    <cellStyle name="Normal 7 15 2 3 2 2" xfId="34434" xr:uid="{00000000-0005-0000-0000-0000FA770000}"/>
    <cellStyle name="Normal 7 15 2 3 3" xfId="20666" xr:uid="{00000000-0005-0000-0000-0000FB770000}"/>
    <cellStyle name="Normal 7 15 2 3 3 2" xfId="40586" xr:uid="{00000000-0005-0000-0000-0000FC770000}"/>
    <cellStyle name="Normal 7 15 2 3 4" xfId="28281" xr:uid="{00000000-0005-0000-0000-0000FD770000}"/>
    <cellStyle name="Normal 7 15 2 4" xfId="11448" xr:uid="{00000000-0005-0000-0000-0000FE770000}"/>
    <cellStyle name="Normal 7 15 2 4 2" xfId="31368" xr:uid="{00000000-0005-0000-0000-0000FF770000}"/>
    <cellStyle name="Normal 7 15 2 5" xfId="17600" xr:uid="{00000000-0005-0000-0000-000000780000}"/>
    <cellStyle name="Normal 7 15 2 5 2" xfId="37520" xr:uid="{00000000-0005-0000-0000-000001780000}"/>
    <cellStyle name="Normal 7 15 2 6" xfId="25215" xr:uid="{00000000-0005-0000-0000-000002780000}"/>
    <cellStyle name="Normal 7 15 3" xfId="5986" xr:uid="{00000000-0005-0000-0000-000003780000}"/>
    <cellStyle name="Normal 7 15 3 2" xfId="9086" xr:uid="{00000000-0005-0000-0000-000004780000}"/>
    <cellStyle name="Normal 7 15 3 2 2" xfId="15279" xr:uid="{00000000-0005-0000-0000-000005780000}"/>
    <cellStyle name="Normal 7 15 3 2 2 2" xfId="35199" xr:uid="{00000000-0005-0000-0000-000006780000}"/>
    <cellStyle name="Normal 7 15 3 2 3" xfId="21431" xr:uid="{00000000-0005-0000-0000-000007780000}"/>
    <cellStyle name="Normal 7 15 3 2 3 2" xfId="41351" xr:uid="{00000000-0005-0000-0000-000008780000}"/>
    <cellStyle name="Normal 7 15 3 2 4" xfId="29046" xr:uid="{00000000-0005-0000-0000-000009780000}"/>
    <cellStyle name="Normal 7 15 3 3" xfId="12213" xr:uid="{00000000-0005-0000-0000-00000A780000}"/>
    <cellStyle name="Normal 7 15 3 3 2" xfId="32133" xr:uid="{00000000-0005-0000-0000-00000B780000}"/>
    <cellStyle name="Normal 7 15 3 4" xfId="18365" xr:uid="{00000000-0005-0000-0000-00000C780000}"/>
    <cellStyle name="Normal 7 15 3 4 2" xfId="38285" xr:uid="{00000000-0005-0000-0000-00000D780000}"/>
    <cellStyle name="Normal 7 15 3 5" xfId="25980" xr:uid="{00000000-0005-0000-0000-00000E780000}"/>
    <cellStyle name="Normal 7 15 4" xfId="7551" xr:uid="{00000000-0005-0000-0000-00000F780000}"/>
    <cellStyle name="Normal 7 15 4 2" xfId="13745" xr:uid="{00000000-0005-0000-0000-000010780000}"/>
    <cellStyle name="Normal 7 15 4 2 2" xfId="33665" xr:uid="{00000000-0005-0000-0000-000011780000}"/>
    <cellStyle name="Normal 7 15 4 3" xfId="19897" xr:uid="{00000000-0005-0000-0000-000012780000}"/>
    <cellStyle name="Normal 7 15 4 3 2" xfId="39817" xr:uid="{00000000-0005-0000-0000-000013780000}"/>
    <cellStyle name="Normal 7 15 4 4" xfId="27512" xr:uid="{00000000-0005-0000-0000-000014780000}"/>
    <cellStyle name="Normal 7 15 5" xfId="10679" xr:uid="{00000000-0005-0000-0000-000015780000}"/>
    <cellStyle name="Normal 7 15 5 2" xfId="30599" xr:uid="{00000000-0005-0000-0000-000016780000}"/>
    <cellStyle name="Normal 7 15 6" xfId="16831" xr:uid="{00000000-0005-0000-0000-000017780000}"/>
    <cellStyle name="Normal 7 15 6 2" xfId="36751" xr:uid="{00000000-0005-0000-0000-000018780000}"/>
    <cellStyle name="Normal 7 15 7" xfId="24446" xr:uid="{00000000-0005-0000-0000-000019780000}"/>
    <cellStyle name="Normal 7 16" xfId="3963" xr:uid="{00000000-0005-0000-0000-00001A780000}"/>
    <cellStyle name="Normal 7 16 2" xfId="5145" xr:uid="{00000000-0005-0000-0000-00001B780000}"/>
    <cellStyle name="Normal 7 16 2 2" xfId="6770" xr:uid="{00000000-0005-0000-0000-00001C780000}"/>
    <cellStyle name="Normal 7 16 2 2 2" xfId="9856" xr:uid="{00000000-0005-0000-0000-00001D780000}"/>
    <cellStyle name="Normal 7 16 2 2 2 2" xfId="16049" xr:uid="{00000000-0005-0000-0000-00001E780000}"/>
    <cellStyle name="Normal 7 16 2 2 2 2 2" xfId="35969" xr:uid="{00000000-0005-0000-0000-00001F780000}"/>
    <cellStyle name="Normal 7 16 2 2 2 3" xfId="22201" xr:uid="{00000000-0005-0000-0000-000020780000}"/>
    <cellStyle name="Normal 7 16 2 2 2 3 2" xfId="42121" xr:uid="{00000000-0005-0000-0000-000021780000}"/>
    <cellStyle name="Normal 7 16 2 2 2 4" xfId="29816" xr:uid="{00000000-0005-0000-0000-000022780000}"/>
    <cellStyle name="Normal 7 16 2 2 3" xfId="12983" xr:uid="{00000000-0005-0000-0000-000023780000}"/>
    <cellStyle name="Normal 7 16 2 2 3 2" xfId="32903" xr:uid="{00000000-0005-0000-0000-000024780000}"/>
    <cellStyle name="Normal 7 16 2 2 4" xfId="19135" xr:uid="{00000000-0005-0000-0000-000025780000}"/>
    <cellStyle name="Normal 7 16 2 2 4 2" xfId="39055" xr:uid="{00000000-0005-0000-0000-000026780000}"/>
    <cellStyle name="Normal 7 16 2 2 5" xfId="26750" xr:uid="{00000000-0005-0000-0000-000027780000}"/>
    <cellStyle name="Normal 7 16 2 3" xfId="8321" xr:uid="{00000000-0005-0000-0000-000028780000}"/>
    <cellStyle name="Normal 7 16 2 3 2" xfId="14515" xr:uid="{00000000-0005-0000-0000-000029780000}"/>
    <cellStyle name="Normal 7 16 2 3 2 2" xfId="34435" xr:uid="{00000000-0005-0000-0000-00002A780000}"/>
    <cellStyle name="Normal 7 16 2 3 3" xfId="20667" xr:uid="{00000000-0005-0000-0000-00002B780000}"/>
    <cellStyle name="Normal 7 16 2 3 3 2" xfId="40587" xr:uid="{00000000-0005-0000-0000-00002C780000}"/>
    <cellStyle name="Normal 7 16 2 3 4" xfId="28282" xr:uid="{00000000-0005-0000-0000-00002D780000}"/>
    <cellStyle name="Normal 7 16 2 4" xfId="11449" xr:uid="{00000000-0005-0000-0000-00002E780000}"/>
    <cellStyle name="Normal 7 16 2 4 2" xfId="31369" xr:uid="{00000000-0005-0000-0000-00002F780000}"/>
    <cellStyle name="Normal 7 16 2 5" xfId="17601" xr:uid="{00000000-0005-0000-0000-000030780000}"/>
    <cellStyle name="Normal 7 16 2 5 2" xfId="37521" xr:uid="{00000000-0005-0000-0000-000031780000}"/>
    <cellStyle name="Normal 7 16 2 6" xfId="25216" xr:uid="{00000000-0005-0000-0000-000032780000}"/>
    <cellStyle name="Normal 7 16 3" xfId="5987" xr:uid="{00000000-0005-0000-0000-000033780000}"/>
    <cellStyle name="Normal 7 16 3 2" xfId="9087" xr:uid="{00000000-0005-0000-0000-000034780000}"/>
    <cellStyle name="Normal 7 16 3 2 2" xfId="15280" xr:uid="{00000000-0005-0000-0000-000035780000}"/>
    <cellStyle name="Normal 7 16 3 2 2 2" xfId="35200" xr:uid="{00000000-0005-0000-0000-000036780000}"/>
    <cellStyle name="Normal 7 16 3 2 3" xfId="21432" xr:uid="{00000000-0005-0000-0000-000037780000}"/>
    <cellStyle name="Normal 7 16 3 2 3 2" xfId="41352" xr:uid="{00000000-0005-0000-0000-000038780000}"/>
    <cellStyle name="Normal 7 16 3 2 4" xfId="29047" xr:uid="{00000000-0005-0000-0000-000039780000}"/>
    <cellStyle name="Normal 7 16 3 3" xfId="12214" xr:uid="{00000000-0005-0000-0000-00003A780000}"/>
    <cellStyle name="Normal 7 16 3 3 2" xfId="32134" xr:uid="{00000000-0005-0000-0000-00003B780000}"/>
    <cellStyle name="Normal 7 16 3 4" xfId="18366" xr:uid="{00000000-0005-0000-0000-00003C780000}"/>
    <cellStyle name="Normal 7 16 3 4 2" xfId="38286" xr:uid="{00000000-0005-0000-0000-00003D780000}"/>
    <cellStyle name="Normal 7 16 3 5" xfId="25981" xr:uid="{00000000-0005-0000-0000-00003E780000}"/>
    <cellStyle name="Normal 7 16 4" xfId="7552" xr:uid="{00000000-0005-0000-0000-00003F780000}"/>
    <cellStyle name="Normal 7 16 4 2" xfId="13746" xr:uid="{00000000-0005-0000-0000-000040780000}"/>
    <cellStyle name="Normal 7 16 4 2 2" xfId="33666" xr:uid="{00000000-0005-0000-0000-000041780000}"/>
    <cellStyle name="Normal 7 16 4 3" xfId="19898" xr:uid="{00000000-0005-0000-0000-000042780000}"/>
    <cellStyle name="Normal 7 16 4 3 2" xfId="39818" xr:uid="{00000000-0005-0000-0000-000043780000}"/>
    <cellStyle name="Normal 7 16 4 4" xfId="27513" xr:uid="{00000000-0005-0000-0000-000044780000}"/>
    <cellStyle name="Normal 7 16 5" xfId="10680" xr:uid="{00000000-0005-0000-0000-000045780000}"/>
    <cellStyle name="Normal 7 16 5 2" xfId="30600" xr:uid="{00000000-0005-0000-0000-000046780000}"/>
    <cellStyle name="Normal 7 16 6" xfId="16832" xr:uid="{00000000-0005-0000-0000-000047780000}"/>
    <cellStyle name="Normal 7 16 6 2" xfId="36752" xr:uid="{00000000-0005-0000-0000-000048780000}"/>
    <cellStyle name="Normal 7 16 7" xfId="24447" xr:uid="{00000000-0005-0000-0000-000049780000}"/>
    <cellStyle name="Normal 7 17" xfId="3964" xr:uid="{00000000-0005-0000-0000-00004A780000}"/>
    <cellStyle name="Normal 7 17 2" xfId="5146" xr:uid="{00000000-0005-0000-0000-00004B780000}"/>
    <cellStyle name="Normal 7 17 2 2" xfId="6771" xr:uid="{00000000-0005-0000-0000-00004C780000}"/>
    <cellStyle name="Normal 7 17 2 2 2" xfId="9857" xr:uid="{00000000-0005-0000-0000-00004D780000}"/>
    <cellStyle name="Normal 7 17 2 2 2 2" xfId="16050" xr:uid="{00000000-0005-0000-0000-00004E780000}"/>
    <cellStyle name="Normal 7 17 2 2 2 2 2" xfId="35970" xr:uid="{00000000-0005-0000-0000-00004F780000}"/>
    <cellStyle name="Normal 7 17 2 2 2 3" xfId="22202" xr:uid="{00000000-0005-0000-0000-000050780000}"/>
    <cellStyle name="Normal 7 17 2 2 2 3 2" xfId="42122" xr:uid="{00000000-0005-0000-0000-000051780000}"/>
    <cellStyle name="Normal 7 17 2 2 2 4" xfId="29817" xr:uid="{00000000-0005-0000-0000-000052780000}"/>
    <cellStyle name="Normal 7 17 2 2 3" xfId="12984" xr:uid="{00000000-0005-0000-0000-000053780000}"/>
    <cellStyle name="Normal 7 17 2 2 3 2" xfId="32904" xr:uid="{00000000-0005-0000-0000-000054780000}"/>
    <cellStyle name="Normal 7 17 2 2 4" xfId="19136" xr:uid="{00000000-0005-0000-0000-000055780000}"/>
    <cellStyle name="Normal 7 17 2 2 4 2" xfId="39056" xr:uid="{00000000-0005-0000-0000-000056780000}"/>
    <cellStyle name="Normal 7 17 2 2 5" xfId="26751" xr:uid="{00000000-0005-0000-0000-000057780000}"/>
    <cellStyle name="Normal 7 17 2 3" xfId="8322" xr:uid="{00000000-0005-0000-0000-000058780000}"/>
    <cellStyle name="Normal 7 17 2 3 2" xfId="14516" xr:uid="{00000000-0005-0000-0000-000059780000}"/>
    <cellStyle name="Normal 7 17 2 3 2 2" xfId="34436" xr:uid="{00000000-0005-0000-0000-00005A780000}"/>
    <cellStyle name="Normal 7 17 2 3 3" xfId="20668" xr:uid="{00000000-0005-0000-0000-00005B780000}"/>
    <cellStyle name="Normal 7 17 2 3 3 2" xfId="40588" xr:uid="{00000000-0005-0000-0000-00005C780000}"/>
    <cellStyle name="Normal 7 17 2 3 4" xfId="28283" xr:uid="{00000000-0005-0000-0000-00005D780000}"/>
    <cellStyle name="Normal 7 17 2 4" xfId="11450" xr:uid="{00000000-0005-0000-0000-00005E780000}"/>
    <cellStyle name="Normal 7 17 2 4 2" xfId="31370" xr:uid="{00000000-0005-0000-0000-00005F780000}"/>
    <cellStyle name="Normal 7 17 2 5" xfId="17602" xr:uid="{00000000-0005-0000-0000-000060780000}"/>
    <cellStyle name="Normal 7 17 2 5 2" xfId="37522" xr:uid="{00000000-0005-0000-0000-000061780000}"/>
    <cellStyle name="Normal 7 17 2 6" xfId="25217" xr:uid="{00000000-0005-0000-0000-000062780000}"/>
    <cellStyle name="Normal 7 17 3" xfId="5988" xr:uid="{00000000-0005-0000-0000-000063780000}"/>
    <cellStyle name="Normal 7 17 3 2" xfId="9088" xr:uid="{00000000-0005-0000-0000-000064780000}"/>
    <cellStyle name="Normal 7 17 3 2 2" xfId="15281" xr:uid="{00000000-0005-0000-0000-000065780000}"/>
    <cellStyle name="Normal 7 17 3 2 2 2" xfId="35201" xr:uid="{00000000-0005-0000-0000-000066780000}"/>
    <cellStyle name="Normal 7 17 3 2 3" xfId="21433" xr:uid="{00000000-0005-0000-0000-000067780000}"/>
    <cellStyle name="Normal 7 17 3 2 3 2" xfId="41353" xr:uid="{00000000-0005-0000-0000-000068780000}"/>
    <cellStyle name="Normal 7 17 3 2 4" xfId="29048" xr:uid="{00000000-0005-0000-0000-000069780000}"/>
    <cellStyle name="Normal 7 17 3 3" xfId="12215" xr:uid="{00000000-0005-0000-0000-00006A780000}"/>
    <cellStyle name="Normal 7 17 3 3 2" xfId="32135" xr:uid="{00000000-0005-0000-0000-00006B780000}"/>
    <cellStyle name="Normal 7 17 3 4" xfId="18367" xr:uid="{00000000-0005-0000-0000-00006C780000}"/>
    <cellStyle name="Normal 7 17 3 4 2" xfId="38287" xr:uid="{00000000-0005-0000-0000-00006D780000}"/>
    <cellStyle name="Normal 7 17 3 5" xfId="25982" xr:uid="{00000000-0005-0000-0000-00006E780000}"/>
    <cellStyle name="Normal 7 17 4" xfId="7553" xr:uid="{00000000-0005-0000-0000-00006F780000}"/>
    <cellStyle name="Normal 7 17 4 2" xfId="13747" xr:uid="{00000000-0005-0000-0000-000070780000}"/>
    <cellStyle name="Normal 7 17 4 2 2" xfId="33667" xr:uid="{00000000-0005-0000-0000-000071780000}"/>
    <cellStyle name="Normal 7 17 4 3" xfId="19899" xr:uid="{00000000-0005-0000-0000-000072780000}"/>
    <cellStyle name="Normal 7 17 4 3 2" xfId="39819" xr:uid="{00000000-0005-0000-0000-000073780000}"/>
    <cellStyle name="Normal 7 17 4 4" xfId="27514" xr:uid="{00000000-0005-0000-0000-000074780000}"/>
    <cellStyle name="Normal 7 17 5" xfId="10681" xr:uid="{00000000-0005-0000-0000-000075780000}"/>
    <cellStyle name="Normal 7 17 5 2" xfId="30601" xr:uid="{00000000-0005-0000-0000-000076780000}"/>
    <cellStyle name="Normal 7 17 6" xfId="16833" xr:uid="{00000000-0005-0000-0000-000077780000}"/>
    <cellStyle name="Normal 7 17 6 2" xfId="36753" xr:uid="{00000000-0005-0000-0000-000078780000}"/>
    <cellStyle name="Normal 7 17 7" xfId="24448" xr:uid="{00000000-0005-0000-0000-000079780000}"/>
    <cellStyle name="Normal 7 18" xfId="3965" xr:uid="{00000000-0005-0000-0000-00007A780000}"/>
    <cellStyle name="Normal 7 18 2" xfId="5147" xr:uid="{00000000-0005-0000-0000-00007B780000}"/>
    <cellStyle name="Normal 7 18 2 2" xfId="6772" xr:uid="{00000000-0005-0000-0000-00007C780000}"/>
    <cellStyle name="Normal 7 18 2 2 2" xfId="9858" xr:uid="{00000000-0005-0000-0000-00007D780000}"/>
    <cellStyle name="Normal 7 18 2 2 2 2" xfId="16051" xr:uid="{00000000-0005-0000-0000-00007E780000}"/>
    <cellStyle name="Normal 7 18 2 2 2 2 2" xfId="35971" xr:uid="{00000000-0005-0000-0000-00007F780000}"/>
    <cellStyle name="Normal 7 18 2 2 2 3" xfId="22203" xr:uid="{00000000-0005-0000-0000-000080780000}"/>
    <cellStyle name="Normal 7 18 2 2 2 3 2" xfId="42123" xr:uid="{00000000-0005-0000-0000-000081780000}"/>
    <cellStyle name="Normal 7 18 2 2 2 4" xfId="29818" xr:uid="{00000000-0005-0000-0000-000082780000}"/>
    <cellStyle name="Normal 7 18 2 2 3" xfId="12985" xr:uid="{00000000-0005-0000-0000-000083780000}"/>
    <cellStyle name="Normal 7 18 2 2 3 2" xfId="32905" xr:uid="{00000000-0005-0000-0000-000084780000}"/>
    <cellStyle name="Normal 7 18 2 2 4" xfId="19137" xr:uid="{00000000-0005-0000-0000-000085780000}"/>
    <cellStyle name="Normal 7 18 2 2 4 2" xfId="39057" xr:uid="{00000000-0005-0000-0000-000086780000}"/>
    <cellStyle name="Normal 7 18 2 2 5" xfId="26752" xr:uid="{00000000-0005-0000-0000-000087780000}"/>
    <cellStyle name="Normal 7 18 2 3" xfId="8323" xr:uid="{00000000-0005-0000-0000-000088780000}"/>
    <cellStyle name="Normal 7 18 2 3 2" xfId="14517" xr:uid="{00000000-0005-0000-0000-000089780000}"/>
    <cellStyle name="Normal 7 18 2 3 2 2" xfId="34437" xr:uid="{00000000-0005-0000-0000-00008A780000}"/>
    <cellStyle name="Normal 7 18 2 3 3" xfId="20669" xr:uid="{00000000-0005-0000-0000-00008B780000}"/>
    <cellStyle name="Normal 7 18 2 3 3 2" xfId="40589" xr:uid="{00000000-0005-0000-0000-00008C780000}"/>
    <cellStyle name="Normal 7 18 2 3 4" xfId="28284" xr:uid="{00000000-0005-0000-0000-00008D780000}"/>
    <cellStyle name="Normal 7 18 2 4" xfId="11451" xr:uid="{00000000-0005-0000-0000-00008E780000}"/>
    <cellStyle name="Normal 7 18 2 4 2" xfId="31371" xr:uid="{00000000-0005-0000-0000-00008F780000}"/>
    <cellStyle name="Normal 7 18 2 5" xfId="17603" xr:uid="{00000000-0005-0000-0000-000090780000}"/>
    <cellStyle name="Normal 7 18 2 5 2" xfId="37523" xr:uid="{00000000-0005-0000-0000-000091780000}"/>
    <cellStyle name="Normal 7 18 2 6" xfId="25218" xr:uid="{00000000-0005-0000-0000-000092780000}"/>
    <cellStyle name="Normal 7 18 3" xfId="5989" xr:uid="{00000000-0005-0000-0000-000093780000}"/>
    <cellStyle name="Normal 7 18 3 2" xfId="9089" xr:uid="{00000000-0005-0000-0000-000094780000}"/>
    <cellStyle name="Normal 7 18 3 2 2" xfId="15282" xr:uid="{00000000-0005-0000-0000-000095780000}"/>
    <cellStyle name="Normal 7 18 3 2 2 2" xfId="35202" xr:uid="{00000000-0005-0000-0000-000096780000}"/>
    <cellStyle name="Normal 7 18 3 2 3" xfId="21434" xr:uid="{00000000-0005-0000-0000-000097780000}"/>
    <cellStyle name="Normal 7 18 3 2 3 2" xfId="41354" xr:uid="{00000000-0005-0000-0000-000098780000}"/>
    <cellStyle name="Normal 7 18 3 2 4" xfId="29049" xr:uid="{00000000-0005-0000-0000-000099780000}"/>
    <cellStyle name="Normal 7 18 3 3" xfId="12216" xr:uid="{00000000-0005-0000-0000-00009A780000}"/>
    <cellStyle name="Normal 7 18 3 3 2" xfId="32136" xr:uid="{00000000-0005-0000-0000-00009B780000}"/>
    <cellStyle name="Normal 7 18 3 4" xfId="18368" xr:uid="{00000000-0005-0000-0000-00009C780000}"/>
    <cellStyle name="Normal 7 18 3 4 2" xfId="38288" xr:uid="{00000000-0005-0000-0000-00009D780000}"/>
    <cellStyle name="Normal 7 18 3 5" xfId="25983" xr:uid="{00000000-0005-0000-0000-00009E780000}"/>
    <cellStyle name="Normal 7 18 4" xfId="7554" xr:uid="{00000000-0005-0000-0000-00009F780000}"/>
    <cellStyle name="Normal 7 18 4 2" xfId="13748" xr:uid="{00000000-0005-0000-0000-0000A0780000}"/>
    <cellStyle name="Normal 7 18 4 2 2" xfId="33668" xr:uid="{00000000-0005-0000-0000-0000A1780000}"/>
    <cellStyle name="Normal 7 18 4 3" xfId="19900" xr:uid="{00000000-0005-0000-0000-0000A2780000}"/>
    <cellStyle name="Normal 7 18 4 3 2" xfId="39820" xr:uid="{00000000-0005-0000-0000-0000A3780000}"/>
    <cellStyle name="Normal 7 18 4 4" xfId="27515" xr:uid="{00000000-0005-0000-0000-0000A4780000}"/>
    <cellStyle name="Normal 7 18 5" xfId="10682" xr:uid="{00000000-0005-0000-0000-0000A5780000}"/>
    <cellStyle name="Normal 7 18 5 2" xfId="30602" xr:uid="{00000000-0005-0000-0000-0000A6780000}"/>
    <cellStyle name="Normal 7 18 6" xfId="16834" xr:uid="{00000000-0005-0000-0000-0000A7780000}"/>
    <cellStyle name="Normal 7 18 6 2" xfId="36754" xr:uid="{00000000-0005-0000-0000-0000A8780000}"/>
    <cellStyle name="Normal 7 18 7" xfId="24449" xr:uid="{00000000-0005-0000-0000-0000A9780000}"/>
    <cellStyle name="Normal 7 19" xfId="3966" xr:uid="{00000000-0005-0000-0000-0000AA780000}"/>
    <cellStyle name="Normal 7 19 2" xfId="5148" xr:uid="{00000000-0005-0000-0000-0000AB780000}"/>
    <cellStyle name="Normal 7 19 2 2" xfId="6773" xr:uid="{00000000-0005-0000-0000-0000AC780000}"/>
    <cellStyle name="Normal 7 19 2 2 2" xfId="9859" xr:uid="{00000000-0005-0000-0000-0000AD780000}"/>
    <cellStyle name="Normal 7 19 2 2 2 2" xfId="16052" xr:uid="{00000000-0005-0000-0000-0000AE780000}"/>
    <cellStyle name="Normal 7 19 2 2 2 2 2" xfId="35972" xr:uid="{00000000-0005-0000-0000-0000AF780000}"/>
    <cellStyle name="Normal 7 19 2 2 2 3" xfId="22204" xr:uid="{00000000-0005-0000-0000-0000B0780000}"/>
    <cellStyle name="Normal 7 19 2 2 2 3 2" xfId="42124" xr:uid="{00000000-0005-0000-0000-0000B1780000}"/>
    <cellStyle name="Normal 7 19 2 2 2 4" xfId="29819" xr:uid="{00000000-0005-0000-0000-0000B2780000}"/>
    <cellStyle name="Normal 7 19 2 2 3" xfId="12986" xr:uid="{00000000-0005-0000-0000-0000B3780000}"/>
    <cellStyle name="Normal 7 19 2 2 3 2" xfId="32906" xr:uid="{00000000-0005-0000-0000-0000B4780000}"/>
    <cellStyle name="Normal 7 19 2 2 4" xfId="19138" xr:uid="{00000000-0005-0000-0000-0000B5780000}"/>
    <cellStyle name="Normal 7 19 2 2 4 2" xfId="39058" xr:uid="{00000000-0005-0000-0000-0000B6780000}"/>
    <cellStyle name="Normal 7 19 2 2 5" xfId="26753" xr:uid="{00000000-0005-0000-0000-0000B7780000}"/>
    <cellStyle name="Normal 7 19 2 3" xfId="8324" xr:uid="{00000000-0005-0000-0000-0000B8780000}"/>
    <cellStyle name="Normal 7 19 2 3 2" xfId="14518" xr:uid="{00000000-0005-0000-0000-0000B9780000}"/>
    <cellStyle name="Normal 7 19 2 3 2 2" xfId="34438" xr:uid="{00000000-0005-0000-0000-0000BA780000}"/>
    <cellStyle name="Normal 7 19 2 3 3" xfId="20670" xr:uid="{00000000-0005-0000-0000-0000BB780000}"/>
    <cellStyle name="Normal 7 19 2 3 3 2" xfId="40590" xr:uid="{00000000-0005-0000-0000-0000BC780000}"/>
    <cellStyle name="Normal 7 19 2 3 4" xfId="28285" xr:uid="{00000000-0005-0000-0000-0000BD780000}"/>
    <cellStyle name="Normal 7 19 2 4" xfId="11452" xr:uid="{00000000-0005-0000-0000-0000BE780000}"/>
    <cellStyle name="Normal 7 19 2 4 2" xfId="31372" xr:uid="{00000000-0005-0000-0000-0000BF780000}"/>
    <cellStyle name="Normal 7 19 2 5" xfId="17604" xr:uid="{00000000-0005-0000-0000-0000C0780000}"/>
    <cellStyle name="Normal 7 19 2 5 2" xfId="37524" xr:uid="{00000000-0005-0000-0000-0000C1780000}"/>
    <cellStyle name="Normal 7 19 2 6" xfId="25219" xr:uid="{00000000-0005-0000-0000-0000C2780000}"/>
    <cellStyle name="Normal 7 19 3" xfId="5990" xr:uid="{00000000-0005-0000-0000-0000C3780000}"/>
    <cellStyle name="Normal 7 19 3 2" xfId="9090" xr:uid="{00000000-0005-0000-0000-0000C4780000}"/>
    <cellStyle name="Normal 7 19 3 2 2" xfId="15283" xr:uid="{00000000-0005-0000-0000-0000C5780000}"/>
    <cellStyle name="Normal 7 19 3 2 2 2" xfId="35203" xr:uid="{00000000-0005-0000-0000-0000C6780000}"/>
    <cellStyle name="Normal 7 19 3 2 3" xfId="21435" xr:uid="{00000000-0005-0000-0000-0000C7780000}"/>
    <cellStyle name="Normal 7 19 3 2 3 2" xfId="41355" xr:uid="{00000000-0005-0000-0000-0000C8780000}"/>
    <cellStyle name="Normal 7 19 3 2 4" xfId="29050" xr:uid="{00000000-0005-0000-0000-0000C9780000}"/>
    <cellStyle name="Normal 7 19 3 3" xfId="12217" xr:uid="{00000000-0005-0000-0000-0000CA780000}"/>
    <cellStyle name="Normal 7 19 3 3 2" xfId="32137" xr:uid="{00000000-0005-0000-0000-0000CB780000}"/>
    <cellStyle name="Normal 7 19 3 4" xfId="18369" xr:uid="{00000000-0005-0000-0000-0000CC780000}"/>
    <cellStyle name="Normal 7 19 3 4 2" xfId="38289" xr:uid="{00000000-0005-0000-0000-0000CD780000}"/>
    <cellStyle name="Normal 7 19 3 5" xfId="25984" xr:uid="{00000000-0005-0000-0000-0000CE780000}"/>
    <cellStyle name="Normal 7 19 4" xfId="7555" xr:uid="{00000000-0005-0000-0000-0000CF780000}"/>
    <cellStyle name="Normal 7 19 4 2" xfId="13749" xr:uid="{00000000-0005-0000-0000-0000D0780000}"/>
    <cellStyle name="Normal 7 19 4 2 2" xfId="33669" xr:uid="{00000000-0005-0000-0000-0000D1780000}"/>
    <cellStyle name="Normal 7 19 4 3" xfId="19901" xr:uid="{00000000-0005-0000-0000-0000D2780000}"/>
    <cellStyle name="Normal 7 19 4 3 2" xfId="39821" xr:uid="{00000000-0005-0000-0000-0000D3780000}"/>
    <cellStyle name="Normal 7 19 4 4" xfId="27516" xr:uid="{00000000-0005-0000-0000-0000D4780000}"/>
    <cellStyle name="Normal 7 19 5" xfId="10683" xr:uid="{00000000-0005-0000-0000-0000D5780000}"/>
    <cellStyle name="Normal 7 19 5 2" xfId="30603" xr:uid="{00000000-0005-0000-0000-0000D6780000}"/>
    <cellStyle name="Normal 7 19 6" xfId="16835" xr:uid="{00000000-0005-0000-0000-0000D7780000}"/>
    <cellStyle name="Normal 7 19 6 2" xfId="36755" xr:uid="{00000000-0005-0000-0000-0000D8780000}"/>
    <cellStyle name="Normal 7 19 7" xfId="24450" xr:uid="{00000000-0005-0000-0000-0000D9780000}"/>
    <cellStyle name="Normal 7 2" xfId="3967" xr:uid="{00000000-0005-0000-0000-0000DA780000}"/>
    <cellStyle name="Normal 7 2 10" xfId="10684" xr:uid="{00000000-0005-0000-0000-0000DB780000}"/>
    <cellStyle name="Normal 7 2 10 2" xfId="30604" xr:uid="{00000000-0005-0000-0000-0000DC780000}"/>
    <cellStyle name="Normal 7 2 11" xfId="16836" xr:uid="{00000000-0005-0000-0000-0000DD780000}"/>
    <cellStyle name="Normal 7 2 11 2" xfId="36756" xr:uid="{00000000-0005-0000-0000-0000DE780000}"/>
    <cellStyle name="Normal 7 2 12" xfId="24451" xr:uid="{00000000-0005-0000-0000-0000DF780000}"/>
    <cellStyle name="Normal 7 2 2" xfId="3968" xr:uid="{00000000-0005-0000-0000-0000E0780000}"/>
    <cellStyle name="Normal 7 2 2 2" xfId="5150" xr:uid="{00000000-0005-0000-0000-0000E1780000}"/>
    <cellStyle name="Normal 7 2 2 2 2" xfId="6775" xr:uid="{00000000-0005-0000-0000-0000E2780000}"/>
    <cellStyle name="Normal 7 2 2 2 2 2" xfId="9861" xr:uid="{00000000-0005-0000-0000-0000E3780000}"/>
    <cellStyle name="Normal 7 2 2 2 2 2 2" xfId="16054" xr:uid="{00000000-0005-0000-0000-0000E4780000}"/>
    <cellStyle name="Normal 7 2 2 2 2 2 2 2" xfId="35974" xr:uid="{00000000-0005-0000-0000-0000E5780000}"/>
    <cellStyle name="Normal 7 2 2 2 2 2 3" xfId="22206" xr:uid="{00000000-0005-0000-0000-0000E6780000}"/>
    <cellStyle name="Normal 7 2 2 2 2 2 3 2" xfId="42126" xr:uid="{00000000-0005-0000-0000-0000E7780000}"/>
    <cellStyle name="Normal 7 2 2 2 2 2 4" xfId="29821" xr:uid="{00000000-0005-0000-0000-0000E8780000}"/>
    <cellStyle name="Normal 7 2 2 2 2 3" xfId="12988" xr:uid="{00000000-0005-0000-0000-0000E9780000}"/>
    <cellStyle name="Normal 7 2 2 2 2 3 2" xfId="32908" xr:uid="{00000000-0005-0000-0000-0000EA780000}"/>
    <cellStyle name="Normal 7 2 2 2 2 4" xfId="19140" xr:uid="{00000000-0005-0000-0000-0000EB780000}"/>
    <cellStyle name="Normal 7 2 2 2 2 4 2" xfId="39060" xr:uid="{00000000-0005-0000-0000-0000EC780000}"/>
    <cellStyle name="Normal 7 2 2 2 2 5" xfId="26755" xr:uid="{00000000-0005-0000-0000-0000ED780000}"/>
    <cellStyle name="Normal 7 2 2 2 3" xfId="8326" xr:uid="{00000000-0005-0000-0000-0000EE780000}"/>
    <cellStyle name="Normal 7 2 2 2 3 2" xfId="14520" xr:uid="{00000000-0005-0000-0000-0000EF780000}"/>
    <cellStyle name="Normal 7 2 2 2 3 2 2" xfId="34440" xr:uid="{00000000-0005-0000-0000-0000F0780000}"/>
    <cellStyle name="Normal 7 2 2 2 3 3" xfId="20672" xr:uid="{00000000-0005-0000-0000-0000F1780000}"/>
    <cellStyle name="Normal 7 2 2 2 3 3 2" xfId="40592" xr:uid="{00000000-0005-0000-0000-0000F2780000}"/>
    <cellStyle name="Normal 7 2 2 2 3 4" xfId="28287" xr:uid="{00000000-0005-0000-0000-0000F3780000}"/>
    <cellStyle name="Normal 7 2 2 2 4" xfId="11454" xr:uid="{00000000-0005-0000-0000-0000F4780000}"/>
    <cellStyle name="Normal 7 2 2 2 4 2" xfId="31374" xr:uid="{00000000-0005-0000-0000-0000F5780000}"/>
    <cellStyle name="Normal 7 2 2 2 5" xfId="17606" xr:uid="{00000000-0005-0000-0000-0000F6780000}"/>
    <cellStyle name="Normal 7 2 2 2 5 2" xfId="37526" xr:uid="{00000000-0005-0000-0000-0000F7780000}"/>
    <cellStyle name="Normal 7 2 2 2 6" xfId="25221" xr:uid="{00000000-0005-0000-0000-0000F8780000}"/>
    <cellStyle name="Normal 7 2 2 3" xfId="5992" xr:uid="{00000000-0005-0000-0000-0000F9780000}"/>
    <cellStyle name="Normal 7 2 2 3 2" xfId="9092" xr:uid="{00000000-0005-0000-0000-0000FA780000}"/>
    <cellStyle name="Normal 7 2 2 3 2 2" xfId="15285" xr:uid="{00000000-0005-0000-0000-0000FB780000}"/>
    <cellStyle name="Normal 7 2 2 3 2 2 2" xfId="35205" xr:uid="{00000000-0005-0000-0000-0000FC780000}"/>
    <cellStyle name="Normal 7 2 2 3 2 3" xfId="21437" xr:uid="{00000000-0005-0000-0000-0000FD780000}"/>
    <cellStyle name="Normal 7 2 2 3 2 3 2" xfId="41357" xr:uid="{00000000-0005-0000-0000-0000FE780000}"/>
    <cellStyle name="Normal 7 2 2 3 2 4" xfId="29052" xr:uid="{00000000-0005-0000-0000-0000FF780000}"/>
    <cellStyle name="Normal 7 2 2 3 3" xfId="12219" xr:uid="{00000000-0005-0000-0000-000000790000}"/>
    <cellStyle name="Normal 7 2 2 3 3 2" xfId="32139" xr:uid="{00000000-0005-0000-0000-000001790000}"/>
    <cellStyle name="Normal 7 2 2 3 4" xfId="18371" xr:uid="{00000000-0005-0000-0000-000002790000}"/>
    <cellStyle name="Normal 7 2 2 3 4 2" xfId="38291" xr:uid="{00000000-0005-0000-0000-000003790000}"/>
    <cellStyle name="Normal 7 2 2 3 5" xfId="25986" xr:uid="{00000000-0005-0000-0000-000004790000}"/>
    <cellStyle name="Normal 7 2 2 4" xfId="7557" xr:uid="{00000000-0005-0000-0000-000005790000}"/>
    <cellStyle name="Normal 7 2 2 4 2" xfId="13751" xr:uid="{00000000-0005-0000-0000-000006790000}"/>
    <cellStyle name="Normal 7 2 2 4 2 2" xfId="33671" xr:uid="{00000000-0005-0000-0000-000007790000}"/>
    <cellStyle name="Normal 7 2 2 4 3" xfId="19903" xr:uid="{00000000-0005-0000-0000-000008790000}"/>
    <cellStyle name="Normal 7 2 2 4 3 2" xfId="39823" xr:uid="{00000000-0005-0000-0000-000009790000}"/>
    <cellStyle name="Normal 7 2 2 4 4" xfId="27518" xr:uid="{00000000-0005-0000-0000-00000A790000}"/>
    <cellStyle name="Normal 7 2 2 5" xfId="10685" xr:uid="{00000000-0005-0000-0000-00000B790000}"/>
    <cellStyle name="Normal 7 2 2 5 2" xfId="30605" xr:uid="{00000000-0005-0000-0000-00000C790000}"/>
    <cellStyle name="Normal 7 2 2 6" xfId="16837" xr:uid="{00000000-0005-0000-0000-00000D790000}"/>
    <cellStyle name="Normal 7 2 2 6 2" xfId="36757" xr:uid="{00000000-0005-0000-0000-00000E790000}"/>
    <cellStyle name="Normal 7 2 2 7" xfId="24452" xr:uid="{00000000-0005-0000-0000-00000F790000}"/>
    <cellStyle name="Normal 7 2 3" xfId="3969" xr:uid="{00000000-0005-0000-0000-000010790000}"/>
    <cellStyle name="Normal 7 2 3 2" xfId="5151" xr:uid="{00000000-0005-0000-0000-000011790000}"/>
    <cellStyle name="Normal 7 2 3 2 2" xfId="6776" xr:uid="{00000000-0005-0000-0000-000012790000}"/>
    <cellStyle name="Normal 7 2 3 2 2 2" xfId="9862" xr:uid="{00000000-0005-0000-0000-000013790000}"/>
    <cellStyle name="Normal 7 2 3 2 2 2 2" xfId="16055" xr:uid="{00000000-0005-0000-0000-000014790000}"/>
    <cellStyle name="Normal 7 2 3 2 2 2 2 2" xfId="35975" xr:uid="{00000000-0005-0000-0000-000015790000}"/>
    <cellStyle name="Normal 7 2 3 2 2 2 3" xfId="22207" xr:uid="{00000000-0005-0000-0000-000016790000}"/>
    <cellStyle name="Normal 7 2 3 2 2 2 3 2" xfId="42127" xr:uid="{00000000-0005-0000-0000-000017790000}"/>
    <cellStyle name="Normal 7 2 3 2 2 2 4" xfId="29822" xr:uid="{00000000-0005-0000-0000-000018790000}"/>
    <cellStyle name="Normal 7 2 3 2 2 3" xfId="12989" xr:uid="{00000000-0005-0000-0000-000019790000}"/>
    <cellStyle name="Normal 7 2 3 2 2 3 2" xfId="32909" xr:uid="{00000000-0005-0000-0000-00001A790000}"/>
    <cellStyle name="Normal 7 2 3 2 2 4" xfId="19141" xr:uid="{00000000-0005-0000-0000-00001B790000}"/>
    <cellStyle name="Normal 7 2 3 2 2 4 2" xfId="39061" xr:uid="{00000000-0005-0000-0000-00001C790000}"/>
    <cellStyle name="Normal 7 2 3 2 2 5" xfId="26756" xr:uid="{00000000-0005-0000-0000-00001D790000}"/>
    <cellStyle name="Normal 7 2 3 2 3" xfId="8327" xr:uid="{00000000-0005-0000-0000-00001E790000}"/>
    <cellStyle name="Normal 7 2 3 2 3 2" xfId="14521" xr:uid="{00000000-0005-0000-0000-00001F790000}"/>
    <cellStyle name="Normal 7 2 3 2 3 2 2" xfId="34441" xr:uid="{00000000-0005-0000-0000-000020790000}"/>
    <cellStyle name="Normal 7 2 3 2 3 3" xfId="20673" xr:uid="{00000000-0005-0000-0000-000021790000}"/>
    <cellStyle name="Normal 7 2 3 2 3 3 2" xfId="40593" xr:uid="{00000000-0005-0000-0000-000022790000}"/>
    <cellStyle name="Normal 7 2 3 2 3 4" xfId="28288" xr:uid="{00000000-0005-0000-0000-000023790000}"/>
    <cellStyle name="Normal 7 2 3 2 4" xfId="11455" xr:uid="{00000000-0005-0000-0000-000024790000}"/>
    <cellStyle name="Normal 7 2 3 2 4 2" xfId="31375" xr:uid="{00000000-0005-0000-0000-000025790000}"/>
    <cellStyle name="Normal 7 2 3 2 5" xfId="17607" xr:uid="{00000000-0005-0000-0000-000026790000}"/>
    <cellStyle name="Normal 7 2 3 2 5 2" xfId="37527" xr:uid="{00000000-0005-0000-0000-000027790000}"/>
    <cellStyle name="Normal 7 2 3 2 6" xfId="25222" xr:uid="{00000000-0005-0000-0000-000028790000}"/>
    <cellStyle name="Normal 7 2 3 3" xfId="5993" xr:uid="{00000000-0005-0000-0000-000029790000}"/>
    <cellStyle name="Normal 7 2 3 3 2" xfId="9093" xr:uid="{00000000-0005-0000-0000-00002A790000}"/>
    <cellStyle name="Normal 7 2 3 3 2 2" xfId="15286" xr:uid="{00000000-0005-0000-0000-00002B790000}"/>
    <cellStyle name="Normal 7 2 3 3 2 2 2" xfId="35206" xr:uid="{00000000-0005-0000-0000-00002C790000}"/>
    <cellStyle name="Normal 7 2 3 3 2 3" xfId="21438" xr:uid="{00000000-0005-0000-0000-00002D790000}"/>
    <cellStyle name="Normal 7 2 3 3 2 3 2" xfId="41358" xr:uid="{00000000-0005-0000-0000-00002E790000}"/>
    <cellStyle name="Normal 7 2 3 3 2 4" xfId="29053" xr:uid="{00000000-0005-0000-0000-00002F790000}"/>
    <cellStyle name="Normal 7 2 3 3 3" xfId="12220" xr:uid="{00000000-0005-0000-0000-000030790000}"/>
    <cellStyle name="Normal 7 2 3 3 3 2" xfId="32140" xr:uid="{00000000-0005-0000-0000-000031790000}"/>
    <cellStyle name="Normal 7 2 3 3 4" xfId="18372" xr:uid="{00000000-0005-0000-0000-000032790000}"/>
    <cellStyle name="Normal 7 2 3 3 4 2" xfId="38292" xr:uid="{00000000-0005-0000-0000-000033790000}"/>
    <cellStyle name="Normal 7 2 3 3 5" xfId="25987" xr:uid="{00000000-0005-0000-0000-000034790000}"/>
    <cellStyle name="Normal 7 2 3 4" xfId="7558" xr:uid="{00000000-0005-0000-0000-000035790000}"/>
    <cellStyle name="Normal 7 2 3 4 2" xfId="13752" xr:uid="{00000000-0005-0000-0000-000036790000}"/>
    <cellStyle name="Normal 7 2 3 4 2 2" xfId="33672" xr:uid="{00000000-0005-0000-0000-000037790000}"/>
    <cellStyle name="Normal 7 2 3 4 3" xfId="19904" xr:uid="{00000000-0005-0000-0000-000038790000}"/>
    <cellStyle name="Normal 7 2 3 4 3 2" xfId="39824" xr:uid="{00000000-0005-0000-0000-000039790000}"/>
    <cellStyle name="Normal 7 2 3 4 4" xfId="27519" xr:uid="{00000000-0005-0000-0000-00003A790000}"/>
    <cellStyle name="Normal 7 2 3 5" xfId="10686" xr:uid="{00000000-0005-0000-0000-00003B790000}"/>
    <cellStyle name="Normal 7 2 3 5 2" xfId="30606" xr:uid="{00000000-0005-0000-0000-00003C790000}"/>
    <cellStyle name="Normal 7 2 3 6" xfId="16838" xr:uid="{00000000-0005-0000-0000-00003D790000}"/>
    <cellStyle name="Normal 7 2 3 6 2" xfId="36758" xr:uid="{00000000-0005-0000-0000-00003E790000}"/>
    <cellStyle name="Normal 7 2 3 7" xfId="24453" xr:uid="{00000000-0005-0000-0000-00003F790000}"/>
    <cellStyle name="Normal 7 2 4" xfId="3970" xr:uid="{00000000-0005-0000-0000-000040790000}"/>
    <cellStyle name="Normal 7 2 4 2" xfId="5152" xr:uid="{00000000-0005-0000-0000-000041790000}"/>
    <cellStyle name="Normal 7 2 4 2 2" xfId="6777" xr:uid="{00000000-0005-0000-0000-000042790000}"/>
    <cellStyle name="Normal 7 2 4 2 2 2" xfId="9863" xr:uid="{00000000-0005-0000-0000-000043790000}"/>
    <cellStyle name="Normal 7 2 4 2 2 2 2" xfId="16056" xr:uid="{00000000-0005-0000-0000-000044790000}"/>
    <cellStyle name="Normal 7 2 4 2 2 2 2 2" xfId="35976" xr:uid="{00000000-0005-0000-0000-000045790000}"/>
    <cellStyle name="Normal 7 2 4 2 2 2 3" xfId="22208" xr:uid="{00000000-0005-0000-0000-000046790000}"/>
    <cellStyle name="Normal 7 2 4 2 2 2 3 2" xfId="42128" xr:uid="{00000000-0005-0000-0000-000047790000}"/>
    <cellStyle name="Normal 7 2 4 2 2 2 4" xfId="29823" xr:uid="{00000000-0005-0000-0000-000048790000}"/>
    <cellStyle name="Normal 7 2 4 2 2 3" xfId="12990" xr:uid="{00000000-0005-0000-0000-000049790000}"/>
    <cellStyle name="Normal 7 2 4 2 2 3 2" xfId="32910" xr:uid="{00000000-0005-0000-0000-00004A790000}"/>
    <cellStyle name="Normal 7 2 4 2 2 4" xfId="19142" xr:uid="{00000000-0005-0000-0000-00004B790000}"/>
    <cellStyle name="Normal 7 2 4 2 2 4 2" xfId="39062" xr:uid="{00000000-0005-0000-0000-00004C790000}"/>
    <cellStyle name="Normal 7 2 4 2 2 5" xfId="26757" xr:uid="{00000000-0005-0000-0000-00004D790000}"/>
    <cellStyle name="Normal 7 2 4 2 3" xfId="8328" xr:uid="{00000000-0005-0000-0000-00004E790000}"/>
    <cellStyle name="Normal 7 2 4 2 3 2" xfId="14522" xr:uid="{00000000-0005-0000-0000-00004F790000}"/>
    <cellStyle name="Normal 7 2 4 2 3 2 2" xfId="34442" xr:uid="{00000000-0005-0000-0000-000050790000}"/>
    <cellStyle name="Normal 7 2 4 2 3 3" xfId="20674" xr:uid="{00000000-0005-0000-0000-000051790000}"/>
    <cellStyle name="Normal 7 2 4 2 3 3 2" xfId="40594" xr:uid="{00000000-0005-0000-0000-000052790000}"/>
    <cellStyle name="Normal 7 2 4 2 3 4" xfId="28289" xr:uid="{00000000-0005-0000-0000-000053790000}"/>
    <cellStyle name="Normal 7 2 4 2 4" xfId="11456" xr:uid="{00000000-0005-0000-0000-000054790000}"/>
    <cellStyle name="Normal 7 2 4 2 4 2" xfId="31376" xr:uid="{00000000-0005-0000-0000-000055790000}"/>
    <cellStyle name="Normal 7 2 4 2 5" xfId="17608" xr:uid="{00000000-0005-0000-0000-000056790000}"/>
    <cellStyle name="Normal 7 2 4 2 5 2" xfId="37528" xr:uid="{00000000-0005-0000-0000-000057790000}"/>
    <cellStyle name="Normal 7 2 4 2 6" xfId="25223" xr:uid="{00000000-0005-0000-0000-000058790000}"/>
    <cellStyle name="Normal 7 2 4 3" xfId="5994" xr:uid="{00000000-0005-0000-0000-000059790000}"/>
    <cellStyle name="Normal 7 2 4 3 2" xfId="9094" xr:uid="{00000000-0005-0000-0000-00005A790000}"/>
    <cellStyle name="Normal 7 2 4 3 2 2" xfId="15287" xr:uid="{00000000-0005-0000-0000-00005B790000}"/>
    <cellStyle name="Normal 7 2 4 3 2 2 2" xfId="35207" xr:uid="{00000000-0005-0000-0000-00005C790000}"/>
    <cellStyle name="Normal 7 2 4 3 2 3" xfId="21439" xr:uid="{00000000-0005-0000-0000-00005D790000}"/>
    <cellStyle name="Normal 7 2 4 3 2 3 2" xfId="41359" xr:uid="{00000000-0005-0000-0000-00005E790000}"/>
    <cellStyle name="Normal 7 2 4 3 2 4" xfId="29054" xr:uid="{00000000-0005-0000-0000-00005F790000}"/>
    <cellStyle name="Normal 7 2 4 3 3" xfId="12221" xr:uid="{00000000-0005-0000-0000-000060790000}"/>
    <cellStyle name="Normal 7 2 4 3 3 2" xfId="32141" xr:uid="{00000000-0005-0000-0000-000061790000}"/>
    <cellStyle name="Normal 7 2 4 3 4" xfId="18373" xr:uid="{00000000-0005-0000-0000-000062790000}"/>
    <cellStyle name="Normal 7 2 4 3 4 2" xfId="38293" xr:uid="{00000000-0005-0000-0000-000063790000}"/>
    <cellStyle name="Normal 7 2 4 3 5" xfId="25988" xr:uid="{00000000-0005-0000-0000-000064790000}"/>
    <cellStyle name="Normal 7 2 4 4" xfId="7559" xr:uid="{00000000-0005-0000-0000-000065790000}"/>
    <cellStyle name="Normal 7 2 4 4 2" xfId="13753" xr:uid="{00000000-0005-0000-0000-000066790000}"/>
    <cellStyle name="Normal 7 2 4 4 2 2" xfId="33673" xr:uid="{00000000-0005-0000-0000-000067790000}"/>
    <cellStyle name="Normal 7 2 4 4 3" xfId="19905" xr:uid="{00000000-0005-0000-0000-000068790000}"/>
    <cellStyle name="Normal 7 2 4 4 3 2" xfId="39825" xr:uid="{00000000-0005-0000-0000-000069790000}"/>
    <cellStyle name="Normal 7 2 4 4 4" xfId="27520" xr:uid="{00000000-0005-0000-0000-00006A790000}"/>
    <cellStyle name="Normal 7 2 4 5" xfId="10687" xr:uid="{00000000-0005-0000-0000-00006B790000}"/>
    <cellStyle name="Normal 7 2 4 5 2" xfId="30607" xr:uid="{00000000-0005-0000-0000-00006C790000}"/>
    <cellStyle name="Normal 7 2 4 6" xfId="16839" xr:uid="{00000000-0005-0000-0000-00006D790000}"/>
    <cellStyle name="Normal 7 2 4 6 2" xfId="36759" xr:uid="{00000000-0005-0000-0000-00006E790000}"/>
    <cellStyle name="Normal 7 2 4 7" xfId="24454" xr:uid="{00000000-0005-0000-0000-00006F790000}"/>
    <cellStyle name="Normal 7 2 5" xfId="3971" xr:uid="{00000000-0005-0000-0000-000070790000}"/>
    <cellStyle name="Normal 7 2 5 2" xfId="5153" xr:uid="{00000000-0005-0000-0000-000071790000}"/>
    <cellStyle name="Normal 7 2 5 2 2" xfId="6778" xr:uid="{00000000-0005-0000-0000-000072790000}"/>
    <cellStyle name="Normal 7 2 5 2 2 2" xfId="9864" xr:uid="{00000000-0005-0000-0000-000073790000}"/>
    <cellStyle name="Normal 7 2 5 2 2 2 2" xfId="16057" xr:uid="{00000000-0005-0000-0000-000074790000}"/>
    <cellStyle name="Normal 7 2 5 2 2 2 2 2" xfId="35977" xr:uid="{00000000-0005-0000-0000-000075790000}"/>
    <cellStyle name="Normal 7 2 5 2 2 2 3" xfId="22209" xr:uid="{00000000-0005-0000-0000-000076790000}"/>
    <cellStyle name="Normal 7 2 5 2 2 2 3 2" xfId="42129" xr:uid="{00000000-0005-0000-0000-000077790000}"/>
    <cellStyle name="Normal 7 2 5 2 2 2 4" xfId="29824" xr:uid="{00000000-0005-0000-0000-000078790000}"/>
    <cellStyle name="Normal 7 2 5 2 2 3" xfId="12991" xr:uid="{00000000-0005-0000-0000-000079790000}"/>
    <cellStyle name="Normal 7 2 5 2 2 3 2" xfId="32911" xr:uid="{00000000-0005-0000-0000-00007A790000}"/>
    <cellStyle name="Normal 7 2 5 2 2 4" xfId="19143" xr:uid="{00000000-0005-0000-0000-00007B790000}"/>
    <cellStyle name="Normal 7 2 5 2 2 4 2" xfId="39063" xr:uid="{00000000-0005-0000-0000-00007C790000}"/>
    <cellStyle name="Normal 7 2 5 2 2 5" xfId="26758" xr:uid="{00000000-0005-0000-0000-00007D790000}"/>
    <cellStyle name="Normal 7 2 5 2 3" xfId="8329" xr:uid="{00000000-0005-0000-0000-00007E790000}"/>
    <cellStyle name="Normal 7 2 5 2 3 2" xfId="14523" xr:uid="{00000000-0005-0000-0000-00007F790000}"/>
    <cellStyle name="Normal 7 2 5 2 3 2 2" xfId="34443" xr:uid="{00000000-0005-0000-0000-000080790000}"/>
    <cellStyle name="Normal 7 2 5 2 3 3" xfId="20675" xr:uid="{00000000-0005-0000-0000-000081790000}"/>
    <cellStyle name="Normal 7 2 5 2 3 3 2" xfId="40595" xr:uid="{00000000-0005-0000-0000-000082790000}"/>
    <cellStyle name="Normal 7 2 5 2 3 4" xfId="28290" xr:uid="{00000000-0005-0000-0000-000083790000}"/>
    <cellStyle name="Normal 7 2 5 2 4" xfId="11457" xr:uid="{00000000-0005-0000-0000-000084790000}"/>
    <cellStyle name="Normal 7 2 5 2 4 2" xfId="31377" xr:uid="{00000000-0005-0000-0000-000085790000}"/>
    <cellStyle name="Normal 7 2 5 2 5" xfId="17609" xr:uid="{00000000-0005-0000-0000-000086790000}"/>
    <cellStyle name="Normal 7 2 5 2 5 2" xfId="37529" xr:uid="{00000000-0005-0000-0000-000087790000}"/>
    <cellStyle name="Normal 7 2 5 2 6" xfId="25224" xr:uid="{00000000-0005-0000-0000-000088790000}"/>
    <cellStyle name="Normal 7 2 5 3" xfId="5995" xr:uid="{00000000-0005-0000-0000-000089790000}"/>
    <cellStyle name="Normal 7 2 5 3 2" xfId="9095" xr:uid="{00000000-0005-0000-0000-00008A790000}"/>
    <cellStyle name="Normal 7 2 5 3 2 2" xfId="15288" xr:uid="{00000000-0005-0000-0000-00008B790000}"/>
    <cellStyle name="Normal 7 2 5 3 2 2 2" xfId="35208" xr:uid="{00000000-0005-0000-0000-00008C790000}"/>
    <cellStyle name="Normal 7 2 5 3 2 3" xfId="21440" xr:uid="{00000000-0005-0000-0000-00008D790000}"/>
    <cellStyle name="Normal 7 2 5 3 2 3 2" xfId="41360" xr:uid="{00000000-0005-0000-0000-00008E790000}"/>
    <cellStyle name="Normal 7 2 5 3 2 4" xfId="29055" xr:uid="{00000000-0005-0000-0000-00008F790000}"/>
    <cellStyle name="Normal 7 2 5 3 3" xfId="12222" xr:uid="{00000000-0005-0000-0000-000090790000}"/>
    <cellStyle name="Normal 7 2 5 3 3 2" xfId="32142" xr:uid="{00000000-0005-0000-0000-000091790000}"/>
    <cellStyle name="Normal 7 2 5 3 4" xfId="18374" xr:uid="{00000000-0005-0000-0000-000092790000}"/>
    <cellStyle name="Normal 7 2 5 3 4 2" xfId="38294" xr:uid="{00000000-0005-0000-0000-000093790000}"/>
    <cellStyle name="Normal 7 2 5 3 5" xfId="25989" xr:uid="{00000000-0005-0000-0000-000094790000}"/>
    <cellStyle name="Normal 7 2 5 4" xfId="7560" xr:uid="{00000000-0005-0000-0000-000095790000}"/>
    <cellStyle name="Normal 7 2 5 4 2" xfId="13754" xr:uid="{00000000-0005-0000-0000-000096790000}"/>
    <cellStyle name="Normal 7 2 5 4 2 2" xfId="33674" xr:uid="{00000000-0005-0000-0000-000097790000}"/>
    <cellStyle name="Normal 7 2 5 4 3" xfId="19906" xr:uid="{00000000-0005-0000-0000-000098790000}"/>
    <cellStyle name="Normal 7 2 5 4 3 2" xfId="39826" xr:uid="{00000000-0005-0000-0000-000099790000}"/>
    <cellStyle name="Normal 7 2 5 4 4" xfId="27521" xr:uid="{00000000-0005-0000-0000-00009A790000}"/>
    <cellStyle name="Normal 7 2 5 5" xfId="10688" xr:uid="{00000000-0005-0000-0000-00009B790000}"/>
    <cellStyle name="Normal 7 2 5 5 2" xfId="30608" xr:uid="{00000000-0005-0000-0000-00009C790000}"/>
    <cellStyle name="Normal 7 2 5 6" xfId="16840" xr:uid="{00000000-0005-0000-0000-00009D790000}"/>
    <cellStyle name="Normal 7 2 5 6 2" xfId="36760" xr:uid="{00000000-0005-0000-0000-00009E790000}"/>
    <cellStyle name="Normal 7 2 5 7" xfId="24455" xr:uid="{00000000-0005-0000-0000-00009F790000}"/>
    <cellStyle name="Normal 7 2 6" xfId="5149" xr:uid="{00000000-0005-0000-0000-0000A0790000}"/>
    <cellStyle name="Normal 7 2 6 2" xfId="6774" xr:uid="{00000000-0005-0000-0000-0000A1790000}"/>
    <cellStyle name="Normal 7 2 6 2 2" xfId="9860" xr:uid="{00000000-0005-0000-0000-0000A2790000}"/>
    <cellStyle name="Normal 7 2 6 2 2 2" xfId="16053" xr:uid="{00000000-0005-0000-0000-0000A3790000}"/>
    <cellStyle name="Normal 7 2 6 2 2 2 2" xfId="35973" xr:uid="{00000000-0005-0000-0000-0000A4790000}"/>
    <cellStyle name="Normal 7 2 6 2 2 3" xfId="22205" xr:uid="{00000000-0005-0000-0000-0000A5790000}"/>
    <cellStyle name="Normal 7 2 6 2 2 3 2" xfId="42125" xr:uid="{00000000-0005-0000-0000-0000A6790000}"/>
    <cellStyle name="Normal 7 2 6 2 2 4" xfId="29820" xr:uid="{00000000-0005-0000-0000-0000A7790000}"/>
    <cellStyle name="Normal 7 2 6 2 3" xfId="12987" xr:uid="{00000000-0005-0000-0000-0000A8790000}"/>
    <cellStyle name="Normal 7 2 6 2 3 2" xfId="32907" xr:uid="{00000000-0005-0000-0000-0000A9790000}"/>
    <cellStyle name="Normal 7 2 6 2 4" xfId="19139" xr:uid="{00000000-0005-0000-0000-0000AA790000}"/>
    <cellStyle name="Normal 7 2 6 2 4 2" xfId="39059" xr:uid="{00000000-0005-0000-0000-0000AB790000}"/>
    <cellStyle name="Normal 7 2 6 2 5" xfId="26754" xr:uid="{00000000-0005-0000-0000-0000AC790000}"/>
    <cellStyle name="Normal 7 2 6 3" xfId="8325" xr:uid="{00000000-0005-0000-0000-0000AD790000}"/>
    <cellStyle name="Normal 7 2 6 3 2" xfId="14519" xr:uid="{00000000-0005-0000-0000-0000AE790000}"/>
    <cellStyle name="Normal 7 2 6 3 2 2" xfId="34439" xr:uid="{00000000-0005-0000-0000-0000AF790000}"/>
    <cellStyle name="Normal 7 2 6 3 3" xfId="20671" xr:uid="{00000000-0005-0000-0000-0000B0790000}"/>
    <cellStyle name="Normal 7 2 6 3 3 2" xfId="40591" xr:uid="{00000000-0005-0000-0000-0000B1790000}"/>
    <cellStyle name="Normal 7 2 6 3 4" xfId="28286" xr:uid="{00000000-0005-0000-0000-0000B2790000}"/>
    <cellStyle name="Normal 7 2 6 4" xfId="11453" xr:uid="{00000000-0005-0000-0000-0000B3790000}"/>
    <cellStyle name="Normal 7 2 6 4 2" xfId="31373" xr:uid="{00000000-0005-0000-0000-0000B4790000}"/>
    <cellStyle name="Normal 7 2 6 5" xfId="17605" xr:uid="{00000000-0005-0000-0000-0000B5790000}"/>
    <cellStyle name="Normal 7 2 6 5 2" xfId="37525" xr:uid="{00000000-0005-0000-0000-0000B6790000}"/>
    <cellStyle name="Normal 7 2 6 6" xfId="25220" xr:uid="{00000000-0005-0000-0000-0000B7790000}"/>
    <cellStyle name="Normal 7 2 7" xfId="5991" xr:uid="{00000000-0005-0000-0000-0000B8790000}"/>
    <cellStyle name="Normal 7 2 7 2" xfId="9091" xr:uid="{00000000-0005-0000-0000-0000B9790000}"/>
    <cellStyle name="Normal 7 2 7 2 2" xfId="15284" xr:uid="{00000000-0005-0000-0000-0000BA790000}"/>
    <cellStyle name="Normal 7 2 7 2 2 2" xfId="35204" xr:uid="{00000000-0005-0000-0000-0000BB790000}"/>
    <cellStyle name="Normal 7 2 7 2 3" xfId="21436" xr:uid="{00000000-0005-0000-0000-0000BC790000}"/>
    <cellStyle name="Normal 7 2 7 2 3 2" xfId="41356" xr:uid="{00000000-0005-0000-0000-0000BD790000}"/>
    <cellStyle name="Normal 7 2 7 2 4" xfId="29051" xr:uid="{00000000-0005-0000-0000-0000BE790000}"/>
    <cellStyle name="Normal 7 2 7 3" xfId="12218" xr:uid="{00000000-0005-0000-0000-0000BF790000}"/>
    <cellStyle name="Normal 7 2 7 3 2" xfId="32138" xr:uid="{00000000-0005-0000-0000-0000C0790000}"/>
    <cellStyle name="Normal 7 2 7 4" xfId="18370" xr:uid="{00000000-0005-0000-0000-0000C1790000}"/>
    <cellStyle name="Normal 7 2 7 4 2" xfId="38290" xr:uid="{00000000-0005-0000-0000-0000C2790000}"/>
    <cellStyle name="Normal 7 2 7 5" xfId="25985" xr:uid="{00000000-0005-0000-0000-0000C3790000}"/>
    <cellStyle name="Normal 7 2 8" xfId="7556" xr:uid="{00000000-0005-0000-0000-0000C4790000}"/>
    <cellStyle name="Normal 7 2 8 2" xfId="13750" xr:uid="{00000000-0005-0000-0000-0000C5790000}"/>
    <cellStyle name="Normal 7 2 8 2 2" xfId="33670" xr:uid="{00000000-0005-0000-0000-0000C6790000}"/>
    <cellStyle name="Normal 7 2 8 3" xfId="19902" xr:uid="{00000000-0005-0000-0000-0000C7790000}"/>
    <cellStyle name="Normal 7 2 8 3 2" xfId="39822" xr:uid="{00000000-0005-0000-0000-0000C8790000}"/>
    <cellStyle name="Normal 7 2 8 4" xfId="27517" xr:uid="{00000000-0005-0000-0000-0000C9790000}"/>
    <cellStyle name="Normal 7 2 9" xfId="10130" xr:uid="{00000000-0005-0000-0000-0000CA790000}"/>
    <cellStyle name="Normal 7 2 9 2" xfId="16302" xr:uid="{00000000-0005-0000-0000-0000CB790000}"/>
    <cellStyle name="Normal 7 2 9 2 2" xfId="36222" xr:uid="{00000000-0005-0000-0000-0000CC790000}"/>
    <cellStyle name="Normal 7 2 9 3" xfId="22454" xr:uid="{00000000-0005-0000-0000-0000CD790000}"/>
    <cellStyle name="Normal 7 2 9 3 2" xfId="42374" xr:uid="{00000000-0005-0000-0000-0000CE790000}"/>
    <cellStyle name="Normal 7 2 9 4" xfId="30069" xr:uid="{00000000-0005-0000-0000-0000CF790000}"/>
    <cellStyle name="Normal 7 20" xfId="3972" xr:uid="{00000000-0005-0000-0000-0000D0790000}"/>
    <cellStyle name="Normal 7 20 2" xfId="5154" xr:uid="{00000000-0005-0000-0000-0000D1790000}"/>
    <cellStyle name="Normal 7 20 2 2" xfId="6779" xr:uid="{00000000-0005-0000-0000-0000D2790000}"/>
    <cellStyle name="Normal 7 20 2 2 2" xfId="9865" xr:uid="{00000000-0005-0000-0000-0000D3790000}"/>
    <cellStyle name="Normal 7 20 2 2 2 2" xfId="16058" xr:uid="{00000000-0005-0000-0000-0000D4790000}"/>
    <cellStyle name="Normal 7 20 2 2 2 2 2" xfId="35978" xr:uid="{00000000-0005-0000-0000-0000D5790000}"/>
    <cellStyle name="Normal 7 20 2 2 2 3" xfId="22210" xr:uid="{00000000-0005-0000-0000-0000D6790000}"/>
    <cellStyle name="Normal 7 20 2 2 2 3 2" xfId="42130" xr:uid="{00000000-0005-0000-0000-0000D7790000}"/>
    <cellStyle name="Normal 7 20 2 2 2 4" xfId="29825" xr:uid="{00000000-0005-0000-0000-0000D8790000}"/>
    <cellStyle name="Normal 7 20 2 2 3" xfId="12992" xr:uid="{00000000-0005-0000-0000-0000D9790000}"/>
    <cellStyle name="Normal 7 20 2 2 3 2" xfId="32912" xr:uid="{00000000-0005-0000-0000-0000DA790000}"/>
    <cellStyle name="Normal 7 20 2 2 4" xfId="19144" xr:uid="{00000000-0005-0000-0000-0000DB790000}"/>
    <cellStyle name="Normal 7 20 2 2 4 2" xfId="39064" xr:uid="{00000000-0005-0000-0000-0000DC790000}"/>
    <cellStyle name="Normal 7 20 2 2 5" xfId="26759" xr:uid="{00000000-0005-0000-0000-0000DD790000}"/>
    <cellStyle name="Normal 7 20 2 3" xfId="8330" xr:uid="{00000000-0005-0000-0000-0000DE790000}"/>
    <cellStyle name="Normal 7 20 2 3 2" xfId="14524" xr:uid="{00000000-0005-0000-0000-0000DF790000}"/>
    <cellStyle name="Normal 7 20 2 3 2 2" xfId="34444" xr:uid="{00000000-0005-0000-0000-0000E0790000}"/>
    <cellStyle name="Normal 7 20 2 3 3" xfId="20676" xr:uid="{00000000-0005-0000-0000-0000E1790000}"/>
    <cellStyle name="Normal 7 20 2 3 3 2" xfId="40596" xr:uid="{00000000-0005-0000-0000-0000E2790000}"/>
    <cellStyle name="Normal 7 20 2 3 4" xfId="28291" xr:uid="{00000000-0005-0000-0000-0000E3790000}"/>
    <cellStyle name="Normal 7 20 2 4" xfId="11458" xr:uid="{00000000-0005-0000-0000-0000E4790000}"/>
    <cellStyle name="Normal 7 20 2 4 2" xfId="31378" xr:uid="{00000000-0005-0000-0000-0000E5790000}"/>
    <cellStyle name="Normal 7 20 2 5" xfId="17610" xr:uid="{00000000-0005-0000-0000-0000E6790000}"/>
    <cellStyle name="Normal 7 20 2 5 2" xfId="37530" xr:uid="{00000000-0005-0000-0000-0000E7790000}"/>
    <cellStyle name="Normal 7 20 2 6" xfId="25225" xr:uid="{00000000-0005-0000-0000-0000E8790000}"/>
    <cellStyle name="Normal 7 20 3" xfId="5996" xr:uid="{00000000-0005-0000-0000-0000E9790000}"/>
    <cellStyle name="Normal 7 20 3 2" xfId="9096" xr:uid="{00000000-0005-0000-0000-0000EA790000}"/>
    <cellStyle name="Normal 7 20 3 2 2" xfId="15289" xr:uid="{00000000-0005-0000-0000-0000EB790000}"/>
    <cellStyle name="Normal 7 20 3 2 2 2" xfId="35209" xr:uid="{00000000-0005-0000-0000-0000EC790000}"/>
    <cellStyle name="Normal 7 20 3 2 3" xfId="21441" xr:uid="{00000000-0005-0000-0000-0000ED790000}"/>
    <cellStyle name="Normal 7 20 3 2 3 2" xfId="41361" xr:uid="{00000000-0005-0000-0000-0000EE790000}"/>
    <cellStyle name="Normal 7 20 3 2 4" xfId="29056" xr:uid="{00000000-0005-0000-0000-0000EF790000}"/>
    <cellStyle name="Normal 7 20 3 3" xfId="12223" xr:uid="{00000000-0005-0000-0000-0000F0790000}"/>
    <cellStyle name="Normal 7 20 3 3 2" xfId="32143" xr:uid="{00000000-0005-0000-0000-0000F1790000}"/>
    <cellStyle name="Normal 7 20 3 4" xfId="18375" xr:uid="{00000000-0005-0000-0000-0000F2790000}"/>
    <cellStyle name="Normal 7 20 3 4 2" xfId="38295" xr:uid="{00000000-0005-0000-0000-0000F3790000}"/>
    <cellStyle name="Normal 7 20 3 5" xfId="25990" xr:uid="{00000000-0005-0000-0000-0000F4790000}"/>
    <cellStyle name="Normal 7 20 4" xfId="7561" xr:uid="{00000000-0005-0000-0000-0000F5790000}"/>
    <cellStyle name="Normal 7 20 4 2" xfId="13755" xr:uid="{00000000-0005-0000-0000-0000F6790000}"/>
    <cellStyle name="Normal 7 20 4 2 2" xfId="33675" xr:uid="{00000000-0005-0000-0000-0000F7790000}"/>
    <cellStyle name="Normal 7 20 4 3" xfId="19907" xr:uid="{00000000-0005-0000-0000-0000F8790000}"/>
    <cellStyle name="Normal 7 20 4 3 2" xfId="39827" xr:uid="{00000000-0005-0000-0000-0000F9790000}"/>
    <cellStyle name="Normal 7 20 4 4" xfId="27522" xr:uid="{00000000-0005-0000-0000-0000FA790000}"/>
    <cellStyle name="Normal 7 20 5" xfId="10689" xr:uid="{00000000-0005-0000-0000-0000FB790000}"/>
    <cellStyle name="Normal 7 20 5 2" xfId="30609" xr:uid="{00000000-0005-0000-0000-0000FC790000}"/>
    <cellStyle name="Normal 7 20 6" xfId="16841" xr:uid="{00000000-0005-0000-0000-0000FD790000}"/>
    <cellStyle name="Normal 7 20 6 2" xfId="36761" xr:uid="{00000000-0005-0000-0000-0000FE790000}"/>
    <cellStyle name="Normal 7 20 7" xfId="24456" xr:uid="{00000000-0005-0000-0000-0000FF790000}"/>
    <cellStyle name="Normal 7 21" xfId="3973" xr:uid="{00000000-0005-0000-0000-0000007A0000}"/>
    <cellStyle name="Normal 7 22" xfId="3974" xr:uid="{00000000-0005-0000-0000-0000017A0000}"/>
    <cellStyle name="Normal 7 22 2" xfId="5155" xr:uid="{00000000-0005-0000-0000-0000027A0000}"/>
    <cellStyle name="Normal 7 22 2 2" xfId="6780" xr:uid="{00000000-0005-0000-0000-0000037A0000}"/>
    <cellStyle name="Normal 7 22 2 2 2" xfId="9866" xr:uid="{00000000-0005-0000-0000-0000047A0000}"/>
    <cellStyle name="Normal 7 22 2 2 2 2" xfId="16059" xr:uid="{00000000-0005-0000-0000-0000057A0000}"/>
    <cellStyle name="Normal 7 22 2 2 2 2 2" xfId="35979" xr:uid="{00000000-0005-0000-0000-0000067A0000}"/>
    <cellStyle name="Normal 7 22 2 2 2 3" xfId="22211" xr:uid="{00000000-0005-0000-0000-0000077A0000}"/>
    <cellStyle name="Normal 7 22 2 2 2 3 2" xfId="42131" xr:uid="{00000000-0005-0000-0000-0000087A0000}"/>
    <cellStyle name="Normal 7 22 2 2 2 4" xfId="29826" xr:uid="{00000000-0005-0000-0000-0000097A0000}"/>
    <cellStyle name="Normal 7 22 2 2 3" xfId="12993" xr:uid="{00000000-0005-0000-0000-00000A7A0000}"/>
    <cellStyle name="Normal 7 22 2 2 3 2" xfId="32913" xr:uid="{00000000-0005-0000-0000-00000B7A0000}"/>
    <cellStyle name="Normal 7 22 2 2 4" xfId="19145" xr:uid="{00000000-0005-0000-0000-00000C7A0000}"/>
    <cellStyle name="Normal 7 22 2 2 4 2" xfId="39065" xr:uid="{00000000-0005-0000-0000-00000D7A0000}"/>
    <cellStyle name="Normal 7 22 2 2 5" xfId="26760" xr:uid="{00000000-0005-0000-0000-00000E7A0000}"/>
    <cellStyle name="Normal 7 22 2 3" xfId="8331" xr:uid="{00000000-0005-0000-0000-00000F7A0000}"/>
    <cellStyle name="Normal 7 22 2 3 2" xfId="14525" xr:uid="{00000000-0005-0000-0000-0000107A0000}"/>
    <cellStyle name="Normal 7 22 2 3 2 2" xfId="34445" xr:uid="{00000000-0005-0000-0000-0000117A0000}"/>
    <cellStyle name="Normal 7 22 2 3 3" xfId="20677" xr:uid="{00000000-0005-0000-0000-0000127A0000}"/>
    <cellStyle name="Normal 7 22 2 3 3 2" xfId="40597" xr:uid="{00000000-0005-0000-0000-0000137A0000}"/>
    <cellStyle name="Normal 7 22 2 3 4" xfId="28292" xr:uid="{00000000-0005-0000-0000-0000147A0000}"/>
    <cellStyle name="Normal 7 22 2 4" xfId="11459" xr:uid="{00000000-0005-0000-0000-0000157A0000}"/>
    <cellStyle name="Normal 7 22 2 4 2" xfId="31379" xr:uid="{00000000-0005-0000-0000-0000167A0000}"/>
    <cellStyle name="Normal 7 22 2 5" xfId="17611" xr:uid="{00000000-0005-0000-0000-0000177A0000}"/>
    <cellStyle name="Normal 7 22 2 5 2" xfId="37531" xr:uid="{00000000-0005-0000-0000-0000187A0000}"/>
    <cellStyle name="Normal 7 22 2 6" xfId="25226" xr:uid="{00000000-0005-0000-0000-0000197A0000}"/>
    <cellStyle name="Normal 7 22 3" xfId="5997" xr:uid="{00000000-0005-0000-0000-00001A7A0000}"/>
    <cellStyle name="Normal 7 22 3 2" xfId="9097" xr:uid="{00000000-0005-0000-0000-00001B7A0000}"/>
    <cellStyle name="Normal 7 22 3 2 2" xfId="15290" xr:uid="{00000000-0005-0000-0000-00001C7A0000}"/>
    <cellStyle name="Normal 7 22 3 2 2 2" xfId="35210" xr:uid="{00000000-0005-0000-0000-00001D7A0000}"/>
    <cellStyle name="Normal 7 22 3 2 3" xfId="21442" xr:uid="{00000000-0005-0000-0000-00001E7A0000}"/>
    <cellStyle name="Normal 7 22 3 2 3 2" xfId="41362" xr:uid="{00000000-0005-0000-0000-00001F7A0000}"/>
    <cellStyle name="Normal 7 22 3 2 4" xfId="29057" xr:uid="{00000000-0005-0000-0000-0000207A0000}"/>
    <cellStyle name="Normal 7 22 3 3" xfId="12224" xr:uid="{00000000-0005-0000-0000-0000217A0000}"/>
    <cellStyle name="Normal 7 22 3 3 2" xfId="32144" xr:uid="{00000000-0005-0000-0000-0000227A0000}"/>
    <cellStyle name="Normal 7 22 3 4" xfId="18376" xr:uid="{00000000-0005-0000-0000-0000237A0000}"/>
    <cellStyle name="Normal 7 22 3 4 2" xfId="38296" xr:uid="{00000000-0005-0000-0000-0000247A0000}"/>
    <cellStyle name="Normal 7 22 3 5" xfId="25991" xr:uid="{00000000-0005-0000-0000-0000257A0000}"/>
    <cellStyle name="Normal 7 22 4" xfId="7562" xr:uid="{00000000-0005-0000-0000-0000267A0000}"/>
    <cellStyle name="Normal 7 22 4 2" xfId="13756" xr:uid="{00000000-0005-0000-0000-0000277A0000}"/>
    <cellStyle name="Normal 7 22 4 2 2" xfId="33676" xr:uid="{00000000-0005-0000-0000-0000287A0000}"/>
    <cellStyle name="Normal 7 22 4 3" xfId="19908" xr:uid="{00000000-0005-0000-0000-0000297A0000}"/>
    <cellStyle name="Normal 7 22 4 3 2" xfId="39828" xr:uid="{00000000-0005-0000-0000-00002A7A0000}"/>
    <cellStyle name="Normal 7 22 4 4" xfId="27523" xr:uid="{00000000-0005-0000-0000-00002B7A0000}"/>
    <cellStyle name="Normal 7 22 5" xfId="10690" xr:uid="{00000000-0005-0000-0000-00002C7A0000}"/>
    <cellStyle name="Normal 7 22 5 2" xfId="30610" xr:uid="{00000000-0005-0000-0000-00002D7A0000}"/>
    <cellStyle name="Normal 7 22 6" xfId="16842" xr:uid="{00000000-0005-0000-0000-00002E7A0000}"/>
    <cellStyle name="Normal 7 22 6 2" xfId="36762" xr:uid="{00000000-0005-0000-0000-00002F7A0000}"/>
    <cellStyle name="Normal 7 22 7" xfId="24457" xr:uid="{00000000-0005-0000-0000-0000307A0000}"/>
    <cellStyle name="Normal 7 23" xfId="3975" xr:uid="{00000000-0005-0000-0000-0000317A0000}"/>
    <cellStyle name="Normal 7 24" xfId="4503" xr:uid="{00000000-0005-0000-0000-0000327A0000}"/>
    <cellStyle name="Normal 7 25" xfId="3956" xr:uid="{00000000-0005-0000-0000-0000337A0000}"/>
    <cellStyle name="Normal 7 25 2" xfId="5138" xr:uid="{00000000-0005-0000-0000-0000347A0000}"/>
    <cellStyle name="Normal 7 25 2 2" xfId="6763" xr:uid="{00000000-0005-0000-0000-0000357A0000}"/>
    <cellStyle name="Normal 7 25 2 2 2" xfId="9849" xr:uid="{00000000-0005-0000-0000-0000367A0000}"/>
    <cellStyle name="Normal 7 25 2 2 2 2" xfId="16042" xr:uid="{00000000-0005-0000-0000-0000377A0000}"/>
    <cellStyle name="Normal 7 25 2 2 2 2 2" xfId="35962" xr:uid="{00000000-0005-0000-0000-0000387A0000}"/>
    <cellStyle name="Normal 7 25 2 2 2 3" xfId="22194" xr:uid="{00000000-0005-0000-0000-0000397A0000}"/>
    <cellStyle name="Normal 7 25 2 2 2 3 2" xfId="42114" xr:uid="{00000000-0005-0000-0000-00003A7A0000}"/>
    <cellStyle name="Normal 7 25 2 2 2 4" xfId="29809" xr:uid="{00000000-0005-0000-0000-00003B7A0000}"/>
    <cellStyle name="Normal 7 25 2 2 3" xfId="12976" xr:uid="{00000000-0005-0000-0000-00003C7A0000}"/>
    <cellStyle name="Normal 7 25 2 2 3 2" xfId="32896" xr:uid="{00000000-0005-0000-0000-00003D7A0000}"/>
    <cellStyle name="Normal 7 25 2 2 4" xfId="19128" xr:uid="{00000000-0005-0000-0000-00003E7A0000}"/>
    <cellStyle name="Normal 7 25 2 2 4 2" xfId="39048" xr:uid="{00000000-0005-0000-0000-00003F7A0000}"/>
    <cellStyle name="Normal 7 25 2 2 5" xfId="26743" xr:uid="{00000000-0005-0000-0000-0000407A0000}"/>
    <cellStyle name="Normal 7 25 2 3" xfId="8314" xr:uid="{00000000-0005-0000-0000-0000417A0000}"/>
    <cellStyle name="Normal 7 25 2 3 2" xfId="14508" xr:uid="{00000000-0005-0000-0000-0000427A0000}"/>
    <cellStyle name="Normal 7 25 2 3 2 2" xfId="34428" xr:uid="{00000000-0005-0000-0000-0000437A0000}"/>
    <cellStyle name="Normal 7 25 2 3 3" xfId="20660" xr:uid="{00000000-0005-0000-0000-0000447A0000}"/>
    <cellStyle name="Normal 7 25 2 3 3 2" xfId="40580" xr:uid="{00000000-0005-0000-0000-0000457A0000}"/>
    <cellStyle name="Normal 7 25 2 3 4" xfId="28275" xr:uid="{00000000-0005-0000-0000-0000467A0000}"/>
    <cellStyle name="Normal 7 25 2 4" xfId="11442" xr:uid="{00000000-0005-0000-0000-0000477A0000}"/>
    <cellStyle name="Normal 7 25 2 4 2" xfId="31362" xr:uid="{00000000-0005-0000-0000-0000487A0000}"/>
    <cellStyle name="Normal 7 25 2 5" xfId="17594" xr:uid="{00000000-0005-0000-0000-0000497A0000}"/>
    <cellStyle name="Normal 7 25 2 5 2" xfId="37514" xr:uid="{00000000-0005-0000-0000-00004A7A0000}"/>
    <cellStyle name="Normal 7 25 2 6" xfId="25209" xr:uid="{00000000-0005-0000-0000-00004B7A0000}"/>
    <cellStyle name="Normal 7 25 3" xfId="5980" xr:uid="{00000000-0005-0000-0000-00004C7A0000}"/>
    <cellStyle name="Normal 7 25 3 2" xfId="9080" xr:uid="{00000000-0005-0000-0000-00004D7A0000}"/>
    <cellStyle name="Normal 7 25 3 2 2" xfId="15273" xr:uid="{00000000-0005-0000-0000-00004E7A0000}"/>
    <cellStyle name="Normal 7 25 3 2 2 2" xfId="35193" xr:uid="{00000000-0005-0000-0000-00004F7A0000}"/>
    <cellStyle name="Normal 7 25 3 2 3" xfId="21425" xr:uid="{00000000-0005-0000-0000-0000507A0000}"/>
    <cellStyle name="Normal 7 25 3 2 3 2" xfId="41345" xr:uid="{00000000-0005-0000-0000-0000517A0000}"/>
    <cellStyle name="Normal 7 25 3 2 4" xfId="29040" xr:uid="{00000000-0005-0000-0000-0000527A0000}"/>
    <cellStyle name="Normal 7 25 3 3" xfId="12207" xr:uid="{00000000-0005-0000-0000-0000537A0000}"/>
    <cellStyle name="Normal 7 25 3 3 2" xfId="32127" xr:uid="{00000000-0005-0000-0000-0000547A0000}"/>
    <cellStyle name="Normal 7 25 3 4" xfId="18359" xr:uid="{00000000-0005-0000-0000-0000557A0000}"/>
    <cellStyle name="Normal 7 25 3 4 2" xfId="38279" xr:uid="{00000000-0005-0000-0000-0000567A0000}"/>
    <cellStyle name="Normal 7 25 3 5" xfId="25974" xr:uid="{00000000-0005-0000-0000-0000577A0000}"/>
    <cellStyle name="Normal 7 25 4" xfId="7545" xr:uid="{00000000-0005-0000-0000-0000587A0000}"/>
    <cellStyle name="Normal 7 25 4 2" xfId="13739" xr:uid="{00000000-0005-0000-0000-0000597A0000}"/>
    <cellStyle name="Normal 7 25 4 2 2" xfId="33659" xr:uid="{00000000-0005-0000-0000-00005A7A0000}"/>
    <cellStyle name="Normal 7 25 4 3" xfId="19891" xr:uid="{00000000-0005-0000-0000-00005B7A0000}"/>
    <cellStyle name="Normal 7 25 4 3 2" xfId="39811" xr:uid="{00000000-0005-0000-0000-00005C7A0000}"/>
    <cellStyle name="Normal 7 25 4 4" xfId="27506" xr:uid="{00000000-0005-0000-0000-00005D7A0000}"/>
    <cellStyle name="Normal 7 25 5" xfId="10673" xr:uid="{00000000-0005-0000-0000-00005E7A0000}"/>
    <cellStyle name="Normal 7 25 5 2" xfId="30593" xr:uid="{00000000-0005-0000-0000-00005F7A0000}"/>
    <cellStyle name="Normal 7 25 6" xfId="16825" xr:uid="{00000000-0005-0000-0000-0000607A0000}"/>
    <cellStyle name="Normal 7 25 6 2" xfId="36745" xr:uid="{00000000-0005-0000-0000-0000617A0000}"/>
    <cellStyle name="Normal 7 25 7" xfId="24440" xr:uid="{00000000-0005-0000-0000-0000627A0000}"/>
    <cellStyle name="Normal 7 26" xfId="10117" xr:uid="{00000000-0005-0000-0000-0000637A0000}"/>
    <cellStyle name="Normal 7 26 2" xfId="16293" xr:uid="{00000000-0005-0000-0000-0000647A0000}"/>
    <cellStyle name="Normal 7 26 2 2" xfId="36213" xr:uid="{00000000-0005-0000-0000-0000657A0000}"/>
    <cellStyle name="Normal 7 26 3" xfId="22445" xr:uid="{00000000-0005-0000-0000-0000667A0000}"/>
    <cellStyle name="Normal 7 26 3 2" xfId="42365" xr:uid="{00000000-0005-0000-0000-0000677A0000}"/>
    <cellStyle name="Normal 7 26 4" xfId="30060" xr:uid="{00000000-0005-0000-0000-0000687A0000}"/>
    <cellStyle name="Normal 7 27" xfId="1060" xr:uid="{00000000-0005-0000-0000-0000697A0000}"/>
    <cellStyle name="Normal 7 3" xfId="3976" xr:uid="{00000000-0005-0000-0000-00006A7A0000}"/>
    <cellStyle name="Normal 7 3 10" xfId="16843" xr:uid="{00000000-0005-0000-0000-00006B7A0000}"/>
    <cellStyle name="Normal 7 3 10 2" xfId="36763" xr:uid="{00000000-0005-0000-0000-00006C7A0000}"/>
    <cellStyle name="Normal 7 3 11" xfId="24458" xr:uid="{00000000-0005-0000-0000-00006D7A0000}"/>
    <cellStyle name="Normal 7 3 2" xfId="3977" xr:uid="{00000000-0005-0000-0000-00006E7A0000}"/>
    <cellStyle name="Normal 7 3 2 2" xfId="5157" xr:uid="{00000000-0005-0000-0000-00006F7A0000}"/>
    <cellStyle name="Normal 7 3 2 2 2" xfId="6782" xr:uid="{00000000-0005-0000-0000-0000707A0000}"/>
    <cellStyle name="Normal 7 3 2 2 2 2" xfId="9868" xr:uid="{00000000-0005-0000-0000-0000717A0000}"/>
    <cellStyle name="Normal 7 3 2 2 2 2 2" xfId="16061" xr:uid="{00000000-0005-0000-0000-0000727A0000}"/>
    <cellStyle name="Normal 7 3 2 2 2 2 2 2" xfId="35981" xr:uid="{00000000-0005-0000-0000-0000737A0000}"/>
    <cellStyle name="Normal 7 3 2 2 2 2 3" xfId="22213" xr:uid="{00000000-0005-0000-0000-0000747A0000}"/>
    <cellStyle name="Normal 7 3 2 2 2 2 3 2" xfId="42133" xr:uid="{00000000-0005-0000-0000-0000757A0000}"/>
    <cellStyle name="Normal 7 3 2 2 2 2 4" xfId="29828" xr:uid="{00000000-0005-0000-0000-0000767A0000}"/>
    <cellStyle name="Normal 7 3 2 2 2 3" xfId="12995" xr:uid="{00000000-0005-0000-0000-0000777A0000}"/>
    <cellStyle name="Normal 7 3 2 2 2 3 2" xfId="32915" xr:uid="{00000000-0005-0000-0000-0000787A0000}"/>
    <cellStyle name="Normal 7 3 2 2 2 4" xfId="19147" xr:uid="{00000000-0005-0000-0000-0000797A0000}"/>
    <cellStyle name="Normal 7 3 2 2 2 4 2" xfId="39067" xr:uid="{00000000-0005-0000-0000-00007A7A0000}"/>
    <cellStyle name="Normal 7 3 2 2 2 5" xfId="26762" xr:uid="{00000000-0005-0000-0000-00007B7A0000}"/>
    <cellStyle name="Normal 7 3 2 2 3" xfId="8333" xr:uid="{00000000-0005-0000-0000-00007C7A0000}"/>
    <cellStyle name="Normal 7 3 2 2 3 2" xfId="14527" xr:uid="{00000000-0005-0000-0000-00007D7A0000}"/>
    <cellStyle name="Normal 7 3 2 2 3 2 2" xfId="34447" xr:uid="{00000000-0005-0000-0000-00007E7A0000}"/>
    <cellStyle name="Normal 7 3 2 2 3 3" xfId="20679" xr:uid="{00000000-0005-0000-0000-00007F7A0000}"/>
    <cellStyle name="Normal 7 3 2 2 3 3 2" xfId="40599" xr:uid="{00000000-0005-0000-0000-0000807A0000}"/>
    <cellStyle name="Normal 7 3 2 2 3 4" xfId="28294" xr:uid="{00000000-0005-0000-0000-0000817A0000}"/>
    <cellStyle name="Normal 7 3 2 2 4" xfId="11461" xr:uid="{00000000-0005-0000-0000-0000827A0000}"/>
    <cellStyle name="Normal 7 3 2 2 4 2" xfId="31381" xr:uid="{00000000-0005-0000-0000-0000837A0000}"/>
    <cellStyle name="Normal 7 3 2 2 5" xfId="17613" xr:uid="{00000000-0005-0000-0000-0000847A0000}"/>
    <cellStyle name="Normal 7 3 2 2 5 2" xfId="37533" xr:uid="{00000000-0005-0000-0000-0000857A0000}"/>
    <cellStyle name="Normal 7 3 2 2 6" xfId="25228" xr:uid="{00000000-0005-0000-0000-0000867A0000}"/>
    <cellStyle name="Normal 7 3 2 3" xfId="5999" xr:uid="{00000000-0005-0000-0000-0000877A0000}"/>
    <cellStyle name="Normal 7 3 2 3 2" xfId="9099" xr:uid="{00000000-0005-0000-0000-0000887A0000}"/>
    <cellStyle name="Normal 7 3 2 3 2 2" xfId="15292" xr:uid="{00000000-0005-0000-0000-0000897A0000}"/>
    <cellStyle name="Normal 7 3 2 3 2 2 2" xfId="35212" xr:uid="{00000000-0005-0000-0000-00008A7A0000}"/>
    <cellStyle name="Normal 7 3 2 3 2 3" xfId="21444" xr:uid="{00000000-0005-0000-0000-00008B7A0000}"/>
    <cellStyle name="Normal 7 3 2 3 2 3 2" xfId="41364" xr:uid="{00000000-0005-0000-0000-00008C7A0000}"/>
    <cellStyle name="Normal 7 3 2 3 2 4" xfId="29059" xr:uid="{00000000-0005-0000-0000-00008D7A0000}"/>
    <cellStyle name="Normal 7 3 2 3 3" xfId="12226" xr:uid="{00000000-0005-0000-0000-00008E7A0000}"/>
    <cellStyle name="Normal 7 3 2 3 3 2" xfId="32146" xr:uid="{00000000-0005-0000-0000-00008F7A0000}"/>
    <cellStyle name="Normal 7 3 2 3 4" xfId="18378" xr:uid="{00000000-0005-0000-0000-0000907A0000}"/>
    <cellStyle name="Normal 7 3 2 3 4 2" xfId="38298" xr:uid="{00000000-0005-0000-0000-0000917A0000}"/>
    <cellStyle name="Normal 7 3 2 3 5" xfId="25993" xr:uid="{00000000-0005-0000-0000-0000927A0000}"/>
    <cellStyle name="Normal 7 3 2 4" xfId="7564" xr:uid="{00000000-0005-0000-0000-0000937A0000}"/>
    <cellStyle name="Normal 7 3 2 4 2" xfId="13758" xr:uid="{00000000-0005-0000-0000-0000947A0000}"/>
    <cellStyle name="Normal 7 3 2 4 2 2" xfId="33678" xr:uid="{00000000-0005-0000-0000-0000957A0000}"/>
    <cellStyle name="Normal 7 3 2 4 3" xfId="19910" xr:uid="{00000000-0005-0000-0000-0000967A0000}"/>
    <cellStyle name="Normal 7 3 2 4 3 2" xfId="39830" xr:uid="{00000000-0005-0000-0000-0000977A0000}"/>
    <cellStyle name="Normal 7 3 2 4 4" xfId="27525" xr:uid="{00000000-0005-0000-0000-0000987A0000}"/>
    <cellStyle name="Normal 7 3 2 5" xfId="10692" xr:uid="{00000000-0005-0000-0000-0000997A0000}"/>
    <cellStyle name="Normal 7 3 2 5 2" xfId="30612" xr:uid="{00000000-0005-0000-0000-00009A7A0000}"/>
    <cellStyle name="Normal 7 3 2 6" xfId="16844" xr:uid="{00000000-0005-0000-0000-00009B7A0000}"/>
    <cellStyle name="Normal 7 3 2 6 2" xfId="36764" xr:uid="{00000000-0005-0000-0000-00009C7A0000}"/>
    <cellStyle name="Normal 7 3 2 7" xfId="24459" xr:uid="{00000000-0005-0000-0000-00009D7A0000}"/>
    <cellStyle name="Normal 7 3 3" xfId="3978" xr:uid="{00000000-0005-0000-0000-00009E7A0000}"/>
    <cellStyle name="Normal 7 3 3 2" xfId="5158" xr:uid="{00000000-0005-0000-0000-00009F7A0000}"/>
    <cellStyle name="Normal 7 3 3 2 2" xfId="6783" xr:uid="{00000000-0005-0000-0000-0000A07A0000}"/>
    <cellStyle name="Normal 7 3 3 2 2 2" xfId="9869" xr:uid="{00000000-0005-0000-0000-0000A17A0000}"/>
    <cellStyle name="Normal 7 3 3 2 2 2 2" xfId="16062" xr:uid="{00000000-0005-0000-0000-0000A27A0000}"/>
    <cellStyle name="Normal 7 3 3 2 2 2 2 2" xfId="35982" xr:uid="{00000000-0005-0000-0000-0000A37A0000}"/>
    <cellStyle name="Normal 7 3 3 2 2 2 3" xfId="22214" xr:uid="{00000000-0005-0000-0000-0000A47A0000}"/>
    <cellStyle name="Normal 7 3 3 2 2 2 3 2" xfId="42134" xr:uid="{00000000-0005-0000-0000-0000A57A0000}"/>
    <cellStyle name="Normal 7 3 3 2 2 2 4" xfId="29829" xr:uid="{00000000-0005-0000-0000-0000A67A0000}"/>
    <cellStyle name="Normal 7 3 3 2 2 3" xfId="12996" xr:uid="{00000000-0005-0000-0000-0000A77A0000}"/>
    <cellStyle name="Normal 7 3 3 2 2 3 2" xfId="32916" xr:uid="{00000000-0005-0000-0000-0000A87A0000}"/>
    <cellStyle name="Normal 7 3 3 2 2 4" xfId="19148" xr:uid="{00000000-0005-0000-0000-0000A97A0000}"/>
    <cellStyle name="Normal 7 3 3 2 2 4 2" xfId="39068" xr:uid="{00000000-0005-0000-0000-0000AA7A0000}"/>
    <cellStyle name="Normal 7 3 3 2 2 5" xfId="26763" xr:uid="{00000000-0005-0000-0000-0000AB7A0000}"/>
    <cellStyle name="Normal 7 3 3 2 3" xfId="8334" xr:uid="{00000000-0005-0000-0000-0000AC7A0000}"/>
    <cellStyle name="Normal 7 3 3 2 3 2" xfId="14528" xr:uid="{00000000-0005-0000-0000-0000AD7A0000}"/>
    <cellStyle name="Normal 7 3 3 2 3 2 2" xfId="34448" xr:uid="{00000000-0005-0000-0000-0000AE7A0000}"/>
    <cellStyle name="Normal 7 3 3 2 3 3" xfId="20680" xr:uid="{00000000-0005-0000-0000-0000AF7A0000}"/>
    <cellStyle name="Normal 7 3 3 2 3 3 2" xfId="40600" xr:uid="{00000000-0005-0000-0000-0000B07A0000}"/>
    <cellStyle name="Normal 7 3 3 2 3 4" xfId="28295" xr:uid="{00000000-0005-0000-0000-0000B17A0000}"/>
    <cellStyle name="Normal 7 3 3 2 4" xfId="11462" xr:uid="{00000000-0005-0000-0000-0000B27A0000}"/>
    <cellStyle name="Normal 7 3 3 2 4 2" xfId="31382" xr:uid="{00000000-0005-0000-0000-0000B37A0000}"/>
    <cellStyle name="Normal 7 3 3 2 5" xfId="17614" xr:uid="{00000000-0005-0000-0000-0000B47A0000}"/>
    <cellStyle name="Normal 7 3 3 2 5 2" xfId="37534" xr:uid="{00000000-0005-0000-0000-0000B57A0000}"/>
    <cellStyle name="Normal 7 3 3 2 6" xfId="25229" xr:uid="{00000000-0005-0000-0000-0000B67A0000}"/>
    <cellStyle name="Normal 7 3 3 3" xfId="6000" xr:uid="{00000000-0005-0000-0000-0000B77A0000}"/>
    <cellStyle name="Normal 7 3 3 3 2" xfId="9100" xr:uid="{00000000-0005-0000-0000-0000B87A0000}"/>
    <cellStyle name="Normal 7 3 3 3 2 2" xfId="15293" xr:uid="{00000000-0005-0000-0000-0000B97A0000}"/>
    <cellStyle name="Normal 7 3 3 3 2 2 2" xfId="35213" xr:uid="{00000000-0005-0000-0000-0000BA7A0000}"/>
    <cellStyle name="Normal 7 3 3 3 2 3" xfId="21445" xr:uid="{00000000-0005-0000-0000-0000BB7A0000}"/>
    <cellStyle name="Normal 7 3 3 3 2 3 2" xfId="41365" xr:uid="{00000000-0005-0000-0000-0000BC7A0000}"/>
    <cellStyle name="Normal 7 3 3 3 2 4" xfId="29060" xr:uid="{00000000-0005-0000-0000-0000BD7A0000}"/>
    <cellStyle name="Normal 7 3 3 3 3" xfId="12227" xr:uid="{00000000-0005-0000-0000-0000BE7A0000}"/>
    <cellStyle name="Normal 7 3 3 3 3 2" xfId="32147" xr:uid="{00000000-0005-0000-0000-0000BF7A0000}"/>
    <cellStyle name="Normal 7 3 3 3 4" xfId="18379" xr:uid="{00000000-0005-0000-0000-0000C07A0000}"/>
    <cellStyle name="Normal 7 3 3 3 4 2" xfId="38299" xr:uid="{00000000-0005-0000-0000-0000C17A0000}"/>
    <cellStyle name="Normal 7 3 3 3 5" xfId="25994" xr:uid="{00000000-0005-0000-0000-0000C27A0000}"/>
    <cellStyle name="Normal 7 3 3 4" xfId="7565" xr:uid="{00000000-0005-0000-0000-0000C37A0000}"/>
    <cellStyle name="Normal 7 3 3 4 2" xfId="13759" xr:uid="{00000000-0005-0000-0000-0000C47A0000}"/>
    <cellStyle name="Normal 7 3 3 4 2 2" xfId="33679" xr:uid="{00000000-0005-0000-0000-0000C57A0000}"/>
    <cellStyle name="Normal 7 3 3 4 3" xfId="19911" xr:uid="{00000000-0005-0000-0000-0000C67A0000}"/>
    <cellStyle name="Normal 7 3 3 4 3 2" xfId="39831" xr:uid="{00000000-0005-0000-0000-0000C77A0000}"/>
    <cellStyle name="Normal 7 3 3 4 4" xfId="27526" xr:uid="{00000000-0005-0000-0000-0000C87A0000}"/>
    <cellStyle name="Normal 7 3 3 5" xfId="10693" xr:uid="{00000000-0005-0000-0000-0000C97A0000}"/>
    <cellStyle name="Normal 7 3 3 5 2" xfId="30613" xr:uid="{00000000-0005-0000-0000-0000CA7A0000}"/>
    <cellStyle name="Normal 7 3 3 6" xfId="16845" xr:uid="{00000000-0005-0000-0000-0000CB7A0000}"/>
    <cellStyle name="Normal 7 3 3 6 2" xfId="36765" xr:uid="{00000000-0005-0000-0000-0000CC7A0000}"/>
    <cellStyle name="Normal 7 3 3 7" xfId="24460" xr:uid="{00000000-0005-0000-0000-0000CD7A0000}"/>
    <cellStyle name="Normal 7 3 4" xfId="3979" xr:uid="{00000000-0005-0000-0000-0000CE7A0000}"/>
    <cellStyle name="Normal 7 3 4 2" xfId="5159" xr:uid="{00000000-0005-0000-0000-0000CF7A0000}"/>
    <cellStyle name="Normal 7 3 4 2 2" xfId="6784" xr:uid="{00000000-0005-0000-0000-0000D07A0000}"/>
    <cellStyle name="Normal 7 3 4 2 2 2" xfId="9870" xr:uid="{00000000-0005-0000-0000-0000D17A0000}"/>
    <cellStyle name="Normal 7 3 4 2 2 2 2" xfId="16063" xr:uid="{00000000-0005-0000-0000-0000D27A0000}"/>
    <cellStyle name="Normal 7 3 4 2 2 2 2 2" xfId="35983" xr:uid="{00000000-0005-0000-0000-0000D37A0000}"/>
    <cellStyle name="Normal 7 3 4 2 2 2 3" xfId="22215" xr:uid="{00000000-0005-0000-0000-0000D47A0000}"/>
    <cellStyle name="Normal 7 3 4 2 2 2 3 2" xfId="42135" xr:uid="{00000000-0005-0000-0000-0000D57A0000}"/>
    <cellStyle name="Normal 7 3 4 2 2 2 4" xfId="29830" xr:uid="{00000000-0005-0000-0000-0000D67A0000}"/>
    <cellStyle name="Normal 7 3 4 2 2 3" xfId="12997" xr:uid="{00000000-0005-0000-0000-0000D77A0000}"/>
    <cellStyle name="Normal 7 3 4 2 2 3 2" xfId="32917" xr:uid="{00000000-0005-0000-0000-0000D87A0000}"/>
    <cellStyle name="Normal 7 3 4 2 2 4" xfId="19149" xr:uid="{00000000-0005-0000-0000-0000D97A0000}"/>
    <cellStyle name="Normal 7 3 4 2 2 4 2" xfId="39069" xr:uid="{00000000-0005-0000-0000-0000DA7A0000}"/>
    <cellStyle name="Normal 7 3 4 2 2 5" xfId="26764" xr:uid="{00000000-0005-0000-0000-0000DB7A0000}"/>
    <cellStyle name="Normal 7 3 4 2 3" xfId="8335" xr:uid="{00000000-0005-0000-0000-0000DC7A0000}"/>
    <cellStyle name="Normal 7 3 4 2 3 2" xfId="14529" xr:uid="{00000000-0005-0000-0000-0000DD7A0000}"/>
    <cellStyle name="Normal 7 3 4 2 3 2 2" xfId="34449" xr:uid="{00000000-0005-0000-0000-0000DE7A0000}"/>
    <cellStyle name="Normal 7 3 4 2 3 3" xfId="20681" xr:uid="{00000000-0005-0000-0000-0000DF7A0000}"/>
    <cellStyle name="Normal 7 3 4 2 3 3 2" xfId="40601" xr:uid="{00000000-0005-0000-0000-0000E07A0000}"/>
    <cellStyle name="Normal 7 3 4 2 3 4" xfId="28296" xr:uid="{00000000-0005-0000-0000-0000E17A0000}"/>
    <cellStyle name="Normal 7 3 4 2 4" xfId="11463" xr:uid="{00000000-0005-0000-0000-0000E27A0000}"/>
    <cellStyle name="Normal 7 3 4 2 4 2" xfId="31383" xr:uid="{00000000-0005-0000-0000-0000E37A0000}"/>
    <cellStyle name="Normal 7 3 4 2 5" xfId="17615" xr:uid="{00000000-0005-0000-0000-0000E47A0000}"/>
    <cellStyle name="Normal 7 3 4 2 5 2" xfId="37535" xr:uid="{00000000-0005-0000-0000-0000E57A0000}"/>
    <cellStyle name="Normal 7 3 4 2 6" xfId="25230" xr:uid="{00000000-0005-0000-0000-0000E67A0000}"/>
    <cellStyle name="Normal 7 3 4 3" xfId="6001" xr:uid="{00000000-0005-0000-0000-0000E77A0000}"/>
    <cellStyle name="Normal 7 3 4 3 2" xfId="9101" xr:uid="{00000000-0005-0000-0000-0000E87A0000}"/>
    <cellStyle name="Normal 7 3 4 3 2 2" xfId="15294" xr:uid="{00000000-0005-0000-0000-0000E97A0000}"/>
    <cellStyle name="Normal 7 3 4 3 2 2 2" xfId="35214" xr:uid="{00000000-0005-0000-0000-0000EA7A0000}"/>
    <cellStyle name="Normal 7 3 4 3 2 3" xfId="21446" xr:uid="{00000000-0005-0000-0000-0000EB7A0000}"/>
    <cellStyle name="Normal 7 3 4 3 2 3 2" xfId="41366" xr:uid="{00000000-0005-0000-0000-0000EC7A0000}"/>
    <cellStyle name="Normal 7 3 4 3 2 4" xfId="29061" xr:uid="{00000000-0005-0000-0000-0000ED7A0000}"/>
    <cellStyle name="Normal 7 3 4 3 3" xfId="12228" xr:uid="{00000000-0005-0000-0000-0000EE7A0000}"/>
    <cellStyle name="Normal 7 3 4 3 3 2" xfId="32148" xr:uid="{00000000-0005-0000-0000-0000EF7A0000}"/>
    <cellStyle name="Normal 7 3 4 3 4" xfId="18380" xr:uid="{00000000-0005-0000-0000-0000F07A0000}"/>
    <cellStyle name="Normal 7 3 4 3 4 2" xfId="38300" xr:uid="{00000000-0005-0000-0000-0000F17A0000}"/>
    <cellStyle name="Normal 7 3 4 3 5" xfId="25995" xr:uid="{00000000-0005-0000-0000-0000F27A0000}"/>
    <cellStyle name="Normal 7 3 4 4" xfId="7566" xr:uid="{00000000-0005-0000-0000-0000F37A0000}"/>
    <cellStyle name="Normal 7 3 4 4 2" xfId="13760" xr:uid="{00000000-0005-0000-0000-0000F47A0000}"/>
    <cellStyle name="Normal 7 3 4 4 2 2" xfId="33680" xr:uid="{00000000-0005-0000-0000-0000F57A0000}"/>
    <cellStyle name="Normal 7 3 4 4 3" xfId="19912" xr:uid="{00000000-0005-0000-0000-0000F67A0000}"/>
    <cellStyle name="Normal 7 3 4 4 3 2" xfId="39832" xr:uid="{00000000-0005-0000-0000-0000F77A0000}"/>
    <cellStyle name="Normal 7 3 4 4 4" xfId="27527" xr:uid="{00000000-0005-0000-0000-0000F87A0000}"/>
    <cellStyle name="Normal 7 3 4 5" xfId="10694" xr:uid="{00000000-0005-0000-0000-0000F97A0000}"/>
    <cellStyle name="Normal 7 3 4 5 2" xfId="30614" xr:uid="{00000000-0005-0000-0000-0000FA7A0000}"/>
    <cellStyle name="Normal 7 3 4 6" xfId="16846" xr:uid="{00000000-0005-0000-0000-0000FB7A0000}"/>
    <cellStyle name="Normal 7 3 4 6 2" xfId="36766" xr:uid="{00000000-0005-0000-0000-0000FC7A0000}"/>
    <cellStyle name="Normal 7 3 4 7" xfId="24461" xr:uid="{00000000-0005-0000-0000-0000FD7A0000}"/>
    <cellStyle name="Normal 7 3 5" xfId="3980" xr:uid="{00000000-0005-0000-0000-0000FE7A0000}"/>
    <cellStyle name="Normal 7 3 5 2" xfId="5160" xr:uid="{00000000-0005-0000-0000-0000FF7A0000}"/>
    <cellStyle name="Normal 7 3 5 2 2" xfId="6785" xr:uid="{00000000-0005-0000-0000-0000007B0000}"/>
    <cellStyle name="Normal 7 3 5 2 2 2" xfId="9871" xr:uid="{00000000-0005-0000-0000-0000017B0000}"/>
    <cellStyle name="Normal 7 3 5 2 2 2 2" xfId="16064" xr:uid="{00000000-0005-0000-0000-0000027B0000}"/>
    <cellStyle name="Normal 7 3 5 2 2 2 2 2" xfId="35984" xr:uid="{00000000-0005-0000-0000-0000037B0000}"/>
    <cellStyle name="Normal 7 3 5 2 2 2 3" xfId="22216" xr:uid="{00000000-0005-0000-0000-0000047B0000}"/>
    <cellStyle name="Normal 7 3 5 2 2 2 3 2" xfId="42136" xr:uid="{00000000-0005-0000-0000-0000057B0000}"/>
    <cellStyle name="Normal 7 3 5 2 2 2 4" xfId="29831" xr:uid="{00000000-0005-0000-0000-0000067B0000}"/>
    <cellStyle name="Normal 7 3 5 2 2 3" xfId="12998" xr:uid="{00000000-0005-0000-0000-0000077B0000}"/>
    <cellStyle name="Normal 7 3 5 2 2 3 2" xfId="32918" xr:uid="{00000000-0005-0000-0000-0000087B0000}"/>
    <cellStyle name="Normal 7 3 5 2 2 4" xfId="19150" xr:uid="{00000000-0005-0000-0000-0000097B0000}"/>
    <cellStyle name="Normal 7 3 5 2 2 4 2" xfId="39070" xr:uid="{00000000-0005-0000-0000-00000A7B0000}"/>
    <cellStyle name="Normal 7 3 5 2 2 5" xfId="26765" xr:uid="{00000000-0005-0000-0000-00000B7B0000}"/>
    <cellStyle name="Normal 7 3 5 2 3" xfId="8336" xr:uid="{00000000-0005-0000-0000-00000C7B0000}"/>
    <cellStyle name="Normal 7 3 5 2 3 2" xfId="14530" xr:uid="{00000000-0005-0000-0000-00000D7B0000}"/>
    <cellStyle name="Normal 7 3 5 2 3 2 2" xfId="34450" xr:uid="{00000000-0005-0000-0000-00000E7B0000}"/>
    <cellStyle name="Normal 7 3 5 2 3 3" xfId="20682" xr:uid="{00000000-0005-0000-0000-00000F7B0000}"/>
    <cellStyle name="Normal 7 3 5 2 3 3 2" xfId="40602" xr:uid="{00000000-0005-0000-0000-0000107B0000}"/>
    <cellStyle name="Normal 7 3 5 2 3 4" xfId="28297" xr:uid="{00000000-0005-0000-0000-0000117B0000}"/>
    <cellStyle name="Normal 7 3 5 2 4" xfId="11464" xr:uid="{00000000-0005-0000-0000-0000127B0000}"/>
    <cellStyle name="Normal 7 3 5 2 4 2" xfId="31384" xr:uid="{00000000-0005-0000-0000-0000137B0000}"/>
    <cellStyle name="Normal 7 3 5 2 5" xfId="17616" xr:uid="{00000000-0005-0000-0000-0000147B0000}"/>
    <cellStyle name="Normal 7 3 5 2 5 2" xfId="37536" xr:uid="{00000000-0005-0000-0000-0000157B0000}"/>
    <cellStyle name="Normal 7 3 5 2 6" xfId="25231" xr:uid="{00000000-0005-0000-0000-0000167B0000}"/>
    <cellStyle name="Normal 7 3 5 3" xfId="6002" xr:uid="{00000000-0005-0000-0000-0000177B0000}"/>
    <cellStyle name="Normal 7 3 5 3 2" xfId="9102" xr:uid="{00000000-0005-0000-0000-0000187B0000}"/>
    <cellStyle name="Normal 7 3 5 3 2 2" xfId="15295" xr:uid="{00000000-0005-0000-0000-0000197B0000}"/>
    <cellStyle name="Normal 7 3 5 3 2 2 2" xfId="35215" xr:uid="{00000000-0005-0000-0000-00001A7B0000}"/>
    <cellStyle name="Normal 7 3 5 3 2 3" xfId="21447" xr:uid="{00000000-0005-0000-0000-00001B7B0000}"/>
    <cellStyle name="Normal 7 3 5 3 2 3 2" xfId="41367" xr:uid="{00000000-0005-0000-0000-00001C7B0000}"/>
    <cellStyle name="Normal 7 3 5 3 2 4" xfId="29062" xr:uid="{00000000-0005-0000-0000-00001D7B0000}"/>
    <cellStyle name="Normal 7 3 5 3 3" xfId="12229" xr:uid="{00000000-0005-0000-0000-00001E7B0000}"/>
    <cellStyle name="Normal 7 3 5 3 3 2" xfId="32149" xr:uid="{00000000-0005-0000-0000-00001F7B0000}"/>
    <cellStyle name="Normal 7 3 5 3 4" xfId="18381" xr:uid="{00000000-0005-0000-0000-0000207B0000}"/>
    <cellStyle name="Normal 7 3 5 3 4 2" xfId="38301" xr:uid="{00000000-0005-0000-0000-0000217B0000}"/>
    <cellStyle name="Normal 7 3 5 3 5" xfId="25996" xr:uid="{00000000-0005-0000-0000-0000227B0000}"/>
    <cellStyle name="Normal 7 3 5 4" xfId="7567" xr:uid="{00000000-0005-0000-0000-0000237B0000}"/>
    <cellStyle name="Normal 7 3 5 4 2" xfId="13761" xr:uid="{00000000-0005-0000-0000-0000247B0000}"/>
    <cellStyle name="Normal 7 3 5 4 2 2" xfId="33681" xr:uid="{00000000-0005-0000-0000-0000257B0000}"/>
    <cellStyle name="Normal 7 3 5 4 3" xfId="19913" xr:uid="{00000000-0005-0000-0000-0000267B0000}"/>
    <cellStyle name="Normal 7 3 5 4 3 2" xfId="39833" xr:uid="{00000000-0005-0000-0000-0000277B0000}"/>
    <cellStyle name="Normal 7 3 5 4 4" xfId="27528" xr:uid="{00000000-0005-0000-0000-0000287B0000}"/>
    <cellStyle name="Normal 7 3 5 5" xfId="10695" xr:uid="{00000000-0005-0000-0000-0000297B0000}"/>
    <cellStyle name="Normal 7 3 5 5 2" xfId="30615" xr:uid="{00000000-0005-0000-0000-00002A7B0000}"/>
    <cellStyle name="Normal 7 3 5 6" xfId="16847" xr:uid="{00000000-0005-0000-0000-00002B7B0000}"/>
    <cellStyle name="Normal 7 3 5 6 2" xfId="36767" xr:uid="{00000000-0005-0000-0000-00002C7B0000}"/>
    <cellStyle name="Normal 7 3 5 7" xfId="24462" xr:uid="{00000000-0005-0000-0000-00002D7B0000}"/>
    <cellStyle name="Normal 7 3 6" xfId="5156" xr:uid="{00000000-0005-0000-0000-00002E7B0000}"/>
    <cellStyle name="Normal 7 3 6 2" xfId="6781" xr:uid="{00000000-0005-0000-0000-00002F7B0000}"/>
    <cellStyle name="Normal 7 3 6 2 2" xfId="9867" xr:uid="{00000000-0005-0000-0000-0000307B0000}"/>
    <cellStyle name="Normal 7 3 6 2 2 2" xfId="16060" xr:uid="{00000000-0005-0000-0000-0000317B0000}"/>
    <cellStyle name="Normal 7 3 6 2 2 2 2" xfId="35980" xr:uid="{00000000-0005-0000-0000-0000327B0000}"/>
    <cellStyle name="Normal 7 3 6 2 2 3" xfId="22212" xr:uid="{00000000-0005-0000-0000-0000337B0000}"/>
    <cellStyle name="Normal 7 3 6 2 2 3 2" xfId="42132" xr:uid="{00000000-0005-0000-0000-0000347B0000}"/>
    <cellStyle name="Normal 7 3 6 2 2 4" xfId="29827" xr:uid="{00000000-0005-0000-0000-0000357B0000}"/>
    <cellStyle name="Normal 7 3 6 2 3" xfId="12994" xr:uid="{00000000-0005-0000-0000-0000367B0000}"/>
    <cellStyle name="Normal 7 3 6 2 3 2" xfId="32914" xr:uid="{00000000-0005-0000-0000-0000377B0000}"/>
    <cellStyle name="Normal 7 3 6 2 4" xfId="19146" xr:uid="{00000000-0005-0000-0000-0000387B0000}"/>
    <cellStyle name="Normal 7 3 6 2 4 2" xfId="39066" xr:uid="{00000000-0005-0000-0000-0000397B0000}"/>
    <cellStyle name="Normal 7 3 6 2 5" xfId="26761" xr:uid="{00000000-0005-0000-0000-00003A7B0000}"/>
    <cellStyle name="Normal 7 3 6 3" xfId="8332" xr:uid="{00000000-0005-0000-0000-00003B7B0000}"/>
    <cellStyle name="Normal 7 3 6 3 2" xfId="14526" xr:uid="{00000000-0005-0000-0000-00003C7B0000}"/>
    <cellStyle name="Normal 7 3 6 3 2 2" xfId="34446" xr:uid="{00000000-0005-0000-0000-00003D7B0000}"/>
    <cellStyle name="Normal 7 3 6 3 3" xfId="20678" xr:uid="{00000000-0005-0000-0000-00003E7B0000}"/>
    <cellStyle name="Normal 7 3 6 3 3 2" xfId="40598" xr:uid="{00000000-0005-0000-0000-00003F7B0000}"/>
    <cellStyle name="Normal 7 3 6 3 4" xfId="28293" xr:uid="{00000000-0005-0000-0000-0000407B0000}"/>
    <cellStyle name="Normal 7 3 6 4" xfId="11460" xr:uid="{00000000-0005-0000-0000-0000417B0000}"/>
    <cellStyle name="Normal 7 3 6 4 2" xfId="31380" xr:uid="{00000000-0005-0000-0000-0000427B0000}"/>
    <cellStyle name="Normal 7 3 6 5" xfId="17612" xr:uid="{00000000-0005-0000-0000-0000437B0000}"/>
    <cellStyle name="Normal 7 3 6 5 2" xfId="37532" xr:uid="{00000000-0005-0000-0000-0000447B0000}"/>
    <cellStyle name="Normal 7 3 6 6" xfId="25227" xr:uid="{00000000-0005-0000-0000-0000457B0000}"/>
    <cellStyle name="Normal 7 3 7" xfId="5998" xr:uid="{00000000-0005-0000-0000-0000467B0000}"/>
    <cellStyle name="Normal 7 3 7 2" xfId="9098" xr:uid="{00000000-0005-0000-0000-0000477B0000}"/>
    <cellStyle name="Normal 7 3 7 2 2" xfId="15291" xr:uid="{00000000-0005-0000-0000-0000487B0000}"/>
    <cellStyle name="Normal 7 3 7 2 2 2" xfId="35211" xr:uid="{00000000-0005-0000-0000-0000497B0000}"/>
    <cellStyle name="Normal 7 3 7 2 3" xfId="21443" xr:uid="{00000000-0005-0000-0000-00004A7B0000}"/>
    <cellStyle name="Normal 7 3 7 2 3 2" xfId="41363" xr:uid="{00000000-0005-0000-0000-00004B7B0000}"/>
    <cellStyle name="Normal 7 3 7 2 4" xfId="29058" xr:uid="{00000000-0005-0000-0000-00004C7B0000}"/>
    <cellStyle name="Normal 7 3 7 3" xfId="12225" xr:uid="{00000000-0005-0000-0000-00004D7B0000}"/>
    <cellStyle name="Normal 7 3 7 3 2" xfId="32145" xr:uid="{00000000-0005-0000-0000-00004E7B0000}"/>
    <cellStyle name="Normal 7 3 7 4" xfId="18377" xr:uid="{00000000-0005-0000-0000-00004F7B0000}"/>
    <cellStyle name="Normal 7 3 7 4 2" xfId="38297" xr:uid="{00000000-0005-0000-0000-0000507B0000}"/>
    <cellStyle name="Normal 7 3 7 5" xfId="25992" xr:uid="{00000000-0005-0000-0000-0000517B0000}"/>
    <cellStyle name="Normal 7 3 8" xfId="7563" xr:uid="{00000000-0005-0000-0000-0000527B0000}"/>
    <cellStyle name="Normal 7 3 8 2" xfId="13757" xr:uid="{00000000-0005-0000-0000-0000537B0000}"/>
    <cellStyle name="Normal 7 3 8 2 2" xfId="33677" xr:uid="{00000000-0005-0000-0000-0000547B0000}"/>
    <cellStyle name="Normal 7 3 8 3" xfId="19909" xr:uid="{00000000-0005-0000-0000-0000557B0000}"/>
    <cellStyle name="Normal 7 3 8 3 2" xfId="39829" xr:uid="{00000000-0005-0000-0000-0000567B0000}"/>
    <cellStyle name="Normal 7 3 8 4" xfId="27524" xr:uid="{00000000-0005-0000-0000-0000577B0000}"/>
    <cellStyle name="Normal 7 3 9" xfId="10691" xr:uid="{00000000-0005-0000-0000-0000587B0000}"/>
    <cellStyle name="Normal 7 3 9 2" xfId="30611" xr:uid="{00000000-0005-0000-0000-0000597B0000}"/>
    <cellStyle name="Normal 7 4" xfId="3981" xr:uid="{00000000-0005-0000-0000-00005A7B0000}"/>
    <cellStyle name="Normal 7 4 2" xfId="5161" xr:uid="{00000000-0005-0000-0000-00005B7B0000}"/>
    <cellStyle name="Normal 7 4 2 2" xfId="6786" xr:uid="{00000000-0005-0000-0000-00005C7B0000}"/>
    <cellStyle name="Normal 7 4 2 2 2" xfId="9872" xr:uid="{00000000-0005-0000-0000-00005D7B0000}"/>
    <cellStyle name="Normal 7 4 2 2 2 2" xfId="16065" xr:uid="{00000000-0005-0000-0000-00005E7B0000}"/>
    <cellStyle name="Normal 7 4 2 2 2 2 2" xfId="35985" xr:uid="{00000000-0005-0000-0000-00005F7B0000}"/>
    <cellStyle name="Normal 7 4 2 2 2 3" xfId="22217" xr:uid="{00000000-0005-0000-0000-0000607B0000}"/>
    <cellStyle name="Normal 7 4 2 2 2 3 2" xfId="42137" xr:uid="{00000000-0005-0000-0000-0000617B0000}"/>
    <cellStyle name="Normal 7 4 2 2 2 4" xfId="29832" xr:uid="{00000000-0005-0000-0000-0000627B0000}"/>
    <cellStyle name="Normal 7 4 2 2 3" xfId="12999" xr:uid="{00000000-0005-0000-0000-0000637B0000}"/>
    <cellStyle name="Normal 7 4 2 2 3 2" xfId="32919" xr:uid="{00000000-0005-0000-0000-0000647B0000}"/>
    <cellStyle name="Normal 7 4 2 2 4" xfId="19151" xr:uid="{00000000-0005-0000-0000-0000657B0000}"/>
    <cellStyle name="Normal 7 4 2 2 4 2" xfId="39071" xr:uid="{00000000-0005-0000-0000-0000667B0000}"/>
    <cellStyle name="Normal 7 4 2 2 5" xfId="26766" xr:uid="{00000000-0005-0000-0000-0000677B0000}"/>
    <cellStyle name="Normal 7 4 2 3" xfId="8337" xr:uid="{00000000-0005-0000-0000-0000687B0000}"/>
    <cellStyle name="Normal 7 4 2 3 2" xfId="14531" xr:uid="{00000000-0005-0000-0000-0000697B0000}"/>
    <cellStyle name="Normal 7 4 2 3 2 2" xfId="34451" xr:uid="{00000000-0005-0000-0000-00006A7B0000}"/>
    <cellStyle name="Normal 7 4 2 3 3" xfId="20683" xr:uid="{00000000-0005-0000-0000-00006B7B0000}"/>
    <cellStyle name="Normal 7 4 2 3 3 2" xfId="40603" xr:uid="{00000000-0005-0000-0000-00006C7B0000}"/>
    <cellStyle name="Normal 7 4 2 3 4" xfId="28298" xr:uid="{00000000-0005-0000-0000-00006D7B0000}"/>
    <cellStyle name="Normal 7 4 2 4" xfId="11465" xr:uid="{00000000-0005-0000-0000-00006E7B0000}"/>
    <cellStyle name="Normal 7 4 2 4 2" xfId="31385" xr:uid="{00000000-0005-0000-0000-00006F7B0000}"/>
    <cellStyle name="Normal 7 4 2 5" xfId="17617" xr:uid="{00000000-0005-0000-0000-0000707B0000}"/>
    <cellStyle name="Normal 7 4 2 5 2" xfId="37537" xr:uid="{00000000-0005-0000-0000-0000717B0000}"/>
    <cellStyle name="Normal 7 4 2 6" xfId="25232" xr:uid="{00000000-0005-0000-0000-0000727B0000}"/>
    <cellStyle name="Normal 7 4 3" xfId="6003" xr:uid="{00000000-0005-0000-0000-0000737B0000}"/>
    <cellStyle name="Normal 7 4 3 2" xfId="9103" xr:uid="{00000000-0005-0000-0000-0000747B0000}"/>
    <cellStyle name="Normal 7 4 3 2 2" xfId="15296" xr:uid="{00000000-0005-0000-0000-0000757B0000}"/>
    <cellStyle name="Normal 7 4 3 2 2 2" xfId="35216" xr:uid="{00000000-0005-0000-0000-0000767B0000}"/>
    <cellStyle name="Normal 7 4 3 2 3" xfId="21448" xr:uid="{00000000-0005-0000-0000-0000777B0000}"/>
    <cellStyle name="Normal 7 4 3 2 3 2" xfId="41368" xr:uid="{00000000-0005-0000-0000-0000787B0000}"/>
    <cellStyle name="Normal 7 4 3 2 4" xfId="29063" xr:uid="{00000000-0005-0000-0000-0000797B0000}"/>
    <cellStyle name="Normal 7 4 3 3" xfId="12230" xr:uid="{00000000-0005-0000-0000-00007A7B0000}"/>
    <cellStyle name="Normal 7 4 3 3 2" xfId="32150" xr:uid="{00000000-0005-0000-0000-00007B7B0000}"/>
    <cellStyle name="Normal 7 4 3 4" xfId="18382" xr:uid="{00000000-0005-0000-0000-00007C7B0000}"/>
    <cellStyle name="Normal 7 4 3 4 2" xfId="38302" xr:uid="{00000000-0005-0000-0000-00007D7B0000}"/>
    <cellStyle name="Normal 7 4 3 5" xfId="25997" xr:uid="{00000000-0005-0000-0000-00007E7B0000}"/>
    <cellStyle name="Normal 7 4 4" xfId="7568" xr:uid="{00000000-0005-0000-0000-00007F7B0000}"/>
    <cellStyle name="Normal 7 4 4 2" xfId="13762" xr:uid="{00000000-0005-0000-0000-0000807B0000}"/>
    <cellStyle name="Normal 7 4 4 2 2" xfId="33682" xr:uid="{00000000-0005-0000-0000-0000817B0000}"/>
    <cellStyle name="Normal 7 4 4 3" xfId="19914" xr:uid="{00000000-0005-0000-0000-0000827B0000}"/>
    <cellStyle name="Normal 7 4 4 3 2" xfId="39834" xr:uid="{00000000-0005-0000-0000-0000837B0000}"/>
    <cellStyle name="Normal 7 4 4 4" xfId="27529" xr:uid="{00000000-0005-0000-0000-0000847B0000}"/>
    <cellStyle name="Normal 7 4 5" xfId="10696" xr:uid="{00000000-0005-0000-0000-0000857B0000}"/>
    <cellStyle name="Normal 7 4 5 2" xfId="30616" xr:uid="{00000000-0005-0000-0000-0000867B0000}"/>
    <cellStyle name="Normal 7 4 6" xfId="16848" xr:uid="{00000000-0005-0000-0000-0000877B0000}"/>
    <cellStyle name="Normal 7 4 6 2" xfId="36768" xr:uid="{00000000-0005-0000-0000-0000887B0000}"/>
    <cellStyle name="Normal 7 4 7" xfId="24463" xr:uid="{00000000-0005-0000-0000-0000897B0000}"/>
    <cellStyle name="Normal 7 5" xfId="3982" xr:uid="{00000000-0005-0000-0000-00008A7B0000}"/>
    <cellStyle name="Normal 7 5 2" xfId="5162" xr:uid="{00000000-0005-0000-0000-00008B7B0000}"/>
    <cellStyle name="Normal 7 5 2 2" xfId="6787" xr:uid="{00000000-0005-0000-0000-00008C7B0000}"/>
    <cellStyle name="Normal 7 5 2 2 2" xfId="9873" xr:uid="{00000000-0005-0000-0000-00008D7B0000}"/>
    <cellStyle name="Normal 7 5 2 2 2 2" xfId="16066" xr:uid="{00000000-0005-0000-0000-00008E7B0000}"/>
    <cellStyle name="Normal 7 5 2 2 2 2 2" xfId="35986" xr:uid="{00000000-0005-0000-0000-00008F7B0000}"/>
    <cellStyle name="Normal 7 5 2 2 2 3" xfId="22218" xr:uid="{00000000-0005-0000-0000-0000907B0000}"/>
    <cellStyle name="Normal 7 5 2 2 2 3 2" xfId="42138" xr:uid="{00000000-0005-0000-0000-0000917B0000}"/>
    <cellStyle name="Normal 7 5 2 2 2 4" xfId="29833" xr:uid="{00000000-0005-0000-0000-0000927B0000}"/>
    <cellStyle name="Normal 7 5 2 2 3" xfId="13000" xr:uid="{00000000-0005-0000-0000-0000937B0000}"/>
    <cellStyle name="Normal 7 5 2 2 3 2" xfId="32920" xr:uid="{00000000-0005-0000-0000-0000947B0000}"/>
    <cellStyle name="Normal 7 5 2 2 4" xfId="19152" xr:uid="{00000000-0005-0000-0000-0000957B0000}"/>
    <cellStyle name="Normal 7 5 2 2 4 2" xfId="39072" xr:uid="{00000000-0005-0000-0000-0000967B0000}"/>
    <cellStyle name="Normal 7 5 2 2 5" xfId="26767" xr:uid="{00000000-0005-0000-0000-0000977B0000}"/>
    <cellStyle name="Normal 7 5 2 3" xfId="8338" xr:uid="{00000000-0005-0000-0000-0000987B0000}"/>
    <cellStyle name="Normal 7 5 2 3 2" xfId="14532" xr:uid="{00000000-0005-0000-0000-0000997B0000}"/>
    <cellStyle name="Normal 7 5 2 3 2 2" xfId="34452" xr:uid="{00000000-0005-0000-0000-00009A7B0000}"/>
    <cellStyle name="Normal 7 5 2 3 3" xfId="20684" xr:uid="{00000000-0005-0000-0000-00009B7B0000}"/>
    <cellStyle name="Normal 7 5 2 3 3 2" xfId="40604" xr:uid="{00000000-0005-0000-0000-00009C7B0000}"/>
    <cellStyle name="Normal 7 5 2 3 4" xfId="28299" xr:uid="{00000000-0005-0000-0000-00009D7B0000}"/>
    <cellStyle name="Normal 7 5 2 4" xfId="11466" xr:uid="{00000000-0005-0000-0000-00009E7B0000}"/>
    <cellStyle name="Normal 7 5 2 4 2" xfId="31386" xr:uid="{00000000-0005-0000-0000-00009F7B0000}"/>
    <cellStyle name="Normal 7 5 2 5" xfId="17618" xr:uid="{00000000-0005-0000-0000-0000A07B0000}"/>
    <cellStyle name="Normal 7 5 2 5 2" xfId="37538" xr:uid="{00000000-0005-0000-0000-0000A17B0000}"/>
    <cellStyle name="Normal 7 5 2 6" xfId="25233" xr:uid="{00000000-0005-0000-0000-0000A27B0000}"/>
    <cellStyle name="Normal 7 5 3" xfId="6004" xr:uid="{00000000-0005-0000-0000-0000A37B0000}"/>
    <cellStyle name="Normal 7 5 3 2" xfId="9104" xr:uid="{00000000-0005-0000-0000-0000A47B0000}"/>
    <cellStyle name="Normal 7 5 3 2 2" xfId="15297" xr:uid="{00000000-0005-0000-0000-0000A57B0000}"/>
    <cellStyle name="Normal 7 5 3 2 2 2" xfId="35217" xr:uid="{00000000-0005-0000-0000-0000A67B0000}"/>
    <cellStyle name="Normal 7 5 3 2 3" xfId="21449" xr:uid="{00000000-0005-0000-0000-0000A77B0000}"/>
    <cellStyle name="Normal 7 5 3 2 3 2" xfId="41369" xr:uid="{00000000-0005-0000-0000-0000A87B0000}"/>
    <cellStyle name="Normal 7 5 3 2 4" xfId="29064" xr:uid="{00000000-0005-0000-0000-0000A97B0000}"/>
    <cellStyle name="Normal 7 5 3 3" xfId="12231" xr:uid="{00000000-0005-0000-0000-0000AA7B0000}"/>
    <cellStyle name="Normal 7 5 3 3 2" xfId="32151" xr:uid="{00000000-0005-0000-0000-0000AB7B0000}"/>
    <cellStyle name="Normal 7 5 3 4" xfId="18383" xr:uid="{00000000-0005-0000-0000-0000AC7B0000}"/>
    <cellStyle name="Normal 7 5 3 4 2" xfId="38303" xr:uid="{00000000-0005-0000-0000-0000AD7B0000}"/>
    <cellStyle name="Normal 7 5 3 5" xfId="25998" xr:uid="{00000000-0005-0000-0000-0000AE7B0000}"/>
    <cellStyle name="Normal 7 5 4" xfId="7569" xr:uid="{00000000-0005-0000-0000-0000AF7B0000}"/>
    <cellStyle name="Normal 7 5 4 2" xfId="13763" xr:uid="{00000000-0005-0000-0000-0000B07B0000}"/>
    <cellStyle name="Normal 7 5 4 2 2" xfId="33683" xr:uid="{00000000-0005-0000-0000-0000B17B0000}"/>
    <cellStyle name="Normal 7 5 4 3" xfId="19915" xr:uid="{00000000-0005-0000-0000-0000B27B0000}"/>
    <cellStyle name="Normal 7 5 4 3 2" xfId="39835" xr:uid="{00000000-0005-0000-0000-0000B37B0000}"/>
    <cellStyle name="Normal 7 5 4 4" xfId="27530" xr:uid="{00000000-0005-0000-0000-0000B47B0000}"/>
    <cellStyle name="Normal 7 5 5" xfId="10697" xr:uid="{00000000-0005-0000-0000-0000B57B0000}"/>
    <cellStyle name="Normal 7 5 5 2" xfId="30617" xr:uid="{00000000-0005-0000-0000-0000B67B0000}"/>
    <cellStyle name="Normal 7 5 6" xfId="16849" xr:uid="{00000000-0005-0000-0000-0000B77B0000}"/>
    <cellStyle name="Normal 7 5 6 2" xfId="36769" xr:uid="{00000000-0005-0000-0000-0000B87B0000}"/>
    <cellStyle name="Normal 7 5 7" xfId="24464" xr:uid="{00000000-0005-0000-0000-0000B97B0000}"/>
    <cellStyle name="Normal 7 6" xfId="3983" xr:uid="{00000000-0005-0000-0000-0000BA7B0000}"/>
    <cellStyle name="Normal 7 6 2" xfId="5163" xr:uid="{00000000-0005-0000-0000-0000BB7B0000}"/>
    <cellStyle name="Normal 7 6 2 2" xfId="6788" xr:uid="{00000000-0005-0000-0000-0000BC7B0000}"/>
    <cellStyle name="Normal 7 6 2 2 2" xfId="9874" xr:uid="{00000000-0005-0000-0000-0000BD7B0000}"/>
    <cellStyle name="Normal 7 6 2 2 2 2" xfId="16067" xr:uid="{00000000-0005-0000-0000-0000BE7B0000}"/>
    <cellStyle name="Normal 7 6 2 2 2 2 2" xfId="35987" xr:uid="{00000000-0005-0000-0000-0000BF7B0000}"/>
    <cellStyle name="Normal 7 6 2 2 2 3" xfId="22219" xr:uid="{00000000-0005-0000-0000-0000C07B0000}"/>
    <cellStyle name="Normal 7 6 2 2 2 3 2" xfId="42139" xr:uid="{00000000-0005-0000-0000-0000C17B0000}"/>
    <cellStyle name="Normal 7 6 2 2 2 4" xfId="29834" xr:uid="{00000000-0005-0000-0000-0000C27B0000}"/>
    <cellStyle name="Normal 7 6 2 2 3" xfId="13001" xr:uid="{00000000-0005-0000-0000-0000C37B0000}"/>
    <cellStyle name="Normal 7 6 2 2 3 2" xfId="32921" xr:uid="{00000000-0005-0000-0000-0000C47B0000}"/>
    <cellStyle name="Normal 7 6 2 2 4" xfId="19153" xr:uid="{00000000-0005-0000-0000-0000C57B0000}"/>
    <cellStyle name="Normal 7 6 2 2 4 2" xfId="39073" xr:uid="{00000000-0005-0000-0000-0000C67B0000}"/>
    <cellStyle name="Normal 7 6 2 2 5" xfId="26768" xr:uid="{00000000-0005-0000-0000-0000C77B0000}"/>
    <cellStyle name="Normal 7 6 2 3" xfId="8339" xr:uid="{00000000-0005-0000-0000-0000C87B0000}"/>
    <cellStyle name="Normal 7 6 2 3 2" xfId="14533" xr:uid="{00000000-0005-0000-0000-0000C97B0000}"/>
    <cellStyle name="Normal 7 6 2 3 2 2" xfId="34453" xr:uid="{00000000-0005-0000-0000-0000CA7B0000}"/>
    <cellStyle name="Normal 7 6 2 3 3" xfId="20685" xr:uid="{00000000-0005-0000-0000-0000CB7B0000}"/>
    <cellStyle name="Normal 7 6 2 3 3 2" xfId="40605" xr:uid="{00000000-0005-0000-0000-0000CC7B0000}"/>
    <cellStyle name="Normal 7 6 2 3 4" xfId="28300" xr:uid="{00000000-0005-0000-0000-0000CD7B0000}"/>
    <cellStyle name="Normal 7 6 2 4" xfId="11467" xr:uid="{00000000-0005-0000-0000-0000CE7B0000}"/>
    <cellStyle name="Normal 7 6 2 4 2" xfId="31387" xr:uid="{00000000-0005-0000-0000-0000CF7B0000}"/>
    <cellStyle name="Normal 7 6 2 5" xfId="17619" xr:uid="{00000000-0005-0000-0000-0000D07B0000}"/>
    <cellStyle name="Normal 7 6 2 5 2" xfId="37539" xr:uid="{00000000-0005-0000-0000-0000D17B0000}"/>
    <cellStyle name="Normal 7 6 2 6" xfId="25234" xr:uid="{00000000-0005-0000-0000-0000D27B0000}"/>
    <cellStyle name="Normal 7 6 3" xfId="6005" xr:uid="{00000000-0005-0000-0000-0000D37B0000}"/>
    <cellStyle name="Normal 7 6 3 2" xfId="9105" xr:uid="{00000000-0005-0000-0000-0000D47B0000}"/>
    <cellStyle name="Normal 7 6 3 2 2" xfId="15298" xr:uid="{00000000-0005-0000-0000-0000D57B0000}"/>
    <cellStyle name="Normal 7 6 3 2 2 2" xfId="35218" xr:uid="{00000000-0005-0000-0000-0000D67B0000}"/>
    <cellStyle name="Normal 7 6 3 2 3" xfId="21450" xr:uid="{00000000-0005-0000-0000-0000D77B0000}"/>
    <cellStyle name="Normal 7 6 3 2 3 2" xfId="41370" xr:uid="{00000000-0005-0000-0000-0000D87B0000}"/>
    <cellStyle name="Normal 7 6 3 2 4" xfId="29065" xr:uid="{00000000-0005-0000-0000-0000D97B0000}"/>
    <cellStyle name="Normal 7 6 3 3" xfId="12232" xr:uid="{00000000-0005-0000-0000-0000DA7B0000}"/>
    <cellStyle name="Normal 7 6 3 3 2" xfId="32152" xr:uid="{00000000-0005-0000-0000-0000DB7B0000}"/>
    <cellStyle name="Normal 7 6 3 4" xfId="18384" xr:uid="{00000000-0005-0000-0000-0000DC7B0000}"/>
    <cellStyle name="Normal 7 6 3 4 2" xfId="38304" xr:uid="{00000000-0005-0000-0000-0000DD7B0000}"/>
    <cellStyle name="Normal 7 6 3 5" xfId="25999" xr:uid="{00000000-0005-0000-0000-0000DE7B0000}"/>
    <cellStyle name="Normal 7 6 4" xfId="7570" xr:uid="{00000000-0005-0000-0000-0000DF7B0000}"/>
    <cellStyle name="Normal 7 6 4 2" xfId="13764" xr:uid="{00000000-0005-0000-0000-0000E07B0000}"/>
    <cellStyle name="Normal 7 6 4 2 2" xfId="33684" xr:uid="{00000000-0005-0000-0000-0000E17B0000}"/>
    <cellStyle name="Normal 7 6 4 3" xfId="19916" xr:uid="{00000000-0005-0000-0000-0000E27B0000}"/>
    <cellStyle name="Normal 7 6 4 3 2" xfId="39836" xr:uid="{00000000-0005-0000-0000-0000E37B0000}"/>
    <cellStyle name="Normal 7 6 4 4" xfId="27531" xr:uid="{00000000-0005-0000-0000-0000E47B0000}"/>
    <cellStyle name="Normal 7 6 5" xfId="10698" xr:uid="{00000000-0005-0000-0000-0000E57B0000}"/>
    <cellStyle name="Normal 7 6 5 2" xfId="30618" xr:uid="{00000000-0005-0000-0000-0000E67B0000}"/>
    <cellStyle name="Normal 7 6 6" xfId="16850" xr:uid="{00000000-0005-0000-0000-0000E77B0000}"/>
    <cellStyle name="Normal 7 6 6 2" xfId="36770" xr:uid="{00000000-0005-0000-0000-0000E87B0000}"/>
    <cellStyle name="Normal 7 6 7" xfId="24465" xr:uid="{00000000-0005-0000-0000-0000E97B0000}"/>
    <cellStyle name="Normal 7 7" xfId="3984" xr:uid="{00000000-0005-0000-0000-0000EA7B0000}"/>
    <cellStyle name="Normal 7 7 2" xfId="5164" xr:uid="{00000000-0005-0000-0000-0000EB7B0000}"/>
    <cellStyle name="Normal 7 7 2 2" xfId="6789" xr:uid="{00000000-0005-0000-0000-0000EC7B0000}"/>
    <cellStyle name="Normal 7 7 2 2 2" xfId="9875" xr:uid="{00000000-0005-0000-0000-0000ED7B0000}"/>
    <cellStyle name="Normal 7 7 2 2 2 2" xfId="16068" xr:uid="{00000000-0005-0000-0000-0000EE7B0000}"/>
    <cellStyle name="Normal 7 7 2 2 2 2 2" xfId="35988" xr:uid="{00000000-0005-0000-0000-0000EF7B0000}"/>
    <cellStyle name="Normal 7 7 2 2 2 3" xfId="22220" xr:uid="{00000000-0005-0000-0000-0000F07B0000}"/>
    <cellStyle name="Normal 7 7 2 2 2 3 2" xfId="42140" xr:uid="{00000000-0005-0000-0000-0000F17B0000}"/>
    <cellStyle name="Normal 7 7 2 2 2 4" xfId="29835" xr:uid="{00000000-0005-0000-0000-0000F27B0000}"/>
    <cellStyle name="Normal 7 7 2 2 3" xfId="13002" xr:uid="{00000000-0005-0000-0000-0000F37B0000}"/>
    <cellStyle name="Normal 7 7 2 2 3 2" xfId="32922" xr:uid="{00000000-0005-0000-0000-0000F47B0000}"/>
    <cellStyle name="Normal 7 7 2 2 4" xfId="19154" xr:uid="{00000000-0005-0000-0000-0000F57B0000}"/>
    <cellStyle name="Normal 7 7 2 2 4 2" xfId="39074" xr:uid="{00000000-0005-0000-0000-0000F67B0000}"/>
    <cellStyle name="Normal 7 7 2 2 5" xfId="26769" xr:uid="{00000000-0005-0000-0000-0000F77B0000}"/>
    <cellStyle name="Normal 7 7 2 3" xfId="8340" xr:uid="{00000000-0005-0000-0000-0000F87B0000}"/>
    <cellStyle name="Normal 7 7 2 3 2" xfId="14534" xr:uid="{00000000-0005-0000-0000-0000F97B0000}"/>
    <cellStyle name="Normal 7 7 2 3 2 2" xfId="34454" xr:uid="{00000000-0005-0000-0000-0000FA7B0000}"/>
    <cellStyle name="Normal 7 7 2 3 3" xfId="20686" xr:uid="{00000000-0005-0000-0000-0000FB7B0000}"/>
    <cellStyle name="Normal 7 7 2 3 3 2" xfId="40606" xr:uid="{00000000-0005-0000-0000-0000FC7B0000}"/>
    <cellStyle name="Normal 7 7 2 3 4" xfId="28301" xr:uid="{00000000-0005-0000-0000-0000FD7B0000}"/>
    <cellStyle name="Normal 7 7 2 4" xfId="11468" xr:uid="{00000000-0005-0000-0000-0000FE7B0000}"/>
    <cellStyle name="Normal 7 7 2 4 2" xfId="31388" xr:uid="{00000000-0005-0000-0000-0000FF7B0000}"/>
    <cellStyle name="Normal 7 7 2 5" xfId="17620" xr:uid="{00000000-0005-0000-0000-0000007C0000}"/>
    <cellStyle name="Normal 7 7 2 5 2" xfId="37540" xr:uid="{00000000-0005-0000-0000-0000017C0000}"/>
    <cellStyle name="Normal 7 7 2 6" xfId="25235" xr:uid="{00000000-0005-0000-0000-0000027C0000}"/>
    <cellStyle name="Normal 7 7 3" xfId="6006" xr:uid="{00000000-0005-0000-0000-0000037C0000}"/>
    <cellStyle name="Normal 7 7 3 2" xfId="9106" xr:uid="{00000000-0005-0000-0000-0000047C0000}"/>
    <cellStyle name="Normal 7 7 3 2 2" xfId="15299" xr:uid="{00000000-0005-0000-0000-0000057C0000}"/>
    <cellStyle name="Normal 7 7 3 2 2 2" xfId="35219" xr:uid="{00000000-0005-0000-0000-0000067C0000}"/>
    <cellStyle name="Normal 7 7 3 2 3" xfId="21451" xr:uid="{00000000-0005-0000-0000-0000077C0000}"/>
    <cellStyle name="Normal 7 7 3 2 3 2" xfId="41371" xr:uid="{00000000-0005-0000-0000-0000087C0000}"/>
    <cellStyle name="Normal 7 7 3 2 4" xfId="29066" xr:uid="{00000000-0005-0000-0000-0000097C0000}"/>
    <cellStyle name="Normal 7 7 3 3" xfId="12233" xr:uid="{00000000-0005-0000-0000-00000A7C0000}"/>
    <cellStyle name="Normal 7 7 3 3 2" xfId="32153" xr:uid="{00000000-0005-0000-0000-00000B7C0000}"/>
    <cellStyle name="Normal 7 7 3 4" xfId="18385" xr:uid="{00000000-0005-0000-0000-00000C7C0000}"/>
    <cellStyle name="Normal 7 7 3 4 2" xfId="38305" xr:uid="{00000000-0005-0000-0000-00000D7C0000}"/>
    <cellStyle name="Normal 7 7 3 5" xfId="26000" xr:uid="{00000000-0005-0000-0000-00000E7C0000}"/>
    <cellStyle name="Normal 7 7 4" xfId="7571" xr:uid="{00000000-0005-0000-0000-00000F7C0000}"/>
    <cellStyle name="Normal 7 7 4 2" xfId="13765" xr:uid="{00000000-0005-0000-0000-0000107C0000}"/>
    <cellStyle name="Normal 7 7 4 2 2" xfId="33685" xr:uid="{00000000-0005-0000-0000-0000117C0000}"/>
    <cellStyle name="Normal 7 7 4 3" xfId="19917" xr:uid="{00000000-0005-0000-0000-0000127C0000}"/>
    <cellStyle name="Normal 7 7 4 3 2" xfId="39837" xr:uid="{00000000-0005-0000-0000-0000137C0000}"/>
    <cellStyle name="Normal 7 7 4 4" xfId="27532" xr:uid="{00000000-0005-0000-0000-0000147C0000}"/>
    <cellStyle name="Normal 7 7 5" xfId="10699" xr:uid="{00000000-0005-0000-0000-0000157C0000}"/>
    <cellStyle name="Normal 7 7 5 2" xfId="30619" xr:uid="{00000000-0005-0000-0000-0000167C0000}"/>
    <cellStyle name="Normal 7 7 6" xfId="16851" xr:uid="{00000000-0005-0000-0000-0000177C0000}"/>
    <cellStyle name="Normal 7 7 6 2" xfId="36771" xr:uid="{00000000-0005-0000-0000-0000187C0000}"/>
    <cellStyle name="Normal 7 7 7" xfId="24466" xr:uid="{00000000-0005-0000-0000-0000197C0000}"/>
    <cellStyle name="Normal 7 8" xfId="3985" xr:uid="{00000000-0005-0000-0000-00001A7C0000}"/>
    <cellStyle name="Normal 7 8 2" xfId="5165" xr:uid="{00000000-0005-0000-0000-00001B7C0000}"/>
    <cellStyle name="Normal 7 8 2 2" xfId="6790" xr:uid="{00000000-0005-0000-0000-00001C7C0000}"/>
    <cellStyle name="Normal 7 8 2 2 2" xfId="9876" xr:uid="{00000000-0005-0000-0000-00001D7C0000}"/>
    <cellStyle name="Normal 7 8 2 2 2 2" xfId="16069" xr:uid="{00000000-0005-0000-0000-00001E7C0000}"/>
    <cellStyle name="Normal 7 8 2 2 2 2 2" xfId="35989" xr:uid="{00000000-0005-0000-0000-00001F7C0000}"/>
    <cellStyle name="Normal 7 8 2 2 2 3" xfId="22221" xr:uid="{00000000-0005-0000-0000-0000207C0000}"/>
    <cellStyle name="Normal 7 8 2 2 2 3 2" xfId="42141" xr:uid="{00000000-0005-0000-0000-0000217C0000}"/>
    <cellStyle name="Normal 7 8 2 2 2 4" xfId="29836" xr:uid="{00000000-0005-0000-0000-0000227C0000}"/>
    <cellStyle name="Normal 7 8 2 2 3" xfId="13003" xr:uid="{00000000-0005-0000-0000-0000237C0000}"/>
    <cellStyle name="Normal 7 8 2 2 3 2" xfId="32923" xr:uid="{00000000-0005-0000-0000-0000247C0000}"/>
    <cellStyle name="Normal 7 8 2 2 4" xfId="19155" xr:uid="{00000000-0005-0000-0000-0000257C0000}"/>
    <cellStyle name="Normal 7 8 2 2 4 2" xfId="39075" xr:uid="{00000000-0005-0000-0000-0000267C0000}"/>
    <cellStyle name="Normal 7 8 2 2 5" xfId="26770" xr:uid="{00000000-0005-0000-0000-0000277C0000}"/>
    <cellStyle name="Normal 7 8 2 3" xfId="8341" xr:uid="{00000000-0005-0000-0000-0000287C0000}"/>
    <cellStyle name="Normal 7 8 2 3 2" xfId="14535" xr:uid="{00000000-0005-0000-0000-0000297C0000}"/>
    <cellStyle name="Normal 7 8 2 3 2 2" xfId="34455" xr:uid="{00000000-0005-0000-0000-00002A7C0000}"/>
    <cellStyle name="Normal 7 8 2 3 3" xfId="20687" xr:uid="{00000000-0005-0000-0000-00002B7C0000}"/>
    <cellStyle name="Normal 7 8 2 3 3 2" xfId="40607" xr:uid="{00000000-0005-0000-0000-00002C7C0000}"/>
    <cellStyle name="Normal 7 8 2 3 4" xfId="28302" xr:uid="{00000000-0005-0000-0000-00002D7C0000}"/>
    <cellStyle name="Normal 7 8 2 4" xfId="11469" xr:uid="{00000000-0005-0000-0000-00002E7C0000}"/>
    <cellStyle name="Normal 7 8 2 4 2" xfId="31389" xr:uid="{00000000-0005-0000-0000-00002F7C0000}"/>
    <cellStyle name="Normal 7 8 2 5" xfId="17621" xr:uid="{00000000-0005-0000-0000-0000307C0000}"/>
    <cellStyle name="Normal 7 8 2 5 2" xfId="37541" xr:uid="{00000000-0005-0000-0000-0000317C0000}"/>
    <cellStyle name="Normal 7 8 2 6" xfId="25236" xr:uid="{00000000-0005-0000-0000-0000327C0000}"/>
    <cellStyle name="Normal 7 8 3" xfId="6007" xr:uid="{00000000-0005-0000-0000-0000337C0000}"/>
    <cellStyle name="Normal 7 8 3 2" xfId="9107" xr:uid="{00000000-0005-0000-0000-0000347C0000}"/>
    <cellStyle name="Normal 7 8 3 2 2" xfId="15300" xr:uid="{00000000-0005-0000-0000-0000357C0000}"/>
    <cellStyle name="Normal 7 8 3 2 2 2" xfId="35220" xr:uid="{00000000-0005-0000-0000-0000367C0000}"/>
    <cellStyle name="Normal 7 8 3 2 3" xfId="21452" xr:uid="{00000000-0005-0000-0000-0000377C0000}"/>
    <cellStyle name="Normal 7 8 3 2 3 2" xfId="41372" xr:uid="{00000000-0005-0000-0000-0000387C0000}"/>
    <cellStyle name="Normal 7 8 3 2 4" xfId="29067" xr:uid="{00000000-0005-0000-0000-0000397C0000}"/>
    <cellStyle name="Normal 7 8 3 3" xfId="12234" xr:uid="{00000000-0005-0000-0000-00003A7C0000}"/>
    <cellStyle name="Normal 7 8 3 3 2" xfId="32154" xr:uid="{00000000-0005-0000-0000-00003B7C0000}"/>
    <cellStyle name="Normal 7 8 3 4" xfId="18386" xr:uid="{00000000-0005-0000-0000-00003C7C0000}"/>
    <cellStyle name="Normal 7 8 3 4 2" xfId="38306" xr:uid="{00000000-0005-0000-0000-00003D7C0000}"/>
    <cellStyle name="Normal 7 8 3 5" xfId="26001" xr:uid="{00000000-0005-0000-0000-00003E7C0000}"/>
    <cellStyle name="Normal 7 8 4" xfId="7572" xr:uid="{00000000-0005-0000-0000-00003F7C0000}"/>
    <cellStyle name="Normal 7 8 4 2" xfId="13766" xr:uid="{00000000-0005-0000-0000-0000407C0000}"/>
    <cellStyle name="Normal 7 8 4 2 2" xfId="33686" xr:uid="{00000000-0005-0000-0000-0000417C0000}"/>
    <cellStyle name="Normal 7 8 4 3" xfId="19918" xr:uid="{00000000-0005-0000-0000-0000427C0000}"/>
    <cellStyle name="Normal 7 8 4 3 2" xfId="39838" xr:uid="{00000000-0005-0000-0000-0000437C0000}"/>
    <cellStyle name="Normal 7 8 4 4" xfId="27533" xr:uid="{00000000-0005-0000-0000-0000447C0000}"/>
    <cellStyle name="Normal 7 8 5" xfId="10700" xr:uid="{00000000-0005-0000-0000-0000457C0000}"/>
    <cellStyle name="Normal 7 8 5 2" xfId="30620" xr:uid="{00000000-0005-0000-0000-0000467C0000}"/>
    <cellStyle name="Normal 7 8 6" xfId="16852" xr:uid="{00000000-0005-0000-0000-0000477C0000}"/>
    <cellStyle name="Normal 7 8 6 2" xfId="36772" xr:uid="{00000000-0005-0000-0000-0000487C0000}"/>
    <cellStyle name="Normal 7 8 7" xfId="24467" xr:uid="{00000000-0005-0000-0000-0000497C0000}"/>
    <cellStyle name="Normal 7 9" xfId="3986" xr:uid="{00000000-0005-0000-0000-00004A7C0000}"/>
    <cellStyle name="Normal 7 9 2" xfId="5166" xr:uid="{00000000-0005-0000-0000-00004B7C0000}"/>
    <cellStyle name="Normal 7 9 2 2" xfId="6791" xr:uid="{00000000-0005-0000-0000-00004C7C0000}"/>
    <cellStyle name="Normal 7 9 2 2 2" xfId="9877" xr:uid="{00000000-0005-0000-0000-00004D7C0000}"/>
    <cellStyle name="Normal 7 9 2 2 2 2" xfId="16070" xr:uid="{00000000-0005-0000-0000-00004E7C0000}"/>
    <cellStyle name="Normal 7 9 2 2 2 2 2" xfId="35990" xr:uid="{00000000-0005-0000-0000-00004F7C0000}"/>
    <cellStyle name="Normal 7 9 2 2 2 3" xfId="22222" xr:uid="{00000000-0005-0000-0000-0000507C0000}"/>
    <cellStyle name="Normal 7 9 2 2 2 3 2" xfId="42142" xr:uid="{00000000-0005-0000-0000-0000517C0000}"/>
    <cellStyle name="Normal 7 9 2 2 2 4" xfId="29837" xr:uid="{00000000-0005-0000-0000-0000527C0000}"/>
    <cellStyle name="Normal 7 9 2 2 3" xfId="13004" xr:uid="{00000000-0005-0000-0000-0000537C0000}"/>
    <cellStyle name="Normal 7 9 2 2 3 2" xfId="32924" xr:uid="{00000000-0005-0000-0000-0000547C0000}"/>
    <cellStyle name="Normal 7 9 2 2 4" xfId="19156" xr:uid="{00000000-0005-0000-0000-0000557C0000}"/>
    <cellStyle name="Normal 7 9 2 2 4 2" xfId="39076" xr:uid="{00000000-0005-0000-0000-0000567C0000}"/>
    <cellStyle name="Normal 7 9 2 2 5" xfId="26771" xr:uid="{00000000-0005-0000-0000-0000577C0000}"/>
    <cellStyle name="Normal 7 9 2 3" xfId="8342" xr:uid="{00000000-0005-0000-0000-0000587C0000}"/>
    <cellStyle name="Normal 7 9 2 3 2" xfId="14536" xr:uid="{00000000-0005-0000-0000-0000597C0000}"/>
    <cellStyle name="Normal 7 9 2 3 2 2" xfId="34456" xr:uid="{00000000-0005-0000-0000-00005A7C0000}"/>
    <cellStyle name="Normal 7 9 2 3 3" xfId="20688" xr:uid="{00000000-0005-0000-0000-00005B7C0000}"/>
    <cellStyle name="Normal 7 9 2 3 3 2" xfId="40608" xr:uid="{00000000-0005-0000-0000-00005C7C0000}"/>
    <cellStyle name="Normal 7 9 2 3 4" xfId="28303" xr:uid="{00000000-0005-0000-0000-00005D7C0000}"/>
    <cellStyle name="Normal 7 9 2 4" xfId="11470" xr:uid="{00000000-0005-0000-0000-00005E7C0000}"/>
    <cellStyle name="Normal 7 9 2 4 2" xfId="31390" xr:uid="{00000000-0005-0000-0000-00005F7C0000}"/>
    <cellStyle name="Normal 7 9 2 5" xfId="17622" xr:uid="{00000000-0005-0000-0000-0000607C0000}"/>
    <cellStyle name="Normal 7 9 2 5 2" xfId="37542" xr:uid="{00000000-0005-0000-0000-0000617C0000}"/>
    <cellStyle name="Normal 7 9 2 6" xfId="25237" xr:uid="{00000000-0005-0000-0000-0000627C0000}"/>
    <cellStyle name="Normal 7 9 3" xfId="6008" xr:uid="{00000000-0005-0000-0000-0000637C0000}"/>
    <cellStyle name="Normal 7 9 3 2" xfId="9108" xr:uid="{00000000-0005-0000-0000-0000647C0000}"/>
    <cellStyle name="Normal 7 9 3 2 2" xfId="15301" xr:uid="{00000000-0005-0000-0000-0000657C0000}"/>
    <cellStyle name="Normal 7 9 3 2 2 2" xfId="35221" xr:uid="{00000000-0005-0000-0000-0000667C0000}"/>
    <cellStyle name="Normal 7 9 3 2 3" xfId="21453" xr:uid="{00000000-0005-0000-0000-0000677C0000}"/>
    <cellStyle name="Normal 7 9 3 2 3 2" xfId="41373" xr:uid="{00000000-0005-0000-0000-0000687C0000}"/>
    <cellStyle name="Normal 7 9 3 2 4" xfId="29068" xr:uid="{00000000-0005-0000-0000-0000697C0000}"/>
    <cellStyle name="Normal 7 9 3 3" xfId="12235" xr:uid="{00000000-0005-0000-0000-00006A7C0000}"/>
    <cellStyle name="Normal 7 9 3 3 2" xfId="32155" xr:uid="{00000000-0005-0000-0000-00006B7C0000}"/>
    <cellStyle name="Normal 7 9 3 4" xfId="18387" xr:uid="{00000000-0005-0000-0000-00006C7C0000}"/>
    <cellStyle name="Normal 7 9 3 4 2" xfId="38307" xr:uid="{00000000-0005-0000-0000-00006D7C0000}"/>
    <cellStyle name="Normal 7 9 3 5" xfId="26002" xr:uid="{00000000-0005-0000-0000-00006E7C0000}"/>
    <cellStyle name="Normal 7 9 4" xfId="7573" xr:uid="{00000000-0005-0000-0000-00006F7C0000}"/>
    <cellStyle name="Normal 7 9 4 2" xfId="13767" xr:uid="{00000000-0005-0000-0000-0000707C0000}"/>
    <cellStyle name="Normal 7 9 4 2 2" xfId="33687" xr:uid="{00000000-0005-0000-0000-0000717C0000}"/>
    <cellStyle name="Normal 7 9 4 3" xfId="19919" xr:uid="{00000000-0005-0000-0000-0000727C0000}"/>
    <cellStyle name="Normal 7 9 4 3 2" xfId="39839" xr:uid="{00000000-0005-0000-0000-0000737C0000}"/>
    <cellStyle name="Normal 7 9 4 4" xfId="27534" xr:uid="{00000000-0005-0000-0000-0000747C0000}"/>
    <cellStyle name="Normal 7 9 5" xfId="10701" xr:uid="{00000000-0005-0000-0000-0000757C0000}"/>
    <cellStyle name="Normal 7 9 5 2" xfId="30621" xr:uid="{00000000-0005-0000-0000-0000767C0000}"/>
    <cellStyle name="Normal 7 9 6" xfId="16853" xr:uid="{00000000-0005-0000-0000-0000777C0000}"/>
    <cellStyle name="Normal 7 9 6 2" xfId="36773" xr:uid="{00000000-0005-0000-0000-0000787C0000}"/>
    <cellStyle name="Normal 7 9 7" xfId="24468" xr:uid="{00000000-0005-0000-0000-0000797C0000}"/>
    <cellStyle name="Normal 8" xfId="30" xr:uid="{00000000-0005-0000-0000-00007A7C0000}"/>
    <cellStyle name="Normal 8 10" xfId="3988" xr:uid="{00000000-0005-0000-0000-00007B7C0000}"/>
    <cellStyle name="Normal 8 10 2" xfId="5168" xr:uid="{00000000-0005-0000-0000-00007C7C0000}"/>
    <cellStyle name="Normal 8 10 2 2" xfId="6793" xr:uid="{00000000-0005-0000-0000-00007D7C0000}"/>
    <cellStyle name="Normal 8 10 2 2 2" xfId="9879" xr:uid="{00000000-0005-0000-0000-00007E7C0000}"/>
    <cellStyle name="Normal 8 10 2 2 2 2" xfId="16072" xr:uid="{00000000-0005-0000-0000-00007F7C0000}"/>
    <cellStyle name="Normal 8 10 2 2 2 2 2" xfId="35992" xr:uid="{00000000-0005-0000-0000-0000807C0000}"/>
    <cellStyle name="Normal 8 10 2 2 2 3" xfId="22224" xr:uid="{00000000-0005-0000-0000-0000817C0000}"/>
    <cellStyle name="Normal 8 10 2 2 2 3 2" xfId="42144" xr:uid="{00000000-0005-0000-0000-0000827C0000}"/>
    <cellStyle name="Normal 8 10 2 2 2 4" xfId="29839" xr:uid="{00000000-0005-0000-0000-0000837C0000}"/>
    <cellStyle name="Normal 8 10 2 2 3" xfId="13006" xr:uid="{00000000-0005-0000-0000-0000847C0000}"/>
    <cellStyle name="Normal 8 10 2 2 3 2" xfId="32926" xr:uid="{00000000-0005-0000-0000-0000857C0000}"/>
    <cellStyle name="Normal 8 10 2 2 4" xfId="19158" xr:uid="{00000000-0005-0000-0000-0000867C0000}"/>
    <cellStyle name="Normal 8 10 2 2 4 2" xfId="39078" xr:uid="{00000000-0005-0000-0000-0000877C0000}"/>
    <cellStyle name="Normal 8 10 2 2 5" xfId="26773" xr:uid="{00000000-0005-0000-0000-0000887C0000}"/>
    <cellStyle name="Normal 8 10 2 3" xfId="8344" xr:uid="{00000000-0005-0000-0000-0000897C0000}"/>
    <cellStyle name="Normal 8 10 2 3 2" xfId="14538" xr:uid="{00000000-0005-0000-0000-00008A7C0000}"/>
    <cellStyle name="Normal 8 10 2 3 2 2" xfId="34458" xr:uid="{00000000-0005-0000-0000-00008B7C0000}"/>
    <cellStyle name="Normal 8 10 2 3 3" xfId="20690" xr:uid="{00000000-0005-0000-0000-00008C7C0000}"/>
    <cellStyle name="Normal 8 10 2 3 3 2" xfId="40610" xr:uid="{00000000-0005-0000-0000-00008D7C0000}"/>
    <cellStyle name="Normal 8 10 2 3 4" xfId="28305" xr:uid="{00000000-0005-0000-0000-00008E7C0000}"/>
    <cellStyle name="Normal 8 10 2 4" xfId="11472" xr:uid="{00000000-0005-0000-0000-00008F7C0000}"/>
    <cellStyle name="Normal 8 10 2 4 2" xfId="31392" xr:uid="{00000000-0005-0000-0000-0000907C0000}"/>
    <cellStyle name="Normal 8 10 2 5" xfId="17624" xr:uid="{00000000-0005-0000-0000-0000917C0000}"/>
    <cellStyle name="Normal 8 10 2 5 2" xfId="37544" xr:uid="{00000000-0005-0000-0000-0000927C0000}"/>
    <cellStyle name="Normal 8 10 2 6" xfId="25239" xr:uid="{00000000-0005-0000-0000-0000937C0000}"/>
    <cellStyle name="Normal 8 10 3" xfId="6010" xr:uid="{00000000-0005-0000-0000-0000947C0000}"/>
    <cellStyle name="Normal 8 10 3 2" xfId="9110" xr:uid="{00000000-0005-0000-0000-0000957C0000}"/>
    <cellStyle name="Normal 8 10 3 2 2" xfId="15303" xr:uid="{00000000-0005-0000-0000-0000967C0000}"/>
    <cellStyle name="Normal 8 10 3 2 2 2" xfId="35223" xr:uid="{00000000-0005-0000-0000-0000977C0000}"/>
    <cellStyle name="Normal 8 10 3 2 3" xfId="21455" xr:uid="{00000000-0005-0000-0000-0000987C0000}"/>
    <cellStyle name="Normal 8 10 3 2 3 2" xfId="41375" xr:uid="{00000000-0005-0000-0000-0000997C0000}"/>
    <cellStyle name="Normal 8 10 3 2 4" xfId="29070" xr:uid="{00000000-0005-0000-0000-00009A7C0000}"/>
    <cellStyle name="Normal 8 10 3 3" xfId="12237" xr:uid="{00000000-0005-0000-0000-00009B7C0000}"/>
    <cellStyle name="Normal 8 10 3 3 2" xfId="32157" xr:uid="{00000000-0005-0000-0000-00009C7C0000}"/>
    <cellStyle name="Normal 8 10 3 4" xfId="18389" xr:uid="{00000000-0005-0000-0000-00009D7C0000}"/>
    <cellStyle name="Normal 8 10 3 4 2" xfId="38309" xr:uid="{00000000-0005-0000-0000-00009E7C0000}"/>
    <cellStyle name="Normal 8 10 3 5" xfId="26004" xr:uid="{00000000-0005-0000-0000-00009F7C0000}"/>
    <cellStyle name="Normal 8 10 4" xfId="7575" xr:uid="{00000000-0005-0000-0000-0000A07C0000}"/>
    <cellStyle name="Normal 8 10 4 2" xfId="13769" xr:uid="{00000000-0005-0000-0000-0000A17C0000}"/>
    <cellStyle name="Normal 8 10 4 2 2" xfId="33689" xr:uid="{00000000-0005-0000-0000-0000A27C0000}"/>
    <cellStyle name="Normal 8 10 4 3" xfId="19921" xr:uid="{00000000-0005-0000-0000-0000A37C0000}"/>
    <cellStyle name="Normal 8 10 4 3 2" xfId="39841" xr:uid="{00000000-0005-0000-0000-0000A47C0000}"/>
    <cellStyle name="Normal 8 10 4 4" xfId="27536" xr:uid="{00000000-0005-0000-0000-0000A57C0000}"/>
    <cellStyle name="Normal 8 10 5" xfId="10703" xr:uid="{00000000-0005-0000-0000-0000A67C0000}"/>
    <cellStyle name="Normal 8 10 5 2" xfId="30623" xr:uid="{00000000-0005-0000-0000-0000A77C0000}"/>
    <cellStyle name="Normal 8 10 6" xfId="16855" xr:uid="{00000000-0005-0000-0000-0000A87C0000}"/>
    <cellStyle name="Normal 8 10 6 2" xfId="36775" xr:uid="{00000000-0005-0000-0000-0000A97C0000}"/>
    <cellStyle name="Normal 8 10 7" xfId="24470" xr:uid="{00000000-0005-0000-0000-0000AA7C0000}"/>
    <cellStyle name="Normal 8 11" xfId="3989" xr:uid="{00000000-0005-0000-0000-0000AB7C0000}"/>
    <cellStyle name="Normal 8 11 2" xfId="5169" xr:uid="{00000000-0005-0000-0000-0000AC7C0000}"/>
    <cellStyle name="Normal 8 11 2 2" xfId="6794" xr:uid="{00000000-0005-0000-0000-0000AD7C0000}"/>
    <cellStyle name="Normal 8 11 2 2 2" xfId="9880" xr:uid="{00000000-0005-0000-0000-0000AE7C0000}"/>
    <cellStyle name="Normal 8 11 2 2 2 2" xfId="16073" xr:uid="{00000000-0005-0000-0000-0000AF7C0000}"/>
    <cellStyle name="Normal 8 11 2 2 2 2 2" xfId="35993" xr:uid="{00000000-0005-0000-0000-0000B07C0000}"/>
    <cellStyle name="Normal 8 11 2 2 2 3" xfId="22225" xr:uid="{00000000-0005-0000-0000-0000B17C0000}"/>
    <cellStyle name="Normal 8 11 2 2 2 3 2" xfId="42145" xr:uid="{00000000-0005-0000-0000-0000B27C0000}"/>
    <cellStyle name="Normal 8 11 2 2 2 4" xfId="29840" xr:uid="{00000000-0005-0000-0000-0000B37C0000}"/>
    <cellStyle name="Normal 8 11 2 2 3" xfId="13007" xr:uid="{00000000-0005-0000-0000-0000B47C0000}"/>
    <cellStyle name="Normal 8 11 2 2 3 2" xfId="32927" xr:uid="{00000000-0005-0000-0000-0000B57C0000}"/>
    <cellStyle name="Normal 8 11 2 2 4" xfId="19159" xr:uid="{00000000-0005-0000-0000-0000B67C0000}"/>
    <cellStyle name="Normal 8 11 2 2 4 2" xfId="39079" xr:uid="{00000000-0005-0000-0000-0000B77C0000}"/>
    <cellStyle name="Normal 8 11 2 2 5" xfId="26774" xr:uid="{00000000-0005-0000-0000-0000B87C0000}"/>
    <cellStyle name="Normal 8 11 2 3" xfId="8345" xr:uid="{00000000-0005-0000-0000-0000B97C0000}"/>
    <cellStyle name="Normal 8 11 2 3 2" xfId="14539" xr:uid="{00000000-0005-0000-0000-0000BA7C0000}"/>
    <cellStyle name="Normal 8 11 2 3 2 2" xfId="34459" xr:uid="{00000000-0005-0000-0000-0000BB7C0000}"/>
    <cellStyle name="Normal 8 11 2 3 3" xfId="20691" xr:uid="{00000000-0005-0000-0000-0000BC7C0000}"/>
    <cellStyle name="Normal 8 11 2 3 3 2" xfId="40611" xr:uid="{00000000-0005-0000-0000-0000BD7C0000}"/>
    <cellStyle name="Normal 8 11 2 3 4" xfId="28306" xr:uid="{00000000-0005-0000-0000-0000BE7C0000}"/>
    <cellStyle name="Normal 8 11 2 4" xfId="11473" xr:uid="{00000000-0005-0000-0000-0000BF7C0000}"/>
    <cellStyle name="Normal 8 11 2 4 2" xfId="31393" xr:uid="{00000000-0005-0000-0000-0000C07C0000}"/>
    <cellStyle name="Normal 8 11 2 5" xfId="17625" xr:uid="{00000000-0005-0000-0000-0000C17C0000}"/>
    <cellStyle name="Normal 8 11 2 5 2" xfId="37545" xr:uid="{00000000-0005-0000-0000-0000C27C0000}"/>
    <cellStyle name="Normal 8 11 2 6" xfId="25240" xr:uid="{00000000-0005-0000-0000-0000C37C0000}"/>
    <cellStyle name="Normal 8 11 3" xfId="6011" xr:uid="{00000000-0005-0000-0000-0000C47C0000}"/>
    <cellStyle name="Normal 8 11 3 2" xfId="9111" xr:uid="{00000000-0005-0000-0000-0000C57C0000}"/>
    <cellStyle name="Normal 8 11 3 2 2" xfId="15304" xr:uid="{00000000-0005-0000-0000-0000C67C0000}"/>
    <cellStyle name="Normal 8 11 3 2 2 2" xfId="35224" xr:uid="{00000000-0005-0000-0000-0000C77C0000}"/>
    <cellStyle name="Normal 8 11 3 2 3" xfId="21456" xr:uid="{00000000-0005-0000-0000-0000C87C0000}"/>
    <cellStyle name="Normal 8 11 3 2 3 2" xfId="41376" xr:uid="{00000000-0005-0000-0000-0000C97C0000}"/>
    <cellStyle name="Normal 8 11 3 2 4" xfId="29071" xr:uid="{00000000-0005-0000-0000-0000CA7C0000}"/>
    <cellStyle name="Normal 8 11 3 3" xfId="12238" xr:uid="{00000000-0005-0000-0000-0000CB7C0000}"/>
    <cellStyle name="Normal 8 11 3 3 2" xfId="32158" xr:uid="{00000000-0005-0000-0000-0000CC7C0000}"/>
    <cellStyle name="Normal 8 11 3 4" xfId="18390" xr:uid="{00000000-0005-0000-0000-0000CD7C0000}"/>
    <cellStyle name="Normal 8 11 3 4 2" xfId="38310" xr:uid="{00000000-0005-0000-0000-0000CE7C0000}"/>
    <cellStyle name="Normal 8 11 3 5" xfId="26005" xr:uid="{00000000-0005-0000-0000-0000CF7C0000}"/>
    <cellStyle name="Normal 8 11 4" xfId="7576" xr:uid="{00000000-0005-0000-0000-0000D07C0000}"/>
    <cellStyle name="Normal 8 11 4 2" xfId="13770" xr:uid="{00000000-0005-0000-0000-0000D17C0000}"/>
    <cellStyle name="Normal 8 11 4 2 2" xfId="33690" xr:uid="{00000000-0005-0000-0000-0000D27C0000}"/>
    <cellStyle name="Normal 8 11 4 3" xfId="19922" xr:uid="{00000000-0005-0000-0000-0000D37C0000}"/>
    <cellStyle name="Normal 8 11 4 3 2" xfId="39842" xr:uid="{00000000-0005-0000-0000-0000D47C0000}"/>
    <cellStyle name="Normal 8 11 4 4" xfId="27537" xr:uid="{00000000-0005-0000-0000-0000D57C0000}"/>
    <cellStyle name="Normal 8 11 5" xfId="10704" xr:uid="{00000000-0005-0000-0000-0000D67C0000}"/>
    <cellStyle name="Normal 8 11 5 2" xfId="30624" xr:uid="{00000000-0005-0000-0000-0000D77C0000}"/>
    <cellStyle name="Normal 8 11 6" xfId="16856" xr:uid="{00000000-0005-0000-0000-0000D87C0000}"/>
    <cellStyle name="Normal 8 11 6 2" xfId="36776" xr:uid="{00000000-0005-0000-0000-0000D97C0000}"/>
    <cellStyle name="Normal 8 11 7" xfId="24471" xr:uid="{00000000-0005-0000-0000-0000DA7C0000}"/>
    <cellStyle name="Normal 8 12" xfId="3990" xr:uid="{00000000-0005-0000-0000-0000DB7C0000}"/>
    <cellStyle name="Normal 8 12 2" xfId="5170" xr:uid="{00000000-0005-0000-0000-0000DC7C0000}"/>
    <cellStyle name="Normal 8 12 2 2" xfId="6795" xr:uid="{00000000-0005-0000-0000-0000DD7C0000}"/>
    <cellStyle name="Normal 8 12 2 2 2" xfId="9881" xr:uid="{00000000-0005-0000-0000-0000DE7C0000}"/>
    <cellStyle name="Normal 8 12 2 2 2 2" xfId="16074" xr:uid="{00000000-0005-0000-0000-0000DF7C0000}"/>
    <cellStyle name="Normal 8 12 2 2 2 2 2" xfId="35994" xr:uid="{00000000-0005-0000-0000-0000E07C0000}"/>
    <cellStyle name="Normal 8 12 2 2 2 3" xfId="22226" xr:uid="{00000000-0005-0000-0000-0000E17C0000}"/>
    <cellStyle name="Normal 8 12 2 2 2 3 2" xfId="42146" xr:uid="{00000000-0005-0000-0000-0000E27C0000}"/>
    <cellStyle name="Normal 8 12 2 2 2 4" xfId="29841" xr:uid="{00000000-0005-0000-0000-0000E37C0000}"/>
    <cellStyle name="Normal 8 12 2 2 3" xfId="13008" xr:uid="{00000000-0005-0000-0000-0000E47C0000}"/>
    <cellStyle name="Normal 8 12 2 2 3 2" xfId="32928" xr:uid="{00000000-0005-0000-0000-0000E57C0000}"/>
    <cellStyle name="Normal 8 12 2 2 4" xfId="19160" xr:uid="{00000000-0005-0000-0000-0000E67C0000}"/>
    <cellStyle name="Normal 8 12 2 2 4 2" xfId="39080" xr:uid="{00000000-0005-0000-0000-0000E77C0000}"/>
    <cellStyle name="Normal 8 12 2 2 5" xfId="26775" xr:uid="{00000000-0005-0000-0000-0000E87C0000}"/>
    <cellStyle name="Normal 8 12 2 3" xfId="8346" xr:uid="{00000000-0005-0000-0000-0000E97C0000}"/>
    <cellStyle name="Normal 8 12 2 3 2" xfId="14540" xr:uid="{00000000-0005-0000-0000-0000EA7C0000}"/>
    <cellStyle name="Normal 8 12 2 3 2 2" xfId="34460" xr:uid="{00000000-0005-0000-0000-0000EB7C0000}"/>
    <cellStyle name="Normal 8 12 2 3 3" xfId="20692" xr:uid="{00000000-0005-0000-0000-0000EC7C0000}"/>
    <cellStyle name="Normal 8 12 2 3 3 2" xfId="40612" xr:uid="{00000000-0005-0000-0000-0000ED7C0000}"/>
    <cellStyle name="Normal 8 12 2 3 4" xfId="28307" xr:uid="{00000000-0005-0000-0000-0000EE7C0000}"/>
    <cellStyle name="Normal 8 12 2 4" xfId="11474" xr:uid="{00000000-0005-0000-0000-0000EF7C0000}"/>
    <cellStyle name="Normal 8 12 2 4 2" xfId="31394" xr:uid="{00000000-0005-0000-0000-0000F07C0000}"/>
    <cellStyle name="Normal 8 12 2 5" xfId="17626" xr:uid="{00000000-0005-0000-0000-0000F17C0000}"/>
    <cellStyle name="Normal 8 12 2 5 2" xfId="37546" xr:uid="{00000000-0005-0000-0000-0000F27C0000}"/>
    <cellStyle name="Normal 8 12 2 6" xfId="25241" xr:uid="{00000000-0005-0000-0000-0000F37C0000}"/>
    <cellStyle name="Normal 8 12 3" xfId="6012" xr:uid="{00000000-0005-0000-0000-0000F47C0000}"/>
    <cellStyle name="Normal 8 12 3 2" xfId="9112" xr:uid="{00000000-0005-0000-0000-0000F57C0000}"/>
    <cellStyle name="Normal 8 12 3 2 2" xfId="15305" xr:uid="{00000000-0005-0000-0000-0000F67C0000}"/>
    <cellStyle name="Normal 8 12 3 2 2 2" xfId="35225" xr:uid="{00000000-0005-0000-0000-0000F77C0000}"/>
    <cellStyle name="Normal 8 12 3 2 3" xfId="21457" xr:uid="{00000000-0005-0000-0000-0000F87C0000}"/>
    <cellStyle name="Normal 8 12 3 2 3 2" xfId="41377" xr:uid="{00000000-0005-0000-0000-0000F97C0000}"/>
    <cellStyle name="Normal 8 12 3 2 4" xfId="29072" xr:uid="{00000000-0005-0000-0000-0000FA7C0000}"/>
    <cellStyle name="Normal 8 12 3 3" xfId="12239" xr:uid="{00000000-0005-0000-0000-0000FB7C0000}"/>
    <cellStyle name="Normal 8 12 3 3 2" xfId="32159" xr:uid="{00000000-0005-0000-0000-0000FC7C0000}"/>
    <cellStyle name="Normal 8 12 3 4" xfId="18391" xr:uid="{00000000-0005-0000-0000-0000FD7C0000}"/>
    <cellStyle name="Normal 8 12 3 4 2" xfId="38311" xr:uid="{00000000-0005-0000-0000-0000FE7C0000}"/>
    <cellStyle name="Normal 8 12 3 5" xfId="26006" xr:uid="{00000000-0005-0000-0000-0000FF7C0000}"/>
    <cellStyle name="Normal 8 12 4" xfId="7577" xr:uid="{00000000-0005-0000-0000-0000007D0000}"/>
    <cellStyle name="Normal 8 12 4 2" xfId="13771" xr:uid="{00000000-0005-0000-0000-0000017D0000}"/>
    <cellStyle name="Normal 8 12 4 2 2" xfId="33691" xr:uid="{00000000-0005-0000-0000-0000027D0000}"/>
    <cellStyle name="Normal 8 12 4 3" xfId="19923" xr:uid="{00000000-0005-0000-0000-0000037D0000}"/>
    <cellStyle name="Normal 8 12 4 3 2" xfId="39843" xr:uid="{00000000-0005-0000-0000-0000047D0000}"/>
    <cellStyle name="Normal 8 12 4 4" xfId="27538" xr:uid="{00000000-0005-0000-0000-0000057D0000}"/>
    <cellStyle name="Normal 8 12 5" xfId="10705" xr:uid="{00000000-0005-0000-0000-0000067D0000}"/>
    <cellStyle name="Normal 8 12 5 2" xfId="30625" xr:uid="{00000000-0005-0000-0000-0000077D0000}"/>
    <cellStyle name="Normal 8 12 6" xfId="16857" xr:uid="{00000000-0005-0000-0000-0000087D0000}"/>
    <cellStyle name="Normal 8 12 6 2" xfId="36777" xr:uid="{00000000-0005-0000-0000-0000097D0000}"/>
    <cellStyle name="Normal 8 12 7" xfId="24472" xr:uid="{00000000-0005-0000-0000-00000A7D0000}"/>
    <cellStyle name="Normal 8 13" xfId="3991" xr:uid="{00000000-0005-0000-0000-00000B7D0000}"/>
    <cellStyle name="Normal 8 13 2" xfId="5171" xr:uid="{00000000-0005-0000-0000-00000C7D0000}"/>
    <cellStyle name="Normal 8 13 2 2" xfId="6796" xr:uid="{00000000-0005-0000-0000-00000D7D0000}"/>
    <cellStyle name="Normal 8 13 2 2 2" xfId="9882" xr:uid="{00000000-0005-0000-0000-00000E7D0000}"/>
    <cellStyle name="Normal 8 13 2 2 2 2" xfId="16075" xr:uid="{00000000-0005-0000-0000-00000F7D0000}"/>
    <cellStyle name="Normal 8 13 2 2 2 2 2" xfId="35995" xr:uid="{00000000-0005-0000-0000-0000107D0000}"/>
    <cellStyle name="Normal 8 13 2 2 2 3" xfId="22227" xr:uid="{00000000-0005-0000-0000-0000117D0000}"/>
    <cellStyle name="Normal 8 13 2 2 2 3 2" xfId="42147" xr:uid="{00000000-0005-0000-0000-0000127D0000}"/>
    <cellStyle name="Normal 8 13 2 2 2 4" xfId="29842" xr:uid="{00000000-0005-0000-0000-0000137D0000}"/>
    <cellStyle name="Normal 8 13 2 2 3" xfId="13009" xr:uid="{00000000-0005-0000-0000-0000147D0000}"/>
    <cellStyle name="Normal 8 13 2 2 3 2" xfId="32929" xr:uid="{00000000-0005-0000-0000-0000157D0000}"/>
    <cellStyle name="Normal 8 13 2 2 4" xfId="19161" xr:uid="{00000000-0005-0000-0000-0000167D0000}"/>
    <cellStyle name="Normal 8 13 2 2 4 2" xfId="39081" xr:uid="{00000000-0005-0000-0000-0000177D0000}"/>
    <cellStyle name="Normal 8 13 2 2 5" xfId="26776" xr:uid="{00000000-0005-0000-0000-0000187D0000}"/>
    <cellStyle name="Normal 8 13 2 3" xfId="8347" xr:uid="{00000000-0005-0000-0000-0000197D0000}"/>
    <cellStyle name="Normal 8 13 2 3 2" xfId="14541" xr:uid="{00000000-0005-0000-0000-00001A7D0000}"/>
    <cellStyle name="Normal 8 13 2 3 2 2" xfId="34461" xr:uid="{00000000-0005-0000-0000-00001B7D0000}"/>
    <cellStyle name="Normal 8 13 2 3 3" xfId="20693" xr:uid="{00000000-0005-0000-0000-00001C7D0000}"/>
    <cellStyle name="Normal 8 13 2 3 3 2" xfId="40613" xr:uid="{00000000-0005-0000-0000-00001D7D0000}"/>
    <cellStyle name="Normal 8 13 2 3 4" xfId="28308" xr:uid="{00000000-0005-0000-0000-00001E7D0000}"/>
    <cellStyle name="Normal 8 13 2 4" xfId="11475" xr:uid="{00000000-0005-0000-0000-00001F7D0000}"/>
    <cellStyle name="Normal 8 13 2 4 2" xfId="31395" xr:uid="{00000000-0005-0000-0000-0000207D0000}"/>
    <cellStyle name="Normal 8 13 2 5" xfId="17627" xr:uid="{00000000-0005-0000-0000-0000217D0000}"/>
    <cellStyle name="Normal 8 13 2 5 2" xfId="37547" xr:uid="{00000000-0005-0000-0000-0000227D0000}"/>
    <cellStyle name="Normal 8 13 2 6" xfId="25242" xr:uid="{00000000-0005-0000-0000-0000237D0000}"/>
    <cellStyle name="Normal 8 13 3" xfId="6013" xr:uid="{00000000-0005-0000-0000-0000247D0000}"/>
    <cellStyle name="Normal 8 13 3 2" xfId="9113" xr:uid="{00000000-0005-0000-0000-0000257D0000}"/>
    <cellStyle name="Normal 8 13 3 2 2" xfId="15306" xr:uid="{00000000-0005-0000-0000-0000267D0000}"/>
    <cellStyle name="Normal 8 13 3 2 2 2" xfId="35226" xr:uid="{00000000-0005-0000-0000-0000277D0000}"/>
    <cellStyle name="Normal 8 13 3 2 3" xfId="21458" xr:uid="{00000000-0005-0000-0000-0000287D0000}"/>
    <cellStyle name="Normal 8 13 3 2 3 2" xfId="41378" xr:uid="{00000000-0005-0000-0000-0000297D0000}"/>
    <cellStyle name="Normal 8 13 3 2 4" xfId="29073" xr:uid="{00000000-0005-0000-0000-00002A7D0000}"/>
    <cellStyle name="Normal 8 13 3 3" xfId="12240" xr:uid="{00000000-0005-0000-0000-00002B7D0000}"/>
    <cellStyle name="Normal 8 13 3 3 2" xfId="32160" xr:uid="{00000000-0005-0000-0000-00002C7D0000}"/>
    <cellStyle name="Normal 8 13 3 4" xfId="18392" xr:uid="{00000000-0005-0000-0000-00002D7D0000}"/>
    <cellStyle name="Normal 8 13 3 4 2" xfId="38312" xr:uid="{00000000-0005-0000-0000-00002E7D0000}"/>
    <cellStyle name="Normal 8 13 3 5" xfId="26007" xr:uid="{00000000-0005-0000-0000-00002F7D0000}"/>
    <cellStyle name="Normal 8 13 4" xfId="7578" xr:uid="{00000000-0005-0000-0000-0000307D0000}"/>
    <cellStyle name="Normal 8 13 4 2" xfId="13772" xr:uid="{00000000-0005-0000-0000-0000317D0000}"/>
    <cellStyle name="Normal 8 13 4 2 2" xfId="33692" xr:uid="{00000000-0005-0000-0000-0000327D0000}"/>
    <cellStyle name="Normal 8 13 4 3" xfId="19924" xr:uid="{00000000-0005-0000-0000-0000337D0000}"/>
    <cellStyle name="Normal 8 13 4 3 2" xfId="39844" xr:uid="{00000000-0005-0000-0000-0000347D0000}"/>
    <cellStyle name="Normal 8 13 4 4" xfId="27539" xr:uid="{00000000-0005-0000-0000-0000357D0000}"/>
    <cellStyle name="Normal 8 13 5" xfId="10706" xr:uid="{00000000-0005-0000-0000-0000367D0000}"/>
    <cellStyle name="Normal 8 13 5 2" xfId="30626" xr:uid="{00000000-0005-0000-0000-0000377D0000}"/>
    <cellStyle name="Normal 8 13 6" xfId="16858" xr:uid="{00000000-0005-0000-0000-0000387D0000}"/>
    <cellStyle name="Normal 8 13 6 2" xfId="36778" xr:uid="{00000000-0005-0000-0000-0000397D0000}"/>
    <cellStyle name="Normal 8 13 7" xfId="24473" xr:uid="{00000000-0005-0000-0000-00003A7D0000}"/>
    <cellStyle name="Normal 8 14" xfId="3992" xr:uid="{00000000-0005-0000-0000-00003B7D0000}"/>
    <cellStyle name="Normal 8 14 2" xfId="5172" xr:uid="{00000000-0005-0000-0000-00003C7D0000}"/>
    <cellStyle name="Normal 8 14 2 2" xfId="6797" xr:uid="{00000000-0005-0000-0000-00003D7D0000}"/>
    <cellStyle name="Normal 8 14 2 2 2" xfId="9883" xr:uid="{00000000-0005-0000-0000-00003E7D0000}"/>
    <cellStyle name="Normal 8 14 2 2 2 2" xfId="16076" xr:uid="{00000000-0005-0000-0000-00003F7D0000}"/>
    <cellStyle name="Normal 8 14 2 2 2 2 2" xfId="35996" xr:uid="{00000000-0005-0000-0000-0000407D0000}"/>
    <cellStyle name="Normal 8 14 2 2 2 3" xfId="22228" xr:uid="{00000000-0005-0000-0000-0000417D0000}"/>
    <cellStyle name="Normal 8 14 2 2 2 3 2" xfId="42148" xr:uid="{00000000-0005-0000-0000-0000427D0000}"/>
    <cellStyle name="Normal 8 14 2 2 2 4" xfId="29843" xr:uid="{00000000-0005-0000-0000-0000437D0000}"/>
    <cellStyle name="Normal 8 14 2 2 3" xfId="13010" xr:uid="{00000000-0005-0000-0000-0000447D0000}"/>
    <cellStyle name="Normal 8 14 2 2 3 2" xfId="32930" xr:uid="{00000000-0005-0000-0000-0000457D0000}"/>
    <cellStyle name="Normal 8 14 2 2 4" xfId="19162" xr:uid="{00000000-0005-0000-0000-0000467D0000}"/>
    <cellStyle name="Normal 8 14 2 2 4 2" xfId="39082" xr:uid="{00000000-0005-0000-0000-0000477D0000}"/>
    <cellStyle name="Normal 8 14 2 2 5" xfId="26777" xr:uid="{00000000-0005-0000-0000-0000487D0000}"/>
    <cellStyle name="Normal 8 14 2 3" xfId="8348" xr:uid="{00000000-0005-0000-0000-0000497D0000}"/>
    <cellStyle name="Normal 8 14 2 3 2" xfId="14542" xr:uid="{00000000-0005-0000-0000-00004A7D0000}"/>
    <cellStyle name="Normal 8 14 2 3 2 2" xfId="34462" xr:uid="{00000000-0005-0000-0000-00004B7D0000}"/>
    <cellStyle name="Normal 8 14 2 3 3" xfId="20694" xr:uid="{00000000-0005-0000-0000-00004C7D0000}"/>
    <cellStyle name="Normal 8 14 2 3 3 2" xfId="40614" xr:uid="{00000000-0005-0000-0000-00004D7D0000}"/>
    <cellStyle name="Normal 8 14 2 3 4" xfId="28309" xr:uid="{00000000-0005-0000-0000-00004E7D0000}"/>
    <cellStyle name="Normal 8 14 2 4" xfId="11476" xr:uid="{00000000-0005-0000-0000-00004F7D0000}"/>
    <cellStyle name="Normal 8 14 2 4 2" xfId="31396" xr:uid="{00000000-0005-0000-0000-0000507D0000}"/>
    <cellStyle name="Normal 8 14 2 5" xfId="17628" xr:uid="{00000000-0005-0000-0000-0000517D0000}"/>
    <cellStyle name="Normal 8 14 2 5 2" xfId="37548" xr:uid="{00000000-0005-0000-0000-0000527D0000}"/>
    <cellStyle name="Normal 8 14 2 6" xfId="25243" xr:uid="{00000000-0005-0000-0000-0000537D0000}"/>
    <cellStyle name="Normal 8 14 3" xfId="6014" xr:uid="{00000000-0005-0000-0000-0000547D0000}"/>
    <cellStyle name="Normal 8 14 3 2" xfId="9114" xr:uid="{00000000-0005-0000-0000-0000557D0000}"/>
    <cellStyle name="Normal 8 14 3 2 2" xfId="15307" xr:uid="{00000000-0005-0000-0000-0000567D0000}"/>
    <cellStyle name="Normal 8 14 3 2 2 2" xfId="35227" xr:uid="{00000000-0005-0000-0000-0000577D0000}"/>
    <cellStyle name="Normal 8 14 3 2 3" xfId="21459" xr:uid="{00000000-0005-0000-0000-0000587D0000}"/>
    <cellStyle name="Normal 8 14 3 2 3 2" xfId="41379" xr:uid="{00000000-0005-0000-0000-0000597D0000}"/>
    <cellStyle name="Normal 8 14 3 2 4" xfId="29074" xr:uid="{00000000-0005-0000-0000-00005A7D0000}"/>
    <cellStyle name="Normal 8 14 3 3" xfId="12241" xr:uid="{00000000-0005-0000-0000-00005B7D0000}"/>
    <cellStyle name="Normal 8 14 3 3 2" xfId="32161" xr:uid="{00000000-0005-0000-0000-00005C7D0000}"/>
    <cellStyle name="Normal 8 14 3 4" xfId="18393" xr:uid="{00000000-0005-0000-0000-00005D7D0000}"/>
    <cellStyle name="Normal 8 14 3 4 2" xfId="38313" xr:uid="{00000000-0005-0000-0000-00005E7D0000}"/>
    <cellStyle name="Normal 8 14 3 5" xfId="26008" xr:uid="{00000000-0005-0000-0000-00005F7D0000}"/>
    <cellStyle name="Normal 8 14 4" xfId="7579" xr:uid="{00000000-0005-0000-0000-0000607D0000}"/>
    <cellStyle name="Normal 8 14 4 2" xfId="13773" xr:uid="{00000000-0005-0000-0000-0000617D0000}"/>
    <cellStyle name="Normal 8 14 4 2 2" xfId="33693" xr:uid="{00000000-0005-0000-0000-0000627D0000}"/>
    <cellStyle name="Normal 8 14 4 3" xfId="19925" xr:uid="{00000000-0005-0000-0000-0000637D0000}"/>
    <cellStyle name="Normal 8 14 4 3 2" xfId="39845" xr:uid="{00000000-0005-0000-0000-0000647D0000}"/>
    <cellStyle name="Normal 8 14 4 4" xfId="27540" xr:uid="{00000000-0005-0000-0000-0000657D0000}"/>
    <cellStyle name="Normal 8 14 5" xfId="10707" xr:uid="{00000000-0005-0000-0000-0000667D0000}"/>
    <cellStyle name="Normal 8 14 5 2" xfId="30627" xr:uid="{00000000-0005-0000-0000-0000677D0000}"/>
    <cellStyle name="Normal 8 14 6" xfId="16859" xr:uid="{00000000-0005-0000-0000-0000687D0000}"/>
    <cellStyle name="Normal 8 14 6 2" xfId="36779" xr:uid="{00000000-0005-0000-0000-0000697D0000}"/>
    <cellStyle name="Normal 8 14 7" xfId="24474" xr:uid="{00000000-0005-0000-0000-00006A7D0000}"/>
    <cellStyle name="Normal 8 15" xfId="3993" xr:uid="{00000000-0005-0000-0000-00006B7D0000}"/>
    <cellStyle name="Normal 8 15 2" xfId="5173" xr:uid="{00000000-0005-0000-0000-00006C7D0000}"/>
    <cellStyle name="Normal 8 15 2 2" xfId="6798" xr:uid="{00000000-0005-0000-0000-00006D7D0000}"/>
    <cellStyle name="Normal 8 15 2 2 2" xfId="9884" xr:uid="{00000000-0005-0000-0000-00006E7D0000}"/>
    <cellStyle name="Normal 8 15 2 2 2 2" xfId="16077" xr:uid="{00000000-0005-0000-0000-00006F7D0000}"/>
    <cellStyle name="Normal 8 15 2 2 2 2 2" xfId="35997" xr:uid="{00000000-0005-0000-0000-0000707D0000}"/>
    <cellStyle name="Normal 8 15 2 2 2 3" xfId="22229" xr:uid="{00000000-0005-0000-0000-0000717D0000}"/>
    <cellStyle name="Normal 8 15 2 2 2 3 2" xfId="42149" xr:uid="{00000000-0005-0000-0000-0000727D0000}"/>
    <cellStyle name="Normal 8 15 2 2 2 4" xfId="29844" xr:uid="{00000000-0005-0000-0000-0000737D0000}"/>
    <cellStyle name="Normal 8 15 2 2 3" xfId="13011" xr:uid="{00000000-0005-0000-0000-0000747D0000}"/>
    <cellStyle name="Normal 8 15 2 2 3 2" xfId="32931" xr:uid="{00000000-0005-0000-0000-0000757D0000}"/>
    <cellStyle name="Normal 8 15 2 2 4" xfId="19163" xr:uid="{00000000-0005-0000-0000-0000767D0000}"/>
    <cellStyle name="Normal 8 15 2 2 4 2" xfId="39083" xr:uid="{00000000-0005-0000-0000-0000777D0000}"/>
    <cellStyle name="Normal 8 15 2 2 5" xfId="26778" xr:uid="{00000000-0005-0000-0000-0000787D0000}"/>
    <cellStyle name="Normal 8 15 2 3" xfId="8349" xr:uid="{00000000-0005-0000-0000-0000797D0000}"/>
    <cellStyle name="Normal 8 15 2 3 2" xfId="14543" xr:uid="{00000000-0005-0000-0000-00007A7D0000}"/>
    <cellStyle name="Normal 8 15 2 3 2 2" xfId="34463" xr:uid="{00000000-0005-0000-0000-00007B7D0000}"/>
    <cellStyle name="Normal 8 15 2 3 3" xfId="20695" xr:uid="{00000000-0005-0000-0000-00007C7D0000}"/>
    <cellStyle name="Normal 8 15 2 3 3 2" xfId="40615" xr:uid="{00000000-0005-0000-0000-00007D7D0000}"/>
    <cellStyle name="Normal 8 15 2 3 4" xfId="28310" xr:uid="{00000000-0005-0000-0000-00007E7D0000}"/>
    <cellStyle name="Normal 8 15 2 4" xfId="11477" xr:uid="{00000000-0005-0000-0000-00007F7D0000}"/>
    <cellStyle name="Normal 8 15 2 4 2" xfId="31397" xr:uid="{00000000-0005-0000-0000-0000807D0000}"/>
    <cellStyle name="Normal 8 15 2 5" xfId="17629" xr:uid="{00000000-0005-0000-0000-0000817D0000}"/>
    <cellStyle name="Normal 8 15 2 5 2" xfId="37549" xr:uid="{00000000-0005-0000-0000-0000827D0000}"/>
    <cellStyle name="Normal 8 15 2 6" xfId="25244" xr:uid="{00000000-0005-0000-0000-0000837D0000}"/>
    <cellStyle name="Normal 8 15 3" xfId="6015" xr:uid="{00000000-0005-0000-0000-0000847D0000}"/>
    <cellStyle name="Normal 8 15 3 2" xfId="9115" xr:uid="{00000000-0005-0000-0000-0000857D0000}"/>
    <cellStyle name="Normal 8 15 3 2 2" xfId="15308" xr:uid="{00000000-0005-0000-0000-0000867D0000}"/>
    <cellStyle name="Normal 8 15 3 2 2 2" xfId="35228" xr:uid="{00000000-0005-0000-0000-0000877D0000}"/>
    <cellStyle name="Normal 8 15 3 2 3" xfId="21460" xr:uid="{00000000-0005-0000-0000-0000887D0000}"/>
    <cellStyle name="Normal 8 15 3 2 3 2" xfId="41380" xr:uid="{00000000-0005-0000-0000-0000897D0000}"/>
    <cellStyle name="Normal 8 15 3 2 4" xfId="29075" xr:uid="{00000000-0005-0000-0000-00008A7D0000}"/>
    <cellStyle name="Normal 8 15 3 3" xfId="12242" xr:uid="{00000000-0005-0000-0000-00008B7D0000}"/>
    <cellStyle name="Normal 8 15 3 3 2" xfId="32162" xr:uid="{00000000-0005-0000-0000-00008C7D0000}"/>
    <cellStyle name="Normal 8 15 3 4" xfId="18394" xr:uid="{00000000-0005-0000-0000-00008D7D0000}"/>
    <cellStyle name="Normal 8 15 3 4 2" xfId="38314" xr:uid="{00000000-0005-0000-0000-00008E7D0000}"/>
    <cellStyle name="Normal 8 15 3 5" xfId="26009" xr:uid="{00000000-0005-0000-0000-00008F7D0000}"/>
    <cellStyle name="Normal 8 15 4" xfId="7580" xr:uid="{00000000-0005-0000-0000-0000907D0000}"/>
    <cellStyle name="Normal 8 15 4 2" xfId="13774" xr:uid="{00000000-0005-0000-0000-0000917D0000}"/>
    <cellStyle name="Normal 8 15 4 2 2" xfId="33694" xr:uid="{00000000-0005-0000-0000-0000927D0000}"/>
    <cellStyle name="Normal 8 15 4 3" xfId="19926" xr:uid="{00000000-0005-0000-0000-0000937D0000}"/>
    <cellStyle name="Normal 8 15 4 3 2" xfId="39846" xr:uid="{00000000-0005-0000-0000-0000947D0000}"/>
    <cellStyle name="Normal 8 15 4 4" xfId="27541" xr:uid="{00000000-0005-0000-0000-0000957D0000}"/>
    <cellStyle name="Normal 8 15 5" xfId="10708" xr:uid="{00000000-0005-0000-0000-0000967D0000}"/>
    <cellStyle name="Normal 8 15 5 2" xfId="30628" xr:uid="{00000000-0005-0000-0000-0000977D0000}"/>
    <cellStyle name="Normal 8 15 6" xfId="16860" xr:uid="{00000000-0005-0000-0000-0000987D0000}"/>
    <cellStyle name="Normal 8 15 6 2" xfId="36780" xr:uid="{00000000-0005-0000-0000-0000997D0000}"/>
    <cellStyle name="Normal 8 15 7" xfId="24475" xr:uid="{00000000-0005-0000-0000-00009A7D0000}"/>
    <cellStyle name="Normal 8 16" xfId="3994" xr:uid="{00000000-0005-0000-0000-00009B7D0000}"/>
    <cellStyle name="Normal 8 16 2" xfId="5174" xr:uid="{00000000-0005-0000-0000-00009C7D0000}"/>
    <cellStyle name="Normal 8 16 2 2" xfId="6799" xr:uid="{00000000-0005-0000-0000-00009D7D0000}"/>
    <cellStyle name="Normal 8 16 2 2 2" xfId="9885" xr:uid="{00000000-0005-0000-0000-00009E7D0000}"/>
    <cellStyle name="Normal 8 16 2 2 2 2" xfId="16078" xr:uid="{00000000-0005-0000-0000-00009F7D0000}"/>
    <cellStyle name="Normal 8 16 2 2 2 2 2" xfId="35998" xr:uid="{00000000-0005-0000-0000-0000A07D0000}"/>
    <cellStyle name="Normal 8 16 2 2 2 3" xfId="22230" xr:uid="{00000000-0005-0000-0000-0000A17D0000}"/>
    <cellStyle name="Normal 8 16 2 2 2 3 2" xfId="42150" xr:uid="{00000000-0005-0000-0000-0000A27D0000}"/>
    <cellStyle name="Normal 8 16 2 2 2 4" xfId="29845" xr:uid="{00000000-0005-0000-0000-0000A37D0000}"/>
    <cellStyle name="Normal 8 16 2 2 3" xfId="13012" xr:uid="{00000000-0005-0000-0000-0000A47D0000}"/>
    <cellStyle name="Normal 8 16 2 2 3 2" xfId="32932" xr:uid="{00000000-0005-0000-0000-0000A57D0000}"/>
    <cellStyle name="Normal 8 16 2 2 4" xfId="19164" xr:uid="{00000000-0005-0000-0000-0000A67D0000}"/>
    <cellStyle name="Normal 8 16 2 2 4 2" xfId="39084" xr:uid="{00000000-0005-0000-0000-0000A77D0000}"/>
    <cellStyle name="Normal 8 16 2 2 5" xfId="26779" xr:uid="{00000000-0005-0000-0000-0000A87D0000}"/>
    <cellStyle name="Normal 8 16 2 3" xfId="8350" xr:uid="{00000000-0005-0000-0000-0000A97D0000}"/>
    <cellStyle name="Normal 8 16 2 3 2" xfId="14544" xr:uid="{00000000-0005-0000-0000-0000AA7D0000}"/>
    <cellStyle name="Normal 8 16 2 3 2 2" xfId="34464" xr:uid="{00000000-0005-0000-0000-0000AB7D0000}"/>
    <cellStyle name="Normal 8 16 2 3 3" xfId="20696" xr:uid="{00000000-0005-0000-0000-0000AC7D0000}"/>
    <cellStyle name="Normal 8 16 2 3 3 2" xfId="40616" xr:uid="{00000000-0005-0000-0000-0000AD7D0000}"/>
    <cellStyle name="Normal 8 16 2 3 4" xfId="28311" xr:uid="{00000000-0005-0000-0000-0000AE7D0000}"/>
    <cellStyle name="Normal 8 16 2 4" xfId="11478" xr:uid="{00000000-0005-0000-0000-0000AF7D0000}"/>
    <cellStyle name="Normal 8 16 2 4 2" xfId="31398" xr:uid="{00000000-0005-0000-0000-0000B07D0000}"/>
    <cellStyle name="Normal 8 16 2 5" xfId="17630" xr:uid="{00000000-0005-0000-0000-0000B17D0000}"/>
    <cellStyle name="Normal 8 16 2 5 2" xfId="37550" xr:uid="{00000000-0005-0000-0000-0000B27D0000}"/>
    <cellStyle name="Normal 8 16 2 6" xfId="25245" xr:uid="{00000000-0005-0000-0000-0000B37D0000}"/>
    <cellStyle name="Normal 8 16 3" xfId="6016" xr:uid="{00000000-0005-0000-0000-0000B47D0000}"/>
    <cellStyle name="Normal 8 16 3 2" xfId="9116" xr:uid="{00000000-0005-0000-0000-0000B57D0000}"/>
    <cellStyle name="Normal 8 16 3 2 2" xfId="15309" xr:uid="{00000000-0005-0000-0000-0000B67D0000}"/>
    <cellStyle name="Normal 8 16 3 2 2 2" xfId="35229" xr:uid="{00000000-0005-0000-0000-0000B77D0000}"/>
    <cellStyle name="Normal 8 16 3 2 3" xfId="21461" xr:uid="{00000000-0005-0000-0000-0000B87D0000}"/>
    <cellStyle name="Normal 8 16 3 2 3 2" xfId="41381" xr:uid="{00000000-0005-0000-0000-0000B97D0000}"/>
    <cellStyle name="Normal 8 16 3 2 4" xfId="29076" xr:uid="{00000000-0005-0000-0000-0000BA7D0000}"/>
    <cellStyle name="Normal 8 16 3 3" xfId="12243" xr:uid="{00000000-0005-0000-0000-0000BB7D0000}"/>
    <cellStyle name="Normal 8 16 3 3 2" xfId="32163" xr:uid="{00000000-0005-0000-0000-0000BC7D0000}"/>
    <cellStyle name="Normal 8 16 3 4" xfId="18395" xr:uid="{00000000-0005-0000-0000-0000BD7D0000}"/>
    <cellStyle name="Normal 8 16 3 4 2" xfId="38315" xr:uid="{00000000-0005-0000-0000-0000BE7D0000}"/>
    <cellStyle name="Normal 8 16 3 5" xfId="26010" xr:uid="{00000000-0005-0000-0000-0000BF7D0000}"/>
    <cellStyle name="Normal 8 16 4" xfId="7581" xr:uid="{00000000-0005-0000-0000-0000C07D0000}"/>
    <cellStyle name="Normal 8 16 4 2" xfId="13775" xr:uid="{00000000-0005-0000-0000-0000C17D0000}"/>
    <cellStyle name="Normal 8 16 4 2 2" xfId="33695" xr:uid="{00000000-0005-0000-0000-0000C27D0000}"/>
    <cellStyle name="Normal 8 16 4 3" xfId="19927" xr:uid="{00000000-0005-0000-0000-0000C37D0000}"/>
    <cellStyle name="Normal 8 16 4 3 2" xfId="39847" xr:uid="{00000000-0005-0000-0000-0000C47D0000}"/>
    <cellStyle name="Normal 8 16 4 4" xfId="27542" xr:uid="{00000000-0005-0000-0000-0000C57D0000}"/>
    <cellStyle name="Normal 8 16 5" xfId="10709" xr:uid="{00000000-0005-0000-0000-0000C67D0000}"/>
    <cellStyle name="Normal 8 16 5 2" xfId="30629" xr:uid="{00000000-0005-0000-0000-0000C77D0000}"/>
    <cellStyle name="Normal 8 16 6" xfId="16861" xr:uid="{00000000-0005-0000-0000-0000C87D0000}"/>
    <cellStyle name="Normal 8 16 6 2" xfId="36781" xr:uid="{00000000-0005-0000-0000-0000C97D0000}"/>
    <cellStyle name="Normal 8 16 7" xfId="24476" xr:uid="{00000000-0005-0000-0000-0000CA7D0000}"/>
    <cellStyle name="Normal 8 17" xfId="3995" xr:uid="{00000000-0005-0000-0000-0000CB7D0000}"/>
    <cellStyle name="Normal 8 17 2" xfId="5175" xr:uid="{00000000-0005-0000-0000-0000CC7D0000}"/>
    <cellStyle name="Normal 8 17 2 2" xfId="6800" xr:uid="{00000000-0005-0000-0000-0000CD7D0000}"/>
    <cellStyle name="Normal 8 17 2 2 2" xfId="9886" xr:uid="{00000000-0005-0000-0000-0000CE7D0000}"/>
    <cellStyle name="Normal 8 17 2 2 2 2" xfId="16079" xr:uid="{00000000-0005-0000-0000-0000CF7D0000}"/>
    <cellStyle name="Normal 8 17 2 2 2 2 2" xfId="35999" xr:uid="{00000000-0005-0000-0000-0000D07D0000}"/>
    <cellStyle name="Normal 8 17 2 2 2 3" xfId="22231" xr:uid="{00000000-0005-0000-0000-0000D17D0000}"/>
    <cellStyle name="Normal 8 17 2 2 2 3 2" xfId="42151" xr:uid="{00000000-0005-0000-0000-0000D27D0000}"/>
    <cellStyle name="Normal 8 17 2 2 2 4" xfId="29846" xr:uid="{00000000-0005-0000-0000-0000D37D0000}"/>
    <cellStyle name="Normal 8 17 2 2 3" xfId="13013" xr:uid="{00000000-0005-0000-0000-0000D47D0000}"/>
    <cellStyle name="Normal 8 17 2 2 3 2" xfId="32933" xr:uid="{00000000-0005-0000-0000-0000D57D0000}"/>
    <cellStyle name="Normal 8 17 2 2 4" xfId="19165" xr:uid="{00000000-0005-0000-0000-0000D67D0000}"/>
    <cellStyle name="Normal 8 17 2 2 4 2" xfId="39085" xr:uid="{00000000-0005-0000-0000-0000D77D0000}"/>
    <cellStyle name="Normal 8 17 2 2 5" xfId="26780" xr:uid="{00000000-0005-0000-0000-0000D87D0000}"/>
    <cellStyle name="Normal 8 17 2 3" xfId="8351" xr:uid="{00000000-0005-0000-0000-0000D97D0000}"/>
    <cellStyle name="Normal 8 17 2 3 2" xfId="14545" xr:uid="{00000000-0005-0000-0000-0000DA7D0000}"/>
    <cellStyle name="Normal 8 17 2 3 2 2" xfId="34465" xr:uid="{00000000-0005-0000-0000-0000DB7D0000}"/>
    <cellStyle name="Normal 8 17 2 3 3" xfId="20697" xr:uid="{00000000-0005-0000-0000-0000DC7D0000}"/>
    <cellStyle name="Normal 8 17 2 3 3 2" xfId="40617" xr:uid="{00000000-0005-0000-0000-0000DD7D0000}"/>
    <cellStyle name="Normal 8 17 2 3 4" xfId="28312" xr:uid="{00000000-0005-0000-0000-0000DE7D0000}"/>
    <cellStyle name="Normal 8 17 2 4" xfId="11479" xr:uid="{00000000-0005-0000-0000-0000DF7D0000}"/>
    <cellStyle name="Normal 8 17 2 4 2" xfId="31399" xr:uid="{00000000-0005-0000-0000-0000E07D0000}"/>
    <cellStyle name="Normal 8 17 2 5" xfId="17631" xr:uid="{00000000-0005-0000-0000-0000E17D0000}"/>
    <cellStyle name="Normal 8 17 2 5 2" xfId="37551" xr:uid="{00000000-0005-0000-0000-0000E27D0000}"/>
    <cellStyle name="Normal 8 17 2 6" xfId="25246" xr:uid="{00000000-0005-0000-0000-0000E37D0000}"/>
    <cellStyle name="Normal 8 17 3" xfId="6017" xr:uid="{00000000-0005-0000-0000-0000E47D0000}"/>
    <cellStyle name="Normal 8 17 3 2" xfId="9117" xr:uid="{00000000-0005-0000-0000-0000E57D0000}"/>
    <cellStyle name="Normal 8 17 3 2 2" xfId="15310" xr:uid="{00000000-0005-0000-0000-0000E67D0000}"/>
    <cellStyle name="Normal 8 17 3 2 2 2" xfId="35230" xr:uid="{00000000-0005-0000-0000-0000E77D0000}"/>
    <cellStyle name="Normal 8 17 3 2 3" xfId="21462" xr:uid="{00000000-0005-0000-0000-0000E87D0000}"/>
    <cellStyle name="Normal 8 17 3 2 3 2" xfId="41382" xr:uid="{00000000-0005-0000-0000-0000E97D0000}"/>
    <cellStyle name="Normal 8 17 3 2 4" xfId="29077" xr:uid="{00000000-0005-0000-0000-0000EA7D0000}"/>
    <cellStyle name="Normal 8 17 3 3" xfId="12244" xr:uid="{00000000-0005-0000-0000-0000EB7D0000}"/>
    <cellStyle name="Normal 8 17 3 3 2" xfId="32164" xr:uid="{00000000-0005-0000-0000-0000EC7D0000}"/>
    <cellStyle name="Normal 8 17 3 4" xfId="18396" xr:uid="{00000000-0005-0000-0000-0000ED7D0000}"/>
    <cellStyle name="Normal 8 17 3 4 2" xfId="38316" xr:uid="{00000000-0005-0000-0000-0000EE7D0000}"/>
    <cellStyle name="Normal 8 17 3 5" xfId="26011" xr:uid="{00000000-0005-0000-0000-0000EF7D0000}"/>
    <cellStyle name="Normal 8 17 4" xfId="7582" xr:uid="{00000000-0005-0000-0000-0000F07D0000}"/>
    <cellStyle name="Normal 8 17 4 2" xfId="13776" xr:uid="{00000000-0005-0000-0000-0000F17D0000}"/>
    <cellStyle name="Normal 8 17 4 2 2" xfId="33696" xr:uid="{00000000-0005-0000-0000-0000F27D0000}"/>
    <cellStyle name="Normal 8 17 4 3" xfId="19928" xr:uid="{00000000-0005-0000-0000-0000F37D0000}"/>
    <cellStyle name="Normal 8 17 4 3 2" xfId="39848" xr:uid="{00000000-0005-0000-0000-0000F47D0000}"/>
    <cellStyle name="Normal 8 17 4 4" xfId="27543" xr:uid="{00000000-0005-0000-0000-0000F57D0000}"/>
    <cellStyle name="Normal 8 17 5" xfId="10710" xr:uid="{00000000-0005-0000-0000-0000F67D0000}"/>
    <cellStyle name="Normal 8 17 5 2" xfId="30630" xr:uid="{00000000-0005-0000-0000-0000F77D0000}"/>
    <cellStyle name="Normal 8 17 6" xfId="16862" xr:uid="{00000000-0005-0000-0000-0000F87D0000}"/>
    <cellStyle name="Normal 8 17 6 2" xfId="36782" xr:uid="{00000000-0005-0000-0000-0000F97D0000}"/>
    <cellStyle name="Normal 8 17 7" xfId="24477" xr:uid="{00000000-0005-0000-0000-0000FA7D0000}"/>
    <cellStyle name="Normal 8 18" xfId="3996" xr:uid="{00000000-0005-0000-0000-0000FB7D0000}"/>
    <cellStyle name="Normal 8 18 2" xfId="5176" xr:uid="{00000000-0005-0000-0000-0000FC7D0000}"/>
    <cellStyle name="Normal 8 18 2 2" xfId="6801" xr:uid="{00000000-0005-0000-0000-0000FD7D0000}"/>
    <cellStyle name="Normal 8 18 2 2 2" xfId="9887" xr:uid="{00000000-0005-0000-0000-0000FE7D0000}"/>
    <cellStyle name="Normal 8 18 2 2 2 2" xfId="16080" xr:uid="{00000000-0005-0000-0000-0000FF7D0000}"/>
    <cellStyle name="Normal 8 18 2 2 2 2 2" xfId="36000" xr:uid="{00000000-0005-0000-0000-0000007E0000}"/>
    <cellStyle name="Normal 8 18 2 2 2 3" xfId="22232" xr:uid="{00000000-0005-0000-0000-0000017E0000}"/>
    <cellStyle name="Normal 8 18 2 2 2 3 2" xfId="42152" xr:uid="{00000000-0005-0000-0000-0000027E0000}"/>
    <cellStyle name="Normal 8 18 2 2 2 4" xfId="29847" xr:uid="{00000000-0005-0000-0000-0000037E0000}"/>
    <cellStyle name="Normal 8 18 2 2 3" xfId="13014" xr:uid="{00000000-0005-0000-0000-0000047E0000}"/>
    <cellStyle name="Normal 8 18 2 2 3 2" xfId="32934" xr:uid="{00000000-0005-0000-0000-0000057E0000}"/>
    <cellStyle name="Normal 8 18 2 2 4" xfId="19166" xr:uid="{00000000-0005-0000-0000-0000067E0000}"/>
    <cellStyle name="Normal 8 18 2 2 4 2" xfId="39086" xr:uid="{00000000-0005-0000-0000-0000077E0000}"/>
    <cellStyle name="Normal 8 18 2 2 5" xfId="26781" xr:uid="{00000000-0005-0000-0000-0000087E0000}"/>
    <cellStyle name="Normal 8 18 2 3" xfId="8352" xr:uid="{00000000-0005-0000-0000-0000097E0000}"/>
    <cellStyle name="Normal 8 18 2 3 2" xfId="14546" xr:uid="{00000000-0005-0000-0000-00000A7E0000}"/>
    <cellStyle name="Normal 8 18 2 3 2 2" xfId="34466" xr:uid="{00000000-0005-0000-0000-00000B7E0000}"/>
    <cellStyle name="Normal 8 18 2 3 3" xfId="20698" xr:uid="{00000000-0005-0000-0000-00000C7E0000}"/>
    <cellStyle name="Normal 8 18 2 3 3 2" xfId="40618" xr:uid="{00000000-0005-0000-0000-00000D7E0000}"/>
    <cellStyle name="Normal 8 18 2 3 4" xfId="28313" xr:uid="{00000000-0005-0000-0000-00000E7E0000}"/>
    <cellStyle name="Normal 8 18 2 4" xfId="11480" xr:uid="{00000000-0005-0000-0000-00000F7E0000}"/>
    <cellStyle name="Normal 8 18 2 4 2" xfId="31400" xr:uid="{00000000-0005-0000-0000-0000107E0000}"/>
    <cellStyle name="Normal 8 18 2 5" xfId="17632" xr:uid="{00000000-0005-0000-0000-0000117E0000}"/>
    <cellStyle name="Normal 8 18 2 5 2" xfId="37552" xr:uid="{00000000-0005-0000-0000-0000127E0000}"/>
    <cellStyle name="Normal 8 18 2 6" xfId="25247" xr:uid="{00000000-0005-0000-0000-0000137E0000}"/>
    <cellStyle name="Normal 8 18 3" xfId="6018" xr:uid="{00000000-0005-0000-0000-0000147E0000}"/>
    <cellStyle name="Normal 8 18 3 2" xfId="9118" xr:uid="{00000000-0005-0000-0000-0000157E0000}"/>
    <cellStyle name="Normal 8 18 3 2 2" xfId="15311" xr:uid="{00000000-0005-0000-0000-0000167E0000}"/>
    <cellStyle name="Normal 8 18 3 2 2 2" xfId="35231" xr:uid="{00000000-0005-0000-0000-0000177E0000}"/>
    <cellStyle name="Normal 8 18 3 2 3" xfId="21463" xr:uid="{00000000-0005-0000-0000-0000187E0000}"/>
    <cellStyle name="Normal 8 18 3 2 3 2" xfId="41383" xr:uid="{00000000-0005-0000-0000-0000197E0000}"/>
    <cellStyle name="Normal 8 18 3 2 4" xfId="29078" xr:uid="{00000000-0005-0000-0000-00001A7E0000}"/>
    <cellStyle name="Normal 8 18 3 3" xfId="12245" xr:uid="{00000000-0005-0000-0000-00001B7E0000}"/>
    <cellStyle name="Normal 8 18 3 3 2" xfId="32165" xr:uid="{00000000-0005-0000-0000-00001C7E0000}"/>
    <cellStyle name="Normal 8 18 3 4" xfId="18397" xr:uid="{00000000-0005-0000-0000-00001D7E0000}"/>
    <cellStyle name="Normal 8 18 3 4 2" xfId="38317" xr:uid="{00000000-0005-0000-0000-00001E7E0000}"/>
    <cellStyle name="Normal 8 18 3 5" xfId="26012" xr:uid="{00000000-0005-0000-0000-00001F7E0000}"/>
    <cellStyle name="Normal 8 18 4" xfId="7583" xr:uid="{00000000-0005-0000-0000-0000207E0000}"/>
    <cellStyle name="Normal 8 18 4 2" xfId="13777" xr:uid="{00000000-0005-0000-0000-0000217E0000}"/>
    <cellStyle name="Normal 8 18 4 2 2" xfId="33697" xr:uid="{00000000-0005-0000-0000-0000227E0000}"/>
    <cellStyle name="Normal 8 18 4 3" xfId="19929" xr:uid="{00000000-0005-0000-0000-0000237E0000}"/>
    <cellStyle name="Normal 8 18 4 3 2" xfId="39849" xr:uid="{00000000-0005-0000-0000-0000247E0000}"/>
    <cellStyle name="Normal 8 18 4 4" xfId="27544" xr:uid="{00000000-0005-0000-0000-0000257E0000}"/>
    <cellStyle name="Normal 8 18 5" xfId="10711" xr:uid="{00000000-0005-0000-0000-0000267E0000}"/>
    <cellStyle name="Normal 8 18 5 2" xfId="30631" xr:uid="{00000000-0005-0000-0000-0000277E0000}"/>
    <cellStyle name="Normal 8 18 6" xfId="16863" xr:uid="{00000000-0005-0000-0000-0000287E0000}"/>
    <cellStyle name="Normal 8 18 6 2" xfId="36783" xr:uid="{00000000-0005-0000-0000-0000297E0000}"/>
    <cellStyle name="Normal 8 18 7" xfId="24478" xr:uid="{00000000-0005-0000-0000-00002A7E0000}"/>
    <cellStyle name="Normal 8 19" xfId="3997" xr:uid="{00000000-0005-0000-0000-00002B7E0000}"/>
    <cellStyle name="Normal 8 19 2" xfId="5177" xr:uid="{00000000-0005-0000-0000-00002C7E0000}"/>
    <cellStyle name="Normal 8 19 2 2" xfId="6802" xr:uid="{00000000-0005-0000-0000-00002D7E0000}"/>
    <cellStyle name="Normal 8 19 2 2 2" xfId="9888" xr:uid="{00000000-0005-0000-0000-00002E7E0000}"/>
    <cellStyle name="Normal 8 19 2 2 2 2" xfId="16081" xr:uid="{00000000-0005-0000-0000-00002F7E0000}"/>
    <cellStyle name="Normal 8 19 2 2 2 2 2" xfId="36001" xr:uid="{00000000-0005-0000-0000-0000307E0000}"/>
    <cellStyle name="Normal 8 19 2 2 2 3" xfId="22233" xr:uid="{00000000-0005-0000-0000-0000317E0000}"/>
    <cellStyle name="Normal 8 19 2 2 2 3 2" xfId="42153" xr:uid="{00000000-0005-0000-0000-0000327E0000}"/>
    <cellStyle name="Normal 8 19 2 2 2 4" xfId="29848" xr:uid="{00000000-0005-0000-0000-0000337E0000}"/>
    <cellStyle name="Normal 8 19 2 2 3" xfId="13015" xr:uid="{00000000-0005-0000-0000-0000347E0000}"/>
    <cellStyle name="Normal 8 19 2 2 3 2" xfId="32935" xr:uid="{00000000-0005-0000-0000-0000357E0000}"/>
    <cellStyle name="Normal 8 19 2 2 4" xfId="19167" xr:uid="{00000000-0005-0000-0000-0000367E0000}"/>
    <cellStyle name="Normal 8 19 2 2 4 2" xfId="39087" xr:uid="{00000000-0005-0000-0000-0000377E0000}"/>
    <cellStyle name="Normal 8 19 2 2 5" xfId="26782" xr:uid="{00000000-0005-0000-0000-0000387E0000}"/>
    <cellStyle name="Normal 8 19 2 3" xfId="8353" xr:uid="{00000000-0005-0000-0000-0000397E0000}"/>
    <cellStyle name="Normal 8 19 2 3 2" xfId="14547" xr:uid="{00000000-0005-0000-0000-00003A7E0000}"/>
    <cellStyle name="Normal 8 19 2 3 2 2" xfId="34467" xr:uid="{00000000-0005-0000-0000-00003B7E0000}"/>
    <cellStyle name="Normal 8 19 2 3 3" xfId="20699" xr:uid="{00000000-0005-0000-0000-00003C7E0000}"/>
    <cellStyle name="Normal 8 19 2 3 3 2" xfId="40619" xr:uid="{00000000-0005-0000-0000-00003D7E0000}"/>
    <cellStyle name="Normal 8 19 2 3 4" xfId="28314" xr:uid="{00000000-0005-0000-0000-00003E7E0000}"/>
    <cellStyle name="Normal 8 19 2 4" xfId="11481" xr:uid="{00000000-0005-0000-0000-00003F7E0000}"/>
    <cellStyle name="Normal 8 19 2 4 2" xfId="31401" xr:uid="{00000000-0005-0000-0000-0000407E0000}"/>
    <cellStyle name="Normal 8 19 2 5" xfId="17633" xr:uid="{00000000-0005-0000-0000-0000417E0000}"/>
    <cellStyle name="Normal 8 19 2 5 2" xfId="37553" xr:uid="{00000000-0005-0000-0000-0000427E0000}"/>
    <cellStyle name="Normal 8 19 2 6" xfId="25248" xr:uid="{00000000-0005-0000-0000-0000437E0000}"/>
    <cellStyle name="Normal 8 19 3" xfId="6019" xr:uid="{00000000-0005-0000-0000-0000447E0000}"/>
    <cellStyle name="Normal 8 19 3 2" xfId="9119" xr:uid="{00000000-0005-0000-0000-0000457E0000}"/>
    <cellStyle name="Normal 8 19 3 2 2" xfId="15312" xr:uid="{00000000-0005-0000-0000-0000467E0000}"/>
    <cellStyle name="Normal 8 19 3 2 2 2" xfId="35232" xr:uid="{00000000-0005-0000-0000-0000477E0000}"/>
    <cellStyle name="Normal 8 19 3 2 3" xfId="21464" xr:uid="{00000000-0005-0000-0000-0000487E0000}"/>
    <cellStyle name="Normal 8 19 3 2 3 2" xfId="41384" xr:uid="{00000000-0005-0000-0000-0000497E0000}"/>
    <cellStyle name="Normal 8 19 3 2 4" xfId="29079" xr:uid="{00000000-0005-0000-0000-00004A7E0000}"/>
    <cellStyle name="Normal 8 19 3 3" xfId="12246" xr:uid="{00000000-0005-0000-0000-00004B7E0000}"/>
    <cellStyle name="Normal 8 19 3 3 2" xfId="32166" xr:uid="{00000000-0005-0000-0000-00004C7E0000}"/>
    <cellStyle name="Normal 8 19 3 4" xfId="18398" xr:uid="{00000000-0005-0000-0000-00004D7E0000}"/>
    <cellStyle name="Normal 8 19 3 4 2" xfId="38318" xr:uid="{00000000-0005-0000-0000-00004E7E0000}"/>
    <cellStyle name="Normal 8 19 3 5" xfId="26013" xr:uid="{00000000-0005-0000-0000-00004F7E0000}"/>
    <cellStyle name="Normal 8 19 4" xfId="7584" xr:uid="{00000000-0005-0000-0000-0000507E0000}"/>
    <cellStyle name="Normal 8 19 4 2" xfId="13778" xr:uid="{00000000-0005-0000-0000-0000517E0000}"/>
    <cellStyle name="Normal 8 19 4 2 2" xfId="33698" xr:uid="{00000000-0005-0000-0000-0000527E0000}"/>
    <cellStyle name="Normal 8 19 4 3" xfId="19930" xr:uid="{00000000-0005-0000-0000-0000537E0000}"/>
    <cellStyle name="Normal 8 19 4 3 2" xfId="39850" xr:uid="{00000000-0005-0000-0000-0000547E0000}"/>
    <cellStyle name="Normal 8 19 4 4" xfId="27545" xr:uid="{00000000-0005-0000-0000-0000557E0000}"/>
    <cellStyle name="Normal 8 19 5" xfId="10712" xr:uid="{00000000-0005-0000-0000-0000567E0000}"/>
    <cellStyle name="Normal 8 19 5 2" xfId="30632" xr:uid="{00000000-0005-0000-0000-0000577E0000}"/>
    <cellStyle name="Normal 8 19 6" xfId="16864" xr:uid="{00000000-0005-0000-0000-0000587E0000}"/>
    <cellStyle name="Normal 8 19 6 2" xfId="36784" xr:uid="{00000000-0005-0000-0000-0000597E0000}"/>
    <cellStyle name="Normal 8 19 7" xfId="24479" xr:uid="{00000000-0005-0000-0000-00005A7E0000}"/>
    <cellStyle name="Normal 8 2" xfId="1174" xr:uid="{00000000-0005-0000-0000-00005B7E0000}"/>
    <cellStyle name="Normal 8 2 10" xfId="10165" xr:uid="{00000000-0005-0000-0000-00005C7E0000}"/>
    <cellStyle name="Normal 8 2 10 2" xfId="30085" xr:uid="{00000000-0005-0000-0000-00005D7E0000}"/>
    <cellStyle name="Normal 8 2 11" xfId="16317" xr:uid="{00000000-0005-0000-0000-00005E7E0000}"/>
    <cellStyle name="Normal 8 2 11 2" xfId="36237" xr:uid="{00000000-0005-0000-0000-00005F7E0000}"/>
    <cellStyle name="Normal 8 2 12" xfId="23932" xr:uid="{00000000-0005-0000-0000-0000607E0000}"/>
    <cellStyle name="Normal 8 2 2" xfId="1193" xr:uid="{00000000-0005-0000-0000-0000617E0000}"/>
    <cellStyle name="Normal 8 2 2 2" xfId="3999" xr:uid="{00000000-0005-0000-0000-0000627E0000}"/>
    <cellStyle name="Normal 8 2 2 2 2" xfId="5179" xr:uid="{00000000-0005-0000-0000-0000637E0000}"/>
    <cellStyle name="Normal 8 2 2 2 2 2" xfId="6804" xr:uid="{00000000-0005-0000-0000-0000647E0000}"/>
    <cellStyle name="Normal 8 2 2 2 2 2 2" xfId="9890" xr:uid="{00000000-0005-0000-0000-0000657E0000}"/>
    <cellStyle name="Normal 8 2 2 2 2 2 2 2" xfId="16083" xr:uid="{00000000-0005-0000-0000-0000667E0000}"/>
    <cellStyle name="Normal 8 2 2 2 2 2 2 2 2" xfId="36003" xr:uid="{00000000-0005-0000-0000-0000677E0000}"/>
    <cellStyle name="Normal 8 2 2 2 2 2 2 3" xfId="22235" xr:uid="{00000000-0005-0000-0000-0000687E0000}"/>
    <cellStyle name="Normal 8 2 2 2 2 2 2 3 2" xfId="42155" xr:uid="{00000000-0005-0000-0000-0000697E0000}"/>
    <cellStyle name="Normal 8 2 2 2 2 2 2 4" xfId="29850" xr:uid="{00000000-0005-0000-0000-00006A7E0000}"/>
    <cellStyle name="Normal 8 2 2 2 2 2 3" xfId="13017" xr:uid="{00000000-0005-0000-0000-00006B7E0000}"/>
    <cellStyle name="Normal 8 2 2 2 2 2 3 2" xfId="32937" xr:uid="{00000000-0005-0000-0000-00006C7E0000}"/>
    <cellStyle name="Normal 8 2 2 2 2 2 4" xfId="19169" xr:uid="{00000000-0005-0000-0000-00006D7E0000}"/>
    <cellStyle name="Normal 8 2 2 2 2 2 4 2" xfId="39089" xr:uid="{00000000-0005-0000-0000-00006E7E0000}"/>
    <cellStyle name="Normal 8 2 2 2 2 2 5" xfId="26784" xr:uid="{00000000-0005-0000-0000-00006F7E0000}"/>
    <cellStyle name="Normal 8 2 2 2 2 3" xfId="8355" xr:uid="{00000000-0005-0000-0000-0000707E0000}"/>
    <cellStyle name="Normal 8 2 2 2 2 3 2" xfId="14549" xr:uid="{00000000-0005-0000-0000-0000717E0000}"/>
    <cellStyle name="Normal 8 2 2 2 2 3 2 2" xfId="34469" xr:uid="{00000000-0005-0000-0000-0000727E0000}"/>
    <cellStyle name="Normal 8 2 2 2 2 3 3" xfId="20701" xr:uid="{00000000-0005-0000-0000-0000737E0000}"/>
    <cellStyle name="Normal 8 2 2 2 2 3 3 2" xfId="40621" xr:uid="{00000000-0005-0000-0000-0000747E0000}"/>
    <cellStyle name="Normal 8 2 2 2 2 3 4" xfId="28316" xr:uid="{00000000-0005-0000-0000-0000757E0000}"/>
    <cellStyle name="Normal 8 2 2 2 2 4" xfId="11483" xr:uid="{00000000-0005-0000-0000-0000767E0000}"/>
    <cellStyle name="Normal 8 2 2 2 2 4 2" xfId="31403" xr:uid="{00000000-0005-0000-0000-0000777E0000}"/>
    <cellStyle name="Normal 8 2 2 2 2 5" xfId="17635" xr:uid="{00000000-0005-0000-0000-0000787E0000}"/>
    <cellStyle name="Normal 8 2 2 2 2 5 2" xfId="37555" xr:uid="{00000000-0005-0000-0000-0000797E0000}"/>
    <cellStyle name="Normal 8 2 2 2 2 6" xfId="25250" xr:uid="{00000000-0005-0000-0000-00007A7E0000}"/>
    <cellStyle name="Normal 8 2 2 2 3" xfId="6021" xr:uid="{00000000-0005-0000-0000-00007B7E0000}"/>
    <cellStyle name="Normal 8 2 2 2 3 2" xfId="9121" xr:uid="{00000000-0005-0000-0000-00007C7E0000}"/>
    <cellStyle name="Normal 8 2 2 2 3 2 2" xfId="15314" xr:uid="{00000000-0005-0000-0000-00007D7E0000}"/>
    <cellStyle name="Normal 8 2 2 2 3 2 2 2" xfId="35234" xr:uid="{00000000-0005-0000-0000-00007E7E0000}"/>
    <cellStyle name="Normal 8 2 2 2 3 2 3" xfId="21466" xr:uid="{00000000-0005-0000-0000-00007F7E0000}"/>
    <cellStyle name="Normal 8 2 2 2 3 2 3 2" xfId="41386" xr:uid="{00000000-0005-0000-0000-0000807E0000}"/>
    <cellStyle name="Normal 8 2 2 2 3 2 4" xfId="29081" xr:uid="{00000000-0005-0000-0000-0000817E0000}"/>
    <cellStyle name="Normal 8 2 2 2 3 3" xfId="12248" xr:uid="{00000000-0005-0000-0000-0000827E0000}"/>
    <cellStyle name="Normal 8 2 2 2 3 3 2" xfId="32168" xr:uid="{00000000-0005-0000-0000-0000837E0000}"/>
    <cellStyle name="Normal 8 2 2 2 3 4" xfId="18400" xr:uid="{00000000-0005-0000-0000-0000847E0000}"/>
    <cellStyle name="Normal 8 2 2 2 3 4 2" xfId="38320" xr:uid="{00000000-0005-0000-0000-0000857E0000}"/>
    <cellStyle name="Normal 8 2 2 2 3 5" xfId="26015" xr:uid="{00000000-0005-0000-0000-0000867E0000}"/>
    <cellStyle name="Normal 8 2 2 2 4" xfId="7586" xr:uid="{00000000-0005-0000-0000-0000877E0000}"/>
    <cellStyle name="Normal 8 2 2 2 4 2" xfId="13780" xr:uid="{00000000-0005-0000-0000-0000887E0000}"/>
    <cellStyle name="Normal 8 2 2 2 4 2 2" xfId="33700" xr:uid="{00000000-0005-0000-0000-0000897E0000}"/>
    <cellStyle name="Normal 8 2 2 2 4 3" xfId="19932" xr:uid="{00000000-0005-0000-0000-00008A7E0000}"/>
    <cellStyle name="Normal 8 2 2 2 4 3 2" xfId="39852" xr:uid="{00000000-0005-0000-0000-00008B7E0000}"/>
    <cellStyle name="Normal 8 2 2 2 4 4" xfId="27547" xr:uid="{00000000-0005-0000-0000-00008C7E0000}"/>
    <cellStyle name="Normal 8 2 2 2 5" xfId="10714" xr:uid="{00000000-0005-0000-0000-00008D7E0000}"/>
    <cellStyle name="Normal 8 2 2 2 5 2" xfId="30634" xr:uid="{00000000-0005-0000-0000-00008E7E0000}"/>
    <cellStyle name="Normal 8 2 2 2 6" xfId="16866" xr:uid="{00000000-0005-0000-0000-00008F7E0000}"/>
    <cellStyle name="Normal 8 2 2 2 6 2" xfId="36786" xr:uid="{00000000-0005-0000-0000-0000907E0000}"/>
    <cellStyle name="Normal 8 2 2 2 7" xfId="24481" xr:uid="{00000000-0005-0000-0000-0000917E0000}"/>
    <cellStyle name="Normal 8 2 2 3" xfId="4641" xr:uid="{00000000-0005-0000-0000-0000927E0000}"/>
    <cellStyle name="Normal 8 2 2 3 2" xfId="6266" xr:uid="{00000000-0005-0000-0000-0000937E0000}"/>
    <cellStyle name="Normal 8 2 2 3 2 2" xfId="9352" xr:uid="{00000000-0005-0000-0000-0000947E0000}"/>
    <cellStyle name="Normal 8 2 2 3 2 2 2" xfId="15545" xr:uid="{00000000-0005-0000-0000-0000957E0000}"/>
    <cellStyle name="Normal 8 2 2 3 2 2 2 2" xfId="35465" xr:uid="{00000000-0005-0000-0000-0000967E0000}"/>
    <cellStyle name="Normal 8 2 2 3 2 2 3" xfId="21697" xr:uid="{00000000-0005-0000-0000-0000977E0000}"/>
    <cellStyle name="Normal 8 2 2 3 2 2 3 2" xfId="41617" xr:uid="{00000000-0005-0000-0000-0000987E0000}"/>
    <cellStyle name="Normal 8 2 2 3 2 2 4" xfId="29312" xr:uid="{00000000-0005-0000-0000-0000997E0000}"/>
    <cellStyle name="Normal 8 2 2 3 2 3" xfId="12479" xr:uid="{00000000-0005-0000-0000-00009A7E0000}"/>
    <cellStyle name="Normal 8 2 2 3 2 3 2" xfId="32399" xr:uid="{00000000-0005-0000-0000-00009B7E0000}"/>
    <cellStyle name="Normal 8 2 2 3 2 4" xfId="18631" xr:uid="{00000000-0005-0000-0000-00009C7E0000}"/>
    <cellStyle name="Normal 8 2 2 3 2 4 2" xfId="38551" xr:uid="{00000000-0005-0000-0000-00009D7E0000}"/>
    <cellStyle name="Normal 8 2 2 3 2 5" xfId="26246" xr:uid="{00000000-0005-0000-0000-00009E7E0000}"/>
    <cellStyle name="Normal 8 2 2 3 3" xfId="7817" xr:uid="{00000000-0005-0000-0000-00009F7E0000}"/>
    <cellStyle name="Normal 8 2 2 3 3 2" xfId="14011" xr:uid="{00000000-0005-0000-0000-0000A07E0000}"/>
    <cellStyle name="Normal 8 2 2 3 3 2 2" xfId="33931" xr:uid="{00000000-0005-0000-0000-0000A17E0000}"/>
    <cellStyle name="Normal 8 2 2 3 3 3" xfId="20163" xr:uid="{00000000-0005-0000-0000-0000A27E0000}"/>
    <cellStyle name="Normal 8 2 2 3 3 3 2" xfId="40083" xr:uid="{00000000-0005-0000-0000-0000A37E0000}"/>
    <cellStyle name="Normal 8 2 2 3 3 4" xfId="27778" xr:uid="{00000000-0005-0000-0000-0000A47E0000}"/>
    <cellStyle name="Normal 8 2 2 3 4" xfId="10945" xr:uid="{00000000-0005-0000-0000-0000A57E0000}"/>
    <cellStyle name="Normal 8 2 2 3 4 2" xfId="30865" xr:uid="{00000000-0005-0000-0000-0000A67E0000}"/>
    <cellStyle name="Normal 8 2 2 3 5" xfId="17097" xr:uid="{00000000-0005-0000-0000-0000A77E0000}"/>
    <cellStyle name="Normal 8 2 2 3 5 2" xfId="37017" xr:uid="{00000000-0005-0000-0000-0000A87E0000}"/>
    <cellStyle name="Normal 8 2 2 3 6" xfId="24712" xr:uid="{00000000-0005-0000-0000-0000A97E0000}"/>
    <cellStyle name="Normal 8 2 2 4" xfId="5480" xr:uid="{00000000-0005-0000-0000-0000AA7E0000}"/>
    <cellStyle name="Normal 8 2 2 4 2" xfId="8583" xr:uid="{00000000-0005-0000-0000-0000AB7E0000}"/>
    <cellStyle name="Normal 8 2 2 4 2 2" xfId="14776" xr:uid="{00000000-0005-0000-0000-0000AC7E0000}"/>
    <cellStyle name="Normal 8 2 2 4 2 2 2" xfId="34696" xr:uid="{00000000-0005-0000-0000-0000AD7E0000}"/>
    <cellStyle name="Normal 8 2 2 4 2 3" xfId="20928" xr:uid="{00000000-0005-0000-0000-0000AE7E0000}"/>
    <cellStyle name="Normal 8 2 2 4 2 3 2" xfId="40848" xr:uid="{00000000-0005-0000-0000-0000AF7E0000}"/>
    <cellStyle name="Normal 8 2 2 4 2 4" xfId="28543" xr:uid="{00000000-0005-0000-0000-0000B07E0000}"/>
    <cellStyle name="Normal 8 2 2 4 3" xfId="11710" xr:uid="{00000000-0005-0000-0000-0000B17E0000}"/>
    <cellStyle name="Normal 8 2 2 4 3 2" xfId="31630" xr:uid="{00000000-0005-0000-0000-0000B27E0000}"/>
    <cellStyle name="Normal 8 2 2 4 4" xfId="17862" xr:uid="{00000000-0005-0000-0000-0000B37E0000}"/>
    <cellStyle name="Normal 8 2 2 4 4 2" xfId="37782" xr:uid="{00000000-0005-0000-0000-0000B47E0000}"/>
    <cellStyle name="Normal 8 2 2 4 5" xfId="25477" xr:uid="{00000000-0005-0000-0000-0000B57E0000}"/>
    <cellStyle name="Normal 8 2 2 5" xfId="7048" xr:uid="{00000000-0005-0000-0000-0000B67E0000}"/>
    <cellStyle name="Normal 8 2 2 5 2" xfId="13242" xr:uid="{00000000-0005-0000-0000-0000B77E0000}"/>
    <cellStyle name="Normal 8 2 2 5 2 2" xfId="33162" xr:uid="{00000000-0005-0000-0000-0000B87E0000}"/>
    <cellStyle name="Normal 8 2 2 5 3" xfId="19394" xr:uid="{00000000-0005-0000-0000-0000B97E0000}"/>
    <cellStyle name="Normal 8 2 2 5 3 2" xfId="39314" xr:uid="{00000000-0005-0000-0000-0000BA7E0000}"/>
    <cellStyle name="Normal 8 2 2 5 4" xfId="27009" xr:uid="{00000000-0005-0000-0000-0000BB7E0000}"/>
    <cellStyle name="Normal 8 2 2 6" xfId="10176" xr:uid="{00000000-0005-0000-0000-0000BC7E0000}"/>
    <cellStyle name="Normal 8 2 2 6 2" xfId="30096" xr:uid="{00000000-0005-0000-0000-0000BD7E0000}"/>
    <cellStyle name="Normal 8 2 2 7" xfId="16328" xr:uid="{00000000-0005-0000-0000-0000BE7E0000}"/>
    <cellStyle name="Normal 8 2 2 7 2" xfId="36248" xr:uid="{00000000-0005-0000-0000-0000BF7E0000}"/>
    <cellStyle name="Normal 8 2 2 8" xfId="23943" xr:uid="{00000000-0005-0000-0000-0000C07E0000}"/>
    <cellStyle name="Normal 8 2 3" xfId="4000" xr:uid="{00000000-0005-0000-0000-0000C17E0000}"/>
    <cellStyle name="Normal 8 2 3 2" xfId="5180" xr:uid="{00000000-0005-0000-0000-0000C27E0000}"/>
    <cellStyle name="Normal 8 2 3 2 2" xfId="6805" xr:uid="{00000000-0005-0000-0000-0000C37E0000}"/>
    <cellStyle name="Normal 8 2 3 2 2 2" xfId="9891" xr:uid="{00000000-0005-0000-0000-0000C47E0000}"/>
    <cellStyle name="Normal 8 2 3 2 2 2 2" xfId="16084" xr:uid="{00000000-0005-0000-0000-0000C57E0000}"/>
    <cellStyle name="Normal 8 2 3 2 2 2 2 2" xfId="36004" xr:uid="{00000000-0005-0000-0000-0000C67E0000}"/>
    <cellStyle name="Normal 8 2 3 2 2 2 3" xfId="22236" xr:uid="{00000000-0005-0000-0000-0000C77E0000}"/>
    <cellStyle name="Normal 8 2 3 2 2 2 3 2" xfId="42156" xr:uid="{00000000-0005-0000-0000-0000C87E0000}"/>
    <cellStyle name="Normal 8 2 3 2 2 2 4" xfId="29851" xr:uid="{00000000-0005-0000-0000-0000C97E0000}"/>
    <cellStyle name="Normal 8 2 3 2 2 3" xfId="13018" xr:uid="{00000000-0005-0000-0000-0000CA7E0000}"/>
    <cellStyle name="Normal 8 2 3 2 2 3 2" xfId="32938" xr:uid="{00000000-0005-0000-0000-0000CB7E0000}"/>
    <cellStyle name="Normal 8 2 3 2 2 4" xfId="19170" xr:uid="{00000000-0005-0000-0000-0000CC7E0000}"/>
    <cellStyle name="Normal 8 2 3 2 2 4 2" xfId="39090" xr:uid="{00000000-0005-0000-0000-0000CD7E0000}"/>
    <cellStyle name="Normal 8 2 3 2 2 5" xfId="26785" xr:uid="{00000000-0005-0000-0000-0000CE7E0000}"/>
    <cellStyle name="Normal 8 2 3 2 3" xfId="8356" xr:uid="{00000000-0005-0000-0000-0000CF7E0000}"/>
    <cellStyle name="Normal 8 2 3 2 3 2" xfId="14550" xr:uid="{00000000-0005-0000-0000-0000D07E0000}"/>
    <cellStyle name="Normal 8 2 3 2 3 2 2" xfId="34470" xr:uid="{00000000-0005-0000-0000-0000D17E0000}"/>
    <cellStyle name="Normal 8 2 3 2 3 3" xfId="20702" xr:uid="{00000000-0005-0000-0000-0000D27E0000}"/>
    <cellStyle name="Normal 8 2 3 2 3 3 2" xfId="40622" xr:uid="{00000000-0005-0000-0000-0000D37E0000}"/>
    <cellStyle name="Normal 8 2 3 2 3 4" xfId="28317" xr:uid="{00000000-0005-0000-0000-0000D47E0000}"/>
    <cellStyle name="Normal 8 2 3 2 4" xfId="11484" xr:uid="{00000000-0005-0000-0000-0000D57E0000}"/>
    <cellStyle name="Normal 8 2 3 2 4 2" xfId="31404" xr:uid="{00000000-0005-0000-0000-0000D67E0000}"/>
    <cellStyle name="Normal 8 2 3 2 5" xfId="17636" xr:uid="{00000000-0005-0000-0000-0000D77E0000}"/>
    <cellStyle name="Normal 8 2 3 2 5 2" xfId="37556" xr:uid="{00000000-0005-0000-0000-0000D87E0000}"/>
    <cellStyle name="Normal 8 2 3 2 6" xfId="25251" xr:uid="{00000000-0005-0000-0000-0000D97E0000}"/>
    <cellStyle name="Normal 8 2 3 3" xfId="6022" xr:uid="{00000000-0005-0000-0000-0000DA7E0000}"/>
    <cellStyle name="Normal 8 2 3 3 2" xfId="9122" xr:uid="{00000000-0005-0000-0000-0000DB7E0000}"/>
    <cellStyle name="Normal 8 2 3 3 2 2" xfId="15315" xr:uid="{00000000-0005-0000-0000-0000DC7E0000}"/>
    <cellStyle name="Normal 8 2 3 3 2 2 2" xfId="35235" xr:uid="{00000000-0005-0000-0000-0000DD7E0000}"/>
    <cellStyle name="Normal 8 2 3 3 2 3" xfId="21467" xr:uid="{00000000-0005-0000-0000-0000DE7E0000}"/>
    <cellStyle name="Normal 8 2 3 3 2 3 2" xfId="41387" xr:uid="{00000000-0005-0000-0000-0000DF7E0000}"/>
    <cellStyle name="Normal 8 2 3 3 2 4" xfId="29082" xr:uid="{00000000-0005-0000-0000-0000E07E0000}"/>
    <cellStyle name="Normal 8 2 3 3 3" xfId="12249" xr:uid="{00000000-0005-0000-0000-0000E17E0000}"/>
    <cellStyle name="Normal 8 2 3 3 3 2" xfId="32169" xr:uid="{00000000-0005-0000-0000-0000E27E0000}"/>
    <cellStyle name="Normal 8 2 3 3 4" xfId="18401" xr:uid="{00000000-0005-0000-0000-0000E37E0000}"/>
    <cellStyle name="Normal 8 2 3 3 4 2" xfId="38321" xr:uid="{00000000-0005-0000-0000-0000E47E0000}"/>
    <cellStyle name="Normal 8 2 3 3 5" xfId="26016" xr:uid="{00000000-0005-0000-0000-0000E57E0000}"/>
    <cellStyle name="Normal 8 2 3 4" xfId="7587" xr:uid="{00000000-0005-0000-0000-0000E67E0000}"/>
    <cellStyle name="Normal 8 2 3 4 2" xfId="13781" xr:uid="{00000000-0005-0000-0000-0000E77E0000}"/>
    <cellStyle name="Normal 8 2 3 4 2 2" xfId="33701" xr:uid="{00000000-0005-0000-0000-0000E87E0000}"/>
    <cellStyle name="Normal 8 2 3 4 3" xfId="19933" xr:uid="{00000000-0005-0000-0000-0000E97E0000}"/>
    <cellStyle name="Normal 8 2 3 4 3 2" xfId="39853" xr:uid="{00000000-0005-0000-0000-0000EA7E0000}"/>
    <cellStyle name="Normal 8 2 3 4 4" xfId="27548" xr:uid="{00000000-0005-0000-0000-0000EB7E0000}"/>
    <cellStyle name="Normal 8 2 3 5" xfId="10715" xr:uid="{00000000-0005-0000-0000-0000EC7E0000}"/>
    <cellStyle name="Normal 8 2 3 5 2" xfId="30635" xr:uid="{00000000-0005-0000-0000-0000ED7E0000}"/>
    <cellStyle name="Normal 8 2 3 6" xfId="16867" xr:uid="{00000000-0005-0000-0000-0000EE7E0000}"/>
    <cellStyle name="Normal 8 2 3 6 2" xfId="36787" xr:uid="{00000000-0005-0000-0000-0000EF7E0000}"/>
    <cellStyle name="Normal 8 2 3 7" xfId="24482" xr:uid="{00000000-0005-0000-0000-0000F07E0000}"/>
    <cellStyle name="Normal 8 2 4" xfId="4001" xr:uid="{00000000-0005-0000-0000-0000F17E0000}"/>
    <cellStyle name="Normal 8 2 4 2" xfId="5181" xr:uid="{00000000-0005-0000-0000-0000F27E0000}"/>
    <cellStyle name="Normal 8 2 4 2 2" xfId="6806" xr:uid="{00000000-0005-0000-0000-0000F37E0000}"/>
    <cellStyle name="Normal 8 2 4 2 2 2" xfId="9892" xr:uid="{00000000-0005-0000-0000-0000F47E0000}"/>
    <cellStyle name="Normal 8 2 4 2 2 2 2" xfId="16085" xr:uid="{00000000-0005-0000-0000-0000F57E0000}"/>
    <cellStyle name="Normal 8 2 4 2 2 2 2 2" xfId="36005" xr:uid="{00000000-0005-0000-0000-0000F67E0000}"/>
    <cellStyle name="Normal 8 2 4 2 2 2 3" xfId="22237" xr:uid="{00000000-0005-0000-0000-0000F77E0000}"/>
    <cellStyle name="Normal 8 2 4 2 2 2 3 2" xfId="42157" xr:uid="{00000000-0005-0000-0000-0000F87E0000}"/>
    <cellStyle name="Normal 8 2 4 2 2 2 4" xfId="29852" xr:uid="{00000000-0005-0000-0000-0000F97E0000}"/>
    <cellStyle name="Normal 8 2 4 2 2 3" xfId="13019" xr:uid="{00000000-0005-0000-0000-0000FA7E0000}"/>
    <cellStyle name="Normal 8 2 4 2 2 3 2" xfId="32939" xr:uid="{00000000-0005-0000-0000-0000FB7E0000}"/>
    <cellStyle name="Normal 8 2 4 2 2 4" xfId="19171" xr:uid="{00000000-0005-0000-0000-0000FC7E0000}"/>
    <cellStyle name="Normal 8 2 4 2 2 4 2" xfId="39091" xr:uid="{00000000-0005-0000-0000-0000FD7E0000}"/>
    <cellStyle name="Normal 8 2 4 2 2 5" xfId="26786" xr:uid="{00000000-0005-0000-0000-0000FE7E0000}"/>
    <cellStyle name="Normal 8 2 4 2 3" xfId="8357" xr:uid="{00000000-0005-0000-0000-0000FF7E0000}"/>
    <cellStyle name="Normal 8 2 4 2 3 2" xfId="14551" xr:uid="{00000000-0005-0000-0000-0000007F0000}"/>
    <cellStyle name="Normal 8 2 4 2 3 2 2" xfId="34471" xr:uid="{00000000-0005-0000-0000-0000017F0000}"/>
    <cellStyle name="Normal 8 2 4 2 3 3" xfId="20703" xr:uid="{00000000-0005-0000-0000-0000027F0000}"/>
    <cellStyle name="Normal 8 2 4 2 3 3 2" xfId="40623" xr:uid="{00000000-0005-0000-0000-0000037F0000}"/>
    <cellStyle name="Normal 8 2 4 2 3 4" xfId="28318" xr:uid="{00000000-0005-0000-0000-0000047F0000}"/>
    <cellStyle name="Normal 8 2 4 2 4" xfId="11485" xr:uid="{00000000-0005-0000-0000-0000057F0000}"/>
    <cellStyle name="Normal 8 2 4 2 4 2" xfId="31405" xr:uid="{00000000-0005-0000-0000-0000067F0000}"/>
    <cellStyle name="Normal 8 2 4 2 5" xfId="17637" xr:uid="{00000000-0005-0000-0000-0000077F0000}"/>
    <cellStyle name="Normal 8 2 4 2 5 2" xfId="37557" xr:uid="{00000000-0005-0000-0000-0000087F0000}"/>
    <cellStyle name="Normal 8 2 4 2 6" xfId="25252" xr:uid="{00000000-0005-0000-0000-0000097F0000}"/>
    <cellStyle name="Normal 8 2 4 3" xfId="6023" xr:uid="{00000000-0005-0000-0000-00000A7F0000}"/>
    <cellStyle name="Normal 8 2 4 3 2" xfId="9123" xr:uid="{00000000-0005-0000-0000-00000B7F0000}"/>
    <cellStyle name="Normal 8 2 4 3 2 2" xfId="15316" xr:uid="{00000000-0005-0000-0000-00000C7F0000}"/>
    <cellStyle name="Normal 8 2 4 3 2 2 2" xfId="35236" xr:uid="{00000000-0005-0000-0000-00000D7F0000}"/>
    <cellStyle name="Normal 8 2 4 3 2 3" xfId="21468" xr:uid="{00000000-0005-0000-0000-00000E7F0000}"/>
    <cellStyle name="Normal 8 2 4 3 2 3 2" xfId="41388" xr:uid="{00000000-0005-0000-0000-00000F7F0000}"/>
    <cellStyle name="Normal 8 2 4 3 2 4" xfId="29083" xr:uid="{00000000-0005-0000-0000-0000107F0000}"/>
    <cellStyle name="Normal 8 2 4 3 3" xfId="12250" xr:uid="{00000000-0005-0000-0000-0000117F0000}"/>
    <cellStyle name="Normal 8 2 4 3 3 2" xfId="32170" xr:uid="{00000000-0005-0000-0000-0000127F0000}"/>
    <cellStyle name="Normal 8 2 4 3 4" xfId="18402" xr:uid="{00000000-0005-0000-0000-0000137F0000}"/>
    <cellStyle name="Normal 8 2 4 3 4 2" xfId="38322" xr:uid="{00000000-0005-0000-0000-0000147F0000}"/>
    <cellStyle name="Normal 8 2 4 3 5" xfId="26017" xr:uid="{00000000-0005-0000-0000-0000157F0000}"/>
    <cellStyle name="Normal 8 2 4 4" xfId="7588" xr:uid="{00000000-0005-0000-0000-0000167F0000}"/>
    <cellStyle name="Normal 8 2 4 4 2" xfId="13782" xr:uid="{00000000-0005-0000-0000-0000177F0000}"/>
    <cellStyle name="Normal 8 2 4 4 2 2" xfId="33702" xr:uid="{00000000-0005-0000-0000-0000187F0000}"/>
    <cellStyle name="Normal 8 2 4 4 3" xfId="19934" xr:uid="{00000000-0005-0000-0000-0000197F0000}"/>
    <cellStyle name="Normal 8 2 4 4 3 2" xfId="39854" xr:uid="{00000000-0005-0000-0000-00001A7F0000}"/>
    <cellStyle name="Normal 8 2 4 4 4" xfId="27549" xr:uid="{00000000-0005-0000-0000-00001B7F0000}"/>
    <cellStyle name="Normal 8 2 4 5" xfId="10716" xr:uid="{00000000-0005-0000-0000-00001C7F0000}"/>
    <cellStyle name="Normal 8 2 4 5 2" xfId="30636" xr:uid="{00000000-0005-0000-0000-00001D7F0000}"/>
    <cellStyle name="Normal 8 2 4 6" xfId="16868" xr:uid="{00000000-0005-0000-0000-00001E7F0000}"/>
    <cellStyle name="Normal 8 2 4 6 2" xfId="36788" xr:uid="{00000000-0005-0000-0000-00001F7F0000}"/>
    <cellStyle name="Normal 8 2 4 7" xfId="24483" xr:uid="{00000000-0005-0000-0000-0000207F0000}"/>
    <cellStyle name="Normal 8 2 5" xfId="4002" xr:uid="{00000000-0005-0000-0000-0000217F0000}"/>
    <cellStyle name="Normal 8 2 5 2" xfId="5182" xr:uid="{00000000-0005-0000-0000-0000227F0000}"/>
    <cellStyle name="Normal 8 2 5 2 2" xfId="6807" xr:uid="{00000000-0005-0000-0000-0000237F0000}"/>
    <cellStyle name="Normal 8 2 5 2 2 2" xfId="9893" xr:uid="{00000000-0005-0000-0000-0000247F0000}"/>
    <cellStyle name="Normal 8 2 5 2 2 2 2" xfId="16086" xr:uid="{00000000-0005-0000-0000-0000257F0000}"/>
    <cellStyle name="Normal 8 2 5 2 2 2 2 2" xfId="36006" xr:uid="{00000000-0005-0000-0000-0000267F0000}"/>
    <cellStyle name="Normal 8 2 5 2 2 2 3" xfId="22238" xr:uid="{00000000-0005-0000-0000-0000277F0000}"/>
    <cellStyle name="Normal 8 2 5 2 2 2 3 2" xfId="42158" xr:uid="{00000000-0005-0000-0000-0000287F0000}"/>
    <cellStyle name="Normal 8 2 5 2 2 2 4" xfId="29853" xr:uid="{00000000-0005-0000-0000-0000297F0000}"/>
    <cellStyle name="Normal 8 2 5 2 2 3" xfId="13020" xr:uid="{00000000-0005-0000-0000-00002A7F0000}"/>
    <cellStyle name="Normal 8 2 5 2 2 3 2" xfId="32940" xr:uid="{00000000-0005-0000-0000-00002B7F0000}"/>
    <cellStyle name="Normal 8 2 5 2 2 4" xfId="19172" xr:uid="{00000000-0005-0000-0000-00002C7F0000}"/>
    <cellStyle name="Normal 8 2 5 2 2 4 2" xfId="39092" xr:uid="{00000000-0005-0000-0000-00002D7F0000}"/>
    <cellStyle name="Normal 8 2 5 2 2 5" xfId="26787" xr:uid="{00000000-0005-0000-0000-00002E7F0000}"/>
    <cellStyle name="Normal 8 2 5 2 3" xfId="8358" xr:uid="{00000000-0005-0000-0000-00002F7F0000}"/>
    <cellStyle name="Normal 8 2 5 2 3 2" xfId="14552" xr:uid="{00000000-0005-0000-0000-0000307F0000}"/>
    <cellStyle name="Normal 8 2 5 2 3 2 2" xfId="34472" xr:uid="{00000000-0005-0000-0000-0000317F0000}"/>
    <cellStyle name="Normal 8 2 5 2 3 3" xfId="20704" xr:uid="{00000000-0005-0000-0000-0000327F0000}"/>
    <cellStyle name="Normal 8 2 5 2 3 3 2" xfId="40624" xr:uid="{00000000-0005-0000-0000-0000337F0000}"/>
    <cellStyle name="Normal 8 2 5 2 3 4" xfId="28319" xr:uid="{00000000-0005-0000-0000-0000347F0000}"/>
    <cellStyle name="Normal 8 2 5 2 4" xfId="11486" xr:uid="{00000000-0005-0000-0000-0000357F0000}"/>
    <cellStyle name="Normal 8 2 5 2 4 2" xfId="31406" xr:uid="{00000000-0005-0000-0000-0000367F0000}"/>
    <cellStyle name="Normal 8 2 5 2 5" xfId="17638" xr:uid="{00000000-0005-0000-0000-0000377F0000}"/>
    <cellStyle name="Normal 8 2 5 2 5 2" xfId="37558" xr:uid="{00000000-0005-0000-0000-0000387F0000}"/>
    <cellStyle name="Normal 8 2 5 2 6" xfId="25253" xr:uid="{00000000-0005-0000-0000-0000397F0000}"/>
    <cellStyle name="Normal 8 2 5 3" xfId="6024" xr:uid="{00000000-0005-0000-0000-00003A7F0000}"/>
    <cellStyle name="Normal 8 2 5 3 2" xfId="9124" xr:uid="{00000000-0005-0000-0000-00003B7F0000}"/>
    <cellStyle name="Normal 8 2 5 3 2 2" xfId="15317" xr:uid="{00000000-0005-0000-0000-00003C7F0000}"/>
    <cellStyle name="Normal 8 2 5 3 2 2 2" xfId="35237" xr:uid="{00000000-0005-0000-0000-00003D7F0000}"/>
    <cellStyle name="Normal 8 2 5 3 2 3" xfId="21469" xr:uid="{00000000-0005-0000-0000-00003E7F0000}"/>
    <cellStyle name="Normal 8 2 5 3 2 3 2" xfId="41389" xr:uid="{00000000-0005-0000-0000-00003F7F0000}"/>
    <cellStyle name="Normal 8 2 5 3 2 4" xfId="29084" xr:uid="{00000000-0005-0000-0000-0000407F0000}"/>
    <cellStyle name="Normal 8 2 5 3 3" xfId="12251" xr:uid="{00000000-0005-0000-0000-0000417F0000}"/>
    <cellStyle name="Normal 8 2 5 3 3 2" xfId="32171" xr:uid="{00000000-0005-0000-0000-0000427F0000}"/>
    <cellStyle name="Normal 8 2 5 3 4" xfId="18403" xr:uid="{00000000-0005-0000-0000-0000437F0000}"/>
    <cellStyle name="Normal 8 2 5 3 4 2" xfId="38323" xr:uid="{00000000-0005-0000-0000-0000447F0000}"/>
    <cellStyle name="Normal 8 2 5 3 5" xfId="26018" xr:uid="{00000000-0005-0000-0000-0000457F0000}"/>
    <cellStyle name="Normal 8 2 5 4" xfId="7589" xr:uid="{00000000-0005-0000-0000-0000467F0000}"/>
    <cellStyle name="Normal 8 2 5 4 2" xfId="13783" xr:uid="{00000000-0005-0000-0000-0000477F0000}"/>
    <cellStyle name="Normal 8 2 5 4 2 2" xfId="33703" xr:uid="{00000000-0005-0000-0000-0000487F0000}"/>
    <cellStyle name="Normal 8 2 5 4 3" xfId="19935" xr:uid="{00000000-0005-0000-0000-0000497F0000}"/>
    <cellStyle name="Normal 8 2 5 4 3 2" xfId="39855" xr:uid="{00000000-0005-0000-0000-00004A7F0000}"/>
    <cellStyle name="Normal 8 2 5 4 4" xfId="27550" xr:uid="{00000000-0005-0000-0000-00004B7F0000}"/>
    <cellStyle name="Normal 8 2 5 5" xfId="10717" xr:uid="{00000000-0005-0000-0000-00004C7F0000}"/>
    <cellStyle name="Normal 8 2 5 5 2" xfId="30637" xr:uid="{00000000-0005-0000-0000-00004D7F0000}"/>
    <cellStyle name="Normal 8 2 5 6" xfId="16869" xr:uid="{00000000-0005-0000-0000-00004E7F0000}"/>
    <cellStyle name="Normal 8 2 5 6 2" xfId="36789" xr:uid="{00000000-0005-0000-0000-00004F7F0000}"/>
    <cellStyle name="Normal 8 2 5 7" xfId="24484" xr:uid="{00000000-0005-0000-0000-0000507F0000}"/>
    <cellStyle name="Normal 8 2 6" xfId="3998" xr:uid="{00000000-0005-0000-0000-0000517F0000}"/>
    <cellStyle name="Normal 8 2 6 2" xfId="5178" xr:uid="{00000000-0005-0000-0000-0000527F0000}"/>
    <cellStyle name="Normal 8 2 6 2 2" xfId="6803" xr:uid="{00000000-0005-0000-0000-0000537F0000}"/>
    <cellStyle name="Normal 8 2 6 2 2 2" xfId="9889" xr:uid="{00000000-0005-0000-0000-0000547F0000}"/>
    <cellStyle name="Normal 8 2 6 2 2 2 2" xfId="16082" xr:uid="{00000000-0005-0000-0000-0000557F0000}"/>
    <cellStyle name="Normal 8 2 6 2 2 2 2 2" xfId="36002" xr:uid="{00000000-0005-0000-0000-0000567F0000}"/>
    <cellStyle name="Normal 8 2 6 2 2 2 3" xfId="22234" xr:uid="{00000000-0005-0000-0000-0000577F0000}"/>
    <cellStyle name="Normal 8 2 6 2 2 2 3 2" xfId="42154" xr:uid="{00000000-0005-0000-0000-0000587F0000}"/>
    <cellStyle name="Normal 8 2 6 2 2 2 4" xfId="29849" xr:uid="{00000000-0005-0000-0000-0000597F0000}"/>
    <cellStyle name="Normal 8 2 6 2 2 3" xfId="13016" xr:uid="{00000000-0005-0000-0000-00005A7F0000}"/>
    <cellStyle name="Normal 8 2 6 2 2 3 2" xfId="32936" xr:uid="{00000000-0005-0000-0000-00005B7F0000}"/>
    <cellStyle name="Normal 8 2 6 2 2 4" xfId="19168" xr:uid="{00000000-0005-0000-0000-00005C7F0000}"/>
    <cellStyle name="Normal 8 2 6 2 2 4 2" xfId="39088" xr:uid="{00000000-0005-0000-0000-00005D7F0000}"/>
    <cellStyle name="Normal 8 2 6 2 2 5" xfId="26783" xr:uid="{00000000-0005-0000-0000-00005E7F0000}"/>
    <cellStyle name="Normal 8 2 6 2 3" xfId="8354" xr:uid="{00000000-0005-0000-0000-00005F7F0000}"/>
    <cellStyle name="Normal 8 2 6 2 3 2" xfId="14548" xr:uid="{00000000-0005-0000-0000-0000607F0000}"/>
    <cellStyle name="Normal 8 2 6 2 3 2 2" xfId="34468" xr:uid="{00000000-0005-0000-0000-0000617F0000}"/>
    <cellStyle name="Normal 8 2 6 2 3 3" xfId="20700" xr:uid="{00000000-0005-0000-0000-0000627F0000}"/>
    <cellStyle name="Normal 8 2 6 2 3 3 2" xfId="40620" xr:uid="{00000000-0005-0000-0000-0000637F0000}"/>
    <cellStyle name="Normal 8 2 6 2 3 4" xfId="28315" xr:uid="{00000000-0005-0000-0000-0000647F0000}"/>
    <cellStyle name="Normal 8 2 6 2 4" xfId="11482" xr:uid="{00000000-0005-0000-0000-0000657F0000}"/>
    <cellStyle name="Normal 8 2 6 2 4 2" xfId="31402" xr:uid="{00000000-0005-0000-0000-0000667F0000}"/>
    <cellStyle name="Normal 8 2 6 2 5" xfId="17634" xr:uid="{00000000-0005-0000-0000-0000677F0000}"/>
    <cellStyle name="Normal 8 2 6 2 5 2" xfId="37554" xr:uid="{00000000-0005-0000-0000-0000687F0000}"/>
    <cellStyle name="Normal 8 2 6 2 6" xfId="25249" xr:uid="{00000000-0005-0000-0000-0000697F0000}"/>
    <cellStyle name="Normal 8 2 6 3" xfId="6020" xr:uid="{00000000-0005-0000-0000-00006A7F0000}"/>
    <cellStyle name="Normal 8 2 6 3 2" xfId="9120" xr:uid="{00000000-0005-0000-0000-00006B7F0000}"/>
    <cellStyle name="Normal 8 2 6 3 2 2" xfId="15313" xr:uid="{00000000-0005-0000-0000-00006C7F0000}"/>
    <cellStyle name="Normal 8 2 6 3 2 2 2" xfId="35233" xr:uid="{00000000-0005-0000-0000-00006D7F0000}"/>
    <cellStyle name="Normal 8 2 6 3 2 3" xfId="21465" xr:uid="{00000000-0005-0000-0000-00006E7F0000}"/>
    <cellStyle name="Normal 8 2 6 3 2 3 2" xfId="41385" xr:uid="{00000000-0005-0000-0000-00006F7F0000}"/>
    <cellStyle name="Normal 8 2 6 3 2 4" xfId="29080" xr:uid="{00000000-0005-0000-0000-0000707F0000}"/>
    <cellStyle name="Normal 8 2 6 3 3" xfId="12247" xr:uid="{00000000-0005-0000-0000-0000717F0000}"/>
    <cellStyle name="Normal 8 2 6 3 3 2" xfId="32167" xr:uid="{00000000-0005-0000-0000-0000727F0000}"/>
    <cellStyle name="Normal 8 2 6 3 4" xfId="18399" xr:uid="{00000000-0005-0000-0000-0000737F0000}"/>
    <cellStyle name="Normal 8 2 6 3 4 2" xfId="38319" xr:uid="{00000000-0005-0000-0000-0000747F0000}"/>
    <cellStyle name="Normal 8 2 6 3 5" xfId="26014" xr:uid="{00000000-0005-0000-0000-0000757F0000}"/>
    <cellStyle name="Normal 8 2 6 4" xfId="7585" xr:uid="{00000000-0005-0000-0000-0000767F0000}"/>
    <cellStyle name="Normal 8 2 6 4 2" xfId="13779" xr:uid="{00000000-0005-0000-0000-0000777F0000}"/>
    <cellStyle name="Normal 8 2 6 4 2 2" xfId="33699" xr:uid="{00000000-0005-0000-0000-0000787F0000}"/>
    <cellStyle name="Normal 8 2 6 4 3" xfId="19931" xr:uid="{00000000-0005-0000-0000-0000797F0000}"/>
    <cellStyle name="Normal 8 2 6 4 3 2" xfId="39851" xr:uid="{00000000-0005-0000-0000-00007A7F0000}"/>
    <cellStyle name="Normal 8 2 6 4 4" xfId="27546" xr:uid="{00000000-0005-0000-0000-00007B7F0000}"/>
    <cellStyle name="Normal 8 2 6 5" xfId="10713" xr:uid="{00000000-0005-0000-0000-00007C7F0000}"/>
    <cellStyle name="Normal 8 2 6 5 2" xfId="30633" xr:uid="{00000000-0005-0000-0000-00007D7F0000}"/>
    <cellStyle name="Normal 8 2 6 6" xfId="16865" xr:uid="{00000000-0005-0000-0000-00007E7F0000}"/>
    <cellStyle name="Normal 8 2 6 6 2" xfId="36785" xr:uid="{00000000-0005-0000-0000-00007F7F0000}"/>
    <cellStyle name="Normal 8 2 6 7" xfId="24480" xr:uid="{00000000-0005-0000-0000-0000807F0000}"/>
    <cellStyle name="Normal 8 2 7" xfId="4630" xr:uid="{00000000-0005-0000-0000-0000817F0000}"/>
    <cellStyle name="Normal 8 2 7 2" xfId="6255" xr:uid="{00000000-0005-0000-0000-0000827F0000}"/>
    <cellStyle name="Normal 8 2 7 2 2" xfId="9341" xr:uid="{00000000-0005-0000-0000-0000837F0000}"/>
    <cellStyle name="Normal 8 2 7 2 2 2" xfId="15534" xr:uid="{00000000-0005-0000-0000-0000847F0000}"/>
    <cellStyle name="Normal 8 2 7 2 2 2 2" xfId="35454" xr:uid="{00000000-0005-0000-0000-0000857F0000}"/>
    <cellStyle name="Normal 8 2 7 2 2 3" xfId="21686" xr:uid="{00000000-0005-0000-0000-0000867F0000}"/>
    <cellStyle name="Normal 8 2 7 2 2 3 2" xfId="41606" xr:uid="{00000000-0005-0000-0000-0000877F0000}"/>
    <cellStyle name="Normal 8 2 7 2 2 4" xfId="29301" xr:uid="{00000000-0005-0000-0000-0000887F0000}"/>
    <cellStyle name="Normal 8 2 7 2 3" xfId="12468" xr:uid="{00000000-0005-0000-0000-0000897F0000}"/>
    <cellStyle name="Normal 8 2 7 2 3 2" xfId="32388" xr:uid="{00000000-0005-0000-0000-00008A7F0000}"/>
    <cellStyle name="Normal 8 2 7 2 4" xfId="18620" xr:uid="{00000000-0005-0000-0000-00008B7F0000}"/>
    <cellStyle name="Normal 8 2 7 2 4 2" xfId="38540" xr:uid="{00000000-0005-0000-0000-00008C7F0000}"/>
    <cellStyle name="Normal 8 2 7 2 5" xfId="26235" xr:uid="{00000000-0005-0000-0000-00008D7F0000}"/>
    <cellStyle name="Normal 8 2 7 3" xfId="7806" xr:uid="{00000000-0005-0000-0000-00008E7F0000}"/>
    <cellStyle name="Normal 8 2 7 3 2" xfId="14000" xr:uid="{00000000-0005-0000-0000-00008F7F0000}"/>
    <cellStyle name="Normal 8 2 7 3 2 2" xfId="33920" xr:uid="{00000000-0005-0000-0000-0000907F0000}"/>
    <cellStyle name="Normal 8 2 7 3 3" xfId="20152" xr:uid="{00000000-0005-0000-0000-0000917F0000}"/>
    <cellStyle name="Normal 8 2 7 3 3 2" xfId="40072" xr:uid="{00000000-0005-0000-0000-0000927F0000}"/>
    <cellStyle name="Normal 8 2 7 3 4" xfId="27767" xr:uid="{00000000-0005-0000-0000-0000937F0000}"/>
    <cellStyle name="Normal 8 2 7 4" xfId="10934" xr:uid="{00000000-0005-0000-0000-0000947F0000}"/>
    <cellStyle name="Normal 8 2 7 4 2" xfId="30854" xr:uid="{00000000-0005-0000-0000-0000957F0000}"/>
    <cellStyle name="Normal 8 2 7 5" xfId="17086" xr:uid="{00000000-0005-0000-0000-0000967F0000}"/>
    <cellStyle name="Normal 8 2 7 5 2" xfId="37006" xr:uid="{00000000-0005-0000-0000-0000977F0000}"/>
    <cellStyle name="Normal 8 2 7 6" xfId="24701" xr:uid="{00000000-0005-0000-0000-0000987F0000}"/>
    <cellStyle name="Normal 8 2 8" xfId="5468" xr:uid="{00000000-0005-0000-0000-0000997F0000}"/>
    <cellStyle name="Normal 8 2 8 2" xfId="8572" xr:uid="{00000000-0005-0000-0000-00009A7F0000}"/>
    <cellStyle name="Normal 8 2 8 2 2" xfId="14765" xr:uid="{00000000-0005-0000-0000-00009B7F0000}"/>
    <cellStyle name="Normal 8 2 8 2 2 2" xfId="34685" xr:uid="{00000000-0005-0000-0000-00009C7F0000}"/>
    <cellStyle name="Normal 8 2 8 2 3" xfId="20917" xr:uid="{00000000-0005-0000-0000-00009D7F0000}"/>
    <cellStyle name="Normal 8 2 8 2 3 2" xfId="40837" xr:uid="{00000000-0005-0000-0000-00009E7F0000}"/>
    <cellStyle name="Normal 8 2 8 2 4" xfId="28532" xr:uid="{00000000-0005-0000-0000-00009F7F0000}"/>
    <cellStyle name="Normal 8 2 8 3" xfId="11699" xr:uid="{00000000-0005-0000-0000-0000A07F0000}"/>
    <cellStyle name="Normal 8 2 8 3 2" xfId="31619" xr:uid="{00000000-0005-0000-0000-0000A17F0000}"/>
    <cellStyle name="Normal 8 2 8 4" xfId="17851" xr:uid="{00000000-0005-0000-0000-0000A27F0000}"/>
    <cellStyle name="Normal 8 2 8 4 2" xfId="37771" xr:uid="{00000000-0005-0000-0000-0000A37F0000}"/>
    <cellStyle name="Normal 8 2 8 5" xfId="25466" xr:uid="{00000000-0005-0000-0000-0000A47F0000}"/>
    <cellStyle name="Normal 8 2 9" xfId="7037" xr:uid="{00000000-0005-0000-0000-0000A57F0000}"/>
    <cellStyle name="Normal 8 2 9 2" xfId="13231" xr:uid="{00000000-0005-0000-0000-0000A67F0000}"/>
    <cellStyle name="Normal 8 2 9 2 2" xfId="33151" xr:uid="{00000000-0005-0000-0000-0000A77F0000}"/>
    <cellStyle name="Normal 8 2 9 3" xfId="19383" xr:uid="{00000000-0005-0000-0000-0000A87F0000}"/>
    <cellStyle name="Normal 8 2 9 3 2" xfId="39303" xr:uid="{00000000-0005-0000-0000-0000A97F0000}"/>
    <cellStyle name="Normal 8 2 9 4" xfId="26998" xr:uid="{00000000-0005-0000-0000-0000AA7F0000}"/>
    <cellStyle name="Normal 8 20" xfId="4003" xr:uid="{00000000-0005-0000-0000-0000AB7F0000}"/>
    <cellStyle name="Normal 8 20 2" xfId="5183" xr:uid="{00000000-0005-0000-0000-0000AC7F0000}"/>
    <cellStyle name="Normal 8 20 2 2" xfId="6808" xr:uid="{00000000-0005-0000-0000-0000AD7F0000}"/>
    <cellStyle name="Normal 8 20 2 2 2" xfId="9894" xr:uid="{00000000-0005-0000-0000-0000AE7F0000}"/>
    <cellStyle name="Normal 8 20 2 2 2 2" xfId="16087" xr:uid="{00000000-0005-0000-0000-0000AF7F0000}"/>
    <cellStyle name="Normal 8 20 2 2 2 2 2" xfId="36007" xr:uid="{00000000-0005-0000-0000-0000B07F0000}"/>
    <cellStyle name="Normal 8 20 2 2 2 3" xfId="22239" xr:uid="{00000000-0005-0000-0000-0000B17F0000}"/>
    <cellStyle name="Normal 8 20 2 2 2 3 2" xfId="42159" xr:uid="{00000000-0005-0000-0000-0000B27F0000}"/>
    <cellStyle name="Normal 8 20 2 2 2 4" xfId="29854" xr:uid="{00000000-0005-0000-0000-0000B37F0000}"/>
    <cellStyle name="Normal 8 20 2 2 3" xfId="13021" xr:uid="{00000000-0005-0000-0000-0000B47F0000}"/>
    <cellStyle name="Normal 8 20 2 2 3 2" xfId="32941" xr:uid="{00000000-0005-0000-0000-0000B57F0000}"/>
    <cellStyle name="Normal 8 20 2 2 4" xfId="19173" xr:uid="{00000000-0005-0000-0000-0000B67F0000}"/>
    <cellStyle name="Normal 8 20 2 2 4 2" xfId="39093" xr:uid="{00000000-0005-0000-0000-0000B77F0000}"/>
    <cellStyle name="Normal 8 20 2 2 5" xfId="26788" xr:uid="{00000000-0005-0000-0000-0000B87F0000}"/>
    <cellStyle name="Normal 8 20 2 3" xfId="8359" xr:uid="{00000000-0005-0000-0000-0000B97F0000}"/>
    <cellStyle name="Normal 8 20 2 3 2" xfId="14553" xr:uid="{00000000-0005-0000-0000-0000BA7F0000}"/>
    <cellStyle name="Normal 8 20 2 3 2 2" xfId="34473" xr:uid="{00000000-0005-0000-0000-0000BB7F0000}"/>
    <cellStyle name="Normal 8 20 2 3 3" xfId="20705" xr:uid="{00000000-0005-0000-0000-0000BC7F0000}"/>
    <cellStyle name="Normal 8 20 2 3 3 2" xfId="40625" xr:uid="{00000000-0005-0000-0000-0000BD7F0000}"/>
    <cellStyle name="Normal 8 20 2 3 4" xfId="28320" xr:uid="{00000000-0005-0000-0000-0000BE7F0000}"/>
    <cellStyle name="Normal 8 20 2 4" xfId="11487" xr:uid="{00000000-0005-0000-0000-0000BF7F0000}"/>
    <cellStyle name="Normal 8 20 2 4 2" xfId="31407" xr:uid="{00000000-0005-0000-0000-0000C07F0000}"/>
    <cellStyle name="Normal 8 20 2 5" xfId="17639" xr:uid="{00000000-0005-0000-0000-0000C17F0000}"/>
    <cellStyle name="Normal 8 20 2 5 2" xfId="37559" xr:uid="{00000000-0005-0000-0000-0000C27F0000}"/>
    <cellStyle name="Normal 8 20 2 6" xfId="25254" xr:uid="{00000000-0005-0000-0000-0000C37F0000}"/>
    <cellStyle name="Normal 8 20 3" xfId="6025" xr:uid="{00000000-0005-0000-0000-0000C47F0000}"/>
    <cellStyle name="Normal 8 20 3 2" xfId="9125" xr:uid="{00000000-0005-0000-0000-0000C57F0000}"/>
    <cellStyle name="Normal 8 20 3 2 2" xfId="15318" xr:uid="{00000000-0005-0000-0000-0000C67F0000}"/>
    <cellStyle name="Normal 8 20 3 2 2 2" xfId="35238" xr:uid="{00000000-0005-0000-0000-0000C77F0000}"/>
    <cellStyle name="Normal 8 20 3 2 3" xfId="21470" xr:uid="{00000000-0005-0000-0000-0000C87F0000}"/>
    <cellStyle name="Normal 8 20 3 2 3 2" xfId="41390" xr:uid="{00000000-0005-0000-0000-0000C97F0000}"/>
    <cellStyle name="Normal 8 20 3 2 4" xfId="29085" xr:uid="{00000000-0005-0000-0000-0000CA7F0000}"/>
    <cellStyle name="Normal 8 20 3 3" xfId="12252" xr:uid="{00000000-0005-0000-0000-0000CB7F0000}"/>
    <cellStyle name="Normal 8 20 3 3 2" xfId="32172" xr:uid="{00000000-0005-0000-0000-0000CC7F0000}"/>
    <cellStyle name="Normal 8 20 3 4" xfId="18404" xr:uid="{00000000-0005-0000-0000-0000CD7F0000}"/>
    <cellStyle name="Normal 8 20 3 4 2" xfId="38324" xr:uid="{00000000-0005-0000-0000-0000CE7F0000}"/>
    <cellStyle name="Normal 8 20 3 5" xfId="26019" xr:uid="{00000000-0005-0000-0000-0000CF7F0000}"/>
    <cellStyle name="Normal 8 20 4" xfId="7590" xr:uid="{00000000-0005-0000-0000-0000D07F0000}"/>
    <cellStyle name="Normal 8 20 4 2" xfId="13784" xr:uid="{00000000-0005-0000-0000-0000D17F0000}"/>
    <cellStyle name="Normal 8 20 4 2 2" xfId="33704" xr:uid="{00000000-0005-0000-0000-0000D27F0000}"/>
    <cellStyle name="Normal 8 20 4 3" xfId="19936" xr:uid="{00000000-0005-0000-0000-0000D37F0000}"/>
    <cellStyle name="Normal 8 20 4 3 2" xfId="39856" xr:uid="{00000000-0005-0000-0000-0000D47F0000}"/>
    <cellStyle name="Normal 8 20 4 4" xfId="27551" xr:uid="{00000000-0005-0000-0000-0000D57F0000}"/>
    <cellStyle name="Normal 8 20 5" xfId="10718" xr:uid="{00000000-0005-0000-0000-0000D67F0000}"/>
    <cellStyle name="Normal 8 20 5 2" xfId="30638" xr:uid="{00000000-0005-0000-0000-0000D77F0000}"/>
    <cellStyle name="Normal 8 20 6" xfId="16870" xr:uid="{00000000-0005-0000-0000-0000D87F0000}"/>
    <cellStyle name="Normal 8 20 6 2" xfId="36790" xr:uid="{00000000-0005-0000-0000-0000D97F0000}"/>
    <cellStyle name="Normal 8 20 7" xfId="24485" xr:uid="{00000000-0005-0000-0000-0000DA7F0000}"/>
    <cellStyle name="Normal 8 21" xfId="4004" xr:uid="{00000000-0005-0000-0000-0000DB7F0000}"/>
    <cellStyle name="Normal 8 22" xfId="4005" xr:uid="{00000000-0005-0000-0000-0000DC7F0000}"/>
    <cellStyle name="Normal 8 22 2" xfId="5184" xr:uid="{00000000-0005-0000-0000-0000DD7F0000}"/>
    <cellStyle name="Normal 8 22 2 2" xfId="6809" xr:uid="{00000000-0005-0000-0000-0000DE7F0000}"/>
    <cellStyle name="Normal 8 22 2 2 2" xfId="9895" xr:uid="{00000000-0005-0000-0000-0000DF7F0000}"/>
    <cellStyle name="Normal 8 22 2 2 2 2" xfId="16088" xr:uid="{00000000-0005-0000-0000-0000E07F0000}"/>
    <cellStyle name="Normal 8 22 2 2 2 2 2" xfId="36008" xr:uid="{00000000-0005-0000-0000-0000E17F0000}"/>
    <cellStyle name="Normal 8 22 2 2 2 3" xfId="22240" xr:uid="{00000000-0005-0000-0000-0000E27F0000}"/>
    <cellStyle name="Normal 8 22 2 2 2 3 2" xfId="42160" xr:uid="{00000000-0005-0000-0000-0000E37F0000}"/>
    <cellStyle name="Normal 8 22 2 2 2 4" xfId="29855" xr:uid="{00000000-0005-0000-0000-0000E47F0000}"/>
    <cellStyle name="Normal 8 22 2 2 3" xfId="13022" xr:uid="{00000000-0005-0000-0000-0000E57F0000}"/>
    <cellStyle name="Normal 8 22 2 2 3 2" xfId="32942" xr:uid="{00000000-0005-0000-0000-0000E67F0000}"/>
    <cellStyle name="Normal 8 22 2 2 4" xfId="19174" xr:uid="{00000000-0005-0000-0000-0000E77F0000}"/>
    <cellStyle name="Normal 8 22 2 2 4 2" xfId="39094" xr:uid="{00000000-0005-0000-0000-0000E87F0000}"/>
    <cellStyle name="Normal 8 22 2 2 5" xfId="26789" xr:uid="{00000000-0005-0000-0000-0000E97F0000}"/>
    <cellStyle name="Normal 8 22 2 3" xfId="8360" xr:uid="{00000000-0005-0000-0000-0000EA7F0000}"/>
    <cellStyle name="Normal 8 22 2 3 2" xfId="14554" xr:uid="{00000000-0005-0000-0000-0000EB7F0000}"/>
    <cellStyle name="Normal 8 22 2 3 2 2" xfId="34474" xr:uid="{00000000-0005-0000-0000-0000EC7F0000}"/>
    <cellStyle name="Normal 8 22 2 3 3" xfId="20706" xr:uid="{00000000-0005-0000-0000-0000ED7F0000}"/>
    <cellStyle name="Normal 8 22 2 3 3 2" xfId="40626" xr:uid="{00000000-0005-0000-0000-0000EE7F0000}"/>
    <cellStyle name="Normal 8 22 2 3 4" xfId="28321" xr:uid="{00000000-0005-0000-0000-0000EF7F0000}"/>
    <cellStyle name="Normal 8 22 2 4" xfId="11488" xr:uid="{00000000-0005-0000-0000-0000F07F0000}"/>
    <cellStyle name="Normal 8 22 2 4 2" xfId="31408" xr:uid="{00000000-0005-0000-0000-0000F17F0000}"/>
    <cellStyle name="Normal 8 22 2 5" xfId="17640" xr:uid="{00000000-0005-0000-0000-0000F27F0000}"/>
    <cellStyle name="Normal 8 22 2 5 2" xfId="37560" xr:uid="{00000000-0005-0000-0000-0000F37F0000}"/>
    <cellStyle name="Normal 8 22 2 6" xfId="25255" xr:uid="{00000000-0005-0000-0000-0000F47F0000}"/>
    <cellStyle name="Normal 8 22 3" xfId="6026" xr:uid="{00000000-0005-0000-0000-0000F57F0000}"/>
    <cellStyle name="Normal 8 22 3 2" xfId="9126" xr:uid="{00000000-0005-0000-0000-0000F67F0000}"/>
    <cellStyle name="Normal 8 22 3 2 2" xfId="15319" xr:uid="{00000000-0005-0000-0000-0000F77F0000}"/>
    <cellStyle name="Normal 8 22 3 2 2 2" xfId="35239" xr:uid="{00000000-0005-0000-0000-0000F87F0000}"/>
    <cellStyle name="Normal 8 22 3 2 3" xfId="21471" xr:uid="{00000000-0005-0000-0000-0000F97F0000}"/>
    <cellStyle name="Normal 8 22 3 2 3 2" xfId="41391" xr:uid="{00000000-0005-0000-0000-0000FA7F0000}"/>
    <cellStyle name="Normal 8 22 3 2 4" xfId="29086" xr:uid="{00000000-0005-0000-0000-0000FB7F0000}"/>
    <cellStyle name="Normal 8 22 3 3" xfId="12253" xr:uid="{00000000-0005-0000-0000-0000FC7F0000}"/>
    <cellStyle name="Normal 8 22 3 3 2" xfId="32173" xr:uid="{00000000-0005-0000-0000-0000FD7F0000}"/>
    <cellStyle name="Normal 8 22 3 4" xfId="18405" xr:uid="{00000000-0005-0000-0000-0000FE7F0000}"/>
    <cellStyle name="Normal 8 22 3 4 2" xfId="38325" xr:uid="{00000000-0005-0000-0000-0000FF7F0000}"/>
    <cellStyle name="Normal 8 22 3 5" xfId="26020" xr:uid="{00000000-0005-0000-0000-000000800000}"/>
    <cellStyle name="Normal 8 22 4" xfId="7591" xr:uid="{00000000-0005-0000-0000-000001800000}"/>
    <cellStyle name="Normal 8 22 4 2" xfId="13785" xr:uid="{00000000-0005-0000-0000-000002800000}"/>
    <cellStyle name="Normal 8 22 4 2 2" xfId="33705" xr:uid="{00000000-0005-0000-0000-000003800000}"/>
    <cellStyle name="Normal 8 22 4 3" xfId="19937" xr:uid="{00000000-0005-0000-0000-000004800000}"/>
    <cellStyle name="Normal 8 22 4 3 2" xfId="39857" xr:uid="{00000000-0005-0000-0000-000005800000}"/>
    <cellStyle name="Normal 8 22 4 4" xfId="27552" xr:uid="{00000000-0005-0000-0000-000006800000}"/>
    <cellStyle name="Normal 8 22 5" xfId="10719" xr:uid="{00000000-0005-0000-0000-000007800000}"/>
    <cellStyle name="Normal 8 22 5 2" xfId="30639" xr:uid="{00000000-0005-0000-0000-000008800000}"/>
    <cellStyle name="Normal 8 22 6" xfId="16871" xr:uid="{00000000-0005-0000-0000-000009800000}"/>
    <cellStyle name="Normal 8 22 6 2" xfId="36791" xr:uid="{00000000-0005-0000-0000-00000A800000}"/>
    <cellStyle name="Normal 8 22 7" xfId="24486" xr:uid="{00000000-0005-0000-0000-00000B800000}"/>
    <cellStyle name="Normal 8 23" xfId="4006" xr:uid="{00000000-0005-0000-0000-00000C800000}"/>
    <cellStyle name="Normal 8 23 2" xfId="4007" xr:uid="{00000000-0005-0000-0000-00000D800000}"/>
    <cellStyle name="Normal 8 24" xfId="4008" xr:uid="{00000000-0005-0000-0000-00000E800000}"/>
    <cellStyle name="Normal 8 24 2" xfId="4009" xr:uid="{00000000-0005-0000-0000-00000F800000}"/>
    <cellStyle name="Normal 8 25" xfId="3987" xr:uid="{00000000-0005-0000-0000-000010800000}"/>
    <cellStyle name="Normal 8 25 2" xfId="5167" xr:uid="{00000000-0005-0000-0000-000011800000}"/>
    <cellStyle name="Normal 8 25 2 2" xfId="6792" xr:uid="{00000000-0005-0000-0000-000012800000}"/>
    <cellStyle name="Normal 8 25 2 2 2" xfId="9878" xr:uid="{00000000-0005-0000-0000-000013800000}"/>
    <cellStyle name="Normal 8 25 2 2 2 2" xfId="16071" xr:uid="{00000000-0005-0000-0000-000014800000}"/>
    <cellStyle name="Normal 8 25 2 2 2 2 2" xfId="35991" xr:uid="{00000000-0005-0000-0000-000015800000}"/>
    <cellStyle name="Normal 8 25 2 2 2 3" xfId="22223" xr:uid="{00000000-0005-0000-0000-000016800000}"/>
    <cellStyle name="Normal 8 25 2 2 2 3 2" xfId="42143" xr:uid="{00000000-0005-0000-0000-000017800000}"/>
    <cellStyle name="Normal 8 25 2 2 2 4" xfId="29838" xr:uid="{00000000-0005-0000-0000-000018800000}"/>
    <cellStyle name="Normal 8 25 2 2 3" xfId="13005" xr:uid="{00000000-0005-0000-0000-000019800000}"/>
    <cellStyle name="Normal 8 25 2 2 3 2" xfId="32925" xr:uid="{00000000-0005-0000-0000-00001A800000}"/>
    <cellStyle name="Normal 8 25 2 2 4" xfId="19157" xr:uid="{00000000-0005-0000-0000-00001B800000}"/>
    <cellStyle name="Normal 8 25 2 2 4 2" xfId="39077" xr:uid="{00000000-0005-0000-0000-00001C800000}"/>
    <cellStyle name="Normal 8 25 2 2 5" xfId="26772" xr:uid="{00000000-0005-0000-0000-00001D800000}"/>
    <cellStyle name="Normal 8 25 2 3" xfId="8343" xr:uid="{00000000-0005-0000-0000-00001E800000}"/>
    <cellStyle name="Normal 8 25 2 3 2" xfId="14537" xr:uid="{00000000-0005-0000-0000-00001F800000}"/>
    <cellStyle name="Normal 8 25 2 3 2 2" xfId="34457" xr:uid="{00000000-0005-0000-0000-000020800000}"/>
    <cellStyle name="Normal 8 25 2 3 3" xfId="20689" xr:uid="{00000000-0005-0000-0000-000021800000}"/>
    <cellStyle name="Normal 8 25 2 3 3 2" xfId="40609" xr:uid="{00000000-0005-0000-0000-000022800000}"/>
    <cellStyle name="Normal 8 25 2 3 4" xfId="28304" xr:uid="{00000000-0005-0000-0000-000023800000}"/>
    <cellStyle name="Normal 8 25 2 4" xfId="11471" xr:uid="{00000000-0005-0000-0000-000024800000}"/>
    <cellStyle name="Normal 8 25 2 4 2" xfId="31391" xr:uid="{00000000-0005-0000-0000-000025800000}"/>
    <cellStyle name="Normal 8 25 2 5" xfId="17623" xr:uid="{00000000-0005-0000-0000-000026800000}"/>
    <cellStyle name="Normal 8 25 2 5 2" xfId="37543" xr:uid="{00000000-0005-0000-0000-000027800000}"/>
    <cellStyle name="Normal 8 25 2 6" xfId="25238" xr:uid="{00000000-0005-0000-0000-000028800000}"/>
    <cellStyle name="Normal 8 25 3" xfId="6009" xr:uid="{00000000-0005-0000-0000-000029800000}"/>
    <cellStyle name="Normal 8 25 3 2" xfId="9109" xr:uid="{00000000-0005-0000-0000-00002A800000}"/>
    <cellStyle name="Normal 8 25 3 2 2" xfId="15302" xr:uid="{00000000-0005-0000-0000-00002B800000}"/>
    <cellStyle name="Normal 8 25 3 2 2 2" xfId="35222" xr:uid="{00000000-0005-0000-0000-00002C800000}"/>
    <cellStyle name="Normal 8 25 3 2 3" xfId="21454" xr:uid="{00000000-0005-0000-0000-00002D800000}"/>
    <cellStyle name="Normal 8 25 3 2 3 2" xfId="41374" xr:uid="{00000000-0005-0000-0000-00002E800000}"/>
    <cellStyle name="Normal 8 25 3 2 4" xfId="29069" xr:uid="{00000000-0005-0000-0000-00002F800000}"/>
    <cellStyle name="Normal 8 25 3 3" xfId="12236" xr:uid="{00000000-0005-0000-0000-000030800000}"/>
    <cellStyle name="Normal 8 25 3 3 2" xfId="32156" xr:uid="{00000000-0005-0000-0000-000031800000}"/>
    <cellStyle name="Normal 8 25 3 4" xfId="18388" xr:uid="{00000000-0005-0000-0000-000032800000}"/>
    <cellStyle name="Normal 8 25 3 4 2" xfId="38308" xr:uid="{00000000-0005-0000-0000-000033800000}"/>
    <cellStyle name="Normal 8 25 3 5" xfId="26003" xr:uid="{00000000-0005-0000-0000-000034800000}"/>
    <cellStyle name="Normal 8 25 4" xfId="7574" xr:uid="{00000000-0005-0000-0000-000035800000}"/>
    <cellStyle name="Normal 8 25 4 2" xfId="13768" xr:uid="{00000000-0005-0000-0000-000036800000}"/>
    <cellStyle name="Normal 8 25 4 2 2" xfId="33688" xr:uid="{00000000-0005-0000-0000-000037800000}"/>
    <cellStyle name="Normal 8 25 4 3" xfId="19920" xr:uid="{00000000-0005-0000-0000-000038800000}"/>
    <cellStyle name="Normal 8 25 4 3 2" xfId="39840" xr:uid="{00000000-0005-0000-0000-000039800000}"/>
    <cellStyle name="Normal 8 25 4 4" xfId="27535" xr:uid="{00000000-0005-0000-0000-00003A800000}"/>
    <cellStyle name="Normal 8 25 5" xfId="10702" xr:uid="{00000000-0005-0000-0000-00003B800000}"/>
    <cellStyle name="Normal 8 25 5 2" xfId="30622" xr:uid="{00000000-0005-0000-0000-00003C800000}"/>
    <cellStyle name="Normal 8 25 6" xfId="16854" xr:uid="{00000000-0005-0000-0000-00003D800000}"/>
    <cellStyle name="Normal 8 25 6 2" xfId="36774" xr:uid="{00000000-0005-0000-0000-00003E800000}"/>
    <cellStyle name="Normal 8 25 7" xfId="24469" xr:uid="{00000000-0005-0000-0000-00003F800000}"/>
    <cellStyle name="Normal 8 26" xfId="4624" xr:uid="{00000000-0005-0000-0000-000040800000}"/>
    <cellStyle name="Normal 8 26 2" xfId="6249" xr:uid="{00000000-0005-0000-0000-000041800000}"/>
    <cellStyle name="Normal 8 26 2 2" xfId="9335" xr:uid="{00000000-0005-0000-0000-000042800000}"/>
    <cellStyle name="Normal 8 26 2 2 2" xfId="15528" xr:uid="{00000000-0005-0000-0000-000043800000}"/>
    <cellStyle name="Normal 8 26 2 2 2 2" xfId="35448" xr:uid="{00000000-0005-0000-0000-000044800000}"/>
    <cellStyle name="Normal 8 26 2 2 3" xfId="21680" xr:uid="{00000000-0005-0000-0000-000045800000}"/>
    <cellStyle name="Normal 8 26 2 2 3 2" xfId="41600" xr:uid="{00000000-0005-0000-0000-000046800000}"/>
    <cellStyle name="Normal 8 26 2 2 4" xfId="29295" xr:uid="{00000000-0005-0000-0000-000047800000}"/>
    <cellStyle name="Normal 8 26 2 3" xfId="12462" xr:uid="{00000000-0005-0000-0000-000048800000}"/>
    <cellStyle name="Normal 8 26 2 3 2" xfId="32382" xr:uid="{00000000-0005-0000-0000-000049800000}"/>
    <cellStyle name="Normal 8 26 2 4" xfId="18614" xr:uid="{00000000-0005-0000-0000-00004A800000}"/>
    <cellStyle name="Normal 8 26 2 4 2" xfId="38534" xr:uid="{00000000-0005-0000-0000-00004B800000}"/>
    <cellStyle name="Normal 8 26 2 5" xfId="26229" xr:uid="{00000000-0005-0000-0000-00004C800000}"/>
    <cellStyle name="Normal 8 26 3" xfId="7800" xr:uid="{00000000-0005-0000-0000-00004D800000}"/>
    <cellStyle name="Normal 8 26 3 2" xfId="13994" xr:uid="{00000000-0005-0000-0000-00004E800000}"/>
    <cellStyle name="Normal 8 26 3 2 2" xfId="33914" xr:uid="{00000000-0005-0000-0000-00004F800000}"/>
    <cellStyle name="Normal 8 26 3 3" xfId="20146" xr:uid="{00000000-0005-0000-0000-000050800000}"/>
    <cellStyle name="Normal 8 26 3 3 2" xfId="40066" xr:uid="{00000000-0005-0000-0000-000051800000}"/>
    <cellStyle name="Normal 8 26 3 4" xfId="27761" xr:uid="{00000000-0005-0000-0000-000052800000}"/>
    <cellStyle name="Normal 8 26 4" xfId="10928" xr:uid="{00000000-0005-0000-0000-000053800000}"/>
    <cellStyle name="Normal 8 26 4 2" xfId="30848" xr:uid="{00000000-0005-0000-0000-000054800000}"/>
    <cellStyle name="Normal 8 26 5" xfId="17080" xr:uid="{00000000-0005-0000-0000-000055800000}"/>
    <cellStyle name="Normal 8 26 5 2" xfId="37000" xr:uid="{00000000-0005-0000-0000-000056800000}"/>
    <cellStyle name="Normal 8 26 6" xfId="24695" xr:uid="{00000000-0005-0000-0000-000057800000}"/>
    <cellStyle name="Normal 8 27" xfId="5462" xr:uid="{00000000-0005-0000-0000-000058800000}"/>
    <cellStyle name="Normal 8 27 2" xfId="8566" xr:uid="{00000000-0005-0000-0000-000059800000}"/>
    <cellStyle name="Normal 8 27 2 2" xfId="14759" xr:uid="{00000000-0005-0000-0000-00005A800000}"/>
    <cellStyle name="Normal 8 27 2 2 2" xfId="34679" xr:uid="{00000000-0005-0000-0000-00005B800000}"/>
    <cellStyle name="Normal 8 27 2 3" xfId="20911" xr:uid="{00000000-0005-0000-0000-00005C800000}"/>
    <cellStyle name="Normal 8 27 2 3 2" xfId="40831" xr:uid="{00000000-0005-0000-0000-00005D800000}"/>
    <cellStyle name="Normal 8 27 2 4" xfId="28526" xr:uid="{00000000-0005-0000-0000-00005E800000}"/>
    <cellStyle name="Normal 8 27 3" xfId="11693" xr:uid="{00000000-0005-0000-0000-00005F800000}"/>
    <cellStyle name="Normal 8 27 3 2" xfId="31613" xr:uid="{00000000-0005-0000-0000-000060800000}"/>
    <cellStyle name="Normal 8 27 4" xfId="17845" xr:uid="{00000000-0005-0000-0000-000061800000}"/>
    <cellStyle name="Normal 8 27 4 2" xfId="37765" xr:uid="{00000000-0005-0000-0000-000062800000}"/>
    <cellStyle name="Normal 8 27 5" xfId="25460" xr:uid="{00000000-0005-0000-0000-000063800000}"/>
    <cellStyle name="Normal 8 28" xfId="7031" xr:uid="{00000000-0005-0000-0000-000064800000}"/>
    <cellStyle name="Normal 8 28 2" xfId="13225" xr:uid="{00000000-0005-0000-0000-000065800000}"/>
    <cellStyle name="Normal 8 28 2 2" xfId="33145" xr:uid="{00000000-0005-0000-0000-000066800000}"/>
    <cellStyle name="Normal 8 28 3" xfId="19377" xr:uid="{00000000-0005-0000-0000-000067800000}"/>
    <cellStyle name="Normal 8 28 3 2" xfId="39297" xr:uid="{00000000-0005-0000-0000-000068800000}"/>
    <cellStyle name="Normal 8 28 4" xfId="26992" xr:uid="{00000000-0005-0000-0000-000069800000}"/>
    <cellStyle name="Normal 8 29" xfId="10159" xr:uid="{00000000-0005-0000-0000-00006A800000}"/>
    <cellStyle name="Normal 8 29 2" xfId="30079" xr:uid="{00000000-0005-0000-0000-00006B800000}"/>
    <cellStyle name="Normal 8 3" xfId="1187" xr:uid="{00000000-0005-0000-0000-00006C800000}"/>
    <cellStyle name="Normal 8 3 10" xfId="10170" xr:uid="{00000000-0005-0000-0000-00006D800000}"/>
    <cellStyle name="Normal 8 3 10 2" xfId="30090" xr:uid="{00000000-0005-0000-0000-00006E800000}"/>
    <cellStyle name="Normal 8 3 11" xfId="16322" xr:uid="{00000000-0005-0000-0000-00006F800000}"/>
    <cellStyle name="Normal 8 3 11 2" xfId="36242" xr:uid="{00000000-0005-0000-0000-000070800000}"/>
    <cellStyle name="Normal 8 3 12" xfId="23937" xr:uid="{00000000-0005-0000-0000-000071800000}"/>
    <cellStyle name="Normal 8 3 2" xfId="4011" xr:uid="{00000000-0005-0000-0000-000072800000}"/>
    <cellStyle name="Normal 8 3 2 2" xfId="5186" xr:uid="{00000000-0005-0000-0000-000073800000}"/>
    <cellStyle name="Normal 8 3 2 2 2" xfId="6811" xr:uid="{00000000-0005-0000-0000-000074800000}"/>
    <cellStyle name="Normal 8 3 2 2 2 2" xfId="9897" xr:uid="{00000000-0005-0000-0000-000075800000}"/>
    <cellStyle name="Normal 8 3 2 2 2 2 2" xfId="16090" xr:uid="{00000000-0005-0000-0000-000076800000}"/>
    <cellStyle name="Normal 8 3 2 2 2 2 2 2" xfId="36010" xr:uid="{00000000-0005-0000-0000-000077800000}"/>
    <cellStyle name="Normal 8 3 2 2 2 2 3" xfId="22242" xr:uid="{00000000-0005-0000-0000-000078800000}"/>
    <cellStyle name="Normal 8 3 2 2 2 2 3 2" xfId="42162" xr:uid="{00000000-0005-0000-0000-000079800000}"/>
    <cellStyle name="Normal 8 3 2 2 2 2 4" xfId="29857" xr:uid="{00000000-0005-0000-0000-00007A800000}"/>
    <cellStyle name="Normal 8 3 2 2 2 3" xfId="13024" xr:uid="{00000000-0005-0000-0000-00007B800000}"/>
    <cellStyle name="Normal 8 3 2 2 2 3 2" xfId="32944" xr:uid="{00000000-0005-0000-0000-00007C800000}"/>
    <cellStyle name="Normal 8 3 2 2 2 4" xfId="19176" xr:uid="{00000000-0005-0000-0000-00007D800000}"/>
    <cellStyle name="Normal 8 3 2 2 2 4 2" xfId="39096" xr:uid="{00000000-0005-0000-0000-00007E800000}"/>
    <cellStyle name="Normal 8 3 2 2 2 5" xfId="26791" xr:uid="{00000000-0005-0000-0000-00007F800000}"/>
    <cellStyle name="Normal 8 3 2 2 3" xfId="8362" xr:uid="{00000000-0005-0000-0000-000080800000}"/>
    <cellStyle name="Normal 8 3 2 2 3 2" xfId="14556" xr:uid="{00000000-0005-0000-0000-000081800000}"/>
    <cellStyle name="Normal 8 3 2 2 3 2 2" xfId="34476" xr:uid="{00000000-0005-0000-0000-000082800000}"/>
    <cellStyle name="Normal 8 3 2 2 3 3" xfId="20708" xr:uid="{00000000-0005-0000-0000-000083800000}"/>
    <cellStyle name="Normal 8 3 2 2 3 3 2" xfId="40628" xr:uid="{00000000-0005-0000-0000-000084800000}"/>
    <cellStyle name="Normal 8 3 2 2 3 4" xfId="28323" xr:uid="{00000000-0005-0000-0000-000085800000}"/>
    <cellStyle name="Normal 8 3 2 2 4" xfId="11490" xr:uid="{00000000-0005-0000-0000-000086800000}"/>
    <cellStyle name="Normal 8 3 2 2 4 2" xfId="31410" xr:uid="{00000000-0005-0000-0000-000087800000}"/>
    <cellStyle name="Normal 8 3 2 2 5" xfId="17642" xr:uid="{00000000-0005-0000-0000-000088800000}"/>
    <cellStyle name="Normal 8 3 2 2 5 2" xfId="37562" xr:uid="{00000000-0005-0000-0000-000089800000}"/>
    <cellStyle name="Normal 8 3 2 2 6" xfId="25257" xr:uid="{00000000-0005-0000-0000-00008A800000}"/>
    <cellStyle name="Normal 8 3 2 3" xfId="6028" xr:uid="{00000000-0005-0000-0000-00008B800000}"/>
    <cellStyle name="Normal 8 3 2 3 2" xfId="9128" xr:uid="{00000000-0005-0000-0000-00008C800000}"/>
    <cellStyle name="Normal 8 3 2 3 2 2" xfId="15321" xr:uid="{00000000-0005-0000-0000-00008D800000}"/>
    <cellStyle name="Normal 8 3 2 3 2 2 2" xfId="35241" xr:uid="{00000000-0005-0000-0000-00008E800000}"/>
    <cellStyle name="Normal 8 3 2 3 2 3" xfId="21473" xr:uid="{00000000-0005-0000-0000-00008F800000}"/>
    <cellStyle name="Normal 8 3 2 3 2 3 2" xfId="41393" xr:uid="{00000000-0005-0000-0000-000090800000}"/>
    <cellStyle name="Normal 8 3 2 3 2 4" xfId="29088" xr:uid="{00000000-0005-0000-0000-000091800000}"/>
    <cellStyle name="Normal 8 3 2 3 3" xfId="12255" xr:uid="{00000000-0005-0000-0000-000092800000}"/>
    <cellStyle name="Normal 8 3 2 3 3 2" xfId="32175" xr:uid="{00000000-0005-0000-0000-000093800000}"/>
    <cellStyle name="Normal 8 3 2 3 4" xfId="18407" xr:uid="{00000000-0005-0000-0000-000094800000}"/>
    <cellStyle name="Normal 8 3 2 3 4 2" xfId="38327" xr:uid="{00000000-0005-0000-0000-000095800000}"/>
    <cellStyle name="Normal 8 3 2 3 5" xfId="26022" xr:uid="{00000000-0005-0000-0000-000096800000}"/>
    <cellStyle name="Normal 8 3 2 4" xfId="7593" xr:uid="{00000000-0005-0000-0000-000097800000}"/>
    <cellStyle name="Normal 8 3 2 4 2" xfId="13787" xr:uid="{00000000-0005-0000-0000-000098800000}"/>
    <cellStyle name="Normal 8 3 2 4 2 2" xfId="33707" xr:uid="{00000000-0005-0000-0000-000099800000}"/>
    <cellStyle name="Normal 8 3 2 4 3" xfId="19939" xr:uid="{00000000-0005-0000-0000-00009A800000}"/>
    <cellStyle name="Normal 8 3 2 4 3 2" xfId="39859" xr:uid="{00000000-0005-0000-0000-00009B800000}"/>
    <cellStyle name="Normal 8 3 2 4 4" xfId="27554" xr:uid="{00000000-0005-0000-0000-00009C800000}"/>
    <cellStyle name="Normal 8 3 2 5" xfId="10721" xr:uid="{00000000-0005-0000-0000-00009D800000}"/>
    <cellStyle name="Normal 8 3 2 5 2" xfId="30641" xr:uid="{00000000-0005-0000-0000-00009E800000}"/>
    <cellStyle name="Normal 8 3 2 6" xfId="16873" xr:uid="{00000000-0005-0000-0000-00009F800000}"/>
    <cellStyle name="Normal 8 3 2 6 2" xfId="36793" xr:uid="{00000000-0005-0000-0000-0000A0800000}"/>
    <cellStyle name="Normal 8 3 2 7" xfId="24488" xr:uid="{00000000-0005-0000-0000-0000A1800000}"/>
    <cellStyle name="Normal 8 3 3" xfId="4012" xr:uid="{00000000-0005-0000-0000-0000A2800000}"/>
    <cellStyle name="Normal 8 3 3 2" xfId="5187" xr:uid="{00000000-0005-0000-0000-0000A3800000}"/>
    <cellStyle name="Normal 8 3 3 2 2" xfId="6812" xr:uid="{00000000-0005-0000-0000-0000A4800000}"/>
    <cellStyle name="Normal 8 3 3 2 2 2" xfId="9898" xr:uid="{00000000-0005-0000-0000-0000A5800000}"/>
    <cellStyle name="Normal 8 3 3 2 2 2 2" xfId="16091" xr:uid="{00000000-0005-0000-0000-0000A6800000}"/>
    <cellStyle name="Normal 8 3 3 2 2 2 2 2" xfId="36011" xr:uid="{00000000-0005-0000-0000-0000A7800000}"/>
    <cellStyle name="Normal 8 3 3 2 2 2 3" xfId="22243" xr:uid="{00000000-0005-0000-0000-0000A8800000}"/>
    <cellStyle name="Normal 8 3 3 2 2 2 3 2" xfId="42163" xr:uid="{00000000-0005-0000-0000-0000A9800000}"/>
    <cellStyle name="Normal 8 3 3 2 2 2 4" xfId="29858" xr:uid="{00000000-0005-0000-0000-0000AA800000}"/>
    <cellStyle name="Normal 8 3 3 2 2 3" xfId="13025" xr:uid="{00000000-0005-0000-0000-0000AB800000}"/>
    <cellStyle name="Normal 8 3 3 2 2 3 2" xfId="32945" xr:uid="{00000000-0005-0000-0000-0000AC800000}"/>
    <cellStyle name="Normal 8 3 3 2 2 4" xfId="19177" xr:uid="{00000000-0005-0000-0000-0000AD800000}"/>
    <cellStyle name="Normal 8 3 3 2 2 4 2" xfId="39097" xr:uid="{00000000-0005-0000-0000-0000AE800000}"/>
    <cellStyle name="Normal 8 3 3 2 2 5" xfId="26792" xr:uid="{00000000-0005-0000-0000-0000AF800000}"/>
    <cellStyle name="Normal 8 3 3 2 3" xfId="8363" xr:uid="{00000000-0005-0000-0000-0000B0800000}"/>
    <cellStyle name="Normal 8 3 3 2 3 2" xfId="14557" xr:uid="{00000000-0005-0000-0000-0000B1800000}"/>
    <cellStyle name="Normal 8 3 3 2 3 2 2" xfId="34477" xr:uid="{00000000-0005-0000-0000-0000B2800000}"/>
    <cellStyle name="Normal 8 3 3 2 3 3" xfId="20709" xr:uid="{00000000-0005-0000-0000-0000B3800000}"/>
    <cellStyle name="Normal 8 3 3 2 3 3 2" xfId="40629" xr:uid="{00000000-0005-0000-0000-0000B4800000}"/>
    <cellStyle name="Normal 8 3 3 2 3 4" xfId="28324" xr:uid="{00000000-0005-0000-0000-0000B5800000}"/>
    <cellStyle name="Normal 8 3 3 2 4" xfId="11491" xr:uid="{00000000-0005-0000-0000-0000B6800000}"/>
    <cellStyle name="Normal 8 3 3 2 4 2" xfId="31411" xr:uid="{00000000-0005-0000-0000-0000B7800000}"/>
    <cellStyle name="Normal 8 3 3 2 5" xfId="17643" xr:uid="{00000000-0005-0000-0000-0000B8800000}"/>
    <cellStyle name="Normal 8 3 3 2 5 2" xfId="37563" xr:uid="{00000000-0005-0000-0000-0000B9800000}"/>
    <cellStyle name="Normal 8 3 3 2 6" xfId="25258" xr:uid="{00000000-0005-0000-0000-0000BA800000}"/>
    <cellStyle name="Normal 8 3 3 3" xfId="6029" xr:uid="{00000000-0005-0000-0000-0000BB800000}"/>
    <cellStyle name="Normal 8 3 3 3 2" xfId="9129" xr:uid="{00000000-0005-0000-0000-0000BC800000}"/>
    <cellStyle name="Normal 8 3 3 3 2 2" xfId="15322" xr:uid="{00000000-0005-0000-0000-0000BD800000}"/>
    <cellStyle name="Normal 8 3 3 3 2 2 2" xfId="35242" xr:uid="{00000000-0005-0000-0000-0000BE800000}"/>
    <cellStyle name="Normal 8 3 3 3 2 3" xfId="21474" xr:uid="{00000000-0005-0000-0000-0000BF800000}"/>
    <cellStyle name="Normal 8 3 3 3 2 3 2" xfId="41394" xr:uid="{00000000-0005-0000-0000-0000C0800000}"/>
    <cellStyle name="Normal 8 3 3 3 2 4" xfId="29089" xr:uid="{00000000-0005-0000-0000-0000C1800000}"/>
    <cellStyle name="Normal 8 3 3 3 3" xfId="12256" xr:uid="{00000000-0005-0000-0000-0000C2800000}"/>
    <cellStyle name="Normal 8 3 3 3 3 2" xfId="32176" xr:uid="{00000000-0005-0000-0000-0000C3800000}"/>
    <cellStyle name="Normal 8 3 3 3 4" xfId="18408" xr:uid="{00000000-0005-0000-0000-0000C4800000}"/>
    <cellStyle name="Normal 8 3 3 3 4 2" xfId="38328" xr:uid="{00000000-0005-0000-0000-0000C5800000}"/>
    <cellStyle name="Normal 8 3 3 3 5" xfId="26023" xr:uid="{00000000-0005-0000-0000-0000C6800000}"/>
    <cellStyle name="Normal 8 3 3 4" xfId="7594" xr:uid="{00000000-0005-0000-0000-0000C7800000}"/>
    <cellStyle name="Normal 8 3 3 4 2" xfId="13788" xr:uid="{00000000-0005-0000-0000-0000C8800000}"/>
    <cellStyle name="Normal 8 3 3 4 2 2" xfId="33708" xr:uid="{00000000-0005-0000-0000-0000C9800000}"/>
    <cellStyle name="Normal 8 3 3 4 3" xfId="19940" xr:uid="{00000000-0005-0000-0000-0000CA800000}"/>
    <cellStyle name="Normal 8 3 3 4 3 2" xfId="39860" xr:uid="{00000000-0005-0000-0000-0000CB800000}"/>
    <cellStyle name="Normal 8 3 3 4 4" xfId="27555" xr:uid="{00000000-0005-0000-0000-0000CC800000}"/>
    <cellStyle name="Normal 8 3 3 5" xfId="10722" xr:uid="{00000000-0005-0000-0000-0000CD800000}"/>
    <cellStyle name="Normal 8 3 3 5 2" xfId="30642" xr:uid="{00000000-0005-0000-0000-0000CE800000}"/>
    <cellStyle name="Normal 8 3 3 6" xfId="16874" xr:uid="{00000000-0005-0000-0000-0000CF800000}"/>
    <cellStyle name="Normal 8 3 3 6 2" xfId="36794" xr:uid="{00000000-0005-0000-0000-0000D0800000}"/>
    <cellStyle name="Normal 8 3 3 7" xfId="24489" xr:uid="{00000000-0005-0000-0000-0000D1800000}"/>
    <cellStyle name="Normal 8 3 4" xfId="4013" xr:uid="{00000000-0005-0000-0000-0000D2800000}"/>
    <cellStyle name="Normal 8 3 4 2" xfId="5188" xr:uid="{00000000-0005-0000-0000-0000D3800000}"/>
    <cellStyle name="Normal 8 3 4 2 2" xfId="6813" xr:uid="{00000000-0005-0000-0000-0000D4800000}"/>
    <cellStyle name="Normal 8 3 4 2 2 2" xfId="9899" xr:uid="{00000000-0005-0000-0000-0000D5800000}"/>
    <cellStyle name="Normal 8 3 4 2 2 2 2" xfId="16092" xr:uid="{00000000-0005-0000-0000-0000D6800000}"/>
    <cellStyle name="Normal 8 3 4 2 2 2 2 2" xfId="36012" xr:uid="{00000000-0005-0000-0000-0000D7800000}"/>
    <cellStyle name="Normal 8 3 4 2 2 2 3" xfId="22244" xr:uid="{00000000-0005-0000-0000-0000D8800000}"/>
    <cellStyle name="Normal 8 3 4 2 2 2 3 2" xfId="42164" xr:uid="{00000000-0005-0000-0000-0000D9800000}"/>
    <cellStyle name="Normal 8 3 4 2 2 2 4" xfId="29859" xr:uid="{00000000-0005-0000-0000-0000DA800000}"/>
    <cellStyle name="Normal 8 3 4 2 2 3" xfId="13026" xr:uid="{00000000-0005-0000-0000-0000DB800000}"/>
    <cellStyle name="Normal 8 3 4 2 2 3 2" xfId="32946" xr:uid="{00000000-0005-0000-0000-0000DC800000}"/>
    <cellStyle name="Normal 8 3 4 2 2 4" xfId="19178" xr:uid="{00000000-0005-0000-0000-0000DD800000}"/>
    <cellStyle name="Normal 8 3 4 2 2 4 2" xfId="39098" xr:uid="{00000000-0005-0000-0000-0000DE800000}"/>
    <cellStyle name="Normal 8 3 4 2 2 5" xfId="26793" xr:uid="{00000000-0005-0000-0000-0000DF800000}"/>
    <cellStyle name="Normal 8 3 4 2 3" xfId="8364" xr:uid="{00000000-0005-0000-0000-0000E0800000}"/>
    <cellStyle name="Normal 8 3 4 2 3 2" xfId="14558" xr:uid="{00000000-0005-0000-0000-0000E1800000}"/>
    <cellStyle name="Normal 8 3 4 2 3 2 2" xfId="34478" xr:uid="{00000000-0005-0000-0000-0000E2800000}"/>
    <cellStyle name="Normal 8 3 4 2 3 3" xfId="20710" xr:uid="{00000000-0005-0000-0000-0000E3800000}"/>
    <cellStyle name="Normal 8 3 4 2 3 3 2" xfId="40630" xr:uid="{00000000-0005-0000-0000-0000E4800000}"/>
    <cellStyle name="Normal 8 3 4 2 3 4" xfId="28325" xr:uid="{00000000-0005-0000-0000-0000E5800000}"/>
    <cellStyle name="Normal 8 3 4 2 4" xfId="11492" xr:uid="{00000000-0005-0000-0000-0000E6800000}"/>
    <cellStyle name="Normal 8 3 4 2 4 2" xfId="31412" xr:uid="{00000000-0005-0000-0000-0000E7800000}"/>
    <cellStyle name="Normal 8 3 4 2 5" xfId="17644" xr:uid="{00000000-0005-0000-0000-0000E8800000}"/>
    <cellStyle name="Normal 8 3 4 2 5 2" xfId="37564" xr:uid="{00000000-0005-0000-0000-0000E9800000}"/>
    <cellStyle name="Normal 8 3 4 2 6" xfId="25259" xr:uid="{00000000-0005-0000-0000-0000EA800000}"/>
    <cellStyle name="Normal 8 3 4 3" xfId="6030" xr:uid="{00000000-0005-0000-0000-0000EB800000}"/>
    <cellStyle name="Normal 8 3 4 3 2" xfId="9130" xr:uid="{00000000-0005-0000-0000-0000EC800000}"/>
    <cellStyle name="Normal 8 3 4 3 2 2" xfId="15323" xr:uid="{00000000-0005-0000-0000-0000ED800000}"/>
    <cellStyle name="Normal 8 3 4 3 2 2 2" xfId="35243" xr:uid="{00000000-0005-0000-0000-0000EE800000}"/>
    <cellStyle name="Normal 8 3 4 3 2 3" xfId="21475" xr:uid="{00000000-0005-0000-0000-0000EF800000}"/>
    <cellStyle name="Normal 8 3 4 3 2 3 2" xfId="41395" xr:uid="{00000000-0005-0000-0000-0000F0800000}"/>
    <cellStyle name="Normal 8 3 4 3 2 4" xfId="29090" xr:uid="{00000000-0005-0000-0000-0000F1800000}"/>
    <cellStyle name="Normal 8 3 4 3 3" xfId="12257" xr:uid="{00000000-0005-0000-0000-0000F2800000}"/>
    <cellStyle name="Normal 8 3 4 3 3 2" xfId="32177" xr:uid="{00000000-0005-0000-0000-0000F3800000}"/>
    <cellStyle name="Normal 8 3 4 3 4" xfId="18409" xr:uid="{00000000-0005-0000-0000-0000F4800000}"/>
    <cellStyle name="Normal 8 3 4 3 4 2" xfId="38329" xr:uid="{00000000-0005-0000-0000-0000F5800000}"/>
    <cellStyle name="Normal 8 3 4 3 5" xfId="26024" xr:uid="{00000000-0005-0000-0000-0000F6800000}"/>
    <cellStyle name="Normal 8 3 4 4" xfId="7595" xr:uid="{00000000-0005-0000-0000-0000F7800000}"/>
    <cellStyle name="Normal 8 3 4 4 2" xfId="13789" xr:uid="{00000000-0005-0000-0000-0000F8800000}"/>
    <cellStyle name="Normal 8 3 4 4 2 2" xfId="33709" xr:uid="{00000000-0005-0000-0000-0000F9800000}"/>
    <cellStyle name="Normal 8 3 4 4 3" xfId="19941" xr:uid="{00000000-0005-0000-0000-0000FA800000}"/>
    <cellStyle name="Normal 8 3 4 4 3 2" xfId="39861" xr:uid="{00000000-0005-0000-0000-0000FB800000}"/>
    <cellStyle name="Normal 8 3 4 4 4" xfId="27556" xr:uid="{00000000-0005-0000-0000-0000FC800000}"/>
    <cellStyle name="Normal 8 3 4 5" xfId="10723" xr:uid="{00000000-0005-0000-0000-0000FD800000}"/>
    <cellStyle name="Normal 8 3 4 5 2" xfId="30643" xr:uid="{00000000-0005-0000-0000-0000FE800000}"/>
    <cellStyle name="Normal 8 3 4 6" xfId="16875" xr:uid="{00000000-0005-0000-0000-0000FF800000}"/>
    <cellStyle name="Normal 8 3 4 6 2" xfId="36795" xr:uid="{00000000-0005-0000-0000-000000810000}"/>
    <cellStyle name="Normal 8 3 4 7" xfId="24490" xr:uid="{00000000-0005-0000-0000-000001810000}"/>
    <cellStyle name="Normal 8 3 5" xfId="4014" xr:uid="{00000000-0005-0000-0000-000002810000}"/>
    <cellStyle name="Normal 8 3 5 2" xfId="5189" xr:uid="{00000000-0005-0000-0000-000003810000}"/>
    <cellStyle name="Normal 8 3 5 2 2" xfId="6814" xr:uid="{00000000-0005-0000-0000-000004810000}"/>
    <cellStyle name="Normal 8 3 5 2 2 2" xfId="9900" xr:uid="{00000000-0005-0000-0000-000005810000}"/>
    <cellStyle name="Normal 8 3 5 2 2 2 2" xfId="16093" xr:uid="{00000000-0005-0000-0000-000006810000}"/>
    <cellStyle name="Normal 8 3 5 2 2 2 2 2" xfId="36013" xr:uid="{00000000-0005-0000-0000-000007810000}"/>
    <cellStyle name="Normal 8 3 5 2 2 2 3" xfId="22245" xr:uid="{00000000-0005-0000-0000-000008810000}"/>
    <cellStyle name="Normal 8 3 5 2 2 2 3 2" xfId="42165" xr:uid="{00000000-0005-0000-0000-000009810000}"/>
    <cellStyle name="Normal 8 3 5 2 2 2 4" xfId="29860" xr:uid="{00000000-0005-0000-0000-00000A810000}"/>
    <cellStyle name="Normal 8 3 5 2 2 3" xfId="13027" xr:uid="{00000000-0005-0000-0000-00000B810000}"/>
    <cellStyle name="Normal 8 3 5 2 2 3 2" xfId="32947" xr:uid="{00000000-0005-0000-0000-00000C810000}"/>
    <cellStyle name="Normal 8 3 5 2 2 4" xfId="19179" xr:uid="{00000000-0005-0000-0000-00000D810000}"/>
    <cellStyle name="Normal 8 3 5 2 2 4 2" xfId="39099" xr:uid="{00000000-0005-0000-0000-00000E810000}"/>
    <cellStyle name="Normal 8 3 5 2 2 5" xfId="26794" xr:uid="{00000000-0005-0000-0000-00000F810000}"/>
    <cellStyle name="Normal 8 3 5 2 3" xfId="8365" xr:uid="{00000000-0005-0000-0000-000010810000}"/>
    <cellStyle name="Normal 8 3 5 2 3 2" xfId="14559" xr:uid="{00000000-0005-0000-0000-000011810000}"/>
    <cellStyle name="Normal 8 3 5 2 3 2 2" xfId="34479" xr:uid="{00000000-0005-0000-0000-000012810000}"/>
    <cellStyle name="Normal 8 3 5 2 3 3" xfId="20711" xr:uid="{00000000-0005-0000-0000-000013810000}"/>
    <cellStyle name="Normal 8 3 5 2 3 3 2" xfId="40631" xr:uid="{00000000-0005-0000-0000-000014810000}"/>
    <cellStyle name="Normal 8 3 5 2 3 4" xfId="28326" xr:uid="{00000000-0005-0000-0000-000015810000}"/>
    <cellStyle name="Normal 8 3 5 2 4" xfId="11493" xr:uid="{00000000-0005-0000-0000-000016810000}"/>
    <cellStyle name="Normal 8 3 5 2 4 2" xfId="31413" xr:uid="{00000000-0005-0000-0000-000017810000}"/>
    <cellStyle name="Normal 8 3 5 2 5" xfId="17645" xr:uid="{00000000-0005-0000-0000-000018810000}"/>
    <cellStyle name="Normal 8 3 5 2 5 2" xfId="37565" xr:uid="{00000000-0005-0000-0000-000019810000}"/>
    <cellStyle name="Normal 8 3 5 2 6" xfId="25260" xr:uid="{00000000-0005-0000-0000-00001A810000}"/>
    <cellStyle name="Normal 8 3 5 3" xfId="6031" xr:uid="{00000000-0005-0000-0000-00001B810000}"/>
    <cellStyle name="Normal 8 3 5 3 2" xfId="9131" xr:uid="{00000000-0005-0000-0000-00001C810000}"/>
    <cellStyle name="Normal 8 3 5 3 2 2" xfId="15324" xr:uid="{00000000-0005-0000-0000-00001D810000}"/>
    <cellStyle name="Normal 8 3 5 3 2 2 2" xfId="35244" xr:uid="{00000000-0005-0000-0000-00001E810000}"/>
    <cellStyle name="Normal 8 3 5 3 2 3" xfId="21476" xr:uid="{00000000-0005-0000-0000-00001F810000}"/>
    <cellStyle name="Normal 8 3 5 3 2 3 2" xfId="41396" xr:uid="{00000000-0005-0000-0000-000020810000}"/>
    <cellStyle name="Normal 8 3 5 3 2 4" xfId="29091" xr:uid="{00000000-0005-0000-0000-000021810000}"/>
    <cellStyle name="Normal 8 3 5 3 3" xfId="12258" xr:uid="{00000000-0005-0000-0000-000022810000}"/>
    <cellStyle name="Normal 8 3 5 3 3 2" xfId="32178" xr:uid="{00000000-0005-0000-0000-000023810000}"/>
    <cellStyle name="Normal 8 3 5 3 4" xfId="18410" xr:uid="{00000000-0005-0000-0000-000024810000}"/>
    <cellStyle name="Normal 8 3 5 3 4 2" xfId="38330" xr:uid="{00000000-0005-0000-0000-000025810000}"/>
    <cellStyle name="Normal 8 3 5 3 5" xfId="26025" xr:uid="{00000000-0005-0000-0000-000026810000}"/>
    <cellStyle name="Normal 8 3 5 4" xfId="7596" xr:uid="{00000000-0005-0000-0000-000027810000}"/>
    <cellStyle name="Normal 8 3 5 4 2" xfId="13790" xr:uid="{00000000-0005-0000-0000-000028810000}"/>
    <cellStyle name="Normal 8 3 5 4 2 2" xfId="33710" xr:uid="{00000000-0005-0000-0000-000029810000}"/>
    <cellStyle name="Normal 8 3 5 4 3" xfId="19942" xr:uid="{00000000-0005-0000-0000-00002A810000}"/>
    <cellStyle name="Normal 8 3 5 4 3 2" xfId="39862" xr:uid="{00000000-0005-0000-0000-00002B810000}"/>
    <cellStyle name="Normal 8 3 5 4 4" xfId="27557" xr:uid="{00000000-0005-0000-0000-00002C810000}"/>
    <cellStyle name="Normal 8 3 5 5" xfId="10724" xr:uid="{00000000-0005-0000-0000-00002D810000}"/>
    <cellStyle name="Normal 8 3 5 5 2" xfId="30644" xr:uid="{00000000-0005-0000-0000-00002E810000}"/>
    <cellStyle name="Normal 8 3 5 6" xfId="16876" xr:uid="{00000000-0005-0000-0000-00002F810000}"/>
    <cellStyle name="Normal 8 3 5 6 2" xfId="36796" xr:uid="{00000000-0005-0000-0000-000030810000}"/>
    <cellStyle name="Normal 8 3 5 7" xfId="24491" xr:uid="{00000000-0005-0000-0000-000031810000}"/>
    <cellStyle name="Normal 8 3 6" xfId="4010" xr:uid="{00000000-0005-0000-0000-000032810000}"/>
    <cellStyle name="Normal 8 3 6 2" xfId="5185" xr:uid="{00000000-0005-0000-0000-000033810000}"/>
    <cellStyle name="Normal 8 3 6 2 2" xfId="6810" xr:uid="{00000000-0005-0000-0000-000034810000}"/>
    <cellStyle name="Normal 8 3 6 2 2 2" xfId="9896" xr:uid="{00000000-0005-0000-0000-000035810000}"/>
    <cellStyle name="Normal 8 3 6 2 2 2 2" xfId="16089" xr:uid="{00000000-0005-0000-0000-000036810000}"/>
    <cellStyle name="Normal 8 3 6 2 2 2 2 2" xfId="36009" xr:uid="{00000000-0005-0000-0000-000037810000}"/>
    <cellStyle name="Normal 8 3 6 2 2 2 3" xfId="22241" xr:uid="{00000000-0005-0000-0000-000038810000}"/>
    <cellStyle name="Normal 8 3 6 2 2 2 3 2" xfId="42161" xr:uid="{00000000-0005-0000-0000-000039810000}"/>
    <cellStyle name="Normal 8 3 6 2 2 2 4" xfId="29856" xr:uid="{00000000-0005-0000-0000-00003A810000}"/>
    <cellStyle name="Normal 8 3 6 2 2 3" xfId="13023" xr:uid="{00000000-0005-0000-0000-00003B810000}"/>
    <cellStyle name="Normal 8 3 6 2 2 3 2" xfId="32943" xr:uid="{00000000-0005-0000-0000-00003C810000}"/>
    <cellStyle name="Normal 8 3 6 2 2 4" xfId="19175" xr:uid="{00000000-0005-0000-0000-00003D810000}"/>
    <cellStyle name="Normal 8 3 6 2 2 4 2" xfId="39095" xr:uid="{00000000-0005-0000-0000-00003E810000}"/>
    <cellStyle name="Normal 8 3 6 2 2 5" xfId="26790" xr:uid="{00000000-0005-0000-0000-00003F810000}"/>
    <cellStyle name="Normal 8 3 6 2 3" xfId="8361" xr:uid="{00000000-0005-0000-0000-000040810000}"/>
    <cellStyle name="Normal 8 3 6 2 3 2" xfId="14555" xr:uid="{00000000-0005-0000-0000-000041810000}"/>
    <cellStyle name="Normal 8 3 6 2 3 2 2" xfId="34475" xr:uid="{00000000-0005-0000-0000-000042810000}"/>
    <cellStyle name="Normal 8 3 6 2 3 3" xfId="20707" xr:uid="{00000000-0005-0000-0000-000043810000}"/>
    <cellStyle name="Normal 8 3 6 2 3 3 2" xfId="40627" xr:uid="{00000000-0005-0000-0000-000044810000}"/>
    <cellStyle name="Normal 8 3 6 2 3 4" xfId="28322" xr:uid="{00000000-0005-0000-0000-000045810000}"/>
    <cellStyle name="Normal 8 3 6 2 4" xfId="11489" xr:uid="{00000000-0005-0000-0000-000046810000}"/>
    <cellStyle name="Normal 8 3 6 2 4 2" xfId="31409" xr:uid="{00000000-0005-0000-0000-000047810000}"/>
    <cellStyle name="Normal 8 3 6 2 5" xfId="17641" xr:uid="{00000000-0005-0000-0000-000048810000}"/>
    <cellStyle name="Normal 8 3 6 2 5 2" xfId="37561" xr:uid="{00000000-0005-0000-0000-000049810000}"/>
    <cellStyle name="Normal 8 3 6 2 6" xfId="25256" xr:uid="{00000000-0005-0000-0000-00004A810000}"/>
    <cellStyle name="Normal 8 3 6 3" xfId="6027" xr:uid="{00000000-0005-0000-0000-00004B810000}"/>
    <cellStyle name="Normal 8 3 6 3 2" xfId="9127" xr:uid="{00000000-0005-0000-0000-00004C810000}"/>
    <cellStyle name="Normal 8 3 6 3 2 2" xfId="15320" xr:uid="{00000000-0005-0000-0000-00004D810000}"/>
    <cellStyle name="Normal 8 3 6 3 2 2 2" xfId="35240" xr:uid="{00000000-0005-0000-0000-00004E810000}"/>
    <cellStyle name="Normal 8 3 6 3 2 3" xfId="21472" xr:uid="{00000000-0005-0000-0000-00004F810000}"/>
    <cellStyle name="Normal 8 3 6 3 2 3 2" xfId="41392" xr:uid="{00000000-0005-0000-0000-000050810000}"/>
    <cellStyle name="Normal 8 3 6 3 2 4" xfId="29087" xr:uid="{00000000-0005-0000-0000-000051810000}"/>
    <cellStyle name="Normal 8 3 6 3 3" xfId="12254" xr:uid="{00000000-0005-0000-0000-000052810000}"/>
    <cellStyle name="Normal 8 3 6 3 3 2" xfId="32174" xr:uid="{00000000-0005-0000-0000-000053810000}"/>
    <cellStyle name="Normal 8 3 6 3 4" xfId="18406" xr:uid="{00000000-0005-0000-0000-000054810000}"/>
    <cellStyle name="Normal 8 3 6 3 4 2" xfId="38326" xr:uid="{00000000-0005-0000-0000-000055810000}"/>
    <cellStyle name="Normal 8 3 6 3 5" xfId="26021" xr:uid="{00000000-0005-0000-0000-000056810000}"/>
    <cellStyle name="Normal 8 3 6 4" xfId="7592" xr:uid="{00000000-0005-0000-0000-000057810000}"/>
    <cellStyle name="Normal 8 3 6 4 2" xfId="13786" xr:uid="{00000000-0005-0000-0000-000058810000}"/>
    <cellStyle name="Normal 8 3 6 4 2 2" xfId="33706" xr:uid="{00000000-0005-0000-0000-000059810000}"/>
    <cellStyle name="Normal 8 3 6 4 3" xfId="19938" xr:uid="{00000000-0005-0000-0000-00005A810000}"/>
    <cellStyle name="Normal 8 3 6 4 3 2" xfId="39858" xr:uid="{00000000-0005-0000-0000-00005B810000}"/>
    <cellStyle name="Normal 8 3 6 4 4" xfId="27553" xr:uid="{00000000-0005-0000-0000-00005C810000}"/>
    <cellStyle name="Normal 8 3 6 5" xfId="10720" xr:uid="{00000000-0005-0000-0000-00005D810000}"/>
    <cellStyle name="Normal 8 3 6 5 2" xfId="30640" xr:uid="{00000000-0005-0000-0000-00005E810000}"/>
    <cellStyle name="Normal 8 3 6 6" xfId="16872" xr:uid="{00000000-0005-0000-0000-00005F810000}"/>
    <cellStyle name="Normal 8 3 6 6 2" xfId="36792" xr:uid="{00000000-0005-0000-0000-000060810000}"/>
    <cellStyle name="Normal 8 3 6 7" xfId="24487" xr:uid="{00000000-0005-0000-0000-000061810000}"/>
    <cellStyle name="Normal 8 3 7" xfId="4635" xr:uid="{00000000-0005-0000-0000-000062810000}"/>
    <cellStyle name="Normal 8 3 7 2" xfId="6260" xr:uid="{00000000-0005-0000-0000-000063810000}"/>
    <cellStyle name="Normal 8 3 7 2 2" xfId="9346" xr:uid="{00000000-0005-0000-0000-000064810000}"/>
    <cellStyle name="Normal 8 3 7 2 2 2" xfId="15539" xr:uid="{00000000-0005-0000-0000-000065810000}"/>
    <cellStyle name="Normal 8 3 7 2 2 2 2" xfId="35459" xr:uid="{00000000-0005-0000-0000-000066810000}"/>
    <cellStyle name="Normal 8 3 7 2 2 3" xfId="21691" xr:uid="{00000000-0005-0000-0000-000067810000}"/>
    <cellStyle name="Normal 8 3 7 2 2 3 2" xfId="41611" xr:uid="{00000000-0005-0000-0000-000068810000}"/>
    <cellStyle name="Normal 8 3 7 2 2 4" xfId="29306" xr:uid="{00000000-0005-0000-0000-000069810000}"/>
    <cellStyle name="Normal 8 3 7 2 3" xfId="12473" xr:uid="{00000000-0005-0000-0000-00006A810000}"/>
    <cellStyle name="Normal 8 3 7 2 3 2" xfId="32393" xr:uid="{00000000-0005-0000-0000-00006B810000}"/>
    <cellStyle name="Normal 8 3 7 2 4" xfId="18625" xr:uid="{00000000-0005-0000-0000-00006C810000}"/>
    <cellStyle name="Normal 8 3 7 2 4 2" xfId="38545" xr:uid="{00000000-0005-0000-0000-00006D810000}"/>
    <cellStyle name="Normal 8 3 7 2 5" xfId="26240" xr:uid="{00000000-0005-0000-0000-00006E810000}"/>
    <cellStyle name="Normal 8 3 7 3" xfId="7811" xr:uid="{00000000-0005-0000-0000-00006F810000}"/>
    <cellStyle name="Normal 8 3 7 3 2" xfId="14005" xr:uid="{00000000-0005-0000-0000-000070810000}"/>
    <cellStyle name="Normal 8 3 7 3 2 2" xfId="33925" xr:uid="{00000000-0005-0000-0000-000071810000}"/>
    <cellStyle name="Normal 8 3 7 3 3" xfId="20157" xr:uid="{00000000-0005-0000-0000-000072810000}"/>
    <cellStyle name="Normal 8 3 7 3 3 2" xfId="40077" xr:uid="{00000000-0005-0000-0000-000073810000}"/>
    <cellStyle name="Normal 8 3 7 3 4" xfId="27772" xr:uid="{00000000-0005-0000-0000-000074810000}"/>
    <cellStyle name="Normal 8 3 7 4" xfId="10939" xr:uid="{00000000-0005-0000-0000-000075810000}"/>
    <cellStyle name="Normal 8 3 7 4 2" xfId="30859" xr:uid="{00000000-0005-0000-0000-000076810000}"/>
    <cellStyle name="Normal 8 3 7 5" xfId="17091" xr:uid="{00000000-0005-0000-0000-000077810000}"/>
    <cellStyle name="Normal 8 3 7 5 2" xfId="37011" xr:uid="{00000000-0005-0000-0000-000078810000}"/>
    <cellStyle name="Normal 8 3 7 6" xfId="24706" xr:uid="{00000000-0005-0000-0000-000079810000}"/>
    <cellStyle name="Normal 8 3 8" xfId="5474" xr:uid="{00000000-0005-0000-0000-00007A810000}"/>
    <cellStyle name="Normal 8 3 8 2" xfId="8577" xr:uid="{00000000-0005-0000-0000-00007B810000}"/>
    <cellStyle name="Normal 8 3 8 2 2" xfId="14770" xr:uid="{00000000-0005-0000-0000-00007C810000}"/>
    <cellStyle name="Normal 8 3 8 2 2 2" xfId="34690" xr:uid="{00000000-0005-0000-0000-00007D810000}"/>
    <cellStyle name="Normal 8 3 8 2 3" xfId="20922" xr:uid="{00000000-0005-0000-0000-00007E810000}"/>
    <cellStyle name="Normal 8 3 8 2 3 2" xfId="40842" xr:uid="{00000000-0005-0000-0000-00007F810000}"/>
    <cellStyle name="Normal 8 3 8 2 4" xfId="28537" xr:uid="{00000000-0005-0000-0000-000080810000}"/>
    <cellStyle name="Normal 8 3 8 3" xfId="11704" xr:uid="{00000000-0005-0000-0000-000081810000}"/>
    <cellStyle name="Normal 8 3 8 3 2" xfId="31624" xr:uid="{00000000-0005-0000-0000-000082810000}"/>
    <cellStyle name="Normal 8 3 8 4" xfId="17856" xr:uid="{00000000-0005-0000-0000-000083810000}"/>
    <cellStyle name="Normal 8 3 8 4 2" xfId="37776" xr:uid="{00000000-0005-0000-0000-000084810000}"/>
    <cellStyle name="Normal 8 3 8 5" xfId="25471" xr:uid="{00000000-0005-0000-0000-000085810000}"/>
    <cellStyle name="Normal 8 3 9" xfId="7042" xr:uid="{00000000-0005-0000-0000-000086810000}"/>
    <cellStyle name="Normal 8 3 9 2" xfId="13236" xr:uid="{00000000-0005-0000-0000-000087810000}"/>
    <cellStyle name="Normal 8 3 9 2 2" xfId="33156" xr:uid="{00000000-0005-0000-0000-000088810000}"/>
    <cellStyle name="Normal 8 3 9 3" xfId="19388" xr:uid="{00000000-0005-0000-0000-000089810000}"/>
    <cellStyle name="Normal 8 3 9 3 2" xfId="39308" xr:uid="{00000000-0005-0000-0000-00008A810000}"/>
    <cellStyle name="Normal 8 3 9 4" xfId="27003" xr:uid="{00000000-0005-0000-0000-00008B810000}"/>
    <cellStyle name="Normal 8 30" xfId="16311" xr:uid="{00000000-0005-0000-0000-00008C810000}"/>
    <cellStyle name="Normal 8 30 2" xfId="36231" xr:uid="{00000000-0005-0000-0000-00008D810000}"/>
    <cellStyle name="Normal 8 31" xfId="1159" xr:uid="{00000000-0005-0000-0000-00008E810000}"/>
    <cellStyle name="Normal 8 31 2" xfId="23926" xr:uid="{00000000-0005-0000-0000-00008F810000}"/>
    <cellStyle name="Normal 8 4" xfId="4015" xr:uid="{00000000-0005-0000-0000-000090810000}"/>
    <cellStyle name="Normal 8 4 2" xfId="5190" xr:uid="{00000000-0005-0000-0000-000091810000}"/>
    <cellStyle name="Normal 8 4 2 2" xfId="6815" xr:uid="{00000000-0005-0000-0000-000092810000}"/>
    <cellStyle name="Normal 8 4 2 2 2" xfId="9901" xr:uid="{00000000-0005-0000-0000-000093810000}"/>
    <cellStyle name="Normal 8 4 2 2 2 2" xfId="16094" xr:uid="{00000000-0005-0000-0000-000094810000}"/>
    <cellStyle name="Normal 8 4 2 2 2 2 2" xfId="36014" xr:uid="{00000000-0005-0000-0000-000095810000}"/>
    <cellStyle name="Normal 8 4 2 2 2 3" xfId="22246" xr:uid="{00000000-0005-0000-0000-000096810000}"/>
    <cellStyle name="Normal 8 4 2 2 2 3 2" xfId="42166" xr:uid="{00000000-0005-0000-0000-000097810000}"/>
    <cellStyle name="Normal 8 4 2 2 2 4" xfId="29861" xr:uid="{00000000-0005-0000-0000-000098810000}"/>
    <cellStyle name="Normal 8 4 2 2 3" xfId="13028" xr:uid="{00000000-0005-0000-0000-000099810000}"/>
    <cellStyle name="Normal 8 4 2 2 3 2" xfId="32948" xr:uid="{00000000-0005-0000-0000-00009A810000}"/>
    <cellStyle name="Normal 8 4 2 2 4" xfId="19180" xr:uid="{00000000-0005-0000-0000-00009B810000}"/>
    <cellStyle name="Normal 8 4 2 2 4 2" xfId="39100" xr:uid="{00000000-0005-0000-0000-00009C810000}"/>
    <cellStyle name="Normal 8 4 2 2 5" xfId="26795" xr:uid="{00000000-0005-0000-0000-00009D810000}"/>
    <cellStyle name="Normal 8 4 2 3" xfId="8366" xr:uid="{00000000-0005-0000-0000-00009E810000}"/>
    <cellStyle name="Normal 8 4 2 3 2" xfId="14560" xr:uid="{00000000-0005-0000-0000-00009F810000}"/>
    <cellStyle name="Normal 8 4 2 3 2 2" xfId="34480" xr:uid="{00000000-0005-0000-0000-0000A0810000}"/>
    <cellStyle name="Normal 8 4 2 3 3" xfId="20712" xr:uid="{00000000-0005-0000-0000-0000A1810000}"/>
    <cellStyle name="Normal 8 4 2 3 3 2" xfId="40632" xr:uid="{00000000-0005-0000-0000-0000A2810000}"/>
    <cellStyle name="Normal 8 4 2 3 4" xfId="28327" xr:uid="{00000000-0005-0000-0000-0000A3810000}"/>
    <cellStyle name="Normal 8 4 2 4" xfId="11494" xr:uid="{00000000-0005-0000-0000-0000A4810000}"/>
    <cellStyle name="Normal 8 4 2 4 2" xfId="31414" xr:uid="{00000000-0005-0000-0000-0000A5810000}"/>
    <cellStyle name="Normal 8 4 2 5" xfId="17646" xr:uid="{00000000-0005-0000-0000-0000A6810000}"/>
    <cellStyle name="Normal 8 4 2 5 2" xfId="37566" xr:uid="{00000000-0005-0000-0000-0000A7810000}"/>
    <cellStyle name="Normal 8 4 2 6" xfId="25261" xr:uid="{00000000-0005-0000-0000-0000A8810000}"/>
    <cellStyle name="Normal 8 4 3" xfId="6032" xr:uid="{00000000-0005-0000-0000-0000A9810000}"/>
    <cellStyle name="Normal 8 4 3 2" xfId="9132" xr:uid="{00000000-0005-0000-0000-0000AA810000}"/>
    <cellStyle name="Normal 8 4 3 2 2" xfId="15325" xr:uid="{00000000-0005-0000-0000-0000AB810000}"/>
    <cellStyle name="Normal 8 4 3 2 2 2" xfId="35245" xr:uid="{00000000-0005-0000-0000-0000AC810000}"/>
    <cellStyle name="Normal 8 4 3 2 3" xfId="21477" xr:uid="{00000000-0005-0000-0000-0000AD810000}"/>
    <cellStyle name="Normal 8 4 3 2 3 2" xfId="41397" xr:uid="{00000000-0005-0000-0000-0000AE810000}"/>
    <cellStyle name="Normal 8 4 3 2 4" xfId="29092" xr:uid="{00000000-0005-0000-0000-0000AF810000}"/>
    <cellStyle name="Normal 8 4 3 3" xfId="12259" xr:uid="{00000000-0005-0000-0000-0000B0810000}"/>
    <cellStyle name="Normal 8 4 3 3 2" xfId="32179" xr:uid="{00000000-0005-0000-0000-0000B1810000}"/>
    <cellStyle name="Normal 8 4 3 4" xfId="18411" xr:uid="{00000000-0005-0000-0000-0000B2810000}"/>
    <cellStyle name="Normal 8 4 3 4 2" xfId="38331" xr:uid="{00000000-0005-0000-0000-0000B3810000}"/>
    <cellStyle name="Normal 8 4 3 5" xfId="26026" xr:uid="{00000000-0005-0000-0000-0000B4810000}"/>
    <cellStyle name="Normal 8 4 4" xfId="7597" xr:uid="{00000000-0005-0000-0000-0000B5810000}"/>
    <cellStyle name="Normal 8 4 4 2" xfId="13791" xr:uid="{00000000-0005-0000-0000-0000B6810000}"/>
    <cellStyle name="Normal 8 4 4 2 2" xfId="33711" xr:uid="{00000000-0005-0000-0000-0000B7810000}"/>
    <cellStyle name="Normal 8 4 4 3" xfId="19943" xr:uid="{00000000-0005-0000-0000-0000B8810000}"/>
    <cellStyle name="Normal 8 4 4 3 2" xfId="39863" xr:uid="{00000000-0005-0000-0000-0000B9810000}"/>
    <cellStyle name="Normal 8 4 4 4" xfId="27558" xr:uid="{00000000-0005-0000-0000-0000BA810000}"/>
    <cellStyle name="Normal 8 4 5" xfId="10725" xr:uid="{00000000-0005-0000-0000-0000BB810000}"/>
    <cellStyle name="Normal 8 4 5 2" xfId="30645" xr:uid="{00000000-0005-0000-0000-0000BC810000}"/>
    <cellStyle name="Normal 8 4 6" xfId="16877" xr:uid="{00000000-0005-0000-0000-0000BD810000}"/>
    <cellStyle name="Normal 8 4 6 2" xfId="36797" xr:uid="{00000000-0005-0000-0000-0000BE810000}"/>
    <cellStyle name="Normal 8 4 7" xfId="24492" xr:uid="{00000000-0005-0000-0000-0000BF810000}"/>
    <cellStyle name="Normal 8 5" xfId="4016" xr:uid="{00000000-0005-0000-0000-0000C0810000}"/>
    <cellStyle name="Normal 8 5 2" xfId="5191" xr:uid="{00000000-0005-0000-0000-0000C1810000}"/>
    <cellStyle name="Normal 8 5 2 2" xfId="6816" xr:uid="{00000000-0005-0000-0000-0000C2810000}"/>
    <cellStyle name="Normal 8 5 2 2 2" xfId="9902" xr:uid="{00000000-0005-0000-0000-0000C3810000}"/>
    <cellStyle name="Normal 8 5 2 2 2 2" xfId="16095" xr:uid="{00000000-0005-0000-0000-0000C4810000}"/>
    <cellStyle name="Normal 8 5 2 2 2 2 2" xfId="36015" xr:uid="{00000000-0005-0000-0000-0000C5810000}"/>
    <cellStyle name="Normal 8 5 2 2 2 3" xfId="22247" xr:uid="{00000000-0005-0000-0000-0000C6810000}"/>
    <cellStyle name="Normal 8 5 2 2 2 3 2" xfId="42167" xr:uid="{00000000-0005-0000-0000-0000C7810000}"/>
    <cellStyle name="Normal 8 5 2 2 2 4" xfId="29862" xr:uid="{00000000-0005-0000-0000-0000C8810000}"/>
    <cellStyle name="Normal 8 5 2 2 3" xfId="13029" xr:uid="{00000000-0005-0000-0000-0000C9810000}"/>
    <cellStyle name="Normal 8 5 2 2 3 2" xfId="32949" xr:uid="{00000000-0005-0000-0000-0000CA810000}"/>
    <cellStyle name="Normal 8 5 2 2 4" xfId="19181" xr:uid="{00000000-0005-0000-0000-0000CB810000}"/>
    <cellStyle name="Normal 8 5 2 2 4 2" xfId="39101" xr:uid="{00000000-0005-0000-0000-0000CC810000}"/>
    <cellStyle name="Normal 8 5 2 2 5" xfId="26796" xr:uid="{00000000-0005-0000-0000-0000CD810000}"/>
    <cellStyle name="Normal 8 5 2 3" xfId="8367" xr:uid="{00000000-0005-0000-0000-0000CE810000}"/>
    <cellStyle name="Normal 8 5 2 3 2" xfId="14561" xr:uid="{00000000-0005-0000-0000-0000CF810000}"/>
    <cellStyle name="Normal 8 5 2 3 2 2" xfId="34481" xr:uid="{00000000-0005-0000-0000-0000D0810000}"/>
    <cellStyle name="Normal 8 5 2 3 3" xfId="20713" xr:uid="{00000000-0005-0000-0000-0000D1810000}"/>
    <cellStyle name="Normal 8 5 2 3 3 2" xfId="40633" xr:uid="{00000000-0005-0000-0000-0000D2810000}"/>
    <cellStyle name="Normal 8 5 2 3 4" xfId="28328" xr:uid="{00000000-0005-0000-0000-0000D3810000}"/>
    <cellStyle name="Normal 8 5 2 4" xfId="11495" xr:uid="{00000000-0005-0000-0000-0000D4810000}"/>
    <cellStyle name="Normal 8 5 2 4 2" xfId="31415" xr:uid="{00000000-0005-0000-0000-0000D5810000}"/>
    <cellStyle name="Normal 8 5 2 5" xfId="17647" xr:uid="{00000000-0005-0000-0000-0000D6810000}"/>
    <cellStyle name="Normal 8 5 2 5 2" xfId="37567" xr:uid="{00000000-0005-0000-0000-0000D7810000}"/>
    <cellStyle name="Normal 8 5 2 6" xfId="25262" xr:uid="{00000000-0005-0000-0000-0000D8810000}"/>
    <cellStyle name="Normal 8 5 3" xfId="6033" xr:uid="{00000000-0005-0000-0000-0000D9810000}"/>
    <cellStyle name="Normal 8 5 3 2" xfId="9133" xr:uid="{00000000-0005-0000-0000-0000DA810000}"/>
    <cellStyle name="Normal 8 5 3 2 2" xfId="15326" xr:uid="{00000000-0005-0000-0000-0000DB810000}"/>
    <cellStyle name="Normal 8 5 3 2 2 2" xfId="35246" xr:uid="{00000000-0005-0000-0000-0000DC810000}"/>
    <cellStyle name="Normal 8 5 3 2 3" xfId="21478" xr:uid="{00000000-0005-0000-0000-0000DD810000}"/>
    <cellStyle name="Normal 8 5 3 2 3 2" xfId="41398" xr:uid="{00000000-0005-0000-0000-0000DE810000}"/>
    <cellStyle name="Normal 8 5 3 2 4" xfId="29093" xr:uid="{00000000-0005-0000-0000-0000DF810000}"/>
    <cellStyle name="Normal 8 5 3 3" xfId="12260" xr:uid="{00000000-0005-0000-0000-0000E0810000}"/>
    <cellStyle name="Normal 8 5 3 3 2" xfId="32180" xr:uid="{00000000-0005-0000-0000-0000E1810000}"/>
    <cellStyle name="Normal 8 5 3 4" xfId="18412" xr:uid="{00000000-0005-0000-0000-0000E2810000}"/>
    <cellStyle name="Normal 8 5 3 4 2" xfId="38332" xr:uid="{00000000-0005-0000-0000-0000E3810000}"/>
    <cellStyle name="Normal 8 5 3 5" xfId="26027" xr:uid="{00000000-0005-0000-0000-0000E4810000}"/>
    <cellStyle name="Normal 8 5 4" xfId="7598" xr:uid="{00000000-0005-0000-0000-0000E5810000}"/>
    <cellStyle name="Normal 8 5 4 2" xfId="13792" xr:uid="{00000000-0005-0000-0000-0000E6810000}"/>
    <cellStyle name="Normal 8 5 4 2 2" xfId="33712" xr:uid="{00000000-0005-0000-0000-0000E7810000}"/>
    <cellStyle name="Normal 8 5 4 3" xfId="19944" xr:uid="{00000000-0005-0000-0000-0000E8810000}"/>
    <cellStyle name="Normal 8 5 4 3 2" xfId="39864" xr:uid="{00000000-0005-0000-0000-0000E9810000}"/>
    <cellStyle name="Normal 8 5 4 4" xfId="27559" xr:uid="{00000000-0005-0000-0000-0000EA810000}"/>
    <cellStyle name="Normal 8 5 5" xfId="10726" xr:uid="{00000000-0005-0000-0000-0000EB810000}"/>
    <cellStyle name="Normal 8 5 5 2" xfId="30646" xr:uid="{00000000-0005-0000-0000-0000EC810000}"/>
    <cellStyle name="Normal 8 5 6" xfId="16878" xr:uid="{00000000-0005-0000-0000-0000ED810000}"/>
    <cellStyle name="Normal 8 5 6 2" xfId="36798" xr:uid="{00000000-0005-0000-0000-0000EE810000}"/>
    <cellStyle name="Normal 8 5 7" xfId="24493" xr:uid="{00000000-0005-0000-0000-0000EF810000}"/>
    <cellStyle name="Normal 8 6" xfId="4017" xr:uid="{00000000-0005-0000-0000-0000F0810000}"/>
    <cellStyle name="Normal 8 6 2" xfId="5192" xr:uid="{00000000-0005-0000-0000-0000F1810000}"/>
    <cellStyle name="Normal 8 6 2 2" xfId="6817" xr:uid="{00000000-0005-0000-0000-0000F2810000}"/>
    <cellStyle name="Normal 8 6 2 2 2" xfId="9903" xr:uid="{00000000-0005-0000-0000-0000F3810000}"/>
    <cellStyle name="Normal 8 6 2 2 2 2" xfId="16096" xr:uid="{00000000-0005-0000-0000-0000F4810000}"/>
    <cellStyle name="Normal 8 6 2 2 2 2 2" xfId="36016" xr:uid="{00000000-0005-0000-0000-0000F5810000}"/>
    <cellStyle name="Normal 8 6 2 2 2 3" xfId="22248" xr:uid="{00000000-0005-0000-0000-0000F6810000}"/>
    <cellStyle name="Normal 8 6 2 2 2 3 2" xfId="42168" xr:uid="{00000000-0005-0000-0000-0000F7810000}"/>
    <cellStyle name="Normal 8 6 2 2 2 4" xfId="29863" xr:uid="{00000000-0005-0000-0000-0000F8810000}"/>
    <cellStyle name="Normal 8 6 2 2 3" xfId="13030" xr:uid="{00000000-0005-0000-0000-0000F9810000}"/>
    <cellStyle name="Normal 8 6 2 2 3 2" xfId="32950" xr:uid="{00000000-0005-0000-0000-0000FA810000}"/>
    <cellStyle name="Normal 8 6 2 2 4" xfId="19182" xr:uid="{00000000-0005-0000-0000-0000FB810000}"/>
    <cellStyle name="Normal 8 6 2 2 4 2" xfId="39102" xr:uid="{00000000-0005-0000-0000-0000FC810000}"/>
    <cellStyle name="Normal 8 6 2 2 5" xfId="26797" xr:uid="{00000000-0005-0000-0000-0000FD810000}"/>
    <cellStyle name="Normal 8 6 2 3" xfId="8368" xr:uid="{00000000-0005-0000-0000-0000FE810000}"/>
    <cellStyle name="Normal 8 6 2 3 2" xfId="14562" xr:uid="{00000000-0005-0000-0000-0000FF810000}"/>
    <cellStyle name="Normal 8 6 2 3 2 2" xfId="34482" xr:uid="{00000000-0005-0000-0000-000000820000}"/>
    <cellStyle name="Normal 8 6 2 3 3" xfId="20714" xr:uid="{00000000-0005-0000-0000-000001820000}"/>
    <cellStyle name="Normal 8 6 2 3 3 2" xfId="40634" xr:uid="{00000000-0005-0000-0000-000002820000}"/>
    <cellStyle name="Normal 8 6 2 3 4" xfId="28329" xr:uid="{00000000-0005-0000-0000-000003820000}"/>
    <cellStyle name="Normal 8 6 2 4" xfId="11496" xr:uid="{00000000-0005-0000-0000-000004820000}"/>
    <cellStyle name="Normal 8 6 2 4 2" xfId="31416" xr:uid="{00000000-0005-0000-0000-000005820000}"/>
    <cellStyle name="Normal 8 6 2 5" xfId="17648" xr:uid="{00000000-0005-0000-0000-000006820000}"/>
    <cellStyle name="Normal 8 6 2 5 2" xfId="37568" xr:uid="{00000000-0005-0000-0000-000007820000}"/>
    <cellStyle name="Normal 8 6 2 6" xfId="25263" xr:uid="{00000000-0005-0000-0000-000008820000}"/>
    <cellStyle name="Normal 8 6 3" xfId="6034" xr:uid="{00000000-0005-0000-0000-000009820000}"/>
    <cellStyle name="Normal 8 6 3 2" xfId="9134" xr:uid="{00000000-0005-0000-0000-00000A820000}"/>
    <cellStyle name="Normal 8 6 3 2 2" xfId="15327" xr:uid="{00000000-0005-0000-0000-00000B820000}"/>
    <cellStyle name="Normal 8 6 3 2 2 2" xfId="35247" xr:uid="{00000000-0005-0000-0000-00000C820000}"/>
    <cellStyle name="Normal 8 6 3 2 3" xfId="21479" xr:uid="{00000000-0005-0000-0000-00000D820000}"/>
    <cellStyle name="Normal 8 6 3 2 3 2" xfId="41399" xr:uid="{00000000-0005-0000-0000-00000E820000}"/>
    <cellStyle name="Normal 8 6 3 2 4" xfId="29094" xr:uid="{00000000-0005-0000-0000-00000F820000}"/>
    <cellStyle name="Normal 8 6 3 3" xfId="12261" xr:uid="{00000000-0005-0000-0000-000010820000}"/>
    <cellStyle name="Normal 8 6 3 3 2" xfId="32181" xr:uid="{00000000-0005-0000-0000-000011820000}"/>
    <cellStyle name="Normal 8 6 3 4" xfId="18413" xr:uid="{00000000-0005-0000-0000-000012820000}"/>
    <cellStyle name="Normal 8 6 3 4 2" xfId="38333" xr:uid="{00000000-0005-0000-0000-000013820000}"/>
    <cellStyle name="Normal 8 6 3 5" xfId="26028" xr:uid="{00000000-0005-0000-0000-000014820000}"/>
    <cellStyle name="Normal 8 6 4" xfId="7599" xr:uid="{00000000-0005-0000-0000-000015820000}"/>
    <cellStyle name="Normal 8 6 4 2" xfId="13793" xr:uid="{00000000-0005-0000-0000-000016820000}"/>
    <cellStyle name="Normal 8 6 4 2 2" xfId="33713" xr:uid="{00000000-0005-0000-0000-000017820000}"/>
    <cellStyle name="Normal 8 6 4 3" xfId="19945" xr:uid="{00000000-0005-0000-0000-000018820000}"/>
    <cellStyle name="Normal 8 6 4 3 2" xfId="39865" xr:uid="{00000000-0005-0000-0000-000019820000}"/>
    <cellStyle name="Normal 8 6 4 4" xfId="27560" xr:uid="{00000000-0005-0000-0000-00001A820000}"/>
    <cellStyle name="Normal 8 6 5" xfId="10727" xr:uid="{00000000-0005-0000-0000-00001B820000}"/>
    <cellStyle name="Normal 8 6 5 2" xfId="30647" xr:uid="{00000000-0005-0000-0000-00001C820000}"/>
    <cellStyle name="Normal 8 6 6" xfId="16879" xr:uid="{00000000-0005-0000-0000-00001D820000}"/>
    <cellStyle name="Normal 8 6 6 2" xfId="36799" xr:uid="{00000000-0005-0000-0000-00001E820000}"/>
    <cellStyle name="Normal 8 6 7" xfId="24494" xr:uid="{00000000-0005-0000-0000-00001F820000}"/>
    <cellStyle name="Normal 8 7" xfId="4018" xr:uid="{00000000-0005-0000-0000-000020820000}"/>
    <cellStyle name="Normal 8 7 2" xfId="5193" xr:uid="{00000000-0005-0000-0000-000021820000}"/>
    <cellStyle name="Normal 8 7 2 2" xfId="6818" xr:uid="{00000000-0005-0000-0000-000022820000}"/>
    <cellStyle name="Normal 8 7 2 2 2" xfId="9904" xr:uid="{00000000-0005-0000-0000-000023820000}"/>
    <cellStyle name="Normal 8 7 2 2 2 2" xfId="16097" xr:uid="{00000000-0005-0000-0000-000024820000}"/>
    <cellStyle name="Normal 8 7 2 2 2 2 2" xfId="36017" xr:uid="{00000000-0005-0000-0000-000025820000}"/>
    <cellStyle name="Normal 8 7 2 2 2 3" xfId="22249" xr:uid="{00000000-0005-0000-0000-000026820000}"/>
    <cellStyle name="Normal 8 7 2 2 2 3 2" xfId="42169" xr:uid="{00000000-0005-0000-0000-000027820000}"/>
    <cellStyle name="Normal 8 7 2 2 2 4" xfId="29864" xr:uid="{00000000-0005-0000-0000-000028820000}"/>
    <cellStyle name="Normal 8 7 2 2 3" xfId="13031" xr:uid="{00000000-0005-0000-0000-000029820000}"/>
    <cellStyle name="Normal 8 7 2 2 3 2" xfId="32951" xr:uid="{00000000-0005-0000-0000-00002A820000}"/>
    <cellStyle name="Normal 8 7 2 2 4" xfId="19183" xr:uid="{00000000-0005-0000-0000-00002B820000}"/>
    <cellStyle name="Normal 8 7 2 2 4 2" xfId="39103" xr:uid="{00000000-0005-0000-0000-00002C820000}"/>
    <cellStyle name="Normal 8 7 2 2 5" xfId="26798" xr:uid="{00000000-0005-0000-0000-00002D820000}"/>
    <cellStyle name="Normal 8 7 2 3" xfId="8369" xr:uid="{00000000-0005-0000-0000-00002E820000}"/>
    <cellStyle name="Normal 8 7 2 3 2" xfId="14563" xr:uid="{00000000-0005-0000-0000-00002F820000}"/>
    <cellStyle name="Normal 8 7 2 3 2 2" xfId="34483" xr:uid="{00000000-0005-0000-0000-000030820000}"/>
    <cellStyle name="Normal 8 7 2 3 3" xfId="20715" xr:uid="{00000000-0005-0000-0000-000031820000}"/>
    <cellStyle name="Normal 8 7 2 3 3 2" xfId="40635" xr:uid="{00000000-0005-0000-0000-000032820000}"/>
    <cellStyle name="Normal 8 7 2 3 4" xfId="28330" xr:uid="{00000000-0005-0000-0000-000033820000}"/>
    <cellStyle name="Normal 8 7 2 4" xfId="11497" xr:uid="{00000000-0005-0000-0000-000034820000}"/>
    <cellStyle name="Normal 8 7 2 4 2" xfId="31417" xr:uid="{00000000-0005-0000-0000-000035820000}"/>
    <cellStyle name="Normal 8 7 2 5" xfId="17649" xr:uid="{00000000-0005-0000-0000-000036820000}"/>
    <cellStyle name="Normal 8 7 2 5 2" xfId="37569" xr:uid="{00000000-0005-0000-0000-000037820000}"/>
    <cellStyle name="Normal 8 7 2 6" xfId="25264" xr:uid="{00000000-0005-0000-0000-000038820000}"/>
    <cellStyle name="Normal 8 7 3" xfId="6035" xr:uid="{00000000-0005-0000-0000-000039820000}"/>
    <cellStyle name="Normal 8 7 3 2" xfId="9135" xr:uid="{00000000-0005-0000-0000-00003A820000}"/>
    <cellStyle name="Normal 8 7 3 2 2" xfId="15328" xr:uid="{00000000-0005-0000-0000-00003B820000}"/>
    <cellStyle name="Normal 8 7 3 2 2 2" xfId="35248" xr:uid="{00000000-0005-0000-0000-00003C820000}"/>
    <cellStyle name="Normal 8 7 3 2 3" xfId="21480" xr:uid="{00000000-0005-0000-0000-00003D820000}"/>
    <cellStyle name="Normal 8 7 3 2 3 2" xfId="41400" xr:uid="{00000000-0005-0000-0000-00003E820000}"/>
    <cellStyle name="Normal 8 7 3 2 4" xfId="29095" xr:uid="{00000000-0005-0000-0000-00003F820000}"/>
    <cellStyle name="Normal 8 7 3 3" xfId="12262" xr:uid="{00000000-0005-0000-0000-000040820000}"/>
    <cellStyle name="Normal 8 7 3 3 2" xfId="32182" xr:uid="{00000000-0005-0000-0000-000041820000}"/>
    <cellStyle name="Normal 8 7 3 4" xfId="18414" xr:uid="{00000000-0005-0000-0000-000042820000}"/>
    <cellStyle name="Normal 8 7 3 4 2" xfId="38334" xr:uid="{00000000-0005-0000-0000-000043820000}"/>
    <cellStyle name="Normal 8 7 3 5" xfId="26029" xr:uid="{00000000-0005-0000-0000-000044820000}"/>
    <cellStyle name="Normal 8 7 4" xfId="7600" xr:uid="{00000000-0005-0000-0000-000045820000}"/>
    <cellStyle name="Normal 8 7 4 2" xfId="13794" xr:uid="{00000000-0005-0000-0000-000046820000}"/>
    <cellStyle name="Normal 8 7 4 2 2" xfId="33714" xr:uid="{00000000-0005-0000-0000-000047820000}"/>
    <cellStyle name="Normal 8 7 4 3" xfId="19946" xr:uid="{00000000-0005-0000-0000-000048820000}"/>
    <cellStyle name="Normal 8 7 4 3 2" xfId="39866" xr:uid="{00000000-0005-0000-0000-000049820000}"/>
    <cellStyle name="Normal 8 7 4 4" xfId="27561" xr:uid="{00000000-0005-0000-0000-00004A820000}"/>
    <cellStyle name="Normal 8 7 5" xfId="10728" xr:uid="{00000000-0005-0000-0000-00004B820000}"/>
    <cellStyle name="Normal 8 7 5 2" xfId="30648" xr:uid="{00000000-0005-0000-0000-00004C820000}"/>
    <cellStyle name="Normal 8 7 6" xfId="16880" xr:uid="{00000000-0005-0000-0000-00004D820000}"/>
    <cellStyle name="Normal 8 7 6 2" xfId="36800" xr:uid="{00000000-0005-0000-0000-00004E820000}"/>
    <cellStyle name="Normal 8 7 7" xfId="24495" xr:uid="{00000000-0005-0000-0000-00004F820000}"/>
    <cellStyle name="Normal 8 8" xfId="4019" xr:uid="{00000000-0005-0000-0000-000050820000}"/>
    <cellStyle name="Normal 8 8 2" xfId="5194" xr:uid="{00000000-0005-0000-0000-000051820000}"/>
    <cellStyle name="Normal 8 8 2 2" xfId="6819" xr:uid="{00000000-0005-0000-0000-000052820000}"/>
    <cellStyle name="Normal 8 8 2 2 2" xfId="9905" xr:uid="{00000000-0005-0000-0000-000053820000}"/>
    <cellStyle name="Normal 8 8 2 2 2 2" xfId="16098" xr:uid="{00000000-0005-0000-0000-000054820000}"/>
    <cellStyle name="Normal 8 8 2 2 2 2 2" xfId="36018" xr:uid="{00000000-0005-0000-0000-000055820000}"/>
    <cellStyle name="Normal 8 8 2 2 2 3" xfId="22250" xr:uid="{00000000-0005-0000-0000-000056820000}"/>
    <cellStyle name="Normal 8 8 2 2 2 3 2" xfId="42170" xr:uid="{00000000-0005-0000-0000-000057820000}"/>
    <cellStyle name="Normal 8 8 2 2 2 4" xfId="29865" xr:uid="{00000000-0005-0000-0000-000058820000}"/>
    <cellStyle name="Normal 8 8 2 2 3" xfId="13032" xr:uid="{00000000-0005-0000-0000-000059820000}"/>
    <cellStyle name="Normal 8 8 2 2 3 2" xfId="32952" xr:uid="{00000000-0005-0000-0000-00005A820000}"/>
    <cellStyle name="Normal 8 8 2 2 4" xfId="19184" xr:uid="{00000000-0005-0000-0000-00005B820000}"/>
    <cellStyle name="Normal 8 8 2 2 4 2" xfId="39104" xr:uid="{00000000-0005-0000-0000-00005C820000}"/>
    <cellStyle name="Normal 8 8 2 2 5" xfId="26799" xr:uid="{00000000-0005-0000-0000-00005D820000}"/>
    <cellStyle name="Normal 8 8 2 3" xfId="8370" xr:uid="{00000000-0005-0000-0000-00005E820000}"/>
    <cellStyle name="Normal 8 8 2 3 2" xfId="14564" xr:uid="{00000000-0005-0000-0000-00005F820000}"/>
    <cellStyle name="Normal 8 8 2 3 2 2" xfId="34484" xr:uid="{00000000-0005-0000-0000-000060820000}"/>
    <cellStyle name="Normal 8 8 2 3 3" xfId="20716" xr:uid="{00000000-0005-0000-0000-000061820000}"/>
    <cellStyle name="Normal 8 8 2 3 3 2" xfId="40636" xr:uid="{00000000-0005-0000-0000-000062820000}"/>
    <cellStyle name="Normal 8 8 2 3 4" xfId="28331" xr:uid="{00000000-0005-0000-0000-000063820000}"/>
    <cellStyle name="Normal 8 8 2 4" xfId="11498" xr:uid="{00000000-0005-0000-0000-000064820000}"/>
    <cellStyle name="Normal 8 8 2 4 2" xfId="31418" xr:uid="{00000000-0005-0000-0000-000065820000}"/>
    <cellStyle name="Normal 8 8 2 5" xfId="17650" xr:uid="{00000000-0005-0000-0000-000066820000}"/>
    <cellStyle name="Normal 8 8 2 5 2" xfId="37570" xr:uid="{00000000-0005-0000-0000-000067820000}"/>
    <cellStyle name="Normal 8 8 2 6" xfId="25265" xr:uid="{00000000-0005-0000-0000-000068820000}"/>
    <cellStyle name="Normal 8 8 3" xfId="6036" xr:uid="{00000000-0005-0000-0000-000069820000}"/>
    <cellStyle name="Normal 8 8 3 2" xfId="9136" xr:uid="{00000000-0005-0000-0000-00006A820000}"/>
    <cellStyle name="Normal 8 8 3 2 2" xfId="15329" xr:uid="{00000000-0005-0000-0000-00006B820000}"/>
    <cellStyle name="Normal 8 8 3 2 2 2" xfId="35249" xr:uid="{00000000-0005-0000-0000-00006C820000}"/>
    <cellStyle name="Normal 8 8 3 2 3" xfId="21481" xr:uid="{00000000-0005-0000-0000-00006D820000}"/>
    <cellStyle name="Normal 8 8 3 2 3 2" xfId="41401" xr:uid="{00000000-0005-0000-0000-00006E820000}"/>
    <cellStyle name="Normal 8 8 3 2 4" xfId="29096" xr:uid="{00000000-0005-0000-0000-00006F820000}"/>
    <cellStyle name="Normal 8 8 3 3" xfId="12263" xr:uid="{00000000-0005-0000-0000-000070820000}"/>
    <cellStyle name="Normal 8 8 3 3 2" xfId="32183" xr:uid="{00000000-0005-0000-0000-000071820000}"/>
    <cellStyle name="Normal 8 8 3 4" xfId="18415" xr:uid="{00000000-0005-0000-0000-000072820000}"/>
    <cellStyle name="Normal 8 8 3 4 2" xfId="38335" xr:uid="{00000000-0005-0000-0000-000073820000}"/>
    <cellStyle name="Normal 8 8 3 5" xfId="26030" xr:uid="{00000000-0005-0000-0000-000074820000}"/>
    <cellStyle name="Normal 8 8 4" xfId="7601" xr:uid="{00000000-0005-0000-0000-000075820000}"/>
    <cellStyle name="Normal 8 8 4 2" xfId="13795" xr:uid="{00000000-0005-0000-0000-000076820000}"/>
    <cellStyle name="Normal 8 8 4 2 2" xfId="33715" xr:uid="{00000000-0005-0000-0000-000077820000}"/>
    <cellStyle name="Normal 8 8 4 3" xfId="19947" xr:uid="{00000000-0005-0000-0000-000078820000}"/>
    <cellStyle name="Normal 8 8 4 3 2" xfId="39867" xr:uid="{00000000-0005-0000-0000-000079820000}"/>
    <cellStyle name="Normal 8 8 4 4" xfId="27562" xr:uid="{00000000-0005-0000-0000-00007A820000}"/>
    <cellStyle name="Normal 8 8 5" xfId="10729" xr:uid="{00000000-0005-0000-0000-00007B820000}"/>
    <cellStyle name="Normal 8 8 5 2" xfId="30649" xr:uid="{00000000-0005-0000-0000-00007C820000}"/>
    <cellStyle name="Normal 8 8 6" xfId="16881" xr:uid="{00000000-0005-0000-0000-00007D820000}"/>
    <cellStyle name="Normal 8 8 6 2" xfId="36801" xr:uid="{00000000-0005-0000-0000-00007E820000}"/>
    <cellStyle name="Normal 8 8 7" xfId="24496" xr:uid="{00000000-0005-0000-0000-00007F820000}"/>
    <cellStyle name="Normal 8 9" xfId="4020" xr:uid="{00000000-0005-0000-0000-000080820000}"/>
    <cellStyle name="Normal 8 9 2" xfId="5195" xr:uid="{00000000-0005-0000-0000-000081820000}"/>
    <cellStyle name="Normal 8 9 2 2" xfId="6820" xr:uid="{00000000-0005-0000-0000-000082820000}"/>
    <cellStyle name="Normal 8 9 2 2 2" xfId="9906" xr:uid="{00000000-0005-0000-0000-000083820000}"/>
    <cellStyle name="Normal 8 9 2 2 2 2" xfId="16099" xr:uid="{00000000-0005-0000-0000-000084820000}"/>
    <cellStyle name="Normal 8 9 2 2 2 2 2" xfId="36019" xr:uid="{00000000-0005-0000-0000-000085820000}"/>
    <cellStyle name="Normal 8 9 2 2 2 3" xfId="22251" xr:uid="{00000000-0005-0000-0000-000086820000}"/>
    <cellStyle name="Normal 8 9 2 2 2 3 2" xfId="42171" xr:uid="{00000000-0005-0000-0000-000087820000}"/>
    <cellStyle name="Normal 8 9 2 2 2 4" xfId="29866" xr:uid="{00000000-0005-0000-0000-000088820000}"/>
    <cellStyle name="Normal 8 9 2 2 3" xfId="13033" xr:uid="{00000000-0005-0000-0000-000089820000}"/>
    <cellStyle name="Normal 8 9 2 2 3 2" xfId="32953" xr:uid="{00000000-0005-0000-0000-00008A820000}"/>
    <cellStyle name="Normal 8 9 2 2 4" xfId="19185" xr:uid="{00000000-0005-0000-0000-00008B820000}"/>
    <cellStyle name="Normal 8 9 2 2 4 2" xfId="39105" xr:uid="{00000000-0005-0000-0000-00008C820000}"/>
    <cellStyle name="Normal 8 9 2 2 5" xfId="26800" xr:uid="{00000000-0005-0000-0000-00008D820000}"/>
    <cellStyle name="Normal 8 9 2 3" xfId="8371" xr:uid="{00000000-0005-0000-0000-00008E820000}"/>
    <cellStyle name="Normal 8 9 2 3 2" xfId="14565" xr:uid="{00000000-0005-0000-0000-00008F820000}"/>
    <cellStyle name="Normal 8 9 2 3 2 2" xfId="34485" xr:uid="{00000000-0005-0000-0000-000090820000}"/>
    <cellStyle name="Normal 8 9 2 3 3" xfId="20717" xr:uid="{00000000-0005-0000-0000-000091820000}"/>
    <cellStyle name="Normal 8 9 2 3 3 2" xfId="40637" xr:uid="{00000000-0005-0000-0000-000092820000}"/>
    <cellStyle name="Normal 8 9 2 3 4" xfId="28332" xr:uid="{00000000-0005-0000-0000-000093820000}"/>
    <cellStyle name="Normal 8 9 2 4" xfId="11499" xr:uid="{00000000-0005-0000-0000-000094820000}"/>
    <cellStyle name="Normal 8 9 2 4 2" xfId="31419" xr:uid="{00000000-0005-0000-0000-000095820000}"/>
    <cellStyle name="Normal 8 9 2 5" xfId="17651" xr:uid="{00000000-0005-0000-0000-000096820000}"/>
    <cellStyle name="Normal 8 9 2 5 2" xfId="37571" xr:uid="{00000000-0005-0000-0000-000097820000}"/>
    <cellStyle name="Normal 8 9 2 6" xfId="25266" xr:uid="{00000000-0005-0000-0000-000098820000}"/>
    <cellStyle name="Normal 8 9 3" xfId="6037" xr:uid="{00000000-0005-0000-0000-000099820000}"/>
    <cellStyle name="Normal 8 9 3 2" xfId="9137" xr:uid="{00000000-0005-0000-0000-00009A820000}"/>
    <cellStyle name="Normal 8 9 3 2 2" xfId="15330" xr:uid="{00000000-0005-0000-0000-00009B820000}"/>
    <cellStyle name="Normal 8 9 3 2 2 2" xfId="35250" xr:uid="{00000000-0005-0000-0000-00009C820000}"/>
    <cellStyle name="Normal 8 9 3 2 3" xfId="21482" xr:uid="{00000000-0005-0000-0000-00009D820000}"/>
    <cellStyle name="Normal 8 9 3 2 3 2" xfId="41402" xr:uid="{00000000-0005-0000-0000-00009E820000}"/>
    <cellStyle name="Normal 8 9 3 2 4" xfId="29097" xr:uid="{00000000-0005-0000-0000-00009F820000}"/>
    <cellStyle name="Normal 8 9 3 3" xfId="12264" xr:uid="{00000000-0005-0000-0000-0000A0820000}"/>
    <cellStyle name="Normal 8 9 3 3 2" xfId="32184" xr:uid="{00000000-0005-0000-0000-0000A1820000}"/>
    <cellStyle name="Normal 8 9 3 4" xfId="18416" xr:uid="{00000000-0005-0000-0000-0000A2820000}"/>
    <cellStyle name="Normal 8 9 3 4 2" xfId="38336" xr:uid="{00000000-0005-0000-0000-0000A3820000}"/>
    <cellStyle name="Normal 8 9 3 5" xfId="26031" xr:uid="{00000000-0005-0000-0000-0000A4820000}"/>
    <cellStyle name="Normal 8 9 4" xfId="7602" xr:uid="{00000000-0005-0000-0000-0000A5820000}"/>
    <cellStyle name="Normal 8 9 4 2" xfId="13796" xr:uid="{00000000-0005-0000-0000-0000A6820000}"/>
    <cellStyle name="Normal 8 9 4 2 2" xfId="33716" xr:uid="{00000000-0005-0000-0000-0000A7820000}"/>
    <cellStyle name="Normal 8 9 4 3" xfId="19948" xr:uid="{00000000-0005-0000-0000-0000A8820000}"/>
    <cellStyle name="Normal 8 9 4 3 2" xfId="39868" xr:uid="{00000000-0005-0000-0000-0000A9820000}"/>
    <cellStyle name="Normal 8 9 4 4" xfId="27563" xr:uid="{00000000-0005-0000-0000-0000AA820000}"/>
    <cellStyle name="Normal 8 9 5" xfId="10730" xr:uid="{00000000-0005-0000-0000-0000AB820000}"/>
    <cellStyle name="Normal 8 9 5 2" xfId="30650" xr:uid="{00000000-0005-0000-0000-0000AC820000}"/>
    <cellStyle name="Normal 8 9 6" xfId="16882" xr:uid="{00000000-0005-0000-0000-0000AD820000}"/>
    <cellStyle name="Normal 8 9 6 2" xfId="36802" xr:uid="{00000000-0005-0000-0000-0000AE820000}"/>
    <cellStyle name="Normal 8 9 7" xfId="24497" xr:uid="{00000000-0005-0000-0000-0000AF820000}"/>
    <cellStyle name="Normal 9" xfId="31" xr:uid="{00000000-0005-0000-0000-0000B0820000}"/>
    <cellStyle name="Normal 9 10" xfId="4022" xr:uid="{00000000-0005-0000-0000-0000B1820000}"/>
    <cellStyle name="Normal 9 10 2" xfId="5197" xr:uid="{00000000-0005-0000-0000-0000B2820000}"/>
    <cellStyle name="Normal 9 10 2 2" xfId="6822" xr:uid="{00000000-0005-0000-0000-0000B3820000}"/>
    <cellStyle name="Normal 9 10 2 2 2" xfId="9908" xr:uid="{00000000-0005-0000-0000-0000B4820000}"/>
    <cellStyle name="Normal 9 10 2 2 2 2" xfId="16101" xr:uid="{00000000-0005-0000-0000-0000B5820000}"/>
    <cellStyle name="Normal 9 10 2 2 2 2 2" xfId="36021" xr:uid="{00000000-0005-0000-0000-0000B6820000}"/>
    <cellStyle name="Normal 9 10 2 2 2 3" xfId="22253" xr:uid="{00000000-0005-0000-0000-0000B7820000}"/>
    <cellStyle name="Normal 9 10 2 2 2 3 2" xfId="42173" xr:uid="{00000000-0005-0000-0000-0000B8820000}"/>
    <cellStyle name="Normal 9 10 2 2 2 4" xfId="29868" xr:uid="{00000000-0005-0000-0000-0000B9820000}"/>
    <cellStyle name="Normal 9 10 2 2 3" xfId="13035" xr:uid="{00000000-0005-0000-0000-0000BA820000}"/>
    <cellStyle name="Normal 9 10 2 2 3 2" xfId="32955" xr:uid="{00000000-0005-0000-0000-0000BB820000}"/>
    <cellStyle name="Normal 9 10 2 2 4" xfId="19187" xr:uid="{00000000-0005-0000-0000-0000BC820000}"/>
    <cellStyle name="Normal 9 10 2 2 4 2" xfId="39107" xr:uid="{00000000-0005-0000-0000-0000BD820000}"/>
    <cellStyle name="Normal 9 10 2 2 5" xfId="26802" xr:uid="{00000000-0005-0000-0000-0000BE820000}"/>
    <cellStyle name="Normal 9 10 2 3" xfId="8373" xr:uid="{00000000-0005-0000-0000-0000BF820000}"/>
    <cellStyle name="Normal 9 10 2 3 2" xfId="14567" xr:uid="{00000000-0005-0000-0000-0000C0820000}"/>
    <cellStyle name="Normal 9 10 2 3 2 2" xfId="34487" xr:uid="{00000000-0005-0000-0000-0000C1820000}"/>
    <cellStyle name="Normal 9 10 2 3 3" xfId="20719" xr:uid="{00000000-0005-0000-0000-0000C2820000}"/>
    <cellStyle name="Normal 9 10 2 3 3 2" xfId="40639" xr:uid="{00000000-0005-0000-0000-0000C3820000}"/>
    <cellStyle name="Normal 9 10 2 3 4" xfId="28334" xr:uid="{00000000-0005-0000-0000-0000C4820000}"/>
    <cellStyle name="Normal 9 10 2 4" xfId="11501" xr:uid="{00000000-0005-0000-0000-0000C5820000}"/>
    <cellStyle name="Normal 9 10 2 4 2" xfId="31421" xr:uid="{00000000-0005-0000-0000-0000C6820000}"/>
    <cellStyle name="Normal 9 10 2 5" xfId="17653" xr:uid="{00000000-0005-0000-0000-0000C7820000}"/>
    <cellStyle name="Normal 9 10 2 5 2" xfId="37573" xr:uid="{00000000-0005-0000-0000-0000C8820000}"/>
    <cellStyle name="Normal 9 10 2 6" xfId="25268" xr:uid="{00000000-0005-0000-0000-0000C9820000}"/>
    <cellStyle name="Normal 9 10 3" xfId="6039" xr:uid="{00000000-0005-0000-0000-0000CA820000}"/>
    <cellStyle name="Normal 9 10 3 2" xfId="9139" xr:uid="{00000000-0005-0000-0000-0000CB820000}"/>
    <cellStyle name="Normal 9 10 3 2 2" xfId="15332" xr:uid="{00000000-0005-0000-0000-0000CC820000}"/>
    <cellStyle name="Normal 9 10 3 2 2 2" xfId="35252" xr:uid="{00000000-0005-0000-0000-0000CD820000}"/>
    <cellStyle name="Normal 9 10 3 2 3" xfId="21484" xr:uid="{00000000-0005-0000-0000-0000CE820000}"/>
    <cellStyle name="Normal 9 10 3 2 3 2" xfId="41404" xr:uid="{00000000-0005-0000-0000-0000CF820000}"/>
    <cellStyle name="Normal 9 10 3 2 4" xfId="29099" xr:uid="{00000000-0005-0000-0000-0000D0820000}"/>
    <cellStyle name="Normal 9 10 3 3" xfId="12266" xr:uid="{00000000-0005-0000-0000-0000D1820000}"/>
    <cellStyle name="Normal 9 10 3 3 2" xfId="32186" xr:uid="{00000000-0005-0000-0000-0000D2820000}"/>
    <cellStyle name="Normal 9 10 3 4" xfId="18418" xr:uid="{00000000-0005-0000-0000-0000D3820000}"/>
    <cellStyle name="Normal 9 10 3 4 2" xfId="38338" xr:uid="{00000000-0005-0000-0000-0000D4820000}"/>
    <cellStyle name="Normal 9 10 3 5" xfId="26033" xr:uid="{00000000-0005-0000-0000-0000D5820000}"/>
    <cellStyle name="Normal 9 10 4" xfId="7604" xr:uid="{00000000-0005-0000-0000-0000D6820000}"/>
    <cellStyle name="Normal 9 10 4 2" xfId="13798" xr:uid="{00000000-0005-0000-0000-0000D7820000}"/>
    <cellStyle name="Normal 9 10 4 2 2" xfId="33718" xr:uid="{00000000-0005-0000-0000-0000D8820000}"/>
    <cellStyle name="Normal 9 10 4 3" xfId="19950" xr:uid="{00000000-0005-0000-0000-0000D9820000}"/>
    <cellStyle name="Normal 9 10 4 3 2" xfId="39870" xr:uid="{00000000-0005-0000-0000-0000DA820000}"/>
    <cellStyle name="Normal 9 10 4 4" xfId="27565" xr:uid="{00000000-0005-0000-0000-0000DB820000}"/>
    <cellStyle name="Normal 9 10 5" xfId="10732" xr:uid="{00000000-0005-0000-0000-0000DC820000}"/>
    <cellStyle name="Normal 9 10 5 2" xfId="30652" xr:uid="{00000000-0005-0000-0000-0000DD820000}"/>
    <cellStyle name="Normal 9 10 6" xfId="16884" xr:uid="{00000000-0005-0000-0000-0000DE820000}"/>
    <cellStyle name="Normal 9 10 6 2" xfId="36804" xr:uid="{00000000-0005-0000-0000-0000DF820000}"/>
    <cellStyle name="Normal 9 10 7" xfId="24499" xr:uid="{00000000-0005-0000-0000-0000E0820000}"/>
    <cellStyle name="Normal 9 11" xfId="4023" xr:uid="{00000000-0005-0000-0000-0000E1820000}"/>
    <cellStyle name="Normal 9 11 2" xfId="5198" xr:uid="{00000000-0005-0000-0000-0000E2820000}"/>
    <cellStyle name="Normal 9 11 2 2" xfId="6823" xr:uid="{00000000-0005-0000-0000-0000E3820000}"/>
    <cellStyle name="Normal 9 11 2 2 2" xfId="9909" xr:uid="{00000000-0005-0000-0000-0000E4820000}"/>
    <cellStyle name="Normal 9 11 2 2 2 2" xfId="16102" xr:uid="{00000000-0005-0000-0000-0000E5820000}"/>
    <cellStyle name="Normal 9 11 2 2 2 2 2" xfId="36022" xr:uid="{00000000-0005-0000-0000-0000E6820000}"/>
    <cellStyle name="Normal 9 11 2 2 2 3" xfId="22254" xr:uid="{00000000-0005-0000-0000-0000E7820000}"/>
    <cellStyle name="Normal 9 11 2 2 2 3 2" xfId="42174" xr:uid="{00000000-0005-0000-0000-0000E8820000}"/>
    <cellStyle name="Normal 9 11 2 2 2 4" xfId="29869" xr:uid="{00000000-0005-0000-0000-0000E9820000}"/>
    <cellStyle name="Normal 9 11 2 2 3" xfId="13036" xr:uid="{00000000-0005-0000-0000-0000EA820000}"/>
    <cellStyle name="Normal 9 11 2 2 3 2" xfId="32956" xr:uid="{00000000-0005-0000-0000-0000EB820000}"/>
    <cellStyle name="Normal 9 11 2 2 4" xfId="19188" xr:uid="{00000000-0005-0000-0000-0000EC820000}"/>
    <cellStyle name="Normal 9 11 2 2 4 2" xfId="39108" xr:uid="{00000000-0005-0000-0000-0000ED820000}"/>
    <cellStyle name="Normal 9 11 2 2 5" xfId="26803" xr:uid="{00000000-0005-0000-0000-0000EE820000}"/>
    <cellStyle name="Normal 9 11 2 3" xfId="8374" xr:uid="{00000000-0005-0000-0000-0000EF820000}"/>
    <cellStyle name="Normal 9 11 2 3 2" xfId="14568" xr:uid="{00000000-0005-0000-0000-0000F0820000}"/>
    <cellStyle name="Normal 9 11 2 3 2 2" xfId="34488" xr:uid="{00000000-0005-0000-0000-0000F1820000}"/>
    <cellStyle name="Normal 9 11 2 3 3" xfId="20720" xr:uid="{00000000-0005-0000-0000-0000F2820000}"/>
    <cellStyle name="Normal 9 11 2 3 3 2" xfId="40640" xr:uid="{00000000-0005-0000-0000-0000F3820000}"/>
    <cellStyle name="Normal 9 11 2 3 4" xfId="28335" xr:uid="{00000000-0005-0000-0000-0000F4820000}"/>
    <cellStyle name="Normal 9 11 2 4" xfId="11502" xr:uid="{00000000-0005-0000-0000-0000F5820000}"/>
    <cellStyle name="Normal 9 11 2 4 2" xfId="31422" xr:uid="{00000000-0005-0000-0000-0000F6820000}"/>
    <cellStyle name="Normal 9 11 2 5" xfId="17654" xr:uid="{00000000-0005-0000-0000-0000F7820000}"/>
    <cellStyle name="Normal 9 11 2 5 2" xfId="37574" xr:uid="{00000000-0005-0000-0000-0000F8820000}"/>
    <cellStyle name="Normal 9 11 2 6" xfId="25269" xr:uid="{00000000-0005-0000-0000-0000F9820000}"/>
    <cellStyle name="Normal 9 11 3" xfId="6040" xr:uid="{00000000-0005-0000-0000-0000FA820000}"/>
    <cellStyle name="Normal 9 11 3 2" xfId="9140" xr:uid="{00000000-0005-0000-0000-0000FB820000}"/>
    <cellStyle name="Normal 9 11 3 2 2" xfId="15333" xr:uid="{00000000-0005-0000-0000-0000FC820000}"/>
    <cellStyle name="Normal 9 11 3 2 2 2" xfId="35253" xr:uid="{00000000-0005-0000-0000-0000FD820000}"/>
    <cellStyle name="Normal 9 11 3 2 3" xfId="21485" xr:uid="{00000000-0005-0000-0000-0000FE820000}"/>
    <cellStyle name="Normal 9 11 3 2 3 2" xfId="41405" xr:uid="{00000000-0005-0000-0000-0000FF820000}"/>
    <cellStyle name="Normal 9 11 3 2 4" xfId="29100" xr:uid="{00000000-0005-0000-0000-000000830000}"/>
    <cellStyle name="Normal 9 11 3 3" xfId="12267" xr:uid="{00000000-0005-0000-0000-000001830000}"/>
    <cellStyle name="Normal 9 11 3 3 2" xfId="32187" xr:uid="{00000000-0005-0000-0000-000002830000}"/>
    <cellStyle name="Normal 9 11 3 4" xfId="18419" xr:uid="{00000000-0005-0000-0000-000003830000}"/>
    <cellStyle name="Normal 9 11 3 4 2" xfId="38339" xr:uid="{00000000-0005-0000-0000-000004830000}"/>
    <cellStyle name="Normal 9 11 3 5" xfId="26034" xr:uid="{00000000-0005-0000-0000-000005830000}"/>
    <cellStyle name="Normal 9 11 4" xfId="7605" xr:uid="{00000000-0005-0000-0000-000006830000}"/>
    <cellStyle name="Normal 9 11 4 2" xfId="13799" xr:uid="{00000000-0005-0000-0000-000007830000}"/>
    <cellStyle name="Normal 9 11 4 2 2" xfId="33719" xr:uid="{00000000-0005-0000-0000-000008830000}"/>
    <cellStyle name="Normal 9 11 4 3" xfId="19951" xr:uid="{00000000-0005-0000-0000-000009830000}"/>
    <cellStyle name="Normal 9 11 4 3 2" xfId="39871" xr:uid="{00000000-0005-0000-0000-00000A830000}"/>
    <cellStyle name="Normal 9 11 4 4" xfId="27566" xr:uid="{00000000-0005-0000-0000-00000B830000}"/>
    <cellStyle name="Normal 9 11 5" xfId="10733" xr:uid="{00000000-0005-0000-0000-00000C830000}"/>
    <cellStyle name="Normal 9 11 5 2" xfId="30653" xr:uid="{00000000-0005-0000-0000-00000D830000}"/>
    <cellStyle name="Normal 9 11 6" xfId="16885" xr:uid="{00000000-0005-0000-0000-00000E830000}"/>
    <cellStyle name="Normal 9 11 6 2" xfId="36805" xr:uid="{00000000-0005-0000-0000-00000F830000}"/>
    <cellStyle name="Normal 9 11 7" xfId="24500" xr:uid="{00000000-0005-0000-0000-000010830000}"/>
    <cellStyle name="Normal 9 12" xfId="4024" xr:uid="{00000000-0005-0000-0000-000011830000}"/>
    <cellStyle name="Normal 9 12 2" xfId="5199" xr:uid="{00000000-0005-0000-0000-000012830000}"/>
    <cellStyle name="Normal 9 12 2 2" xfId="6824" xr:uid="{00000000-0005-0000-0000-000013830000}"/>
    <cellStyle name="Normal 9 12 2 2 2" xfId="9910" xr:uid="{00000000-0005-0000-0000-000014830000}"/>
    <cellStyle name="Normal 9 12 2 2 2 2" xfId="16103" xr:uid="{00000000-0005-0000-0000-000015830000}"/>
    <cellStyle name="Normal 9 12 2 2 2 2 2" xfId="36023" xr:uid="{00000000-0005-0000-0000-000016830000}"/>
    <cellStyle name="Normal 9 12 2 2 2 3" xfId="22255" xr:uid="{00000000-0005-0000-0000-000017830000}"/>
    <cellStyle name="Normal 9 12 2 2 2 3 2" xfId="42175" xr:uid="{00000000-0005-0000-0000-000018830000}"/>
    <cellStyle name="Normal 9 12 2 2 2 4" xfId="29870" xr:uid="{00000000-0005-0000-0000-000019830000}"/>
    <cellStyle name="Normal 9 12 2 2 3" xfId="13037" xr:uid="{00000000-0005-0000-0000-00001A830000}"/>
    <cellStyle name="Normal 9 12 2 2 3 2" xfId="32957" xr:uid="{00000000-0005-0000-0000-00001B830000}"/>
    <cellStyle name="Normal 9 12 2 2 4" xfId="19189" xr:uid="{00000000-0005-0000-0000-00001C830000}"/>
    <cellStyle name="Normal 9 12 2 2 4 2" xfId="39109" xr:uid="{00000000-0005-0000-0000-00001D830000}"/>
    <cellStyle name="Normal 9 12 2 2 5" xfId="26804" xr:uid="{00000000-0005-0000-0000-00001E830000}"/>
    <cellStyle name="Normal 9 12 2 3" xfId="8375" xr:uid="{00000000-0005-0000-0000-00001F830000}"/>
    <cellStyle name="Normal 9 12 2 3 2" xfId="14569" xr:uid="{00000000-0005-0000-0000-000020830000}"/>
    <cellStyle name="Normal 9 12 2 3 2 2" xfId="34489" xr:uid="{00000000-0005-0000-0000-000021830000}"/>
    <cellStyle name="Normal 9 12 2 3 3" xfId="20721" xr:uid="{00000000-0005-0000-0000-000022830000}"/>
    <cellStyle name="Normal 9 12 2 3 3 2" xfId="40641" xr:uid="{00000000-0005-0000-0000-000023830000}"/>
    <cellStyle name="Normal 9 12 2 3 4" xfId="28336" xr:uid="{00000000-0005-0000-0000-000024830000}"/>
    <cellStyle name="Normal 9 12 2 4" xfId="11503" xr:uid="{00000000-0005-0000-0000-000025830000}"/>
    <cellStyle name="Normal 9 12 2 4 2" xfId="31423" xr:uid="{00000000-0005-0000-0000-000026830000}"/>
    <cellStyle name="Normal 9 12 2 5" xfId="17655" xr:uid="{00000000-0005-0000-0000-000027830000}"/>
    <cellStyle name="Normal 9 12 2 5 2" xfId="37575" xr:uid="{00000000-0005-0000-0000-000028830000}"/>
    <cellStyle name="Normal 9 12 2 6" xfId="25270" xr:uid="{00000000-0005-0000-0000-000029830000}"/>
    <cellStyle name="Normal 9 12 3" xfId="6041" xr:uid="{00000000-0005-0000-0000-00002A830000}"/>
    <cellStyle name="Normal 9 12 3 2" xfId="9141" xr:uid="{00000000-0005-0000-0000-00002B830000}"/>
    <cellStyle name="Normal 9 12 3 2 2" xfId="15334" xr:uid="{00000000-0005-0000-0000-00002C830000}"/>
    <cellStyle name="Normal 9 12 3 2 2 2" xfId="35254" xr:uid="{00000000-0005-0000-0000-00002D830000}"/>
    <cellStyle name="Normal 9 12 3 2 3" xfId="21486" xr:uid="{00000000-0005-0000-0000-00002E830000}"/>
    <cellStyle name="Normal 9 12 3 2 3 2" xfId="41406" xr:uid="{00000000-0005-0000-0000-00002F830000}"/>
    <cellStyle name="Normal 9 12 3 2 4" xfId="29101" xr:uid="{00000000-0005-0000-0000-000030830000}"/>
    <cellStyle name="Normal 9 12 3 3" xfId="12268" xr:uid="{00000000-0005-0000-0000-000031830000}"/>
    <cellStyle name="Normal 9 12 3 3 2" xfId="32188" xr:uid="{00000000-0005-0000-0000-000032830000}"/>
    <cellStyle name="Normal 9 12 3 4" xfId="18420" xr:uid="{00000000-0005-0000-0000-000033830000}"/>
    <cellStyle name="Normal 9 12 3 4 2" xfId="38340" xr:uid="{00000000-0005-0000-0000-000034830000}"/>
    <cellStyle name="Normal 9 12 3 5" xfId="26035" xr:uid="{00000000-0005-0000-0000-000035830000}"/>
    <cellStyle name="Normal 9 12 4" xfId="7606" xr:uid="{00000000-0005-0000-0000-000036830000}"/>
    <cellStyle name="Normal 9 12 4 2" xfId="13800" xr:uid="{00000000-0005-0000-0000-000037830000}"/>
    <cellStyle name="Normal 9 12 4 2 2" xfId="33720" xr:uid="{00000000-0005-0000-0000-000038830000}"/>
    <cellStyle name="Normal 9 12 4 3" xfId="19952" xr:uid="{00000000-0005-0000-0000-000039830000}"/>
    <cellStyle name="Normal 9 12 4 3 2" xfId="39872" xr:uid="{00000000-0005-0000-0000-00003A830000}"/>
    <cellStyle name="Normal 9 12 4 4" xfId="27567" xr:uid="{00000000-0005-0000-0000-00003B830000}"/>
    <cellStyle name="Normal 9 12 5" xfId="10734" xr:uid="{00000000-0005-0000-0000-00003C830000}"/>
    <cellStyle name="Normal 9 12 5 2" xfId="30654" xr:uid="{00000000-0005-0000-0000-00003D830000}"/>
    <cellStyle name="Normal 9 12 6" xfId="16886" xr:uid="{00000000-0005-0000-0000-00003E830000}"/>
    <cellStyle name="Normal 9 12 6 2" xfId="36806" xr:uid="{00000000-0005-0000-0000-00003F830000}"/>
    <cellStyle name="Normal 9 12 7" xfId="24501" xr:uid="{00000000-0005-0000-0000-000040830000}"/>
    <cellStyle name="Normal 9 13" xfId="4025" xr:uid="{00000000-0005-0000-0000-000041830000}"/>
    <cellStyle name="Normal 9 13 2" xfId="5200" xr:uid="{00000000-0005-0000-0000-000042830000}"/>
    <cellStyle name="Normal 9 13 2 2" xfId="6825" xr:uid="{00000000-0005-0000-0000-000043830000}"/>
    <cellStyle name="Normal 9 13 2 2 2" xfId="9911" xr:uid="{00000000-0005-0000-0000-000044830000}"/>
    <cellStyle name="Normal 9 13 2 2 2 2" xfId="16104" xr:uid="{00000000-0005-0000-0000-000045830000}"/>
    <cellStyle name="Normal 9 13 2 2 2 2 2" xfId="36024" xr:uid="{00000000-0005-0000-0000-000046830000}"/>
    <cellStyle name="Normal 9 13 2 2 2 3" xfId="22256" xr:uid="{00000000-0005-0000-0000-000047830000}"/>
    <cellStyle name="Normal 9 13 2 2 2 3 2" xfId="42176" xr:uid="{00000000-0005-0000-0000-000048830000}"/>
    <cellStyle name="Normal 9 13 2 2 2 4" xfId="29871" xr:uid="{00000000-0005-0000-0000-000049830000}"/>
    <cellStyle name="Normal 9 13 2 2 3" xfId="13038" xr:uid="{00000000-0005-0000-0000-00004A830000}"/>
    <cellStyle name="Normal 9 13 2 2 3 2" xfId="32958" xr:uid="{00000000-0005-0000-0000-00004B830000}"/>
    <cellStyle name="Normal 9 13 2 2 4" xfId="19190" xr:uid="{00000000-0005-0000-0000-00004C830000}"/>
    <cellStyle name="Normal 9 13 2 2 4 2" xfId="39110" xr:uid="{00000000-0005-0000-0000-00004D830000}"/>
    <cellStyle name="Normal 9 13 2 2 5" xfId="26805" xr:uid="{00000000-0005-0000-0000-00004E830000}"/>
    <cellStyle name="Normal 9 13 2 3" xfId="8376" xr:uid="{00000000-0005-0000-0000-00004F830000}"/>
    <cellStyle name="Normal 9 13 2 3 2" xfId="14570" xr:uid="{00000000-0005-0000-0000-000050830000}"/>
    <cellStyle name="Normal 9 13 2 3 2 2" xfId="34490" xr:uid="{00000000-0005-0000-0000-000051830000}"/>
    <cellStyle name="Normal 9 13 2 3 3" xfId="20722" xr:uid="{00000000-0005-0000-0000-000052830000}"/>
    <cellStyle name="Normal 9 13 2 3 3 2" xfId="40642" xr:uid="{00000000-0005-0000-0000-000053830000}"/>
    <cellStyle name="Normal 9 13 2 3 4" xfId="28337" xr:uid="{00000000-0005-0000-0000-000054830000}"/>
    <cellStyle name="Normal 9 13 2 4" xfId="11504" xr:uid="{00000000-0005-0000-0000-000055830000}"/>
    <cellStyle name="Normal 9 13 2 4 2" xfId="31424" xr:uid="{00000000-0005-0000-0000-000056830000}"/>
    <cellStyle name="Normal 9 13 2 5" xfId="17656" xr:uid="{00000000-0005-0000-0000-000057830000}"/>
    <cellStyle name="Normal 9 13 2 5 2" xfId="37576" xr:uid="{00000000-0005-0000-0000-000058830000}"/>
    <cellStyle name="Normal 9 13 2 6" xfId="25271" xr:uid="{00000000-0005-0000-0000-000059830000}"/>
    <cellStyle name="Normal 9 13 3" xfId="6042" xr:uid="{00000000-0005-0000-0000-00005A830000}"/>
    <cellStyle name="Normal 9 13 3 2" xfId="9142" xr:uid="{00000000-0005-0000-0000-00005B830000}"/>
    <cellStyle name="Normal 9 13 3 2 2" xfId="15335" xr:uid="{00000000-0005-0000-0000-00005C830000}"/>
    <cellStyle name="Normal 9 13 3 2 2 2" xfId="35255" xr:uid="{00000000-0005-0000-0000-00005D830000}"/>
    <cellStyle name="Normal 9 13 3 2 3" xfId="21487" xr:uid="{00000000-0005-0000-0000-00005E830000}"/>
    <cellStyle name="Normal 9 13 3 2 3 2" xfId="41407" xr:uid="{00000000-0005-0000-0000-00005F830000}"/>
    <cellStyle name="Normal 9 13 3 2 4" xfId="29102" xr:uid="{00000000-0005-0000-0000-000060830000}"/>
    <cellStyle name="Normal 9 13 3 3" xfId="12269" xr:uid="{00000000-0005-0000-0000-000061830000}"/>
    <cellStyle name="Normal 9 13 3 3 2" xfId="32189" xr:uid="{00000000-0005-0000-0000-000062830000}"/>
    <cellStyle name="Normal 9 13 3 4" xfId="18421" xr:uid="{00000000-0005-0000-0000-000063830000}"/>
    <cellStyle name="Normal 9 13 3 4 2" xfId="38341" xr:uid="{00000000-0005-0000-0000-000064830000}"/>
    <cellStyle name="Normal 9 13 3 5" xfId="26036" xr:uid="{00000000-0005-0000-0000-000065830000}"/>
    <cellStyle name="Normal 9 13 4" xfId="7607" xr:uid="{00000000-0005-0000-0000-000066830000}"/>
    <cellStyle name="Normal 9 13 4 2" xfId="13801" xr:uid="{00000000-0005-0000-0000-000067830000}"/>
    <cellStyle name="Normal 9 13 4 2 2" xfId="33721" xr:uid="{00000000-0005-0000-0000-000068830000}"/>
    <cellStyle name="Normal 9 13 4 3" xfId="19953" xr:uid="{00000000-0005-0000-0000-000069830000}"/>
    <cellStyle name="Normal 9 13 4 3 2" xfId="39873" xr:uid="{00000000-0005-0000-0000-00006A830000}"/>
    <cellStyle name="Normal 9 13 4 4" xfId="27568" xr:uid="{00000000-0005-0000-0000-00006B830000}"/>
    <cellStyle name="Normal 9 13 5" xfId="10735" xr:uid="{00000000-0005-0000-0000-00006C830000}"/>
    <cellStyle name="Normal 9 13 5 2" xfId="30655" xr:uid="{00000000-0005-0000-0000-00006D830000}"/>
    <cellStyle name="Normal 9 13 6" xfId="16887" xr:uid="{00000000-0005-0000-0000-00006E830000}"/>
    <cellStyle name="Normal 9 13 6 2" xfId="36807" xr:uid="{00000000-0005-0000-0000-00006F830000}"/>
    <cellStyle name="Normal 9 13 7" xfId="24502" xr:uid="{00000000-0005-0000-0000-000070830000}"/>
    <cellStyle name="Normal 9 14" xfId="4026" xr:uid="{00000000-0005-0000-0000-000071830000}"/>
    <cellStyle name="Normal 9 14 2" xfId="5201" xr:uid="{00000000-0005-0000-0000-000072830000}"/>
    <cellStyle name="Normal 9 14 2 2" xfId="6826" xr:uid="{00000000-0005-0000-0000-000073830000}"/>
    <cellStyle name="Normal 9 14 2 2 2" xfId="9912" xr:uid="{00000000-0005-0000-0000-000074830000}"/>
    <cellStyle name="Normal 9 14 2 2 2 2" xfId="16105" xr:uid="{00000000-0005-0000-0000-000075830000}"/>
    <cellStyle name="Normal 9 14 2 2 2 2 2" xfId="36025" xr:uid="{00000000-0005-0000-0000-000076830000}"/>
    <cellStyle name="Normal 9 14 2 2 2 3" xfId="22257" xr:uid="{00000000-0005-0000-0000-000077830000}"/>
    <cellStyle name="Normal 9 14 2 2 2 3 2" xfId="42177" xr:uid="{00000000-0005-0000-0000-000078830000}"/>
    <cellStyle name="Normal 9 14 2 2 2 4" xfId="29872" xr:uid="{00000000-0005-0000-0000-000079830000}"/>
    <cellStyle name="Normal 9 14 2 2 3" xfId="13039" xr:uid="{00000000-0005-0000-0000-00007A830000}"/>
    <cellStyle name="Normal 9 14 2 2 3 2" xfId="32959" xr:uid="{00000000-0005-0000-0000-00007B830000}"/>
    <cellStyle name="Normal 9 14 2 2 4" xfId="19191" xr:uid="{00000000-0005-0000-0000-00007C830000}"/>
    <cellStyle name="Normal 9 14 2 2 4 2" xfId="39111" xr:uid="{00000000-0005-0000-0000-00007D830000}"/>
    <cellStyle name="Normal 9 14 2 2 5" xfId="26806" xr:uid="{00000000-0005-0000-0000-00007E830000}"/>
    <cellStyle name="Normal 9 14 2 3" xfId="8377" xr:uid="{00000000-0005-0000-0000-00007F830000}"/>
    <cellStyle name="Normal 9 14 2 3 2" xfId="14571" xr:uid="{00000000-0005-0000-0000-000080830000}"/>
    <cellStyle name="Normal 9 14 2 3 2 2" xfId="34491" xr:uid="{00000000-0005-0000-0000-000081830000}"/>
    <cellStyle name="Normal 9 14 2 3 3" xfId="20723" xr:uid="{00000000-0005-0000-0000-000082830000}"/>
    <cellStyle name="Normal 9 14 2 3 3 2" xfId="40643" xr:uid="{00000000-0005-0000-0000-000083830000}"/>
    <cellStyle name="Normal 9 14 2 3 4" xfId="28338" xr:uid="{00000000-0005-0000-0000-000084830000}"/>
    <cellStyle name="Normal 9 14 2 4" xfId="11505" xr:uid="{00000000-0005-0000-0000-000085830000}"/>
    <cellStyle name="Normal 9 14 2 4 2" xfId="31425" xr:uid="{00000000-0005-0000-0000-000086830000}"/>
    <cellStyle name="Normal 9 14 2 5" xfId="17657" xr:uid="{00000000-0005-0000-0000-000087830000}"/>
    <cellStyle name="Normal 9 14 2 5 2" xfId="37577" xr:uid="{00000000-0005-0000-0000-000088830000}"/>
    <cellStyle name="Normal 9 14 2 6" xfId="25272" xr:uid="{00000000-0005-0000-0000-000089830000}"/>
    <cellStyle name="Normal 9 14 3" xfId="6043" xr:uid="{00000000-0005-0000-0000-00008A830000}"/>
    <cellStyle name="Normal 9 14 3 2" xfId="9143" xr:uid="{00000000-0005-0000-0000-00008B830000}"/>
    <cellStyle name="Normal 9 14 3 2 2" xfId="15336" xr:uid="{00000000-0005-0000-0000-00008C830000}"/>
    <cellStyle name="Normal 9 14 3 2 2 2" xfId="35256" xr:uid="{00000000-0005-0000-0000-00008D830000}"/>
    <cellStyle name="Normal 9 14 3 2 3" xfId="21488" xr:uid="{00000000-0005-0000-0000-00008E830000}"/>
    <cellStyle name="Normal 9 14 3 2 3 2" xfId="41408" xr:uid="{00000000-0005-0000-0000-00008F830000}"/>
    <cellStyle name="Normal 9 14 3 2 4" xfId="29103" xr:uid="{00000000-0005-0000-0000-000090830000}"/>
    <cellStyle name="Normal 9 14 3 3" xfId="12270" xr:uid="{00000000-0005-0000-0000-000091830000}"/>
    <cellStyle name="Normal 9 14 3 3 2" xfId="32190" xr:uid="{00000000-0005-0000-0000-000092830000}"/>
    <cellStyle name="Normal 9 14 3 4" xfId="18422" xr:uid="{00000000-0005-0000-0000-000093830000}"/>
    <cellStyle name="Normal 9 14 3 4 2" xfId="38342" xr:uid="{00000000-0005-0000-0000-000094830000}"/>
    <cellStyle name="Normal 9 14 3 5" xfId="26037" xr:uid="{00000000-0005-0000-0000-000095830000}"/>
    <cellStyle name="Normal 9 14 4" xfId="7608" xr:uid="{00000000-0005-0000-0000-000096830000}"/>
    <cellStyle name="Normal 9 14 4 2" xfId="13802" xr:uid="{00000000-0005-0000-0000-000097830000}"/>
    <cellStyle name="Normal 9 14 4 2 2" xfId="33722" xr:uid="{00000000-0005-0000-0000-000098830000}"/>
    <cellStyle name="Normal 9 14 4 3" xfId="19954" xr:uid="{00000000-0005-0000-0000-000099830000}"/>
    <cellStyle name="Normal 9 14 4 3 2" xfId="39874" xr:uid="{00000000-0005-0000-0000-00009A830000}"/>
    <cellStyle name="Normal 9 14 4 4" xfId="27569" xr:uid="{00000000-0005-0000-0000-00009B830000}"/>
    <cellStyle name="Normal 9 14 5" xfId="10736" xr:uid="{00000000-0005-0000-0000-00009C830000}"/>
    <cellStyle name="Normal 9 14 5 2" xfId="30656" xr:uid="{00000000-0005-0000-0000-00009D830000}"/>
    <cellStyle name="Normal 9 14 6" xfId="16888" xr:uid="{00000000-0005-0000-0000-00009E830000}"/>
    <cellStyle name="Normal 9 14 6 2" xfId="36808" xr:uid="{00000000-0005-0000-0000-00009F830000}"/>
    <cellStyle name="Normal 9 14 7" xfId="24503" xr:uid="{00000000-0005-0000-0000-0000A0830000}"/>
    <cellStyle name="Normal 9 15" xfId="4027" xr:uid="{00000000-0005-0000-0000-0000A1830000}"/>
    <cellStyle name="Normal 9 15 2" xfId="5202" xr:uid="{00000000-0005-0000-0000-0000A2830000}"/>
    <cellStyle name="Normal 9 15 2 2" xfId="6827" xr:uid="{00000000-0005-0000-0000-0000A3830000}"/>
    <cellStyle name="Normal 9 15 2 2 2" xfId="9913" xr:uid="{00000000-0005-0000-0000-0000A4830000}"/>
    <cellStyle name="Normal 9 15 2 2 2 2" xfId="16106" xr:uid="{00000000-0005-0000-0000-0000A5830000}"/>
    <cellStyle name="Normal 9 15 2 2 2 2 2" xfId="36026" xr:uid="{00000000-0005-0000-0000-0000A6830000}"/>
    <cellStyle name="Normal 9 15 2 2 2 3" xfId="22258" xr:uid="{00000000-0005-0000-0000-0000A7830000}"/>
    <cellStyle name="Normal 9 15 2 2 2 3 2" xfId="42178" xr:uid="{00000000-0005-0000-0000-0000A8830000}"/>
    <cellStyle name="Normal 9 15 2 2 2 4" xfId="29873" xr:uid="{00000000-0005-0000-0000-0000A9830000}"/>
    <cellStyle name="Normal 9 15 2 2 3" xfId="13040" xr:uid="{00000000-0005-0000-0000-0000AA830000}"/>
    <cellStyle name="Normal 9 15 2 2 3 2" xfId="32960" xr:uid="{00000000-0005-0000-0000-0000AB830000}"/>
    <cellStyle name="Normal 9 15 2 2 4" xfId="19192" xr:uid="{00000000-0005-0000-0000-0000AC830000}"/>
    <cellStyle name="Normal 9 15 2 2 4 2" xfId="39112" xr:uid="{00000000-0005-0000-0000-0000AD830000}"/>
    <cellStyle name="Normal 9 15 2 2 5" xfId="26807" xr:uid="{00000000-0005-0000-0000-0000AE830000}"/>
    <cellStyle name="Normal 9 15 2 3" xfId="8378" xr:uid="{00000000-0005-0000-0000-0000AF830000}"/>
    <cellStyle name="Normal 9 15 2 3 2" xfId="14572" xr:uid="{00000000-0005-0000-0000-0000B0830000}"/>
    <cellStyle name="Normal 9 15 2 3 2 2" xfId="34492" xr:uid="{00000000-0005-0000-0000-0000B1830000}"/>
    <cellStyle name="Normal 9 15 2 3 3" xfId="20724" xr:uid="{00000000-0005-0000-0000-0000B2830000}"/>
    <cellStyle name="Normal 9 15 2 3 3 2" xfId="40644" xr:uid="{00000000-0005-0000-0000-0000B3830000}"/>
    <cellStyle name="Normal 9 15 2 3 4" xfId="28339" xr:uid="{00000000-0005-0000-0000-0000B4830000}"/>
    <cellStyle name="Normal 9 15 2 4" xfId="11506" xr:uid="{00000000-0005-0000-0000-0000B5830000}"/>
    <cellStyle name="Normal 9 15 2 4 2" xfId="31426" xr:uid="{00000000-0005-0000-0000-0000B6830000}"/>
    <cellStyle name="Normal 9 15 2 5" xfId="17658" xr:uid="{00000000-0005-0000-0000-0000B7830000}"/>
    <cellStyle name="Normal 9 15 2 5 2" xfId="37578" xr:uid="{00000000-0005-0000-0000-0000B8830000}"/>
    <cellStyle name="Normal 9 15 2 6" xfId="25273" xr:uid="{00000000-0005-0000-0000-0000B9830000}"/>
    <cellStyle name="Normal 9 15 3" xfId="6044" xr:uid="{00000000-0005-0000-0000-0000BA830000}"/>
    <cellStyle name="Normal 9 15 3 2" xfId="9144" xr:uid="{00000000-0005-0000-0000-0000BB830000}"/>
    <cellStyle name="Normal 9 15 3 2 2" xfId="15337" xr:uid="{00000000-0005-0000-0000-0000BC830000}"/>
    <cellStyle name="Normal 9 15 3 2 2 2" xfId="35257" xr:uid="{00000000-0005-0000-0000-0000BD830000}"/>
    <cellStyle name="Normal 9 15 3 2 3" xfId="21489" xr:uid="{00000000-0005-0000-0000-0000BE830000}"/>
    <cellStyle name="Normal 9 15 3 2 3 2" xfId="41409" xr:uid="{00000000-0005-0000-0000-0000BF830000}"/>
    <cellStyle name="Normal 9 15 3 2 4" xfId="29104" xr:uid="{00000000-0005-0000-0000-0000C0830000}"/>
    <cellStyle name="Normal 9 15 3 3" xfId="12271" xr:uid="{00000000-0005-0000-0000-0000C1830000}"/>
    <cellStyle name="Normal 9 15 3 3 2" xfId="32191" xr:uid="{00000000-0005-0000-0000-0000C2830000}"/>
    <cellStyle name="Normal 9 15 3 4" xfId="18423" xr:uid="{00000000-0005-0000-0000-0000C3830000}"/>
    <cellStyle name="Normal 9 15 3 4 2" xfId="38343" xr:uid="{00000000-0005-0000-0000-0000C4830000}"/>
    <cellStyle name="Normal 9 15 3 5" xfId="26038" xr:uid="{00000000-0005-0000-0000-0000C5830000}"/>
    <cellStyle name="Normal 9 15 4" xfId="7609" xr:uid="{00000000-0005-0000-0000-0000C6830000}"/>
    <cellStyle name="Normal 9 15 4 2" xfId="13803" xr:uid="{00000000-0005-0000-0000-0000C7830000}"/>
    <cellStyle name="Normal 9 15 4 2 2" xfId="33723" xr:uid="{00000000-0005-0000-0000-0000C8830000}"/>
    <cellStyle name="Normal 9 15 4 3" xfId="19955" xr:uid="{00000000-0005-0000-0000-0000C9830000}"/>
    <cellStyle name="Normal 9 15 4 3 2" xfId="39875" xr:uid="{00000000-0005-0000-0000-0000CA830000}"/>
    <cellStyle name="Normal 9 15 4 4" xfId="27570" xr:uid="{00000000-0005-0000-0000-0000CB830000}"/>
    <cellStyle name="Normal 9 15 5" xfId="10737" xr:uid="{00000000-0005-0000-0000-0000CC830000}"/>
    <cellStyle name="Normal 9 15 5 2" xfId="30657" xr:uid="{00000000-0005-0000-0000-0000CD830000}"/>
    <cellStyle name="Normal 9 15 6" xfId="16889" xr:uid="{00000000-0005-0000-0000-0000CE830000}"/>
    <cellStyle name="Normal 9 15 6 2" xfId="36809" xr:uid="{00000000-0005-0000-0000-0000CF830000}"/>
    <cellStyle name="Normal 9 15 7" xfId="24504" xr:uid="{00000000-0005-0000-0000-0000D0830000}"/>
    <cellStyle name="Normal 9 16" xfId="4028" xr:uid="{00000000-0005-0000-0000-0000D1830000}"/>
    <cellStyle name="Normal 9 16 2" xfId="5203" xr:uid="{00000000-0005-0000-0000-0000D2830000}"/>
    <cellStyle name="Normal 9 16 2 2" xfId="6828" xr:uid="{00000000-0005-0000-0000-0000D3830000}"/>
    <cellStyle name="Normal 9 16 2 2 2" xfId="9914" xr:uid="{00000000-0005-0000-0000-0000D4830000}"/>
    <cellStyle name="Normal 9 16 2 2 2 2" xfId="16107" xr:uid="{00000000-0005-0000-0000-0000D5830000}"/>
    <cellStyle name="Normal 9 16 2 2 2 2 2" xfId="36027" xr:uid="{00000000-0005-0000-0000-0000D6830000}"/>
    <cellStyle name="Normal 9 16 2 2 2 3" xfId="22259" xr:uid="{00000000-0005-0000-0000-0000D7830000}"/>
    <cellStyle name="Normal 9 16 2 2 2 3 2" xfId="42179" xr:uid="{00000000-0005-0000-0000-0000D8830000}"/>
    <cellStyle name="Normal 9 16 2 2 2 4" xfId="29874" xr:uid="{00000000-0005-0000-0000-0000D9830000}"/>
    <cellStyle name="Normal 9 16 2 2 3" xfId="13041" xr:uid="{00000000-0005-0000-0000-0000DA830000}"/>
    <cellStyle name="Normal 9 16 2 2 3 2" xfId="32961" xr:uid="{00000000-0005-0000-0000-0000DB830000}"/>
    <cellStyle name="Normal 9 16 2 2 4" xfId="19193" xr:uid="{00000000-0005-0000-0000-0000DC830000}"/>
    <cellStyle name="Normal 9 16 2 2 4 2" xfId="39113" xr:uid="{00000000-0005-0000-0000-0000DD830000}"/>
    <cellStyle name="Normal 9 16 2 2 5" xfId="26808" xr:uid="{00000000-0005-0000-0000-0000DE830000}"/>
    <cellStyle name="Normal 9 16 2 3" xfId="8379" xr:uid="{00000000-0005-0000-0000-0000DF830000}"/>
    <cellStyle name="Normal 9 16 2 3 2" xfId="14573" xr:uid="{00000000-0005-0000-0000-0000E0830000}"/>
    <cellStyle name="Normal 9 16 2 3 2 2" xfId="34493" xr:uid="{00000000-0005-0000-0000-0000E1830000}"/>
    <cellStyle name="Normal 9 16 2 3 3" xfId="20725" xr:uid="{00000000-0005-0000-0000-0000E2830000}"/>
    <cellStyle name="Normal 9 16 2 3 3 2" xfId="40645" xr:uid="{00000000-0005-0000-0000-0000E3830000}"/>
    <cellStyle name="Normal 9 16 2 3 4" xfId="28340" xr:uid="{00000000-0005-0000-0000-0000E4830000}"/>
    <cellStyle name="Normal 9 16 2 4" xfId="11507" xr:uid="{00000000-0005-0000-0000-0000E5830000}"/>
    <cellStyle name="Normal 9 16 2 4 2" xfId="31427" xr:uid="{00000000-0005-0000-0000-0000E6830000}"/>
    <cellStyle name="Normal 9 16 2 5" xfId="17659" xr:uid="{00000000-0005-0000-0000-0000E7830000}"/>
    <cellStyle name="Normal 9 16 2 5 2" xfId="37579" xr:uid="{00000000-0005-0000-0000-0000E8830000}"/>
    <cellStyle name="Normal 9 16 2 6" xfId="25274" xr:uid="{00000000-0005-0000-0000-0000E9830000}"/>
    <cellStyle name="Normal 9 16 3" xfId="6045" xr:uid="{00000000-0005-0000-0000-0000EA830000}"/>
    <cellStyle name="Normal 9 16 3 2" xfId="9145" xr:uid="{00000000-0005-0000-0000-0000EB830000}"/>
    <cellStyle name="Normal 9 16 3 2 2" xfId="15338" xr:uid="{00000000-0005-0000-0000-0000EC830000}"/>
    <cellStyle name="Normal 9 16 3 2 2 2" xfId="35258" xr:uid="{00000000-0005-0000-0000-0000ED830000}"/>
    <cellStyle name="Normal 9 16 3 2 3" xfId="21490" xr:uid="{00000000-0005-0000-0000-0000EE830000}"/>
    <cellStyle name="Normal 9 16 3 2 3 2" xfId="41410" xr:uid="{00000000-0005-0000-0000-0000EF830000}"/>
    <cellStyle name="Normal 9 16 3 2 4" xfId="29105" xr:uid="{00000000-0005-0000-0000-0000F0830000}"/>
    <cellStyle name="Normal 9 16 3 3" xfId="12272" xr:uid="{00000000-0005-0000-0000-0000F1830000}"/>
    <cellStyle name="Normal 9 16 3 3 2" xfId="32192" xr:uid="{00000000-0005-0000-0000-0000F2830000}"/>
    <cellStyle name="Normal 9 16 3 4" xfId="18424" xr:uid="{00000000-0005-0000-0000-0000F3830000}"/>
    <cellStyle name="Normal 9 16 3 4 2" xfId="38344" xr:uid="{00000000-0005-0000-0000-0000F4830000}"/>
    <cellStyle name="Normal 9 16 3 5" xfId="26039" xr:uid="{00000000-0005-0000-0000-0000F5830000}"/>
    <cellStyle name="Normal 9 16 4" xfId="7610" xr:uid="{00000000-0005-0000-0000-0000F6830000}"/>
    <cellStyle name="Normal 9 16 4 2" xfId="13804" xr:uid="{00000000-0005-0000-0000-0000F7830000}"/>
    <cellStyle name="Normal 9 16 4 2 2" xfId="33724" xr:uid="{00000000-0005-0000-0000-0000F8830000}"/>
    <cellStyle name="Normal 9 16 4 3" xfId="19956" xr:uid="{00000000-0005-0000-0000-0000F9830000}"/>
    <cellStyle name="Normal 9 16 4 3 2" xfId="39876" xr:uid="{00000000-0005-0000-0000-0000FA830000}"/>
    <cellStyle name="Normal 9 16 4 4" xfId="27571" xr:uid="{00000000-0005-0000-0000-0000FB830000}"/>
    <cellStyle name="Normal 9 16 5" xfId="10738" xr:uid="{00000000-0005-0000-0000-0000FC830000}"/>
    <cellStyle name="Normal 9 16 5 2" xfId="30658" xr:uid="{00000000-0005-0000-0000-0000FD830000}"/>
    <cellStyle name="Normal 9 16 6" xfId="16890" xr:uid="{00000000-0005-0000-0000-0000FE830000}"/>
    <cellStyle name="Normal 9 16 6 2" xfId="36810" xr:uid="{00000000-0005-0000-0000-0000FF830000}"/>
    <cellStyle name="Normal 9 16 7" xfId="24505" xr:uid="{00000000-0005-0000-0000-000000840000}"/>
    <cellStyle name="Normal 9 17" xfId="4029" xr:uid="{00000000-0005-0000-0000-000001840000}"/>
    <cellStyle name="Normal 9 17 2" xfId="5204" xr:uid="{00000000-0005-0000-0000-000002840000}"/>
    <cellStyle name="Normal 9 17 2 2" xfId="6829" xr:uid="{00000000-0005-0000-0000-000003840000}"/>
    <cellStyle name="Normal 9 17 2 2 2" xfId="9915" xr:uid="{00000000-0005-0000-0000-000004840000}"/>
    <cellStyle name="Normal 9 17 2 2 2 2" xfId="16108" xr:uid="{00000000-0005-0000-0000-000005840000}"/>
    <cellStyle name="Normal 9 17 2 2 2 2 2" xfId="36028" xr:uid="{00000000-0005-0000-0000-000006840000}"/>
    <cellStyle name="Normal 9 17 2 2 2 3" xfId="22260" xr:uid="{00000000-0005-0000-0000-000007840000}"/>
    <cellStyle name="Normal 9 17 2 2 2 3 2" xfId="42180" xr:uid="{00000000-0005-0000-0000-000008840000}"/>
    <cellStyle name="Normal 9 17 2 2 2 4" xfId="29875" xr:uid="{00000000-0005-0000-0000-000009840000}"/>
    <cellStyle name="Normal 9 17 2 2 3" xfId="13042" xr:uid="{00000000-0005-0000-0000-00000A840000}"/>
    <cellStyle name="Normal 9 17 2 2 3 2" xfId="32962" xr:uid="{00000000-0005-0000-0000-00000B840000}"/>
    <cellStyle name="Normal 9 17 2 2 4" xfId="19194" xr:uid="{00000000-0005-0000-0000-00000C840000}"/>
    <cellStyle name="Normal 9 17 2 2 4 2" xfId="39114" xr:uid="{00000000-0005-0000-0000-00000D840000}"/>
    <cellStyle name="Normal 9 17 2 2 5" xfId="26809" xr:uid="{00000000-0005-0000-0000-00000E840000}"/>
    <cellStyle name="Normal 9 17 2 3" xfId="8380" xr:uid="{00000000-0005-0000-0000-00000F840000}"/>
    <cellStyle name="Normal 9 17 2 3 2" xfId="14574" xr:uid="{00000000-0005-0000-0000-000010840000}"/>
    <cellStyle name="Normal 9 17 2 3 2 2" xfId="34494" xr:uid="{00000000-0005-0000-0000-000011840000}"/>
    <cellStyle name="Normal 9 17 2 3 3" xfId="20726" xr:uid="{00000000-0005-0000-0000-000012840000}"/>
    <cellStyle name="Normal 9 17 2 3 3 2" xfId="40646" xr:uid="{00000000-0005-0000-0000-000013840000}"/>
    <cellStyle name="Normal 9 17 2 3 4" xfId="28341" xr:uid="{00000000-0005-0000-0000-000014840000}"/>
    <cellStyle name="Normal 9 17 2 4" xfId="11508" xr:uid="{00000000-0005-0000-0000-000015840000}"/>
    <cellStyle name="Normal 9 17 2 4 2" xfId="31428" xr:uid="{00000000-0005-0000-0000-000016840000}"/>
    <cellStyle name="Normal 9 17 2 5" xfId="17660" xr:uid="{00000000-0005-0000-0000-000017840000}"/>
    <cellStyle name="Normal 9 17 2 5 2" xfId="37580" xr:uid="{00000000-0005-0000-0000-000018840000}"/>
    <cellStyle name="Normal 9 17 2 6" xfId="25275" xr:uid="{00000000-0005-0000-0000-000019840000}"/>
    <cellStyle name="Normal 9 17 3" xfId="6046" xr:uid="{00000000-0005-0000-0000-00001A840000}"/>
    <cellStyle name="Normal 9 17 3 2" xfId="9146" xr:uid="{00000000-0005-0000-0000-00001B840000}"/>
    <cellStyle name="Normal 9 17 3 2 2" xfId="15339" xr:uid="{00000000-0005-0000-0000-00001C840000}"/>
    <cellStyle name="Normal 9 17 3 2 2 2" xfId="35259" xr:uid="{00000000-0005-0000-0000-00001D840000}"/>
    <cellStyle name="Normal 9 17 3 2 3" xfId="21491" xr:uid="{00000000-0005-0000-0000-00001E840000}"/>
    <cellStyle name="Normal 9 17 3 2 3 2" xfId="41411" xr:uid="{00000000-0005-0000-0000-00001F840000}"/>
    <cellStyle name="Normal 9 17 3 2 4" xfId="29106" xr:uid="{00000000-0005-0000-0000-000020840000}"/>
    <cellStyle name="Normal 9 17 3 3" xfId="12273" xr:uid="{00000000-0005-0000-0000-000021840000}"/>
    <cellStyle name="Normal 9 17 3 3 2" xfId="32193" xr:uid="{00000000-0005-0000-0000-000022840000}"/>
    <cellStyle name="Normal 9 17 3 4" xfId="18425" xr:uid="{00000000-0005-0000-0000-000023840000}"/>
    <cellStyle name="Normal 9 17 3 4 2" xfId="38345" xr:uid="{00000000-0005-0000-0000-000024840000}"/>
    <cellStyle name="Normal 9 17 3 5" xfId="26040" xr:uid="{00000000-0005-0000-0000-000025840000}"/>
    <cellStyle name="Normal 9 17 4" xfId="7611" xr:uid="{00000000-0005-0000-0000-000026840000}"/>
    <cellStyle name="Normal 9 17 4 2" xfId="13805" xr:uid="{00000000-0005-0000-0000-000027840000}"/>
    <cellStyle name="Normal 9 17 4 2 2" xfId="33725" xr:uid="{00000000-0005-0000-0000-000028840000}"/>
    <cellStyle name="Normal 9 17 4 3" xfId="19957" xr:uid="{00000000-0005-0000-0000-000029840000}"/>
    <cellStyle name="Normal 9 17 4 3 2" xfId="39877" xr:uid="{00000000-0005-0000-0000-00002A840000}"/>
    <cellStyle name="Normal 9 17 4 4" xfId="27572" xr:uid="{00000000-0005-0000-0000-00002B840000}"/>
    <cellStyle name="Normal 9 17 5" xfId="10739" xr:uid="{00000000-0005-0000-0000-00002C840000}"/>
    <cellStyle name="Normal 9 17 5 2" xfId="30659" xr:uid="{00000000-0005-0000-0000-00002D840000}"/>
    <cellStyle name="Normal 9 17 6" xfId="16891" xr:uid="{00000000-0005-0000-0000-00002E840000}"/>
    <cellStyle name="Normal 9 17 6 2" xfId="36811" xr:uid="{00000000-0005-0000-0000-00002F840000}"/>
    <cellStyle name="Normal 9 17 7" xfId="24506" xr:uid="{00000000-0005-0000-0000-000030840000}"/>
    <cellStyle name="Normal 9 18" xfId="4030" xr:uid="{00000000-0005-0000-0000-000031840000}"/>
    <cellStyle name="Normal 9 18 2" xfId="5205" xr:uid="{00000000-0005-0000-0000-000032840000}"/>
    <cellStyle name="Normal 9 18 2 2" xfId="6830" xr:uid="{00000000-0005-0000-0000-000033840000}"/>
    <cellStyle name="Normal 9 18 2 2 2" xfId="9916" xr:uid="{00000000-0005-0000-0000-000034840000}"/>
    <cellStyle name="Normal 9 18 2 2 2 2" xfId="16109" xr:uid="{00000000-0005-0000-0000-000035840000}"/>
    <cellStyle name="Normal 9 18 2 2 2 2 2" xfId="36029" xr:uid="{00000000-0005-0000-0000-000036840000}"/>
    <cellStyle name="Normal 9 18 2 2 2 3" xfId="22261" xr:uid="{00000000-0005-0000-0000-000037840000}"/>
    <cellStyle name="Normal 9 18 2 2 2 3 2" xfId="42181" xr:uid="{00000000-0005-0000-0000-000038840000}"/>
    <cellStyle name="Normal 9 18 2 2 2 4" xfId="29876" xr:uid="{00000000-0005-0000-0000-000039840000}"/>
    <cellStyle name="Normal 9 18 2 2 3" xfId="13043" xr:uid="{00000000-0005-0000-0000-00003A840000}"/>
    <cellStyle name="Normal 9 18 2 2 3 2" xfId="32963" xr:uid="{00000000-0005-0000-0000-00003B840000}"/>
    <cellStyle name="Normal 9 18 2 2 4" xfId="19195" xr:uid="{00000000-0005-0000-0000-00003C840000}"/>
    <cellStyle name="Normal 9 18 2 2 4 2" xfId="39115" xr:uid="{00000000-0005-0000-0000-00003D840000}"/>
    <cellStyle name="Normal 9 18 2 2 5" xfId="26810" xr:uid="{00000000-0005-0000-0000-00003E840000}"/>
    <cellStyle name="Normal 9 18 2 3" xfId="8381" xr:uid="{00000000-0005-0000-0000-00003F840000}"/>
    <cellStyle name="Normal 9 18 2 3 2" xfId="14575" xr:uid="{00000000-0005-0000-0000-000040840000}"/>
    <cellStyle name="Normal 9 18 2 3 2 2" xfId="34495" xr:uid="{00000000-0005-0000-0000-000041840000}"/>
    <cellStyle name="Normal 9 18 2 3 3" xfId="20727" xr:uid="{00000000-0005-0000-0000-000042840000}"/>
    <cellStyle name="Normal 9 18 2 3 3 2" xfId="40647" xr:uid="{00000000-0005-0000-0000-000043840000}"/>
    <cellStyle name="Normal 9 18 2 3 4" xfId="28342" xr:uid="{00000000-0005-0000-0000-000044840000}"/>
    <cellStyle name="Normal 9 18 2 4" xfId="11509" xr:uid="{00000000-0005-0000-0000-000045840000}"/>
    <cellStyle name="Normal 9 18 2 4 2" xfId="31429" xr:uid="{00000000-0005-0000-0000-000046840000}"/>
    <cellStyle name="Normal 9 18 2 5" xfId="17661" xr:uid="{00000000-0005-0000-0000-000047840000}"/>
    <cellStyle name="Normal 9 18 2 5 2" xfId="37581" xr:uid="{00000000-0005-0000-0000-000048840000}"/>
    <cellStyle name="Normal 9 18 2 6" xfId="25276" xr:uid="{00000000-0005-0000-0000-000049840000}"/>
    <cellStyle name="Normal 9 18 3" xfId="6047" xr:uid="{00000000-0005-0000-0000-00004A840000}"/>
    <cellStyle name="Normal 9 18 3 2" xfId="9147" xr:uid="{00000000-0005-0000-0000-00004B840000}"/>
    <cellStyle name="Normal 9 18 3 2 2" xfId="15340" xr:uid="{00000000-0005-0000-0000-00004C840000}"/>
    <cellStyle name="Normal 9 18 3 2 2 2" xfId="35260" xr:uid="{00000000-0005-0000-0000-00004D840000}"/>
    <cellStyle name="Normal 9 18 3 2 3" xfId="21492" xr:uid="{00000000-0005-0000-0000-00004E840000}"/>
    <cellStyle name="Normal 9 18 3 2 3 2" xfId="41412" xr:uid="{00000000-0005-0000-0000-00004F840000}"/>
    <cellStyle name="Normal 9 18 3 2 4" xfId="29107" xr:uid="{00000000-0005-0000-0000-000050840000}"/>
    <cellStyle name="Normal 9 18 3 3" xfId="12274" xr:uid="{00000000-0005-0000-0000-000051840000}"/>
    <cellStyle name="Normal 9 18 3 3 2" xfId="32194" xr:uid="{00000000-0005-0000-0000-000052840000}"/>
    <cellStyle name="Normal 9 18 3 4" xfId="18426" xr:uid="{00000000-0005-0000-0000-000053840000}"/>
    <cellStyle name="Normal 9 18 3 4 2" xfId="38346" xr:uid="{00000000-0005-0000-0000-000054840000}"/>
    <cellStyle name="Normal 9 18 3 5" xfId="26041" xr:uid="{00000000-0005-0000-0000-000055840000}"/>
    <cellStyle name="Normal 9 18 4" xfId="7612" xr:uid="{00000000-0005-0000-0000-000056840000}"/>
    <cellStyle name="Normal 9 18 4 2" xfId="13806" xr:uid="{00000000-0005-0000-0000-000057840000}"/>
    <cellStyle name="Normal 9 18 4 2 2" xfId="33726" xr:uid="{00000000-0005-0000-0000-000058840000}"/>
    <cellStyle name="Normal 9 18 4 3" xfId="19958" xr:uid="{00000000-0005-0000-0000-000059840000}"/>
    <cellStyle name="Normal 9 18 4 3 2" xfId="39878" xr:uid="{00000000-0005-0000-0000-00005A840000}"/>
    <cellStyle name="Normal 9 18 4 4" xfId="27573" xr:uid="{00000000-0005-0000-0000-00005B840000}"/>
    <cellStyle name="Normal 9 18 5" xfId="10740" xr:uid="{00000000-0005-0000-0000-00005C840000}"/>
    <cellStyle name="Normal 9 18 5 2" xfId="30660" xr:uid="{00000000-0005-0000-0000-00005D840000}"/>
    <cellStyle name="Normal 9 18 6" xfId="16892" xr:uid="{00000000-0005-0000-0000-00005E840000}"/>
    <cellStyle name="Normal 9 18 6 2" xfId="36812" xr:uid="{00000000-0005-0000-0000-00005F840000}"/>
    <cellStyle name="Normal 9 18 7" xfId="24507" xr:uid="{00000000-0005-0000-0000-000060840000}"/>
    <cellStyle name="Normal 9 19" xfId="4031" xr:uid="{00000000-0005-0000-0000-000061840000}"/>
    <cellStyle name="Normal 9 19 2" xfId="5206" xr:uid="{00000000-0005-0000-0000-000062840000}"/>
    <cellStyle name="Normal 9 19 2 2" xfId="6831" xr:uid="{00000000-0005-0000-0000-000063840000}"/>
    <cellStyle name="Normal 9 19 2 2 2" xfId="9917" xr:uid="{00000000-0005-0000-0000-000064840000}"/>
    <cellStyle name="Normal 9 19 2 2 2 2" xfId="16110" xr:uid="{00000000-0005-0000-0000-000065840000}"/>
    <cellStyle name="Normal 9 19 2 2 2 2 2" xfId="36030" xr:uid="{00000000-0005-0000-0000-000066840000}"/>
    <cellStyle name="Normal 9 19 2 2 2 3" xfId="22262" xr:uid="{00000000-0005-0000-0000-000067840000}"/>
    <cellStyle name="Normal 9 19 2 2 2 3 2" xfId="42182" xr:uid="{00000000-0005-0000-0000-000068840000}"/>
    <cellStyle name="Normal 9 19 2 2 2 4" xfId="29877" xr:uid="{00000000-0005-0000-0000-000069840000}"/>
    <cellStyle name="Normal 9 19 2 2 3" xfId="13044" xr:uid="{00000000-0005-0000-0000-00006A840000}"/>
    <cellStyle name="Normal 9 19 2 2 3 2" xfId="32964" xr:uid="{00000000-0005-0000-0000-00006B840000}"/>
    <cellStyle name="Normal 9 19 2 2 4" xfId="19196" xr:uid="{00000000-0005-0000-0000-00006C840000}"/>
    <cellStyle name="Normal 9 19 2 2 4 2" xfId="39116" xr:uid="{00000000-0005-0000-0000-00006D840000}"/>
    <cellStyle name="Normal 9 19 2 2 5" xfId="26811" xr:uid="{00000000-0005-0000-0000-00006E840000}"/>
    <cellStyle name="Normal 9 19 2 3" xfId="8382" xr:uid="{00000000-0005-0000-0000-00006F840000}"/>
    <cellStyle name="Normal 9 19 2 3 2" xfId="14576" xr:uid="{00000000-0005-0000-0000-000070840000}"/>
    <cellStyle name="Normal 9 19 2 3 2 2" xfId="34496" xr:uid="{00000000-0005-0000-0000-000071840000}"/>
    <cellStyle name="Normal 9 19 2 3 3" xfId="20728" xr:uid="{00000000-0005-0000-0000-000072840000}"/>
    <cellStyle name="Normal 9 19 2 3 3 2" xfId="40648" xr:uid="{00000000-0005-0000-0000-000073840000}"/>
    <cellStyle name="Normal 9 19 2 3 4" xfId="28343" xr:uid="{00000000-0005-0000-0000-000074840000}"/>
    <cellStyle name="Normal 9 19 2 4" xfId="11510" xr:uid="{00000000-0005-0000-0000-000075840000}"/>
    <cellStyle name="Normal 9 19 2 4 2" xfId="31430" xr:uid="{00000000-0005-0000-0000-000076840000}"/>
    <cellStyle name="Normal 9 19 2 5" xfId="17662" xr:uid="{00000000-0005-0000-0000-000077840000}"/>
    <cellStyle name="Normal 9 19 2 5 2" xfId="37582" xr:uid="{00000000-0005-0000-0000-000078840000}"/>
    <cellStyle name="Normal 9 19 2 6" xfId="25277" xr:uid="{00000000-0005-0000-0000-000079840000}"/>
    <cellStyle name="Normal 9 19 3" xfId="6048" xr:uid="{00000000-0005-0000-0000-00007A840000}"/>
    <cellStyle name="Normal 9 19 3 2" xfId="9148" xr:uid="{00000000-0005-0000-0000-00007B840000}"/>
    <cellStyle name="Normal 9 19 3 2 2" xfId="15341" xr:uid="{00000000-0005-0000-0000-00007C840000}"/>
    <cellStyle name="Normal 9 19 3 2 2 2" xfId="35261" xr:uid="{00000000-0005-0000-0000-00007D840000}"/>
    <cellStyle name="Normal 9 19 3 2 3" xfId="21493" xr:uid="{00000000-0005-0000-0000-00007E840000}"/>
    <cellStyle name="Normal 9 19 3 2 3 2" xfId="41413" xr:uid="{00000000-0005-0000-0000-00007F840000}"/>
    <cellStyle name="Normal 9 19 3 2 4" xfId="29108" xr:uid="{00000000-0005-0000-0000-000080840000}"/>
    <cellStyle name="Normal 9 19 3 3" xfId="12275" xr:uid="{00000000-0005-0000-0000-000081840000}"/>
    <cellStyle name="Normal 9 19 3 3 2" xfId="32195" xr:uid="{00000000-0005-0000-0000-000082840000}"/>
    <cellStyle name="Normal 9 19 3 4" xfId="18427" xr:uid="{00000000-0005-0000-0000-000083840000}"/>
    <cellStyle name="Normal 9 19 3 4 2" xfId="38347" xr:uid="{00000000-0005-0000-0000-000084840000}"/>
    <cellStyle name="Normal 9 19 3 5" xfId="26042" xr:uid="{00000000-0005-0000-0000-000085840000}"/>
    <cellStyle name="Normal 9 19 4" xfId="7613" xr:uid="{00000000-0005-0000-0000-000086840000}"/>
    <cellStyle name="Normal 9 19 4 2" xfId="13807" xr:uid="{00000000-0005-0000-0000-000087840000}"/>
    <cellStyle name="Normal 9 19 4 2 2" xfId="33727" xr:uid="{00000000-0005-0000-0000-000088840000}"/>
    <cellStyle name="Normal 9 19 4 3" xfId="19959" xr:uid="{00000000-0005-0000-0000-000089840000}"/>
    <cellStyle name="Normal 9 19 4 3 2" xfId="39879" xr:uid="{00000000-0005-0000-0000-00008A840000}"/>
    <cellStyle name="Normal 9 19 4 4" xfId="27574" xr:uid="{00000000-0005-0000-0000-00008B840000}"/>
    <cellStyle name="Normal 9 19 5" xfId="10741" xr:uid="{00000000-0005-0000-0000-00008C840000}"/>
    <cellStyle name="Normal 9 19 5 2" xfId="30661" xr:uid="{00000000-0005-0000-0000-00008D840000}"/>
    <cellStyle name="Normal 9 19 6" xfId="16893" xr:uid="{00000000-0005-0000-0000-00008E840000}"/>
    <cellStyle name="Normal 9 19 6 2" xfId="36813" xr:uid="{00000000-0005-0000-0000-00008F840000}"/>
    <cellStyle name="Normal 9 19 7" xfId="24508" xr:uid="{00000000-0005-0000-0000-000090840000}"/>
    <cellStyle name="Normal 9 2" xfId="4032" xr:uid="{00000000-0005-0000-0000-000091840000}"/>
    <cellStyle name="Normal 9 2 10" xfId="10742" xr:uid="{00000000-0005-0000-0000-000092840000}"/>
    <cellStyle name="Normal 9 2 10 2" xfId="30662" xr:uid="{00000000-0005-0000-0000-000093840000}"/>
    <cellStyle name="Normal 9 2 11" xfId="16894" xr:uid="{00000000-0005-0000-0000-000094840000}"/>
    <cellStyle name="Normal 9 2 11 2" xfId="36814" xr:uid="{00000000-0005-0000-0000-000095840000}"/>
    <cellStyle name="Normal 9 2 12" xfId="24509" xr:uid="{00000000-0005-0000-0000-000096840000}"/>
    <cellStyle name="Normal 9 2 2" xfId="4033" xr:uid="{00000000-0005-0000-0000-000097840000}"/>
    <cellStyle name="Normal 9 2 2 2" xfId="5208" xr:uid="{00000000-0005-0000-0000-000098840000}"/>
    <cellStyle name="Normal 9 2 2 2 2" xfId="6833" xr:uid="{00000000-0005-0000-0000-000099840000}"/>
    <cellStyle name="Normal 9 2 2 2 2 2" xfId="9919" xr:uid="{00000000-0005-0000-0000-00009A840000}"/>
    <cellStyle name="Normal 9 2 2 2 2 2 2" xfId="16112" xr:uid="{00000000-0005-0000-0000-00009B840000}"/>
    <cellStyle name="Normal 9 2 2 2 2 2 2 2" xfId="36032" xr:uid="{00000000-0005-0000-0000-00009C840000}"/>
    <cellStyle name="Normal 9 2 2 2 2 2 3" xfId="22264" xr:uid="{00000000-0005-0000-0000-00009D840000}"/>
    <cellStyle name="Normal 9 2 2 2 2 2 3 2" xfId="42184" xr:uid="{00000000-0005-0000-0000-00009E840000}"/>
    <cellStyle name="Normal 9 2 2 2 2 2 4" xfId="29879" xr:uid="{00000000-0005-0000-0000-00009F840000}"/>
    <cellStyle name="Normal 9 2 2 2 2 3" xfId="13046" xr:uid="{00000000-0005-0000-0000-0000A0840000}"/>
    <cellStyle name="Normal 9 2 2 2 2 3 2" xfId="32966" xr:uid="{00000000-0005-0000-0000-0000A1840000}"/>
    <cellStyle name="Normal 9 2 2 2 2 4" xfId="19198" xr:uid="{00000000-0005-0000-0000-0000A2840000}"/>
    <cellStyle name="Normal 9 2 2 2 2 4 2" xfId="39118" xr:uid="{00000000-0005-0000-0000-0000A3840000}"/>
    <cellStyle name="Normal 9 2 2 2 2 5" xfId="26813" xr:uid="{00000000-0005-0000-0000-0000A4840000}"/>
    <cellStyle name="Normal 9 2 2 2 3" xfId="8384" xr:uid="{00000000-0005-0000-0000-0000A5840000}"/>
    <cellStyle name="Normal 9 2 2 2 3 2" xfId="14578" xr:uid="{00000000-0005-0000-0000-0000A6840000}"/>
    <cellStyle name="Normal 9 2 2 2 3 2 2" xfId="34498" xr:uid="{00000000-0005-0000-0000-0000A7840000}"/>
    <cellStyle name="Normal 9 2 2 2 3 3" xfId="20730" xr:uid="{00000000-0005-0000-0000-0000A8840000}"/>
    <cellStyle name="Normal 9 2 2 2 3 3 2" xfId="40650" xr:uid="{00000000-0005-0000-0000-0000A9840000}"/>
    <cellStyle name="Normal 9 2 2 2 3 4" xfId="28345" xr:uid="{00000000-0005-0000-0000-0000AA840000}"/>
    <cellStyle name="Normal 9 2 2 2 4" xfId="11512" xr:uid="{00000000-0005-0000-0000-0000AB840000}"/>
    <cellStyle name="Normal 9 2 2 2 4 2" xfId="31432" xr:uid="{00000000-0005-0000-0000-0000AC840000}"/>
    <cellStyle name="Normal 9 2 2 2 5" xfId="17664" xr:uid="{00000000-0005-0000-0000-0000AD840000}"/>
    <cellStyle name="Normal 9 2 2 2 5 2" xfId="37584" xr:uid="{00000000-0005-0000-0000-0000AE840000}"/>
    <cellStyle name="Normal 9 2 2 2 6" xfId="25279" xr:uid="{00000000-0005-0000-0000-0000AF840000}"/>
    <cellStyle name="Normal 9 2 2 3" xfId="6050" xr:uid="{00000000-0005-0000-0000-0000B0840000}"/>
    <cellStyle name="Normal 9 2 2 3 2" xfId="9150" xr:uid="{00000000-0005-0000-0000-0000B1840000}"/>
    <cellStyle name="Normal 9 2 2 3 2 2" xfId="15343" xr:uid="{00000000-0005-0000-0000-0000B2840000}"/>
    <cellStyle name="Normal 9 2 2 3 2 2 2" xfId="35263" xr:uid="{00000000-0005-0000-0000-0000B3840000}"/>
    <cellStyle name="Normal 9 2 2 3 2 3" xfId="21495" xr:uid="{00000000-0005-0000-0000-0000B4840000}"/>
    <cellStyle name="Normal 9 2 2 3 2 3 2" xfId="41415" xr:uid="{00000000-0005-0000-0000-0000B5840000}"/>
    <cellStyle name="Normal 9 2 2 3 2 4" xfId="29110" xr:uid="{00000000-0005-0000-0000-0000B6840000}"/>
    <cellStyle name="Normal 9 2 2 3 3" xfId="12277" xr:uid="{00000000-0005-0000-0000-0000B7840000}"/>
    <cellStyle name="Normal 9 2 2 3 3 2" xfId="32197" xr:uid="{00000000-0005-0000-0000-0000B8840000}"/>
    <cellStyle name="Normal 9 2 2 3 4" xfId="18429" xr:uid="{00000000-0005-0000-0000-0000B9840000}"/>
    <cellStyle name="Normal 9 2 2 3 4 2" xfId="38349" xr:uid="{00000000-0005-0000-0000-0000BA840000}"/>
    <cellStyle name="Normal 9 2 2 3 5" xfId="26044" xr:uid="{00000000-0005-0000-0000-0000BB840000}"/>
    <cellStyle name="Normal 9 2 2 4" xfId="7615" xr:uid="{00000000-0005-0000-0000-0000BC840000}"/>
    <cellStyle name="Normal 9 2 2 4 2" xfId="13809" xr:uid="{00000000-0005-0000-0000-0000BD840000}"/>
    <cellStyle name="Normal 9 2 2 4 2 2" xfId="33729" xr:uid="{00000000-0005-0000-0000-0000BE840000}"/>
    <cellStyle name="Normal 9 2 2 4 3" xfId="19961" xr:uid="{00000000-0005-0000-0000-0000BF840000}"/>
    <cellStyle name="Normal 9 2 2 4 3 2" xfId="39881" xr:uid="{00000000-0005-0000-0000-0000C0840000}"/>
    <cellStyle name="Normal 9 2 2 4 4" xfId="27576" xr:uid="{00000000-0005-0000-0000-0000C1840000}"/>
    <cellStyle name="Normal 9 2 2 5" xfId="10743" xr:uid="{00000000-0005-0000-0000-0000C2840000}"/>
    <cellStyle name="Normal 9 2 2 5 2" xfId="30663" xr:uid="{00000000-0005-0000-0000-0000C3840000}"/>
    <cellStyle name="Normal 9 2 2 6" xfId="16895" xr:uid="{00000000-0005-0000-0000-0000C4840000}"/>
    <cellStyle name="Normal 9 2 2 6 2" xfId="36815" xr:uid="{00000000-0005-0000-0000-0000C5840000}"/>
    <cellStyle name="Normal 9 2 2 7" xfId="24510" xr:uid="{00000000-0005-0000-0000-0000C6840000}"/>
    <cellStyle name="Normal 9 2 3" xfId="4034" xr:uid="{00000000-0005-0000-0000-0000C7840000}"/>
    <cellStyle name="Normal 9 2 3 2" xfId="5209" xr:uid="{00000000-0005-0000-0000-0000C8840000}"/>
    <cellStyle name="Normal 9 2 3 2 2" xfId="6834" xr:uid="{00000000-0005-0000-0000-0000C9840000}"/>
    <cellStyle name="Normal 9 2 3 2 2 2" xfId="9920" xr:uid="{00000000-0005-0000-0000-0000CA840000}"/>
    <cellStyle name="Normal 9 2 3 2 2 2 2" xfId="16113" xr:uid="{00000000-0005-0000-0000-0000CB840000}"/>
    <cellStyle name="Normal 9 2 3 2 2 2 2 2" xfId="36033" xr:uid="{00000000-0005-0000-0000-0000CC840000}"/>
    <cellStyle name="Normal 9 2 3 2 2 2 3" xfId="22265" xr:uid="{00000000-0005-0000-0000-0000CD840000}"/>
    <cellStyle name="Normal 9 2 3 2 2 2 3 2" xfId="42185" xr:uid="{00000000-0005-0000-0000-0000CE840000}"/>
    <cellStyle name="Normal 9 2 3 2 2 2 4" xfId="29880" xr:uid="{00000000-0005-0000-0000-0000CF840000}"/>
    <cellStyle name="Normal 9 2 3 2 2 3" xfId="13047" xr:uid="{00000000-0005-0000-0000-0000D0840000}"/>
    <cellStyle name="Normal 9 2 3 2 2 3 2" xfId="32967" xr:uid="{00000000-0005-0000-0000-0000D1840000}"/>
    <cellStyle name="Normal 9 2 3 2 2 4" xfId="19199" xr:uid="{00000000-0005-0000-0000-0000D2840000}"/>
    <cellStyle name="Normal 9 2 3 2 2 4 2" xfId="39119" xr:uid="{00000000-0005-0000-0000-0000D3840000}"/>
    <cellStyle name="Normal 9 2 3 2 2 5" xfId="26814" xr:uid="{00000000-0005-0000-0000-0000D4840000}"/>
    <cellStyle name="Normal 9 2 3 2 3" xfId="8385" xr:uid="{00000000-0005-0000-0000-0000D5840000}"/>
    <cellStyle name="Normal 9 2 3 2 3 2" xfId="14579" xr:uid="{00000000-0005-0000-0000-0000D6840000}"/>
    <cellStyle name="Normal 9 2 3 2 3 2 2" xfId="34499" xr:uid="{00000000-0005-0000-0000-0000D7840000}"/>
    <cellStyle name="Normal 9 2 3 2 3 3" xfId="20731" xr:uid="{00000000-0005-0000-0000-0000D8840000}"/>
    <cellStyle name="Normal 9 2 3 2 3 3 2" xfId="40651" xr:uid="{00000000-0005-0000-0000-0000D9840000}"/>
    <cellStyle name="Normal 9 2 3 2 3 4" xfId="28346" xr:uid="{00000000-0005-0000-0000-0000DA840000}"/>
    <cellStyle name="Normal 9 2 3 2 4" xfId="11513" xr:uid="{00000000-0005-0000-0000-0000DB840000}"/>
    <cellStyle name="Normal 9 2 3 2 4 2" xfId="31433" xr:uid="{00000000-0005-0000-0000-0000DC840000}"/>
    <cellStyle name="Normal 9 2 3 2 5" xfId="17665" xr:uid="{00000000-0005-0000-0000-0000DD840000}"/>
    <cellStyle name="Normal 9 2 3 2 5 2" xfId="37585" xr:uid="{00000000-0005-0000-0000-0000DE840000}"/>
    <cellStyle name="Normal 9 2 3 2 6" xfId="25280" xr:uid="{00000000-0005-0000-0000-0000DF840000}"/>
    <cellStyle name="Normal 9 2 3 3" xfId="6051" xr:uid="{00000000-0005-0000-0000-0000E0840000}"/>
    <cellStyle name="Normal 9 2 3 3 2" xfId="9151" xr:uid="{00000000-0005-0000-0000-0000E1840000}"/>
    <cellStyle name="Normal 9 2 3 3 2 2" xfId="15344" xr:uid="{00000000-0005-0000-0000-0000E2840000}"/>
    <cellStyle name="Normal 9 2 3 3 2 2 2" xfId="35264" xr:uid="{00000000-0005-0000-0000-0000E3840000}"/>
    <cellStyle name="Normal 9 2 3 3 2 3" xfId="21496" xr:uid="{00000000-0005-0000-0000-0000E4840000}"/>
    <cellStyle name="Normal 9 2 3 3 2 3 2" xfId="41416" xr:uid="{00000000-0005-0000-0000-0000E5840000}"/>
    <cellStyle name="Normal 9 2 3 3 2 4" xfId="29111" xr:uid="{00000000-0005-0000-0000-0000E6840000}"/>
    <cellStyle name="Normal 9 2 3 3 3" xfId="12278" xr:uid="{00000000-0005-0000-0000-0000E7840000}"/>
    <cellStyle name="Normal 9 2 3 3 3 2" xfId="32198" xr:uid="{00000000-0005-0000-0000-0000E8840000}"/>
    <cellStyle name="Normal 9 2 3 3 4" xfId="18430" xr:uid="{00000000-0005-0000-0000-0000E9840000}"/>
    <cellStyle name="Normal 9 2 3 3 4 2" xfId="38350" xr:uid="{00000000-0005-0000-0000-0000EA840000}"/>
    <cellStyle name="Normal 9 2 3 3 5" xfId="26045" xr:uid="{00000000-0005-0000-0000-0000EB840000}"/>
    <cellStyle name="Normal 9 2 3 4" xfId="7616" xr:uid="{00000000-0005-0000-0000-0000EC840000}"/>
    <cellStyle name="Normal 9 2 3 4 2" xfId="13810" xr:uid="{00000000-0005-0000-0000-0000ED840000}"/>
    <cellStyle name="Normal 9 2 3 4 2 2" xfId="33730" xr:uid="{00000000-0005-0000-0000-0000EE840000}"/>
    <cellStyle name="Normal 9 2 3 4 3" xfId="19962" xr:uid="{00000000-0005-0000-0000-0000EF840000}"/>
    <cellStyle name="Normal 9 2 3 4 3 2" xfId="39882" xr:uid="{00000000-0005-0000-0000-0000F0840000}"/>
    <cellStyle name="Normal 9 2 3 4 4" xfId="27577" xr:uid="{00000000-0005-0000-0000-0000F1840000}"/>
    <cellStyle name="Normal 9 2 3 5" xfId="10744" xr:uid="{00000000-0005-0000-0000-0000F2840000}"/>
    <cellStyle name="Normal 9 2 3 5 2" xfId="30664" xr:uid="{00000000-0005-0000-0000-0000F3840000}"/>
    <cellStyle name="Normal 9 2 3 6" xfId="16896" xr:uid="{00000000-0005-0000-0000-0000F4840000}"/>
    <cellStyle name="Normal 9 2 3 6 2" xfId="36816" xr:uid="{00000000-0005-0000-0000-0000F5840000}"/>
    <cellStyle name="Normal 9 2 3 7" xfId="24511" xr:uid="{00000000-0005-0000-0000-0000F6840000}"/>
    <cellStyle name="Normal 9 2 4" xfId="4035" xr:uid="{00000000-0005-0000-0000-0000F7840000}"/>
    <cellStyle name="Normal 9 2 4 2" xfId="5210" xr:uid="{00000000-0005-0000-0000-0000F8840000}"/>
    <cellStyle name="Normal 9 2 4 2 2" xfId="6835" xr:uid="{00000000-0005-0000-0000-0000F9840000}"/>
    <cellStyle name="Normal 9 2 4 2 2 2" xfId="9921" xr:uid="{00000000-0005-0000-0000-0000FA840000}"/>
    <cellStyle name="Normal 9 2 4 2 2 2 2" xfId="16114" xr:uid="{00000000-0005-0000-0000-0000FB840000}"/>
    <cellStyle name="Normal 9 2 4 2 2 2 2 2" xfId="36034" xr:uid="{00000000-0005-0000-0000-0000FC840000}"/>
    <cellStyle name="Normal 9 2 4 2 2 2 3" xfId="22266" xr:uid="{00000000-0005-0000-0000-0000FD840000}"/>
    <cellStyle name="Normal 9 2 4 2 2 2 3 2" xfId="42186" xr:uid="{00000000-0005-0000-0000-0000FE840000}"/>
    <cellStyle name="Normal 9 2 4 2 2 2 4" xfId="29881" xr:uid="{00000000-0005-0000-0000-0000FF840000}"/>
    <cellStyle name="Normal 9 2 4 2 2 3" xfId="13048" xr:uid="{00000000-0005-0000-0000-000000850000}"/>
    <cellStyle name="Normal 9 2 4 2 2 3 2" xfId="32968" xr:uid="{00000000-0005-0000-0000-000001850000}"/>
    <cellStyle name="Normal 9 2 4 2 2 4" xfId="19200" xr:uid="{00000000-0005-0000-0000-000002850000}"/>
    <cellStyle name="Normal 9 2 4 2 2 4 2" xfId="39120" xr:uid="{00000000-0005-0000-0000-000003850000}"/>
    <cellStyle name="Normal 9 2 4 2 2 5" xfId="26815" xr:uid="{00000000-0005-0000-0000-000004850000}"/>
    <cellStyle name="Normal 9 2 4 2 3" xfId="8386" xr:uid="{00000000-0005-0000-0000-000005850000}"/>
    <cellStyle name="Normal 9 2 4 2 3 2" xfId="14580" xr:uid="{00000000-0005-0000-0000-000006850000}"/>
    <cellStyle name="Normal 9 2 4 2 3 2 2" xfId="34500" xr:uid="{00000000-0005-0000-0000-000007850000}"/>
    <cellStyle name="Normal 9 2 4 2 3 3" xfId="20732" xr:uid="{00000000-0005-0000-0000-000008850000}"/>
    <cellStyle name="Normal 9 2 4 2 3 3 2" xfId="40652" xr:uid="{00000000-0005-0000-0000-000009850000}"/>
    <cellStyle name="Normal 9 2 4 2 3 4" xfId="28347" xr:uid="{00000000-0005-0000-0000-00000A850000}"/>
    <cellStyle name="Normal 9 2 4 2 4" xfId="11514" xr:uid="{00000000-0005-0000-0000-00000B850000}"/>
    <cellStyle name="Normal 9 2 4 2 4 2" xfId="31434" xr:uid="{00000000-0005-0000-0000-00000C850000}"/>
    <cellStyle name="Normal 9 2 4 2 5" xfId="17666" xr:uid="{00000000-0005-0000-0000-00000D850000}"/>
    <cellStyle name="Normal 9 2 4 2 5 2" xfId="37586" xr:uid="{00000000-0005-0000-0000-00000E850000}"/>
    <cellStyle name="Normal 9 2 4 2 6" xfId="25281" xr:uid="{00000000-0005-0000-0000-00000F850000}"/>
    <cellStyle name="Normal 9 2 4 3" xfId="6052" xr:uid="{00000000-0005-0000-0000-000010850000}"/>
    <cellStyle name="Normal 9 2 4 3 2" xfId="9152" xr:uid="{00000000-0005-0000-0000-000011850000}"/>
    <cellStyle name="Normal 9 2 4 3 2 2" xfId="15345" xr:uid="{00000000-0005-0000-0000-000012850000}"/>
    <cellStyle name="Normal 9 2 4 3 2 2 2" xfId="35265" xr:uid="{00000000-0005-0000-0000-000013850000}"/>
    <cellStyle name="Normal 9 2 4 3 2 3" xfId="21497" xr:uid="{00000000-0005-0000-0000-000014850000}"/>
    <cellStyle name="Normal 9 2 4 3 2 3 2" xfId="41417" xr:uid="{00000000-0005-0000-0000-000015850000}"/>
    <cellStyle name="Normal 9 2 4 3 2 4" xfId="29112" xr:uid="{00000000-0005-0000-0000-000016850000}"/>
    <cellStyle name="Normal 9 2 4 3 3" xfId="12279" xr:uid="{00000000-0005-0000-0000-000017850000}"/>
    <cellStyle name="Normal 9 2 4 3 3 2" xfId="32199" xr:uid="{00000000-0005-0000-0000-000018850000}"/>
    <cellStyle name="Normal 9 2 4 3 4" xfId="18431" xr:uid="{00000000-0005-0000-0000-000019850000}"/>
    <cellStyle name="Normal 9 2 4 3 4 2" xfId="38351" xr:uid="{00000000-0005-0000-0000-00001A850000}"/>
    <cellStyle name="Normal 9 2 4 3 5" xfId="26046" xr:uid="{00000000-0005-0000-0000-00001B850000}"/>
    <cellStyle name="Normal 9 2 4 4" xfId="7617" xr:uid="{00000000-0005-0000-0000-00001C850000}"/>
    <cellStyle name="Normal 9 2 4 4 2" xfId="13811" xr:uid="{00000000-0005-0000-0000-00001D850000}"/>
    <cellStyle name="Normal 9 2 4 4 2 2" xfId="33731" xr:uid="{00000000-0005-0000-0000-00001E850000}"/>
    <cellStyle name="Normal 9 2 4 4 3" xfId="19963" xr:uid="{00000000-0005-0000-0000-00001F850000}"/>
    <cellStyle name="Normal 9 2 4 4 3 2" xfId="39883" xr:uid="{00000000-0005-0000-0000-000020850000}"/>
    <cellStyle name="Normal 9 2 4 4 4" xfId="27578" xr:uid="{00000000-0005-0000-0000-000021850000}"/>
    <cellStyle name="Normal 9 2 4 5" xfId="10745" xr:uid="{00000000-0005-0000-0000-000022850000}"/>
    <cellStyle name="Normal 9 2 4 5 2" xfId="30665" xr:uid="{00000000-0005-0000-0000-000023850000}"/>
    <cellStyle name="Normal 9 2 4 6" xfId="16897" xr:uid="{00000000-0005-0000-0000-000024850000}"/>
    <cellStyle name="Normal 9 2 4 6 2" xfId="36817" xr:uid="{00000000-0005-0000-0000-000025850000}"/>
    <cellStyle name="Normal 9 2 4 7" xfId="24512" xr:uid="{00000000-0005-0000-0000-000026850000}"/>
    <cellStyle name="Normal 9 2 5" xfId="4036" xr:uid="{00000000-0005-0000-0000-000027850000}"/>
    <cellStyle name="Normal 9 2 5 2" xfId="5211" xr:uid="{00000000-0005-0000-0000-000028850000}"/>
    <cellStyle name="Normal 9 2 5 2 2" xfId="6836" xr:uid="{00000000-0005-0000-0000-000029850000}"/>
    <cellStyle name="Normal 9 2 5 2 2 2" xfId="9922" xr:uid="{00000000-0005-0000-0000-00002A850000}"/>
    <cellStyle name="Normal 9 2 5 2 2 2 2" xfId="16115" xr:uid="{00000000-0005-0000-0000-00002B850000}"/>
    <cellStyle name="Normal 9 2 5 2 2 2 2 2" xfId="36035" xr:uid="{00000000-0005-0000-0000-00002C850000}"/>
    <cellStyle name="Normal 9 2 5 2 2 2 3" xfId="22267" xr:uid="{00000000-0005-0000-0000-00002D850000}"/>
    <cellStyle name="Normal 9 2 5 2 2 2 3 2" xfId="42187" xr:uid="{00000000-0005-0000-0000-00002E850000}"/>
    <cellStyle name="Normal 9 2 5 2 2 2 4" xfId="29882" xr:uid="{00000000-0005-0000-0000-00002F850000}"/>
    <cellStyle name="Normal 9 2 5 2 2 3" xfId="13049" xr:uid="{00000000-0005-0000-0000-000030850000}"/>
    <cellStyle name="Normal 9 2 5 2 2 3 2" xfId="32969" xr:uid="{00000000-0005-0000-0000-000031850000}"/>
    <cellStyle name="Normal 9 2 5 2 2 4" xfId="19201" xr:uid="{00000000-0005-0000-0000-000032850000}"/>
    <cellStyle name="Normal 9 2 5 2 2 4 2" xfId="39121" xr:uid="{00000000-0005-0000-0000-000033850000}"/>
    <cellStyle name="Normal 9 2 5 2 2 5" xfId="26816" xr:uid="{00000000-0005-0000-0000-000034850000}"/>
    <cellStyle name="Normal 9 2 5 2 3" xfId="8387" xr:uid="{00000000-0005-0000-0000-000035850000}"/>
    <cellStyle name="Normal 9 2 5 2 3 2" xfId="14581" xr:uid="{00000000-0005-0000-0000-000036850000}"/>
    <cellStyle name="Normal 9 2 5 2 3 2 2" xfId="34501" xr:uid="{00000000-0005-0000-0000-000037850000}"/>
    <cellStyle name="Normal 9 2 5 2 3 3" xfId="20733" xr:uid="{00000000-0005-0000-0000-000038850000}"/>
    <cellStyle name="Normal 9 2 5 2 3 3 2" xfId="40653" xr:uid="{00000000-0005-0000-0000-000039850000}"/>
    <cellStyle name="Normal 9 2 5 2 3 4" xfId="28348" xr:uid="{00000000-0005-0000-0000-00003A850000}"/>
    <cellStyle name="Normal 9 2 5 2 4" xfId="11515" xr:uid="{00000000-0005-0000-0000-00003B850000}"/>
    <cellStyle name="Normal 9 2 5 2 4 2" xfId="31435" xr:uid="{00000000-0005-0000-0000-00003C850000}"/>
    <cellStyle name="Normal 9 2 5 2 5" xfId="17667" xr:uid="{00000000-0005-0000-0000-00003D850000}"/>
    <cellStyle name="Normal 9 2 5 2 5 2" xfId="37587" xr:uid="{00000000-0005-0000-0000-00003E850000}"/>
    <cellStyle name="Normal 9 2 5 2 6" xfId="25282" xr:uid="{00000000-0005-0000-0000-00003F850000}"/>
    <cellStyle name="Normal 9 2 5 3" xfId="6053" xr:uid="{00000000-0005-0000-0000-000040850000}"/>
    <cellStyle name="Normal 9 2 5 3 2" xfId="9153" xr:uid="{00000000-0005-0000-0000-000041850000}"/>
    <cellStyle name="Normal 9 2 5 3 2 2" xfId="15346" xr:uid="{00000000-0005-0000-0000-000042850000}"/>
    <cellStyle name="Normal 9 2 5 3 2 2 2" xfId="35266" xr:uid="{00000000-0005-0000-0000-000043850000}"/>
    <cellStyle name="Normal 9 2 5 3 2 3" xfId="21498" xr:uid="{00000000-0005-0000-0000-000044850000}"/>
    <cellStyle name="Normal 9 2 5 3 2 3 2" xfId="41418" xr:uid="{00000000-0005-0000-0000-000045850000}"/>
    <cellStyle name="Normal 9 2 5 3 2 4" xfId="29113" xr:uid="{00000000-0005-0000-0000-000046850000}"/>
    <cellStyle name="Normal 9 2 5 3 3" xfId="12280" xr:uid="{00000000-0005-0000-0000-000047850000}"/>
    <cellStyle name="Normal 9 2 5 3 3 2" xfId="32200" xr:uid="{00000000-0005-0000-0000-000048850000}"/>
    <cellStyle name="Normal 9 2 5 3 4" xfId="18432" xr:uid="{00000000-0005-0000-0000-000049850000}"/>
    <cellStyle name="Normal 9 2 5 3 4 2" xfId="38352" xr:uid="{00000000-0005-0000-0000-00004A850000}"/>
    <cellStyle name="Normal 9 2 5 3 5" xfId="26047" xr:uid="{00000000-0005-0000-0000-00004B850000}"/>
    <cellStyle name="Normal 9 2 5 4" xfId="7618" xr:uid="{00000000-0005-0000-0000-00004C850000}"/>
    <cellStyle name="Normal 9 2 5 4 2" xfId="13812" xr:uid="{00000000-0005-0000-0000-00004D850000}"/>
    <cellStyle name="Normal 9 2 5 4 2 2" xfId="33732" xr:uid="{00000000-0005-0000-0000-00004E850000}"/>
    <cellStyle name="Normal 9 2 5 4 3" xfId="19964" xr:uid="{00000000-0005-0000-0000-00004F850000}"/>
    <cellStyle name="Normal 9 2 5 4 3 2" xfId="39884" xr:uid="{00000000-0005-0000-0000-000050850000}"/>
    <cellStyle name="Normal 9 2 5 4 4" xfId="27579" xr:uid="{00000000-0005-0000-0000-000051850000}"/>
    <cellStyle name="Normal 9 2 5 5" xfId="10746" xr:uid="{00000000-0005-0000-0000-000052850000}"/>
    <cellStyle name="Normal 9 2 5 5 2" xfId="30666" xr:uid="{00000000-0005-0000-0000-000053850000}"/>
    <cellStyle name="Normal 9 2 5 6" xfId="16898" xr:uid="{00000000-0005-0000-0000-000054850000}"/>
    <cellStyle name="Normal 9 2 5 6 2" xfId="36818" xr:uid="{00000000-0005-0000-0000-000055850000}"/>
    <cellStyle name="Normal 9 2 5 7" xfId="24513" xr:uid="{00000000-0005-0000-0000-000056850000}"/>
    <cellStyle name="Normal 9 2 6" xfId="5207" xr:uid="{00000000-0005-0000-0000-000057850000}"/>
    <cellStyle name="Normal 9 2 6 2" xfId="6832" xr:uid="{00000000-0005-0000-0000-000058850000}"/>
    <cellStyle name="Normal 9 2 6 2 2" xfId="9918" xr:uid="{00000000-0005-0000-0000-000059850000}"/>
    <cellStyle name="Normal 9 2 6 2 2 2" xfId="16111" xr:uid="{00000000-0005-0000-0000-00005A850000}"/>
    <cellStyle name="Normal 9 2 6 2 2 2 2" xfId="36031" xr:uid="{00000000-0005-0000-0000-00005B850000}"/>
    <cellStyle name="Normal 9 2 6 2 2 3" xfId="22263" xr:uid="{00000000-0005-0000-0000-00005C850000}"/>
    <cellStyle name="Normal 9 2 6 2 2 3 2" xfId="42183" xr:uid="{00000000-0005-0000-0000-00005D850000}"/>
    <cellStyle name="Normal 9 2 6 2 2 4" xfId="29878" xr:uid="{00000000-0005-0000-0000-00005E850000}"/>
    <cellStyle name="Normal 9 2 6 2 3" xfId="13045" xr:uid="{00000000-0005-0000-0000-00005F850000}"/>
    <cellStyle name="Normal 9 2 6 2 3 2" xfId="32965" xr:uid="{00000000-0005-0000-0000-000060850000}"/>
    <cellStyle name="Normal 9 2 6 2 4" xfId="19197" xr:uid="{00000000-0005-0000-0000-000061850000}"/>
    <cellStyle name="Normal 9 2 6 2 4 2" xfId="39117" xr:uid="{00000000-0005-0000-0000-000062850000}"/>
    <cellStyle name="Normal 9 2 6 2 5" xfId="26812" xr:uid="{00000000-0005-0000-0000-000063850000}"/>
    <cellStyle name="Normal 9 2 6 3" xfId="8383" xr:uid="{00000000-0005-0000-0000-000064850000}"/>
    <cellStyle name="Normal 9 2 6 3 2" xfId="14577" xr:uid="{00000000-0005-0000-0000-000065850000}"/>
    <cellStyle name="Normal 9 2 6 3 2 2" xfId="34497" xr:uid="{00000000-0005-0000-0000-000066850000}"/>
    <cellStyle name="Normal 9 2 6 3 3" xfId="20729" xr:uid="{00000000-0005-0000-0000-000067850000}"/>
    <cellStyle name="Normal 9 2 6 3 3 2" xfId="40649" xr:uid="{00000000-0005-0000-0000-000068850000}"/>
    <cellStyle name="Normal 9 2 6 3 4" xfId="28344" xr:uid="{00000000-0005-0000-0000-000069850000}"/>
    <cellStyle name="Normal 9 2 6 4" xfId="11511" xr:uid="{00000000-0005-0000-0000-00006A850000}"/>
    <cellStyle name="Normal 9 2 6 4 2" xfId="31431" xr:uid="{00000000-0005-0000-0000-00006B850000}"/>
    <cellStyle name="Normal 9 2 6 5" xfId="17663" xr:uid="{00000000-0005-0000-0000-00006C850000}"/>
    <cellStyle name="Normal 9 2 6 5 2" xfId="37583" xr:uid="{00000000-0005-0000-0000-00006D850000}"/>
    <cellStyle name="Normal 9 2 6 6" xfId="25278" xr:uid="{00000000-0005-0000-0000-00006E850000}"/>
    <cellStyle name="Normal 9 2 7" xfId="6049" xr:uid="{00000000-0005-0000-0000-00006F850000}"/>
    <cellStyle name="Normal 9 2 7 2" xfId="9149" xr:uid="{00000000-0005-0000-0000-000070850000}"/>
    <cellStyle name="Normal 9 2 7 2 2" xfId="15342" xr:uid="{00000000-0005-0000-0000-000071850000}"/>
    <cellStyle name="Normal 9 2 7 2 2 2" xfId="35262" xr:uid="{00000000-0005-0000-0000-000072850000}"/>
    <cellStyle name="Normal 9 2 7 2 3" xfId="21494" xr:uid="{00000000-0005-0000-0000-000073850000}"/>
    <cellStyle name="Normal 9 2 7 2 3 2" xfId="41414" xr:uid="{00000000-0005-0000-0000-000074850000}"/>
    <cellStyle name="Normal 9 2 7 2 4" xfId="29109" xr:uid="{00000000-0005-0000-0000-000075850000}"/>
    <cellStyle name="Normal 9 2 7 3" xfId="12276" xr:uid="{00000000-0005-0000-0000-000076850000}"/>
    <cellStyle name="Normal 9 2 7 3 2" xfId="32196" xr:uid="{00000000-0005-0000-0000-000077850000}"/>
    <cellStyle name="Normal 9 2 7 4" xfId="18428" xr:uid="{00000000-0005-0000-0000-000078850000}"/>
    <cellStyle name="Normal 9 2 7 4 2" xfId="38348" xr:uid="{00000000-0005-0000-0000-000079850000}"/>
    <cellStyle name="Normal 9 2 7 5" xfId="26043" xr:uid="{00000000-0005-0000-0000-00007A850000}"/>
    <cellStyle name="Normal 9 2 8" xfId="7614" xr:uid="{00000000-0005-0000-0000-00007B850000}"/>
    <cellStyle name="Normal 9 2 8 2" xfId="13808" xr:uid="{00000000-0005-0000-0000-00007C850000}"/>
    <cellStyle name="Normal 9 2 8 2 2" xfId="33728" xr:uid="{00000000-0005-0000-0000-00007D850000}"/>
    <cellStyle name="Normal 9 2 8 3" xfId="19960" xr:uid="{00000000-0005-0000-0000-00007E850000}"/>
    <cellStyle name="Normal 9 2 8 3 2" xfId="39880" xr:uid="{00000000-0005-0000-0000-00007F850000}"/>
    <cellStyle name="Normal 9 2 8 4" xfId="27575" xr:uid="{00000000-0005-0000-0000-000080850000}"/>
    <cellStyle name="Normal 9 2 9" xfId="10135" xr:uid="{00000000-0005-0000-0000-000081850000}"/>
    <cellStyle name="Normal 9 20" xfId="4037" xr:uid="{00000000-0005-0000-0000-000082850000}"/>
    <cellStyle name="Normal 9 20 2" xfId="5212" xr:uid="{00000000-0005-0000-0000-000083850000}"/>
    <cellStyle name="Normal 9 20 2 2" xfId="6837" xr:uid="{00000000-0005-0000-0000-000084850000}"/>
    <cellStyle name="Normal 9 20 2 2 2" xfId="9923" xr:uid="{00000000-0005-0000-0000-000085850000}"/>
    <cellStyle name="Normal 9 20 2 2 2 2" xfId="16116" xr:uid="{00000000-0005-0000-0000-000086850000}"/>
    <cellStyle name="Normal 9 20 2 2 2 2 2" xfId="36036" xr:uid="{00000000-0005-0000-0000-000087850000}"/>
    <cellStyle name="Normal 9 20 2 2 2 3" xfId="22268" xr:uid="{00000000-0005-0000-0000-000088850000}"/>
    <cellStyle name="Normal 9 20 2 2 2 3 2" xfId="42188" xr:uid="{00000000-0005-0000-0000-000089850000}"/>
    <cellStyle name="Normal 9 20 2 2 2 4" xfId="29883" xr:uid="{00000000-0005-0000-0000-00008A850000}"/>
    <cellStyle name="Normal 9 20 2 2 3" xfId="13050" xr:uid="{00000000-0005-0000-0000-00008B850000}"/>
    <cellStyle name="Normal 9 20 2 2 3 2" xfId="32970" xr:uid="{00000000-0005-0000-0000-00008C850000}"/>
    <cellStyle name="Normal 9 20 2 2 4" xfId="19202" xr:uid="{00000000-0005-0000-0000-00008D850000}"/>
    <cellStyle name="Normal 9 20 2 2 4 2" xfId="39122" xr:uid="{00000000-0005-0000-0000-00008E850000}"/>
    <cellStyle name="Normal 9 20 2 2 5" xfId="26817" xr:uid="{00000000-0005-0000-0000-00008F850000}"/>
    <cellStyle name="Normal 9 20 2 3" xfId="8388" xr:uid="{00000000-0005-0000-0000-000090850000}"/>
    <cellStyle name="Normal 9 20 2 3 2" xfId="14582" xr:uid="{00000000-0005-0000-0000-000091850000}"/>
    <cellStyle name="Normal 9 20 2 3 2 2" xfId="34502" xr:uid="{00000000-0005-0000-0000-000092850000}"/>
    <cellStyle name="Normal 9 20 2 3 3" xfId="20734" xr:uid="{00000000-0005-0000-0000-000093850000}"/>
    <cellStyle name="Normal 9 20 2 3 3 2" xfId="40654" xr:uid="{00000000-0005-0000-0000-000094850000}"/>
    <cellStyle name="Normal 9 20 2 3 4" xfId="28349" xr:uid="{00000000-0005-0000-0000-000095850000}"/>
    <cellStyle name="Normal 9 20 2 4" xfId="11516" xr:uid="{00000000-0005-0000-0000-000096850000}"/>
    <cellStyle name="Normal 9 20 2 4 2" xfId="31436" xr:uid="{00000000-0005-0000-0000-000097850000}"/>
    <cellStyle name="Normal 9 20 2 5" xfId="17668" xr:uid="{00000000-0005-0000-0000-000098850000}"/>
    <cellStyle name="Normal 9 20 2 5 2" xfId="37588" xr:uid="{00000000-0005-0000-0000-000099850000}"/>
    <cellStyle name="Normal 9 20 2 6" xfId="25283" xr:uid="{00000000-0005-0000-0000-00009A850000}"/>
    <cellStyle name="Normal 9 20 3" xfId="6054" xr:uid="{00000000-0005-0000-0000-00009B850000}"/>
    <cellStyle name="Normal 9 20 3 2" xfId="9154" xr:uid="{00000000-0005-0000-0000-00009C850000}"/>
    <cellStyle name="Normal 9 20 3 2 2" xfId="15347" xr:uid="{00000000-0005-0000-0000-00009D850000}"/>
    <cellStyle name="Normal 9 20 3 2 2 2" xfId="35267" xr:uid="{00000000-0005-0000-0000-00009E850000}"/>
    <cellStyle name="Normal 9 20 3 2 3" xfId="21499" xr:uid="{00000000-0005-0000-0000-00009F850000}"/>
    <cellStyle name="Normal 9 20 3 2 3 2" xfId="41419" xr:uid="{00000000-0005-0000-0000-0000A0850000}"/>
    <cellStyle name="Normal 9 20 3 2 4" xfId="29114" xr:uid="{00000000-0005-0000-0000-0000A1850000}"/>
    <cellStyle name="Normal 9 20 3 3" xfId="12281" xr:uid="{00000000-0005-0000-0000-0000A2850000}"/>
    <cellStyle name="Normal 9 20 3 3 2" xfId="32201" xr:uid="{00000000-0005-0000-0000-0000A3850000}"/>
    <cellStyle name="Normal 9 20 3 4" xfId="18433" xr:uid="{00000000-0005-0000-0000-0000A4850000}"/>
    <cellStyle name="Normal 9 20 3 4 2" xfId="38353" xr:uid="{00000000-0005-0000-0000-0000A5850000}"/>
    <cellStyle name="Normal 9 20 3 5" xfId="26048" xr:uid="{00000000-0005-0000-0000-0000A6850000}"/>
    <cellStyle name="Normal 9 20 4" xfId="7619" xr:uid="{00000000-0005-0000-0000-0000A7850000}"/>
    <cellStyle name="Normal 9 20 4 2" xfId="13813" xr:uid="{00000000-0005-0000-0000-0000A8850000}"/>
    <cellStyle name="Normal 9 20 4 2 2" xfId="33733" xr:uid="{00000000-0005-0000-0000-0000A9850000}"/>
    <cellStyle name="Normal 9 20 4 3" xfId="19965" xr:uid="{00000000-0005-0000-0000-0000AA850000}"/>
    <cellStyle name="Normal 9 20 4 3 2" xfId="39885" xr:uid="{00000000-0005-0000-0000-0000AB850000}"/>
    <cellStyle name="Normal 9 20 4 4" xfId="27580" xr:uid="{00000000-0005-0000-0000-0000AC850000}"/>
    <cellStyle name="Normal 9 20 5" xfId="10747" xr:uid="{00000000-0005-0000-0000-0000AD850000}"/>
    <cellStyle name="Normal 9 20 5 2" xfId="30667" xr:uid="{00000000-0005-0000-0000-0000AE850000}"/>
    <cellStyle name="Normal 9 20 6" xfId="16899" xr:uid="{00000000-0005-0000-0000-0000AF850000}"/>
    <cellStyle name="Normal 9 20 6 2" xfId="36819" xr:uid="{00000000-0005-0000-0000-0000B0850000}"/>
    <cellStyle name="Normal 9 20 7" xfId="24514" xr:uid="{00000000-0005-0000-0000-0000B1850000}"/>
    <cellStyle name="Normal 9 21" xfId="4038" xr:uid="{00000000-0005-0000-0000-0000B2850000}"/>
    <cellStyle name="Normal 9 22" xfId="4039" xr:uid="{00000000-0005-0000-0000-0000B3850000}"/>
    <cellStyle name="Normal 9 22 2" xfId="5213" xr:uid="{00000000-0005-0000-0000-0000B4850000}"/>
    <cellStyle name="Normal 9 22 2 2" xfId="6838" xr:uid="{00000000-0005-0000-0000-0000B5850000}"/>
    <cellStyle name="Normal 9 22 2 2 2" xfId="9924" xr:uid="{00000000-0005-0000-0000-0000B6850000}"/>
    <cellStyle name="Normal 9 22 2 2 2 2" xfId="16117" xr:uid="{00000000-0005-0000-0000-0000B7850000}"/>
    <cellStyle name="Normal 9 22 2 2 2 2 2" xfId="36037" xr:uid="{00000000-0005-0000-0000-0000B8850000}"/>
    <cellStyle name="Normal 9 22 2 2 2 3" xfId="22269" xr:uid="{00000000-0005-0000-0000-0000B9850000}"/>
    <cellStyle name="Normal 9 22 2 2 2 3 2" xfId="42189" xr:uid="{00000000-0005-0000-0000-0000BA850000}"/>
    <cellStyle name="Normal 9 22 2 2 2 4" xfId="29884" xr:uid="{00000000-0005-0000-0000-0000BB850000}"/>
    <cellStyle name="Normal 9 22 2 2 3" xfId="13051" xr:uid="{00000000-0005-0000-0000-0000BC850000}"/>
    <cellStyle name="Normal 9 22 2 2 3 2" xfId="32971" xr:uid="{00000000-0005-0000-0000-0000BD850000}"/>
    <cellStyle name="Normal 9 22 2 2 4" xfId="19203" xr:uid="{00000000-0005-0000-0000-0000BE850000}"/>
    <cellStyle name="Normal 9 22 2 2 4 2" xfId="39123" xr:uid="{00000000-0005-0000-0000-0000BF850000}"/>
    <cellStyle name="Normal 9 22 2 2 5" xfId="26818" xr:uid="{00000000-0005-0000-0000-0000C0850000}"/>
    <cellStyle name="Normal 9 22 2 3" xfId="8389" xr:uid="{00000000-0005-0000-0000-0000C1850000}"/>
    <cellStyle name="Normal 9 22 2 3 2" xfId="14583" xr:uid="{00000000-0005-0000-0000-0000C2850000}"/>
    <cellStyle name="Normal 9 22 2 3 2 2" xfId="34503" xr:uid="{00000000-0005-0000-0000-0000C3850000}"/>
    <cellStyle name="Normal 9 22 2 3 3" xfId="20735" xr:uid="{00000000-0005-0000-0000-0000C4850000}"/>
    <cellStyle name="Normal 9 22 2 3 3 2" xfId="40655" xr:uid="{00000000-0005-0000-0000-0000C5850000}"/>
    <cellStyle name="Normal 9 22 2 3 4" xfId="28350" xr:uid="{00000000-0005-0000-0000-0000C6850000}"/>
    <cellStyle name="Normal 9 22 2 4" xfId="11517" xr:uid="{00000000-0005-0000-0000-0000C7850000}"/>
    <cellStyle name="Normal 9 22 2 4 2" xfId="31437" xr:uid="{00000000-0005-0000-0000-0000C8850000}"/>
    <cellStyle name="Normal 9 22 2 5" xfId="17669" xr:uid="{00000000-0005-0000-0000-0000C9850000}"/>
    <cellStyle name="Normal 9 22 2 5 2" xfId="37589" xr:uid="{00000000-0005-0000-0000-0000CA850000}"/>
    <cellStyle name="Normal 9 22 2 6" xfId="25284" xr:uid="{00000000-0005-0000-0000-0000CB850000}"/>
    <cellStyle name="Normal 9 22 3" xfId="6055" xr:uid="{00000000-0005-0000-0000-0000CC850000}"/>
    <cellStyle name="Normal 9 22 3 2" xfId="9155" xr:uid="{00000000-0005-0000-0000-0000CD850000}"/>
    <cellStyle name="Normal 9 22 3 2 2" xfId="15348" xr:uid="{00000000-0005-0000-0000-0000CE850000}"/>
    <cellStyle name="Normal 9 22 3 2 2 2" xfId="35268" xr:uid="{00000000-0005-0000-0000-0000CF850000}"/>
    <cellStyle name="Normal 9 22 3 2 3" xfId="21500" xr:uid="{00000000-0005-0000-0000-0000D0850000}"/>
    <cellStyle name="Normal 9 22 3 2 3 2" xfId="41420" xr:uid="{00000000-0005-0000-0000-0000D1850000}"/>
    <cellStyle name="Normal 9 22 3 2 4" xfId="29115" xr:uid="{00000000-0005-0000-0000-0000D2850000}"/>
    <cellStyle name="Normal 9 22 3 3" xfId="12282" xr:uid="{00000000-0005-0000-0000-0000D3850000}"/>
    <cellStyle name="Normal 9 22 3 3 2" xfId="32202" xr:uid="{00000000-0005-0000-0000-0000D4850000}"/>
    <cellStyle name="Normal 9 22 3 4" xfId="18434" xr:uid="{00000000-0005-0000-0000-0000D5850000}"/>
    <cellStyle name="Normal 9 22 3 4 2" xfId="38354" xr:uid="{00000000-0005-0000-0000-0000D6850000}"/>
    <cellStyle name="Normal 9 22 3 5" xfId="26049" xr:uid="{00000000-0005-0000-0000-0000D7850000}"/>
    <cellStyle name="Normal 9 22 4" xfId="7620" xr:uid="{00000000-0005-0000-0000-0000D8850000}"/>
    <cellStyle name="Normal 9 22 4 2" xfId="13814" xr:uid="{00000000-0005-0000-0000-0000D9850000}"/>
    <cellStyle name="Normal 9 22 4 2 2" xfId="33734" xr:uid="{00000000-0005-0000-0000-0000DA850000}"/>
    <cellStyle name="Normal 9 22 4 3" xfId="19966" xr:uid="{00000000-0005-0000-0000-0000DB850000}"/>
    <cellStyle name="Normal 9 22 4 3 2" xfId="39886" xr:uid="{00000000-0005-0000-0000-0000DC850000}"/>
    <cellStyle name="Normal 9 22 4 4" xfId="27581" xr:uid="{00000000-0005-0000-0000-0000DD850000}"/>
    <cellStyle name="Normal 9 22 5" xfId="10748" xr:uid="{00000000-0005-0000-0000-0000DE850000}"/>
    <cellStyle name="Normal 9 22 5 2" xfId="30668" xr:uid="{00000000-0005-0000-0000-0000DF850000}"/>
    <cellStyle name="Normal 9 22 6" xfId="16900" xr:uid="{00000000-0005-0000-0000-0000E0850000}"/>
    <cellStyle name="Normal 9 22 6 2" xfId="36820" xr:uid="{00000000-0005-0000-0000-0000E1850000}"/>
    <cellStyle name="Normal 9 22 7" xfId="24515" xr:uid="{00000000-0005-0000-0000-0000E2850000}"/>
    <cellStyle name="Normal 9 23" xfId="4040" xr:uid="{00000000-0005-0000-0000-0000E3850000}"/>
    <cellStyle name="Normal 9 23 2" xfId="4041" xr:uid="{00000000-0005-0000-0000-0000E4850000}"/>
    <cellStyle name="Normal 9 24" xfId="4042" xr:uid="{00000000-0005-0000-0000-0000E5850000}"/>
    <cellStyle name="Normal 9 24 2" xfId="4043" xr:uid="{00000000-0005-0000-0000-0000E6850000}"/>
    <cellStyle name="Normal 9 25" xfId="4021" xr:uid="{00000000-0005-0000-0000-0000E7850000}"/>
    <cellStyle name="Normal 9 25 2" xfId="5196" xr:uid="{00000000-0005-0000-0000-0000E8850000}"/>
    <cellStyle name="Normal 9 25 2 2" xfId="6821" xr:uid="{00000000-0005-0000-0000-0000E9850000}"/>
    <cellStyle name="Normal 9 25 2 2 2" xfId="9907" xr:uid="{00000000-0005-0000-0000-0000EA850000}"/>
    <cellStyle name="Normal 9 25 2 2 2 2" xfId="16100" xr:uid="{00000000-0005-0000-0000-0000EB850000}"/>
    <cellStyle name="Normal 9 25 2 2 2 2 2" xfId="36020" xr:uid="{00000000-0005-0000-0000-0000EC850000}"/>
    <cellStyle name="Normal 9 25 2 2 2 3" xfId="22252" xr:uid="{00000000-0005-0000-0000-0000ED850000}"/>
    <cellStyle name="Normal 9 25 2 2 2 3 2" xfId="42172" xr:uid="{00000000-0005-0000-0000-0000EE850000}"/>
    <cellStyle name="Normal 9 25 2 2 2 4" xfId="29867" xr:uid="{00000000-0005-0000-0000-0000EF850000}"/>
    <cellStyle name="Normal 9 25 2 2 3" xfId="13034" xr:uid="{00000000-0005-0000-0000-0000F0850000}"/>
    <cellStyle name="Normal 9 25 2 2 3 2" xfId="32954" xr:uid="{00000000-0005-0000-0000-0000F1850000}"/>
    <cellStyle name="Normal 9 25 2 2 4" xfId="19186" xr:uid="{00000000-0005-0000-0000-0000F2850000}"/>
    <cellStyle name="Normal 9 25 2 2 4 2" xfId="39106" xr:uid="{00000000-0005-0000-0000-0000F3850000}"/>
    <cellStyle name="Normal 9 25 2 2 5" xfId="26801" xr:uid="{00000000-0005-0000-0000-0000F4850000}"/>
    <cellStyle name="Normal 9 25 2 3" xfId="8372" xr:uid="{00000000-0005-0000-0000-0000F5850000}"/>
    <cellStyle name="Normal 9 25 2 3 2" xfId="14566" xr:uid="{00000000-0005-0000-0000-0000F6850000}"/>
    <cellStyle name="Normal 9 25 2 3 2 2" xfId="34486" xr:uid="{00000000-0005-0000-0000-0000F7850000}"/>
    <cellStyle name="Normal 9 25 2 3 3" xfId="20718" xr:uid="{00000000-0005-0000-0000-0000F8850000}"/>
    <cellStyle name="Normal 9 25 2 3 3 2" xfId="40638" xr:uid="{00000000-0005-0000-0000-0000F9850000}"/>
    <cellStyle name="Normal 9 25 2 3 4" xfId="28333" xr:uid="{00000000-0005-0000-0000-0000FA850000}"/>
    <cellStyle name="Normal 9 25 2 4" xfId="11500" xr:uid="{00000000-0005-0000-0000-0000FB850000}"/>
    <cellStyle name="Normal 9 25 2 4 2" xfId="31420" xr:uid="{00000000-0005-0000-0000-0000FC850000}"/>
    <cellStyle name="Normal 9 25 2 5" xfId="17652" xr:uid="{00000000-0005-0000-0000-0000FD850000}"/>
    <cellStyle name="Normal 9 25 2 5 2" xfId="37572" xr:uid="{00000000-0005-0000-0000-0000FE850000}"/>
    <cellStyle name="Normal 9 25 2 6" xfId="25267" xr:uid="{00000000-0005-0000-0000-0000FF850000}"/>
    <cellStyle name="Normal 9 25 3" xfId="6038" xr:uid="{00000000-0005-0000-0000-000000860000}"/>
    <cellStyle name="Normal 9 25 3 2" xfId="9138" xr:uid="{00000000-0005-0000-0000-000001860000}"/>
    <cellStyle name="Normal 9 25 3 2 2" xfId="15331" xr:uid="{00000000-0005-0000-0000-000002860000}"/>
    <cellStyle name="Normal 9 25 3 2 2 2" xfId="35251" xr:uid="{00000000-0005-0000-0000-000003860000}"/>
    <cellStyle name="Normal 9 25 3 2 3" xfId="21483" xr:uid="{00000000-0005-0000-0000-000004860000}"/>
    <cellStyle name="Normal 9 25 3 2 3 2" xfId="41403" xr:uid="{00000000-0005-0000-0000-000005860000}"/>
    <cellStyle name="Normal 9 25 3 2 4" xfId="29098" xr:uid="{00000000-0005-0000-0000-000006860000}"/>
    <cellStyle name="Normal 9 25 3 3" xfId="12265" xr:uid="{00000000-0005-0000-0000-000007860000}"/>
    <cellStyle name="Normal 9 25 3 3 2" xfId="32185" xr:uid="{00000000-0005-0000-0000-000008860000}"/>
    <cellStyle name="Normal 9 25 3 4" xfId="18417" xr:uid="{00000000-0005-0000-0000-000009860000}"/>
    <cellStyle name="Normal 9 25 3 4 2" xfId="38337" xr:uid="{00000000-0005-0000-0000-00000A860000}"/>
    <cellStyle name="Normal 9 25 3 5" xfId="26032" xr:uid="{00000000-0005-0000-0000-00000B860000}"/>
    <cellStyle name="Normal 9 25 4" xfId="7603" xr:uid="{00000000-0005-0000-0000-00000C860000}"/>
    <cellStyle name="Normal 9 25 4 2" xfId="13797" xr:uid="{00000000-0005-0000-0000-00000D860000}"/>
    <cellStyle name="Normal 9 25 4 2 2" xfId="33717" xr:uid="{00000000-0005-0000-0000-00000E860000}"/>
    <cellStyle name="Normal 9 25 4 3" xfId="19949" xr:uid="{00000000-0005-0000-0000-00000F860000}"/>
    <cellStyle name="Normal 9 25 4 3 2" xfId="39869" xr:uid="{00000000-0005-0000-0000-000010860000}"/>
    <cellStyle name="Normal 9 25 4 4" xfId="27564" xr:uid="{00000000-0005-0000-0000-000011860000}"/>
    <cellStyle name="Normal 9 25 5" xfId="10731" xr:uid="{00000000-0005-0000-0000-000012860000}"/>
    <cellStyle name="Normal 9 25 5 2" xfId="30651" xr:uid="{00000000-0005-0000-0000-000013860000}"/>
    <cellStyle name="Normal 9 25 6" xfId="16883" xr:uid="{00000000-0005-0000-0000-000014860000}"/>
    <cellStyle name="Normal 9 25 6 2" xfId="36803" xr:uid="{00000000-0005-0000-0000-000015860000}"/>
    <cellStyle name="Normal 9 25 7" xfId="24498" xr:uid="{00000000-0005-0000-0000-000016860000}"/>
    <cellStyle name="Normal 9 26" xfId="1166" xr:uid="{00000000-0005-0000-0000-000017860000}"/>
    <cellStyle name="Normal 9 3" xfId="4044" xr:uid="{00000000-0005-0000-0000-000018860000}"/>
    <cellStyle name="Normal 9 3 10" xfId="16901" xr:uid="{00000000-0005-0000-0000-000019860000}"/>
    <cellStyle name="Normal 9 3 10 2" xfId="36821" xr:uid="{00000000-0005-0000-0000-00001A860000}"/>
    <cellStyle name="Normal 9 3 11" xfId="24516" xr:uid="{00000000-0005-0000-0000-00001B860000}"/>
    <cellStyle name="Normal 9 3 2" xfId="4045" xr:uid="{00000000-0005-0000-0000-00001C860000}"/>
    <cellStyle name="Normal 9 3 2 2" xfId="5215" xr:uid="{00000000-0005-0000-0000-00001D860000}"/>
    <cellStyle name="Normal 9 3 2 2 2" xfId="6840" xr:uid="{00000000-0005-0000-0000-00001E860000}"/>
    <cellStyle name="Normal 9 3 2 2 2 2" xfId="9926" xr:uid="{00000000-0005-0000-0000-00001F860000}"/>
    <cellStyle name="Normal 9 3 2 2 2 2 2" xfId="16119" xr:uid="{00000000-0005-0000-0000-000020860000}"/>
    <cellStyle name="Normal 9 3 2 2 2 2 2 2" xfId="36039" xr:uid="{00000000-0005-0000-0000-000021860000}"/>
    <cellStyle name="Normal 9 3 2 2 2 2 3" xfId="22271" xr:uid="{00000000-0005-0000-0000-000022860000}"/>
    <cellStyle name="Normal 9 3 2 2 2 2 3 2" xfId="42191" xr:uid="{00000000-0005-0000-0000-000023860000}"/>
    <cellStyle name="Normal 9 3 2 2 2 2 4" xfId="29886" xr:uid="{00000000-0005-0000-0000-000024860000}"/>
    <cellStyle name="Normal 9 3 2 2 2 3" xfId="13053" xr:uid="{00000000-0005-0000-0000-000025860000}"/>
    <cellStyle name="Normal 9 3 2 2 2 3 2" xfId="32973" xr:uid="{00000000-0005-0000-0000-000026860000}"/>
    <cellStyle name="Normal 9 3 2 2 2 4" xfId="19205" xr:uid="{00000000-0005-0000-0000-000027860000}"/>
    <cellStyle name="Normal 9 3 2 2 2 4 2" xfId="39125" xr:uid="{00000000-0005-0000-0000-000028860000}"/>
    <cellStyle name="Normal 9 3 2 2 2 5" xfId="26820" xr:uid="{00000000-0005-0000-0000-000029860000}"/>
    <cellStyle name="Normal 9 3 2 2 3" xfId="8391" xr:uid="{00000000-0005-0000-0000-00002A860000}"/>
    <cellStyle name="Normal 9 3 2 2 3 2" xfId="14585" xr:uid="{00000000-0005-0000-0000-00002B860000}"/>
    <cellStyle name="Normal 9 3 2 2 3 2 2" xfId="34505" xr:uid="{00000000-0005-0000-0000-00002C860000}"/>
    <cellStyle name="Normal 9 3 2 2 3 3" xfId="20737" xr:uid="{00000000-0005-0000-0000-00002D860000}"/>
    <cellStyle name="Normal 9 3 2 2 3 3 2" xfId="40657" xr:uid="{00000000-0005-0000-0000-00002E860000}"/>
    <cellStyle name="Normal 9 3 2 2 3 4" xfId="28352" xr:uid="{00000000-0005-0000-0000-00002F860000}"/>
    <cellStyle name="Normal 9 3 2 2 4" xfId="11519" xr:uid="{00000000-0005-0000-0000-000030860000}"/>
    <cellStyle name="Normal 9 3 2 2 4 2" xfId="31439" xr:uid="{00000000-0005-0000-0000-000031860000}"/>
    <cellStyle name="Normal 9 3 2 2 5" xfId="17671" xr:uid="{00000000-0005-0000-0000-000032860000}"/>
    <cellStyle name="Normal 9 3 2 2 5 2" xfId="37591" xr:uid="{00000000-0005-0000-0000-000033860000}"/>
    <cellStyle name="Normal 9 3 2 2 6" xfId="25286" xr:uid="{00000000-0005-0000-0000-000034860000}"/>
    <cellStyle name="Normal 9 3 2 3" xfId="6057" xr:uid="{00000000-0005-0000-0000-000035860000}"/>
    <cellStyle name="Normal 9 3 2 3 2" xfId="9157" xr:uid="{00000000-0005-0000-0000-000036860000}"/>
    <cellStyle name="Normal 9 3 2 3 2 2" xfId="15350" xr:uid="{00000000-0005-0000-0000-000037860000}"/>
    <cellStyle name="Normal 9 3 2 3 2 2 2" xfId="35270" xr:uid="{00000000-0005-0000-0000-000038860000}"/>
    <cellStyle name="Normal 9 3 2 3 2 3" xfId="21502" xr:uid="{00000000-0005-0000-0000-000039860000}"/>
    <cellStyle name="Normal 9 3 2 3 2 3 2" xfId="41422" xr:uid="{00000000-0005-0000-0000-00003A860000}"/>
    <cellStyle name="Normal 9 3 2 3 2 4" xfId="29117" xr:uid="{00000000-0005-0000-0000-00003B860000}"/>
    <cellStyle name="Normal 9 3 2 3 3" xfId="12284" xr:uid="{00000000-0005-0000-0000-00003C860000}"/>
    <cellStyle name="Normal 9 3 2 3 3 2" xfId="32204" xr:uid="{00000000-0005-0000-0000-00003D860000}"/>
    <cellStyle name="Normal 9 3 2 3 4" xfId="18436" xr:uid="{00000000-0005-0000-0000-00003E860000}"/>
    <cellStyle name="Normal 9 3 2 3 4 2" xfId="38356" xr:uid="{00000000-0005-0000-0000-00003F860000}"/>
    <cellStyle name="Normal 9 3 2 3 5" xfId="26051" xr:uid="{00000000-0005-0000-0000-000040860000}"/>
    <cellStyle name="Normal 9 3 2 4" xfId="7622" xr:uid="{00000000-0005-0000-0000-000041860000}"/>
    <cellStyle name="Normal 9 3 2 4 2" xfId="13816" xr:uid="{00000000-0005-0000-0000-000042860000}"/>
    <cellStyle name="Normal 9 3 2 4 2 2" xfId="33736" xr:uid="{00000000-0005-0000-0000-000043860000}"/>
    <cellStyle name="Normal 9 3 2 4 3" xfId="19968" xr:uid="{00000000-0005-0000-0000-000044860000}"/>
    <cellStyle name="Normal 9 3 2 4 3 2" xfId="39888" xr:uid="{00000000-0005-0000-0000-000045860000}"/>
    <cellStyle name="Normal 9 3 2 4 4" xfId="27583" xr:uid="{00000000-0005-0000-0000-000046860000}"/>
    <cellStyle name="Normal 9 3 2 5" xfId="10750" xr:uid="{00000000-0005-0000-0000-000047860000}"/>
    <cellStyle name="Normal 9 3 2 5 2" xfId="30670" xr:uid="{00000000-0005-0000-0000-000048860000}"/>
    <cellStyle name="Normal 9 3 2 6" xfId="16902" xr:uid="{00000000-0005-0000-0000-000049860000}"/>
    <cellStyle name="Normal 9 3 2 6 2" xfId="36822" xr:uid="{00000000-0005-0000-0000-00004A860000}"/>
    <cellStyle name="Normal 9 3 2 7" xfId="24517" xr:uid="{00000000-0005-0000-0000-00004B860000}"/>
    <cellStyle name="Normal 9 3 3" xfId="4046" xr:uid="{00000000-0005-0000-0000-00004C860000}"/>
    <cellStyle name="Normal 9 3 3 2" xfId="5216" xr:uid="{00000000-0005-0000-0000-00004D860000}"/>
    <cellStyle name="Normal 9 3 3 2 2" xfId="6841" xr:uid="{00000000-0005-0000-0000-00004E860000}"/>
    <cellStyle name="Normal 9 3 3 2 2 2" xfId="9927" xr:uid="{00000000-0005-0000-0000-00004F860000}"/>
    <cellStyle name="Normal 9 3 3 2 2 2 2" xfId="16120" xr:uid="{00000000-0005-0000-0000-000050860000}"/>
    <cellStyle name="Normal 9 3 3 2 2 2 2 2" xfId="36040" xr:uid="{00000000-0005-0000-0000-000051860000}"/>
    <cellStyle name="Normal 9 3 3 2 2 2 3" xfId="22272" xr:uid="{00000000-0005-0000-0000-000052860000}"/>
    <cellStyle name="Normal 9 3 3 2 2 2 3 2" xfId="42192" xr:uid="{00000000-0005-0000-0000-000053860000}"/>
    <cellStyle name="Normal 9 3 3 2 2 2 4" xfId="29887" xr:uid="{00000000-0005-0000-0000-000054860000}"/>
    <cellStyle name="Normal 9 3 3 2 2 3" xfId="13054" xr:uid="{00000000-0005-0000-0000-000055860000}"/>
    <cellStyle name="Normal 9 3 3 2 2 3 2" xfId="32974" xr:uid="{00000000-0005-0000-0000-000056860000}"/>
    <cellStyle name="Normal 9 3 3 2 2 4" xfId="19206" xr:uid="{00000000-0005-0000-0000-000057860000}"/>
    <cellStyle name="Normal 9 3 3 2 2 4 2" xfId="39126" xr:uid="{00000000-0005-0000-0000-000058860000}"/>
    <cellStyle name="Normal 9 3 3 2 2 5" xfId="26821" xr:uid="{00000000-0005-0000-0000-000059860000}"/>
    <cellStyle name="Normal 9 3 3 2 3" xfId="8392" xr:uid="{00000000-0005-0000-0000-00005A860000}"/>
    <cellStyle name="Normal 9 3 3 2 3 2" xfId="14586" xr:uid="{00000000-0005-0000-0000-00005B860000}"/>
    <cellStyle name="Normal 9 3 3 2 3 2 2" xfId="34506" xr:uid="{00000000-0005-0000-0000-00005C860000}"/>
    <cellStyle name="Normal 9 3 3 2 3 3" xfId="20738" xr:uid="{00000000-0005-0000-0000-00005D860000}"/>
    <cellStyle name="Normal 9 3 3 2 3 3 2" xfId="40658" xr:uid="{00000000-0005-0000-0000-00005E860000}"/>
    <cellStyle name="Normal 9 3 3 2 3 4" xfId="28353" xr:uid="{00000000-0005-0000-0000-00005F860000}"/>
    <cellStyle name="Normal 9 3 3 2 4" xfId="11520" xr:uid="{00000000-0005-0000-0000-000060860000}"/>
    <cellStyle name="Normal 9 3 3 2 4 2" xfId="31440" xr:uid="{00000000-0005-0000-0000-000061860000}"/>
    <cellStyle name="Normal 9 3 3 2 5" xfId="17672" xr:uid="{00000000-0005-0000-0000-000062860000}"/>
    <cellStyle name="Normal 9 3 3 2 5 2" xfId="37592" xr:uid="{00000000-0005-0000-0000-000063860000}"/>
    <cellStyle name="Normal 9 3 3 2 6" xfId="25287" xr:uid="{00000000-0005-0000-0000-000064860000}"/>
    <cellStyle name="Normal 9 3 3 3" xfId="6058" xr:uid="{00000000-0005-0000-0000-000065860000}"/>
    <cellStyle name="Normal 9 3 3 3 2" xfId="9158" xr:uid="{00000000-0005-0000-0000-000066860000}"/>
    <cellStyle name="Normal 9 3 3 3 2 2" xfId="15351" xr:uid="{00000000-0005-0000-0000-000067860000}"/>
    <cellStyle name="Normal 9 3 3 3 2 2 2" xfId="35271" xr:uid="{00000000-0005-0000-0000-000068860000}"/>
    <cellStyle name="Normal 9 3 3 3 2 3" xfId="21503" xr:uid="{00000000-0005-0000-0000-000069860000}"/>
    <cellStyle name="Normal 9 3 3 3 2 3 2" xfId="41423" xr:uid="{00000000-0005-0000-0000-00006A860000}"/>
    <cellStyle name="Normal 9 3 3 3 2 4" xfId="29118" xr:uid="{00000000-0005-0000-0000-00006B860000}"/>
    <cellStyle name="Normal 9 3 3 3 3" xfId="12285" xr:uid="{00000000-0005-0000-0000-00006C860000}"/>
    <cellStyle name="Normal 9 3 3 3 3 2" xfId="32205" xr:uid="{00000000-0005-0000-0000-00006D860000}"/>
    <cellStyle name="Normal 9 3 3 3 4" xfId="18437" xr:uid="{00000000-0005-0000-0000-00006E860000}"/>
    <cellStyle name="Normal 9 3 3 3 4 2" xfId="38357" xr:uid="{00000000-0005-0000-0000-00006F860000}"/>
    <cellStyle name="Normal 9 3 3 3 5" xfId="26052" xr:uid="{00000000-0005-0000-0000-000070860000}"/>
    <cellStyle name="Normal 9 3 3 4" xfId="7623" xr:uid="{00000000-0005-0000-0000-000071860000}"/>
    <cellStyle name="Normal 9 3 3 4 2" xfId="13817" xr:uid="{00000000-0005-0000-0000-000072860000}"/>
    <cellStyle name="Normal 9 3 3 4 2 2" xfId="33737" xr:uid="{00000000-0005-0000-0000-000073860000}"/>
    <cellStyle name="Normal 9 3 3 4 3" xfId="19969" xr:uid="{00000000-0005-0000-0000-000074860000}"/>
    <cellStyle name="Normal 9 3 3 4 3 2" xfId="39889" xr:uid="{00000000-0005-0000-0000-000075860000}"/>
    <cellStyle name="Normal 9 3 3 4 4" xfId="27584" xr:uid="{00000000-0005-0000-0000-000076860000}"/>
    <cellStyle name="Normal 9 3 3 5" xfId="10751" xr:uid="{00000000-0005-0000-0000-000077860000}"/>
    <cellStyle name="Normal 9 3 3 5 2" xfId="30671" xr:uid="{00000000-0005-0000-0000-000078860000}"/>
    <cellStyle name="Normal 9 3 3 6" xfId="16903" xr:uid="{00000000-0005-0000-0000-000079860000}"/>
    <cellStyle name="Normal 9 3 3 6 2" xfId="36823" xr:uid="{00000000-0005-0000-0000-00007A860000}"/>
    <cellStyle name="Normal 9 3 3 7" xfId="24518" xr:uid="{00000000-0005-0000-0000-00007B860000}"/>
    <cellStyle name="Normal 9 3 4" xfId="4047" xr:uid="{00000000-0005-0000-0000-00007C860000}"/>
    <cellStyle name="Normal 9 3 4 2" xfId="5217" xr:uid="{00000000-0005-0000-0000-00007D860000}"/>
    <cellStyle name="Normal 9 3 4 2 2" xfId="6842" xr:uid="{00000000-0005-0000-0000-00007E860000}"/>
    <cellStyle name="Normal 9 3 4 2 2 2" xfId="9928" xr:uid="{00000000-0005-0000-0000-00007F860000}"/>
    <cellStyle name="Normal 9 3 4 2 2 2 2" xfId="16121" xr:uid="{00000000-0005-0000-0000-000080860000}"/>
    <cellStyle name="Normal 9 3 4 2 2 2 2 2" xfId="36041" xr:uid="{00000000-0005-0000-0000-000081860000}"/>
    <cellStyle name="Normal 9 3 4 2 2 2 3" xfId="22273" xr:uid="{00000000-0005-0000-0000-000082860000}"/>
    <cellStyle name="Normal 9 3 4 2 2 2 3 2" xfId="42193" xr:uid="{00000000-0005-0000-0000-000083860000}"/>
    <cellStyle name="Normal 9 3 4 2 2 2 4" xfId="29888" xr:uid="{00000000-0005-0000-0000-000084860000}"/>
    <cellStyle name="Normal 9 3 4 2 2 3" xfId="13055" xr:uid="{00000000-0005-0000-0000-000085860000}"/>
    <cellStyle name="Normal 9 3 4 2 2 3 2" xfId="32975" xr:uid="{00000000-0005-0000-0000-000086860000}"/>
    <cellStyle name="Normal 9 3 4 2 2 4" xfId="19207" xr:uid="{00000000-0005-0000-0000-000087860000}"/>
    <cellStyle name="Normal 9 3 4 2 2 4 2" xfId="39127" xr:uid="{00000000-0005-0000-0000-000088860000}"/>
    <cellStyle name="Normal 9 3 4 2 2 5" xfId="26822" xr:uid="{00000000-0005-0000-0000-000089860000}"/>
    <cellStyle name="Normal 9 3 4 2 3" xfId="8393" xr:uid="{00000000-0005-0000-0000-00008A860000}"/>
    <cellStyle name="Normal 9 3 4 2 3 2" xfId="14587" xr:uid="{00000000-0005-0000-0000-00008B860000}"/>
    <cellStyle name="Normal 9 3 4 2 3 2 2" xfId="34507" xr:uid="{00000000-0005-0000-0000-00008C860000}"/>
    <cellStyle name="Normal 9 3 4 2 3 3" xfId="20739" xr:uid="{00000000-0005-0000-0000-00008D860000}"/>
    <cellStyle name="Normal 9 3 4 2 3 3 2" xfId="40659" xr:uid="{00000000-0005-0000-0000-00008E860000}"/>
    <cellStyle name="Normal 9 3 4 2 3 4" xfId="28354" xr:uid="{00000000-0005-0000-0000-00008F860000}"/>
    <cellStyle name="Normal 9 3 4 2 4" xfId="11521" xr:uid="{00000000-0005-0000-0000-000090860000}"/>
    <cellStyle name="Normal 9 3 4 2 4 2" xfId="31441" xr:uid="{00000000-0005-0000-0000-000091860000}"/>
    <cellStyle name="Normal 9 3 4 2 5" xfId="17673" xr:uid="{00000000-0005-0000-0000-000092860000}"/>
    <cellStyle name="Normal 9 3 4 2 5 2" xfId="37593" xr:uid="{00000000-0005-0000-0000-000093860000}"/>
    <cellStyle name="Normal 9 3 4 2 6" xfId="25288" xr:uid="{00000000-0005-0000-0000-000094860000}"/>
    <cellStyle name="Normal 9 3 4 3" xfId="6059" xr:uid="{00000000-0005-0000-0000-000095860000}"/>
    <cellStyle name="Normal 9 3 4 3 2" xfId="9159" xr:uid="{00000000-0005-0000-0000-000096860000}"/>
    <cellStyle name="Normal 9 3 4 3 2 2" xfId="15352" xr:uid="{00000000-0005-0000-0000-000097860000}"/>
    <cellStyle name="Normal 9 3 4 3 2 2 2" xfId="35272" xr:uid="{00000000-0005-0000-0000-000098860000}"/>
    <cellStyle name="Normal 9 3 4 3 2 3" xfId="21504" xr:uid="{00000000-0005-0000-0000-000099860000}"/>
    <cellStyle name="Normal 9 3 4 3 2 3 2" xfId="41424" xr:uid="{00000000-0005-0000-0000-00009A860000}"/>
    <cellStyle name="Normal 9 3 4 3 2 4" xfId="29119" xr:uid="{00000000-0005-0000-0000-00009B860000}"/>
    <cellStyle name="Normal 9 3 4 3 3" xfId="12286" xr:uid="{00000000-0005-0000-0000-00009C860000}"/>
    <cellStyle name="Normal 9 3 4 3 3 2" xfId="32206" xr:uid="{00000000-0005-0000-0000-00009D860000}"/>
    <cellStyle name="Normal 9 3 4 3 4" xfId="18438" xr:uid="{00000000-0005-0000-0000-00009E860000}"/>
    <cellStyle name="Normal 9 3 4 3 4 2" xfId="38358" xr:uid="{00000000-0005-0000-0000-00009F860000}"/>
    <cellStyle name="Normal 9 3 4 3 5" xfId="26053" xr:uid="{00000000-0005-0000-0000-0000A0860000}"/>
    <cellStyle name="Normal 9 3 4 4" xfId="7624" xr:uid="{00000000-0005-0000-0000-0000A1860000}"/>
    <cellStyle name="Normal 9 3 4 4 2" xfId="13818" xr:uid="{00000000-0005-0000-0000-0000A2860000}"/>
    <cellStyle name="Normal 9 3 4 4 2 2" xfId="33738" xr:uid="{00000000-0005-0000-0000-0000A3860000}"/>
    <cellStyle name="Normal 9 3 4 4 3" xfId="19970" xr:uid="{00000000-0005-0000-0000-0000A4860000}"/>
    <cellStyle name="Normal 9 3 4 4 3 2" xfId="39890" xr:uid="{00000000-0005-0000-0000-0000A5860000}"/>
    <cellStyle name="Normal 9 3 4 4 4" xfId="27585" xr:uid="{00000000-0005-0000-0000-0000A6860000}"/>
    <cellStyle name="Normal 9 3 4 5" xfId="10752" xr:uid="{00000000-0005-0000-0000-0000A7860000}"/>
    <cellStyle name="Normal 9 3 4 5 2" xfId="30672" xr:uid="{00000000-0005-0000-0000-0000A8860000}"/>
    <cellStyle name="Normal 9 3 4 6" xfId="16904" xr:uid="{00000000-0005-0000-0000-0000A9860000}"/>
    <cellStyle name="Normal 9 3 4 6 2" xfId="36824" xr:uid="{00000000-0005-0000-0000-0000AA860000}"/>
    <cellStyle name="Normal 9 3 4 7" xfId="24519" xr:uid="{00000000-0005-0000-0000-0000AB860000}"/>
    <cellStyle name="Normal 9 3 5" xfId="4048" xr:uid="{00000000-0005-0000-0000-0000AC860000}"/>
    <cellStyle name="Normal 9 3 5 2" xfId="5218" xr:uid="{00000000-0005-0000-0000-0000AD860000}"/>
    <cellStyle name="Normal 9 3 5 2 2" xfId="6843" xr:uid="{00000000-0005-0000-0000-0000AE860000}"/>
    <cellStyle name="Normal 9 3 5 2 2 2" xfId="9929" xr:uid="{00000000-0005-0000-0000-0000AF860000}"/>
    <cellStyle name="Normal 9 3 5 2 2 2 2" xfId="16122" xr:uid="{00000000-0005-0000-0000-0000B0860000}"/>
    <cellStyle name="Normal 9 3 5 2 2 2 2 2" xfId="36042" xr:uid="{00000000-0005-0000-0000-0000B1860000}"/>
    <cellStyle name="Normal 9 3 5 2 2 2 3" xfId="22274" xr:uid="{00000000-0005-0000-0000-0000B2860000}"/>
    <cellStyle name="Normal 9 3 5 2 2 2 3 2" xfId="42194" xr:uid="{00000000-0005-0000-0000-0000B3860000}"/>
    <cellStyle name="Normal 9 3 5 2 2 2 4" xfId="29889" xr:uid="{00000000-0005-0000-0000-0000B4860000}"/>
    <cellStyle name="Normal 9 3 5 2 2 3" xfId="13056" xr:uid="{00000000-0005-0000-0000-0000B5860000}"/>
    <cellStyle name="Normal 9 3 5 2 2 3 2" xfId="32976" xr:uid="{00000000-0005-0000-0000-0000B6860000}"/>
    <cellStyle name="Normal 9 3 5 2 2 4" xfId="19208" xr:uid="{00000000-0005-0000-0000-0000B7860000}"/>
    <cellStyle name="Normal 9 3 5 2 2 4 2" xfId="39128" xr:uid="{00000000-0005-0000-0000-0000B8860000}"/>
    <cellStyle name="Normal 9 3 5 2 2 5" xfId="26823" xr:uid="{00000000-0005-0000-0000-0000B9860000}"/>
    <cellStyle name="Normal 9 3 5 2 3" xfId="8394" xr:uid="{00000000-0005-0000-0000-0000BA860000}"/>
    <cellStyle name="Normal 9 3 5 2 3 2" xfId="14588" xr:uid="{00000000-0005-0000-0000-0000BB860000}"/>
    <cellStyle name="Normal 9 3 5 2 3 2 2" xfId="34508" xr:uid="{00000000-0005-0000-0000-0000BC860000}"/>
    <cellStyle name="Normal 9 3 5 2 3 3" xfId="20740" xr:uid="{00000000-0005-0000-0000-0000BD860000}"/>
    <cellStyle name="Normal 9 3 5 2 3 3 2" xfId="40660" xr:uid="{00000000-0005-0000-0000-0000BE860000}"/>
    <cellStyle name="Normal 9 3 5 2 3 4" xfId="28355" xr:uid="{00000000-0005-0000-0000-0000BF860000}"/>
    <cellStyle name="Normal 9 3 5 2 4" xfId="11522" xr:uid="{00000000-0005-0000-0000-0000C0860000}"/>
    <cellStyle name="Normal 9 3 5 2 4 2" xfId="31442" xr:uid="{00000000-0005-0000-0000-0000C1860000}"/>
    <cellStyle name="Normal 9 3 5 2 5" xfId="17674" xr:uid="{00000000-0005-0000-0000-0000C2860000}"/>
    <cellStyle name="Normal 9 3 5 2 5 2" xfId="37594" xr:uid="{00000000-0005-0000-0000-0000C3860000}"/>
    <cellStyle name="Normal 9 3 5 2 6" xfId="25289" xr:uid="{00000000-0005-0000-0000-0000C4860000}"/>
    <cellStyle name="Normal 9 3 5 3" xfId="6060" xr:uid="{00000000-0005-0000-0000-0000C5860000}"/>
    <cellStyle name="Normal 9 3 5 3 2" xfId="9160" xr:uid="{00000000-0005-0000-0000-0000C6860000}"/>
    <cellStyle name="Normal 9 3 5 3 2 2" xfId="15353" xr:uid="{00000000-0005-0000-0000-0000C7860000}"/>
    <cellStyle name="Normal 9 3 5 3 2 2 2" xfId="35273" xr:uid="{00000000-0005-0000-0000-0000C8860000}"/>
    <cellStyle name="Normal 9 3 5 3 2 3" xfId="21505" xr:uid="{00000000-0005-0000-0000-0000C9860000}"/>
    <cellStyle name="Normal 9 3 5 3 2 3 2" xfId="41425" xr:uid="{00000000-0005-0000-0000-0000CA860000}"/>
    <cellStyle name="Normal 9 3 5 3 2 4" xfId="29120" xr:uid="{00000000-0005-0000-0000-0000CB860000}"/>
    <cellStyle name="Normal 9 3 5 3 3" xfId="12287" xr:uid="{00000000-0005-0000-0000-0000CC860000}"/>
    <cellStyle name="Normal 9 3 5 3 3 2" xfId="32207" xr:uid="{00000000-0005-0000-0000-0000CD860000}"/>
    <cellStyle name="Normal 9 3 5 3 4" xfId="18439" xr:uid="{00000000-0005-0000-0000-0000CE860000}"/>
    <cellStyle name="Normal 9 3 5 3 4 2" xfId="38359" xr:uid="{00000000-0005-0000-0000-0000CF860000}"/>
    <cellStyle name="Normal 9 3 5 3 5" xfId="26054" xr:uid="{00000000-0005-0000-0000-0000D0860000}"/>
    <cellStyle name="Normal 9 3 5 4" xfId="7625" xr:uid="{00000000-0005-0000-0000-0000D1860000}"/>
    <cellStyle name="Normal 9 3 5 4 2" xfId="13819" xr:uid="{00000000-0005-0000-0000-0000D2860000}"/>
    <cellStyle name="Normal 9 3 5 4 2 2" xfId="33739" xr:uid="{00000000-0005-0000-0000-0000D3860000}"/>
    <cellStyle name="Normal 9 3 5 4 3" xfId="19971" xr:uid="{00000000-0005-0000-0000-0000D4860000}"/>
    <cellStyle name="Normal 9 3 5 4 3 2" xfId="39891" xr:uid="{00000000-0005-0000-0000-0000D5860000}"/>
    <cellStyle name="Normal 9 3 5 4 4" xfId="27586" xr:uid="{00000000-0005-0000-0000-0000D6860000}"/>
    <cellStyle name="Normal 9 3 5 5" xfId="10753" xr:uid="{00000000-0005-0000-0000-0000D7860000}"/>
    <cellStyle name="Normal 9 3 5 5 2" xfId="30673" xr:uid="{00000000-0005-0000-0000-0000D8860000}"/>
    <cellStyle name="Normal 9 3 5 6" xfId="16905" xr:uid="{00000000-0005-0000-0000-0000D9860000}"/>
    <cellStyle name="Normal 9 3 5 6 2" xfId="36825" xr:uid="{00000000-0005-0000-0000-0000DA860000}"/>
    <cellStyle name="Normal 9 3 5 7" xfId="24520" xr:uid="{00000000-0005-0000-0000-0000DB860000}"/>
    <cellStyle name="Normal 9 3 6" xfId="5214" xr:uid="{00000000-0005-0000-0000-0000DC860000}"/>
    <cellStyle name="Normal 9 3 6 2" xfId="6839" xr:uid="{00000000-0005-0000-0000-0000DD860000}"/>
    <cellStyle name="Normal 9 3 6 2 2" xfId="9925" xr:uid="{00000000-0005-0000-0000-0000DE860000}"/>
    <cellStyle name="Normal 9 3 6 2 2 2" xfId="16118" xr:uid="{00000000-0005-0000-0000-0000DF860000}"/>
    <cellStyle name="Normal 9 3 6 2 2 2 2" xfId="36038" xr:uid="{00000000-0005-0000-0000-0000E0860000}"/>
    <cellStyle name="Normal 9 3 6 2 2 3" xfId="22270" xr:uid="{00000000-0005-0000-0000-0000E1860000}"/>
    <cellStyle name="Normal 9 3 6 2 2 3 2" xfId="42190" xr:uid="{00000000-0005-0000-0000-0000E2860000}"/>
    <cellStyle name="Normal 9 3 6 2 2 4" xfId="29885" xr:uid="{00000000-0005-0000-0000-0000E3860000}"/>
    <cellStyle name="Normal 9 3 6 2 3" xfId="13052" xr:uid="{00000000-0005-0000-0000-0000E4860000}"/>
    <cellStyle name="Normal 9 3 6 2 3 2" xfId="32972" xr:uid="{00000000-0005-0000-0000-0000E5860000}"/>
    <cellStyle name="Normal 9 3 6 2 4" xfId="19204" xr:uid="{00000000-0005-0000-0000-0000E6860000}"/>
    <cellStyle name="Normal 9 3 6 2 4 2" xfId="39124" xr:uid="{00000000-0005-0000-0000-0000E7860000}"/>
    <cellStyle name="Normal 9 3 6 2 5" xfId="26819" xr:uid="{00000000-0005-0000-0000-0000E8860000}"/>
    <cellStyle name="Normal 9 3 6 3" xfId="8390" xr:uid="{00000000-0005-0000-0000-0000E9860000}"/>
    <cellStyle name="Normal 9 3 6 3 2" xfId="14584" xr:uid="{00000000-0005-0000-0000-0000EA860000}"/>
    <cellStyle name="Normal 9 3 6 3 2 2" xfId="34504" xr:uid="{00000000-0005-0000-0000-0000EB860000}"/>
    <cellStyle name="Normal 9 3 6 3 3" xfId="20736" xr:uid="{00000000-0005-0000-0000-0000EC860000}"/>
    <cellStyle name="Normal 9 3 6 3 3 2" xfId="40656" xr:uid="{00000000-0005-0000-0000-0000ED860000}"/>
    <cellStyle name="Normal 9 3 6 3 4" xfId="28351" xr:uid="{00000000-0005-0000-0000-0000EE860000}"/>
    <cellStyle name="Normal 9 3 6 4" xfId="11518" xr:uid="{00000000-0005-0000-0000-0000EF860000}"/>
    <cellStyle name="Normal 9 3 6 4 2" xfId="31438" xr:uid="{00000000-0005-0000-0000-0000F0860000}"/>
    <cellStyle name="Normal 9 3 6 5" xfId="17670" xr:uid="{00000000-0005-0000-0000-0000F1860000}"/>
    <cellStyle name="Normal 9 3 6 5 2" xfId="37590" xr:uid="{00000000-0005-0000-0000-0000F2860000}"/>
    <cellStyle name="Normal 9 3 6 6" xfId="25285" xr:uid="{00000000-0005-0000-0000-0000F3860000}"/>
    <cellStyle name="Normal 9 3 7" xfId="6056" xr:uid="{00000000-0005-0000-0000-0000F4860000}"/>
    <cellStyle name="Normal 9 3 7 2" xfId="9156" xr:uid="{00000000-0005-0000-0000-0000F5860000}"/>
    <cellStyle name="Normal 9 3 7 2 2" xfId="15349" xr:uid="{00000000-0005-0000-0000-0000F6860000}"/>
    <cellStyle name="Normal 9 3 7 2 2 2" xfId="35269" xr:uid="{00000000-0005-0000-0000-0000F7860000}"/>
    <cellStyle name="Normal 9 3 7 2 3" xfId="21501" xr:uid="{00000000-0005-0000-0000-0000F8860000}"/>
    <cellStyle name="Normal 9 3 7 2 3 2" xfId="41421" xr:uid="{00000000-0005-0000-0000-0000F9860000}"/>
    <cellStyle name="Normal 9 3 7 2 4" xfId="29116" xr:uid="{00000000-0005-0000-0000-0000FA860000}"/>
    <cellStyle name="Normal 9 3 7 3" xfId="12283" xr:uid="{00000000-0005-0000-0000-0000FB860000}"/>
    <cellStyle name="Normal 9 3 7 3 2" xfId="32203" xr:uid="{00000000-0005-0000-0000-0000FC860000}"/>
    <cellStyle name="Normal 9 3 7 4" xfId="18435" xr:uid="{00000000-0005-0000-0000-0000FD860000}"/>
    <cellStyle name="Normal 9 3 7 4 2" xfId="38355" xr:uid="{00000000-0005-0000-0000-0000FE860000}"/>
    <cellStyle name="Normal 9 3 7 5" xfId="26050" xr:uid="{00000000-0005-0000-0000-0000FF860000}"/>
    <cellStyle name="Normal 9 3 8" xfId="7621" xr:uid="{00000000-0005-0000-0000-000000870000}"/>
    <cellStyle name="Normal 9 3 8 2" xfId="13815" xr:uid="{00000000-0005-0000-0000-000001870000}"/>
    <cellStyle name="Normal 9 3 8 2 2" xfId="33735" xr:uid="{00000000-0005-0000-0000-000002870000}"/>
    <cellStyle name="Normal 9 3 8 3" xfId="19967" xr:uid="{00000000-0005-0000-0000-000003870000}"/>
    <cellStyle name="Normal 9 3 8 3 2" xfId="39887" xr:uid="{00000000-0005-0000-0000-000004870000}"/>
    <cellStyle name="Normal 9 3 8 4" xfId="27582" xr:uid="{00000000-0005-0000-0000-000005870000}"/>
    <cellStyle name="Normal 9 3 9" xfId="10749" xr:uid="{00000000-0005-0000-0000-000006870000}"/>
    <cellStyle name="Normal 9 3 9 2" xfId="30669" xr:uid="{00000000-0005-0000-0000-000007870000}"/>
    <cellStyle name="Normal 9 4" xfId="4049" xr:uid="{00000000-0005-0000-0000-000008870000}"/>
    <cellStyle name="Normal 9 4 2" xfId="5219" xr:uid="{00000000-0005-0000-0000-000009870000}"/>
    <cellStyle name="Normal 9 4 2 2" xfId="6844" xr:uid="{00000000-0005-0000-0000-00000A870000}"/>
    <cellStyle name="Normal 9 4 2 2 2" xfId="9930" xr:uid="{00000000-0005-0000-0000-00000B870000}"/>
    <cellStyle name="Normal 9 4 2 2 2 2" xfId="16123" xr:uid="{00000000-0005-0000-0000-00000C870000}"/>
    <cellStyle name="Normal 9 4 2 2 2 2 2" xfId="36043" xr:uid="{00000000-0005-0000-0000-00000D870000}"/>
    <cellStyle name="Normal 9 4 2 2 2 3" xfId="22275" xr:uid="{00000000-0005-0000-0000-00000E870000}"/>
    <cellStyle name="Normal 9 4 2 2 2 3 2" xfId="42195" xr:uid="{00000000-0005-0000-0000-00000F870000}"/>
    <cellStyle name="Normal 9 4 2 2 2 4" xfId="29890" xr:uid="{00000000-0005-0000-0000-000010870000}"/>
    <cellStyle name="Normal 9 4 2 2 3" xfId="13057" xr:uid="{00000000-0005-0000-0000-000011870000}"/>
    <cellStyle name="Normal 9 4 2 2 3 2" xfId="32977" xr:uid="{00000000-0005-0000-0000-000012870000}"/>
    <cellStyle name="Normal 9 4 2 2 4" xfId="19209" xr:uid="{00000000-0005-0000-0000-000013870000}"/>
    <cellStyle name="Normal 9 4 2 2 4 2" xfId="39129" xr:uid="{00000000-0005-0000-0000-000014870000}"/>
    <cellStyle name="Normal 9 4 2 2 5" xfId="26824" xr:uid="{00000000-0005-0000-0000-000015870000}"/>
    <cellStyle name="Normal 9 4 2 3" xfId="8395" xr:uid="{00000000-0005-0000-0000-000016870000}"/>
    <cellStyle name="Normal 9 4 2 3 2" xfId="14589" xr:uid="{00000000-0005-0000-0000-000017870000}"/>
    <cellStyle name="Normal 9 4 2 3 2 2" xfId="34509" xr:uid="{00000000-0005-0000-0000-000018870000}"/>
    <cellStyle name="Normal 9 4 2 3 3" xfId="20741" xr:uid="{00000000-0005-0000-0000-000019870000}"/>
    <cellStyle name="Normal 9 4 2 3 3 2" xfId="40661" xr:uid="{00000000-0005-0000-0000-00001A870000}"/>
    <cellStyle name="Normal 9 4 2 3 4" xfId="28356" xr:uid="{00000000-0005-0000-0000-00001B870000}"/>
    <cellStyle name="Normal 9 4 2 4" xfId="11523" xr:uid="{00000000-0005-0000-0000-00001C870000}"/>
    <cellStyle name="Normal 9 4 2 4 2" xfId="31443" xr:uid="{00000000-0005-0000-0000-00001D870000}"/>
    <cellStyle name="Normal 9 4 2 5" xfId="17675" xr:uid="{00000000-0005-0000-0000-00001E870000}"/>
    <cellStyle name="Normal 9 4 2 5 2" xfId="37595" xr:uid="{00000000-0005-0000-0000-00001F870000}"/>
    <cellStyle name="Normal 9 4 2 6" xfId="25290" xr:uid="{00000000-0005-0000-0000-000020870000}"/>
    <cellStyle name="Normal 9 4 3" xfId="6061" xr:uid="{00000000-0005-0000-0000-000021870000}"/>
    <cellStyle name="Normal 9 4 3 2" xfId="9161" xr:uid="{00000000-0005-0000-0000-000022870000}"/>
    <cellStyle name="Normal 9 4 3 2 2" xfId="15354" xr:uid="{00000000-0005-0000-0000-000023870000}"/>
    <cellStyle name="Normal 9 4 3 2 2 2" xfId="35274" xr:uid="{00000000-0005-0000-0000-000024870000}"/>
    <cellStyle name="Normal 9 4 3 2 3" xfId="21506" xr:uid="{00000000-0005-0000-0000-000025870000}"/>
    <cellStyle name="Normal 9 4 3 2 3 2" xfId="41426" xr:uid="{00000000-0005-0000-0000-000026870000}"/>
    <cellStyle name="Normal 9 4 3 2 4" xfId="29121" xr:uid="{00000000-0005-0000-0000-000027870000}"/>
    <cellStyle name="Normal 9 4 3 3" xfId="12288" xr:uid="{00000000-0005-0000-0000-000028870000}"/>
    <cellStyle name="Normal 9 4 3 3 2" xfId="32208" xr:uid="{00000000-0005-0000-0000-000029870000}"/>
    <cellStyle name="Normal 9 4 3 4" xfId="18440" xr:uid="{00000000-0005-0000-0000-00002A870000}"/>
    <cellStyle name="Normal 9 4 3 4 2" xfId="38360" xr:uid="{00000000-0005-0000-0000-00002B870000}"/>
    <cellStyle name="Normal 9 4 3 5" xfId="26055" xr:uid="{00000000-0005-0000-0000-00002C870000}"/>
    <cellStyle name="Normal 9 4 4" xfId="7626" xr:uid="{00000000-0005-0000-0000-00002D870000}"/>
    <cellStyle name="Normal 9 4 4 2" xfId="13820" xr:uid="{00000000-0005-0000-0000-00002E870000}"/>
    <cellStyle name="Normal 9 4 4 2 2" xfId="33740" xr:uid="{00000000-0005-0000-0000-00002F870000}"/>
    <cellStyle name="Normal 9 4 4 3" xfId="19972" xr:uid="{00000000-0005-0000-0000-000030870000}"/>
    <cellStyle name="Normal 9 4 4 3 2" xfId="39892" xr:uid="{00000000-0005-0000-0000-000031870000}"/>
    <cellStyle name="Normal 9 4 4 4" xfId="27587" xr:uid="{00000000-0005-0000-0000-000032870000}"/>
    <cellStyle name="Normal 9 4 5" xfId="10754" xr:uid="{00000000-0005-0000-0000-000033870000}"/>
    <cellStyle name="Normal 9 4 5 2" xfId="30674" xr:uid="{00000000-0005-0000-0000-000034870000}"/>
    <cellStyle name="Normal 9 4 6" xfId="16906" xr:uid="{00000000-0005-0000-0000-000035870000}"/>
    <cellStyle name="Normal 9 4 6 2" xfId="36826" xr:uid="{00000000-0005-0000-0000-000036870000}"/>
    <cellStyle name="Normal 9 4 7" xfId="24521" xr:uid="{00000000-0005-0000-0000-000037870000}"/>
    <cellStyle name="Normal 9 5" xfId="4050" xr:uid="{00000000-0005-0000-0000-000038870000}"/>
    <cellStyle name="Normal 9 5 2" xfId="5220" xr:uid="{00000000-0005-0000-0000-000039870000}"/>
    <cellStyle name="Normal 9 5 2 2" xfId="6845" xr:uid="{00000000-0005-0000-0000-00003A870000}"/>
    <cellStyle name="Normal 9 5 2 2 2" xfId="9931" xr:uid="{00000000-0005-0000-0000-00003B870000}"/>
    <cellStyle name="Normal 9 5 2 2 2 2" xfId="16124" xr:uid="{00000000-0005-0000-0000-00003C870000}"/>
    <cellStyle name="Normal 9 5 2 2 2 2 2" xfId="36044" xr:uid="{00000000-0005-0000-0000-00003D870000}"/>
    <cellStyle name="Normal 9 5 2 2 2 3" xfId="22276" xr:uid="{00000000-0005-0000-0000-00003E870000}"/>
    <cellStyle name="Normal 9 5 2 2 2 3 2" xfId="42196" xr:uid="{00000000-0005-0000-0000-00003F870000}"/>
    <cellStyle name="Normal 9 5 2 2 2 4" xfId="29891" xr:uid="{00000000-0005-0000-0000-000040870000}"/>
    <cellStyle name="Normal 9 5 2 2 3" xfId="13058" xr:uid="{00000000-0005-0000-0000-000041870000}"/>
    <cellStyle name="Normal 9 5 2 2 3 2" xfId="32978" xr:uid="{00000000-0005-0000-0000-000042870000}"/>
    <cellStyle name="Normal 9 5 2 2 4" xfId="19210" xr:uid="{00000000-0005-0000-0000-000043870000}"/>
    <cellStyle name="Normal 9 5 2 2 4 2" xfId="39130" xr:uid="{00000000-0005-0000-0000-000044870000}"/>
    <cellStyle name="Normal 9 5 2 2 5" xfId="26825" xr:uid="{00000000-0005-0000-0000-000045870000}"/>
    <cellStyle name="Normal 9 5 2 3" xfId="8396" xr:uid="{00000000-0005-0000-0000-000046870000}"/>
    <cellStyle name="Normal 9 5 2 3 2" xfId="14590" xr:uid="{00000000-0005-0000-0000-000047870000}"/>
    <cellStyle name="Normal 9 5 2 3 2 2" xfId="34510" xr:uid="{00000000-0005-0000-0000-000048870000}"/>
    <cellStyle name="Normal 9 5 2 3 3" xfId="20742" xr:uid="{00000000-0005-0000-0000-000049870000}"/>
    <cellStyle name="Normal 9 5 2 3 3 2" xfId="40662" xr:uid="{00000000-0005-0000-0000-00004A870000}"/>
    <cellStyle name="Normal 9 5 2 3 4" xfId="28357" xr:uid="{00000000-0005-0000-0000-00004B870000}"/>
    <cellStyle name="Normal 9 5 2 4" xfId="11524" xr:uid="{00000000-0005-0000-0000-00004C870000}"/>
    <cellStyle name="Normal 9 5 2 4 2" xfId="31444" xr:uid="{00000000-0005-0000-0000-00004D870000}"/>
    <cellStyle name="Normal 9 5 2 5" xfId="17676" xr:uid="{00000000-0005-0000-0000-00004E870000}"/>
    <cellStyle name="Normal 9 5 2 5 2" xfId="37596" xr:uid="{00000000-0005-0000-0000-00004F870000}"/>
    <cellStyle name="Normal 9 5 2 6" xfId="25291" xr:uid="{00000000-0005-0000-0000-000050870000}"/>
    <cellStyle name="Normal 9 5 3" xfId="6062" xr:uid="{00000000-0005-0000-0000-000051870000}"/>
    <cellStyle name="Normal 9 5 3 2" xfId="9162" xr:uid="{00000000-0005-0000-0000-000052870000}"/>
    <cellStyle name="Normal 9 5 3 2 2" xfId="15355" xr:uid="{00000000-0005-0000-0000-000053870000}"/>
    <cellStyle name="Normal 9 5 3 2 2 2" xfId="35275" xr:uid="{00000000-0005-0000-0000-000054870000}"/>
    <cellStyle name="Normal 9 5 3 2 3" xfId="21507" xr:uid="{00000000-0005-0000-0000-000055870000}"/>
    <cellStyle name="Normal 9 5 3 2 3 2" xfId="41427" xr:uid="{00000000-0005-0000-0000-000056870000}"/>
    <cellStyle name="Normal 9 5 3 2 4" xfId="29122" xr:uid="{00000000-0005-0000-0000-000057870000}"/>
    <cellStyle name="Normal 9 5 3 3" xfId="12289" xr:uid="{00000000-0005-0000-0000-000058870000}"/>
    <cellStyle name="Normal 9 5 3 3 2" xfId="32209" xr:uid="{00000000-0005-0000-0000-000059870000}"/>
    <cellStyle name="Normal 9 5 3 4" xfId="18441" xr:uid="{00000000-0005-0000-0000-00005A870000}"/>
    <cellStyle name="Normal 9 5 3 4 2" xfId="38361" xr:uid="{00000000-0005-0000-0000-00005B870000}"/>
    <cellStyle name="Normal 9 5 3 5" xfId="26056" xr:uid="{00000000-0005-0000-0000-00005C870000}"/>
    <cellStyle name="Normal 9 5 4" xfId="7627" xr:uid="{00000000-0005-0000-0000-00005D870000}"/>
    <cellStyle name="Normal 9 5 4 2" xfId="13821" xr:uid="{00000000-0005-0000-0000-00005E870000}"/>
    <cellStyle name="Normal 9 5 4 2 2" xfId="33741" xr:uid="{00000000-0005-0000-0000-00005F870000}"/>
    <cellStyle name="Normal 9 5 4 3" xfId="19973" xr:uid="{00000000-0005-0000-0000-000060870000}"/>
    <cellStyle name="Normal 9 5 4 3 2" xfId="39893" xr:uid="{00000000-0005-0000-0000-000061870000}"/>
    <cellStyle name="Normal 9 5 4 4" xfId="27588" xr:uid="{00000000-0005-0000-0000-000062870000}"/>
    <cellStyle name="Normal 9 5 5" xfId="10755" xr:uid="{00000000-0005-0000-0000-000063870000}"/>
    <cellStyle name="Normal 9 5 5 2" xfId="30675" xr:uid="{00000000-0005-0000-0000-000064870000}"/>
    <cellStyle name="Normal 9 5 6" xfId="16907" xr:uid="{00000000-0005-0000-0000-000065870000}"/>
    <cellStyle name="Normal 9 5 6 2" xfId="36827" xr:uid="{00000000-0005-0000-0000-000066870000}"/>
    <cellStyle name="Normal 9 5 7" xfId="24522" xr:uid="{00000000-0005-0000-0000-000067870000}"/>
    <cellStyle name="Normal 9 6" xfId="4051" xr:uid="{00000000-0005-0000-0000-000068870000}"/>
    <cellStyle name="Normal 9 6 2" xfId="5221" xr:uid="{00000000-0005-0000-0000-000069870000}"/>
    <cellStyle name="Normal 9 6 2 2" xfId="6846" xr:uid="{00000000-0005-0000-0000-00006A870000}"/>
    <cellStyle name="Normal 9 6 2 2 2" xfId="9932" xr:uid="{00000000-0005-0000-0000-00006B870000}"/>
    <cellStyle name="Normal 9 6 2 2 2 2" xfId="16125" xr:uid="{00000000-0005-0000-0000-00006C870000}"/>
    <cellStyle name="Normal 9 6 2 2 2 2 2" xfId="36045" xr:uid="{00000000-0005-0000-0000-00006D870000}"/>
    <cellStyle name="Normal 9 6 2 2 2 3" xfId="22277" xr:uid="{00000000-0005-0000-0000-00006E870000}"/>
    <cellStyle name="Normal 9 6 2 2 2 3 2" xfId="42197" xr:uid="{00000000-0005-0000-0000-00006F870000}"/>
    <cellStyle name="Normal 9 6 2 2 2 4" xfId="29892" xr:uid="{00000000-0005-0000-0000-000070870000}"/>
    <cellStyle name="Normal 9 6 2 2 3" xfId="13059" xr:uid="{00000000-0005-0000-0000-000071870000}"/>
    <cellStyle name="Normal 9 6 2 2 3 2" xfId="32979" xr:uid="{00000000-0005-0000-0000-000072870000}"/>
    <cellStyle name="Normal 9 6 2 2 4" xfId="19211" xr:uid="{00000000-0005-0000-0000-000073870000}"/>
    <cellStyle name="Normal 9 6 2 2 4 2" xfId="39131" xr:uid="{00000000-0005-0000-0000-000074870000}"/>
    <cellStyle name="Normal 9 6 2 2 5" xfId="26826" xr:uid="{00000000-0005-0000-0000-000075870000}"/>
    <cellStyle name="Normal 9 6 2 3" xfId="8397" xr:uid="{00000000-0005-0000-0000-000076870000}"/>
    <cellStyle name="Normal 9 6 2 3 2" xfId="14591" xr:uid="{00000000-0005-0000-0000-000077870000}"/>
    <cellStyle name="Normal 9 6 2 3 2 2" xfId="34511" xr:uid="{00000000-0005-0000-0000-000078870000}"/>
    <cellStyle name="Normal 9 6 2 3 3" xfId="20743" xr:uid="{00000000-0005-0000-0000-000079870000}"/>
    <cellStyle name="Normal 9 6 2 3 3 2" xfId="40663" xr:uid="{00000000-0005-0000-0000-00007A870000}"/>
    <cellStyle name="Normal 9 6 2 3 4" xfId="28358" xr:uid="{00000000-0005-0000-0000-00007B870000}"/>
    <cellStyle name="Normal 9 6 2 4" xfId="11525" xr:uid="{00000000-0005-0000-0000-00007C870000}"/>
    <cellStyle name="Normal 9 6 2 4 2" xfId="31445" xr:uid="{00000000-0005-0000-0000-00007D870000}"/>
    <cellStyle name="Normal 9 6 2 5" xfId="17677" xr:uid="{00000000-0005-0000-0000-00007E870000}"/>
    <cellStyle name="Normal 9 6 2 5 2" xfId="37597" xr:uid="{00000000-0005-0000-0000-00007F870000}"/>
    <cellStyle name="Normal 9 6 2 6" xfId="25292" xr:uid="{00000000-0005-0000-0000-000080870000}"/>
    <cellStyle name="Normal 9 6 3" xfId="6063" xr:uid="{00000000-0005-0000-0000-000081870000}"/>
    <cellStyle name="Normal 9 6 3 2" xfId="9163" xr:uid="{00000000-0005-0000-0000-000082870000}"/>
    <cellStyle name="Normal 9 6 3 2 2" xfId="15356" xr:uid="{00000000-0005-0000-0000-000083870000}"/>
    <cellStyle name="Normal 9 6 3 2 2 2" xfId="35276" xr:uid="{00000000-0005-0000-0000-000084870000}"/>
    <cellStyle name="Normal 9 6 3 2 3" xfId="21508" xr:uid="{00000000-0005-0000-0000-000085870000}"/>
    <cellStyle name="Normal 9 6 3 2 3 2" xfId="41428" xr:uid="{00000000-0005-0000-0000-000086870000}"/>
    <cellStyle name="Normal 9 6 3 2 4" xfId="29123" xr:uid="{00000000-0005-0000-0000-000087870000}"/>
    <cellStyle name="Normal 9 6 3 3" xfId="12290" xr:uid="{00000000-0005-0000-0000-000088870000}"/>
    <cellStyle name="Normal 9 6 3 3 2" xfId="32210" xr:uid="{00000000-0005-0000-0000-000089870000}"/>
    <cellStyle name="Normal 9 6 3 4" xfId="18442" xr:uid="{00000000-0005-0000-0000-00008A870000}"/>
    <cellStyle name="Normal 9 6 3 4 2" xfId="38362" xr:uid="{00000000-0005-0000-0000-00008B870000}"/>
    <cellStyle name="Normal 9 6 3 5" xfId="26057" xr:uid="{00000000-0005-0000-0000-00008C870000}"/>
    <cellStyle name="Normal 9 6 4" xfId="7628" xr:uid="{00000000-0005-0000-0000-00008D870000}"/>
    <cellStyle name="Normal 9 6 4 2" xfId="13822" xr:uid="{00000000-0005-0000-0000-00008E870000}"/>
    <cellStyle name="Normal 9 6 4 2 2" xfId="33742" xr:uid="{00000000-0005-0000-0000-00008F870000}"/>
    <cellStyle name="Normal 9 6 4 3" xfId="19974" xr:uid="{00000000-0005-0000-0000-000090870000}"/>
    <cellStyle name="Normal 9 6 4 3 2" xfId="39894" xr:uid="{00000000-0005-0000-0000-000091870000}"/>
    <cellStyle name="Normal 9 6 4 4" xfId="27589" xr:uid="{00000000-0005-0000-0000-000092870000}"/>
    <cellStyle name="Normal 9 6 5" xfId="10756" xr:uid="{00000000-0005-0000-0000-000093870000}"/>
    <cellStyle name="Normal 9 6 5 2" xfId="30676" xr:uid="{00000000-0005-0000-0000-000094870000}"/>
    <cellStyle name="Normal 9 6 6" xfId="16908" xr:uid="{00000000-0005-0000-0000-000095870000}"/>
    <cellStyle name="Normal 9 6 6 2" xfId="36828" xr:uid="{00000000-0005-0000-0000-000096870000}"/>
    <cellStyle name="Normal 9 6 7" xfId="24523" xr:uid="{00000000-0005-0000-0000-000097870000}"/>
    <cellStyle name="Normal 9 7" xfId="4052" xr:uid="{00000000-0005-0000-0000-000098870000}"/>
    <cellStyle name="Normal 9 7 2" xfId="5222" xr:uid="{00000000-0005-0000-0000-000099870000}"/>
    <cellStyle name="Normal 9 7 2 2" xfId="6847" xr:uid="{00000000-0005-0000-0000-00009A870000}"/>
    <cellStyle name="Normal 9 7 2 2 2" xfId="9933" xr:uid="{00000000-0005-0000-0000-00009B870000}"/>
    <cellStyle name="Normal 9 7 2 2 2 2" xfId="16126" xr:uid="{00000000-0005-0000-0000-00009C870000}"/>
    <cellStyle name="Normal 9 7 2 2 2 2 2" xfId="36046" xr:uid="{00000000-0005-0000-0000-00009D870000}"/>
    <cellStyle name="Normal 9 7 2 2 2 3" xfId="22278" xr:uid="{00000000-0005-0000-0000-00009E870000}"/>
    <cellStyle name="Normal 9 7 2 2 2 3 2" xfId="42198" xr:uid="{00000000-0005-0000-0000-00009F870000}"/>
    <cellStyle name="Normal 9 7 2 2 2 4" xfId="29893" xr:uid="{00000000-0005-0000-0000-0000A0870000}"/>
    <cellStyle name="Normal 9 7 2 2 3" xfId="13060" xr:uid="{00000000-0005-0000-0000-0000A1870000}"/>
    <cellStyle name="Normal 9 7 2 2 3 2" xfId="32980" xr:uid="{00000000-0005-0000-0000-0000A2870000}"/>
    <cellStyle name="Normal 9 7 2 2 4" xfId="19212" xr:uid="{00000000-0005-0000-0000-0000A3870000}"/>
    <cellStyle name="Normal 9 7 2 2 4 2" xfId="39132" xr:uid="{00000000-0005-0000-0000-0000A4870000}"/>
    <cellStyle name="Normal 9 7 2 2 5" xfId="26827" xr:uid="{00000000-0005-0000-0000-0000A5870000}"/>
    <cellStyle name="Normal 9 7 2 3" xfId="8398" xr:uid="{00000000-0005-0000-0000-0000A6870000}"/>
    <cellStyle name="Normal 9 7 2 3 2" xfId="14592" xr:uid="{00000000-0005-0000-0000-0000A7870000}"/>
    <cellStyle name="Normal 9 7 2 3 2 2" xfId="34512" xr:uid="{00000000-0005-0000-0000-0000A8870000}"/>
    <cellStyle name="Normal 9 7 2 3 3" xfId="20744" xr:uid="{00000000-0005-0000-0000-0000A9870000}"/>
    <cellStyle name="Normal 9 7 2 3 3 2" xfId="40664" xr:uid="{00000000-0005-0000-0000-0000AA870000}"/>
    <cellStyle name="Normal 9 7 2 3 4" xfId="28359" xr:uid="{00000000-0005-0000-0000-0000AB870000}"/>
    <cellStyle name="Normal 9 7 2 4" xfId="11526" xr:uid="{00000000-0005-0000-0000-0000AC870000}"/>
    <cellStyle name="Normal 9 7 2 4 2" xfId="31446" xr:uid="{00000000-0005-0000-0000-0000AD870000}"/>
    <cellStyle name="Normal 9 7 2 5" xfId="17678" xr:uid="{00000000-0005-0000-0000-0000AE870000}"/>
    <cellStyle name="Normal 9 7 2 5 2" xfId="37598" xr:uid="{00000000-0005-0000-0000-0000AF870000}"/>
    <cellStyle name="Normal 9 7 2 6" xfId="25293" xr:uid="{00000000-0005-0000-0000-0000B0870000}"/>
    <cellStyle name="Normal 9 7 3" xfId="6064" xr:uid="{00000000-0005-0000-0000-0000B1870000}"/>
    <cellStyle name="Normal 9 7 3 2" xfId="9164" xr:uid="{00000000-0005-0000-0000-0000B2870000}"/>
    <cellStyle name="Normal 9 7 3 2 2" xfId="15357" xr:uid="{00000000-0005-0000-0000-0000B3870000}"/>
    <cellStyle name="Normal 9 7 3 2 2 2" xfId="35277" xr:uid="{00000000-0005-0000-0000-0000B4870000}"/>
    <cellStyle name="Normal 9 7 3 2 3" xfId="21509" xr:uid="{00000000-0005-0000-0000-0000B5870000}"/>
    <cellStyle name="Normal 9 7 3 2 3 2" xfId="41429" xr:uid="{00000000-0005-0000-0000-0000B6870000}"/>
    <cellStyle name="Normal 9 7 3 2 4" xfId="29124" xr:uid="{00000000-0005-0000-0000-0000B7870000}"/>
    <cellStyle name="Normal 9 7 3 3" xfId="12291" xr:uid="{00000000-0005-0000-0000-0000B8870000}"/>
    <cellStyle name="Normal 9 7 3 3 2" xfId="32211" xr:uid="{00000000-0005-0000-0000-0000B9870000}"/>
    <cellStyle name="Normal 9 7 3 4" xfId="18443" xr:uid="{00000000-0005-0000-0000-0000BA870000}"/>
    <cellStyle name="Normal 9 7 3 4 2" xfId="38363" xr:uid="{00000000-0005-0000-0000-0000BB870000}"/>
    <cellStyle name="Normal 9 7 3 5" xfId="26058" xr:uid="{00000000-0005-0000-0000-0000BC870000}"/>
    <cellStyle name="Normal 9 7 4" xfId="7629" xr:uid="{00000000-0005-0000-0000-0000BD870000}"/>
    <cellStyle name="Normal 9 7 4 2" xfId="13823" xr:uid="{00000000-0005-0000-0000-0000BE870000}"/>
    <cellStyle name="Normal 9 7 4 2 2" xfId="33743" xr:uid="{00000000-0005-0000-0000-0000BF870000}"/>
    <cellStyle name="Normal 9 7 4 3" xfId="19975" xr:uid="{00000000-0005-0000-0000-0000C0870000}"/>
    <cellStyle name="Normal 9 7 4 3 2" xfId="39895" xr:uid="{00000000-0005-0000-0000-0000C1870000}"/>
    <cellStyle name="Normal 9 7 4 4" xfId="27590" xr:uid="{00000000-0005-0000-0000-0000C2870000}"/>
    <cellStyle name="Normal 9 7 5" xfId="10757" xr:uid="{00000000-0005-0000-0000-0000C3870000}"/>
    <cellStyle name="Normal 9 7 5 2" xfId="30677" xr:uid="{00000000-0005-0000-0000-0000C4870000}"/>
    <cellStyle name="Normal 9 7 6" xfId="16909" xr:uid="{00000000-0005-0000-0000-0000C5870000}"/>
    <cellStyle name="Normal 9 7 6 2" xfId="36829" xr:uid="{00000000-0005-0000-0000-0000C6870000}"/>
    <cellStyle name="Normal 9 7 7" xfId="24524" xr:uid="{00000000-0005-0000-0000-0000C7870000}"/>
    <cellStyle name="Normal 9 8" xfId="4053" xr:uid="{00000000-0005-0000-0000-0000C8870000}"/>
    <cellStyle name="Normal 9 8 2" xfId="5223" xr:uid="{00000000-0005-0000-0000-0000C9870000}"/>
    <cellStyle name="Normal 9 8 2 2" xfId="6848" xr:uid="{00000000-0005-0000-0000-0000CA870000}"/>
    <cellStyle name="Normal 9 8 2 2 2" xfId="9934" xr:uid="{00000000-0005-0000-0000-0000CB870000}"/>
    <cellStyle name="Normal 9 8 2 2 2 2" xfId="16127" xr:uid="{00000000-0005-0000-0000-0000CC870000}"/>
    <cellStyle name="Normal 9 8 2 2 2 2 2" xfId="36047" xr:uid="{00000000-0005-0000-0000-0000CD870000}"/>
    <cellStyle name="Normal 9 8 2 2 2 3" xfId="22279" xr:uid="{00000000-0005-0000-0000-0000CE870000}"/>
    <cellStyle name="Normal 9 8 2 2 2 3 2" xfId="42199" xr:uid="{00000000-0005-0000-0000-0000CF870000}"/>
    <cellStyle name="Normal 9 8 2 2 2 4" xfId="29894" xr:uid="{00000000-0005-0000-0000-0000D0870000}"/>
    <cellStyle name="Normal 9 8 2 2 3" xfId="13061" xr:uid="{00000000-0005-0000-0000-0000D1870000}"/>
    <cellStyle name="Normal 9 8 2 2 3 2" xfId="32981" xr:uid="{00000000-0005-0000-0000-0000D2870000}"/>
    <cellStyle name="Normal 9 8 2 2 4" xfId="19213" xr:uid="{00000000-0005-0000-0000-0000D3870000}"/>
    <cellStyle name="Normal 9 8 2 2 4 2" xfId="39133" xr:uid="{00000000-0005-0000-0000-0000D4870000}"/>
    <cellStyle name="Normal 9 8 2 2 5" xfId="26828" xr:uid="{00000000-0005-0000-0000-0000D5870000}"/>
    <cellStyle name="Normal 9 8 2 3" xfId="8399" xr:uid="{00000000-0005-0000-0000-0000D6870000}"/>
    <cellStyle name="Normal 9 8 2 3 2" xfId="14593" xr:uid="{00000000-0005-0000-0000-0000D7870000}"/>
    <cellStyle name="Normal 9 8 2 3 2 2" xfId="34513" xr:uid="{00000000-0005-0000-0000-0000D8870000}"/>
    <cellStyle name="Normal 9 8 2 3 3" xfId="20745" xr:uid="{00000000-0005-0000-0000-0000D9870000}"/>
    <cellStyle name="Normal 9 8 2 3 3 2" xfId="40665" xr:uid="{00000000-0005-0000-0000-0000DA870000}"/>
    <cellStyle name="Normal 9 8 2 3 4" xfId="28360" xr:uid="{00000000-0005-0000-0000-0000DB870000}"/>
    <cellStyle name="Normal 9 8 2 4" xfId="11527" xr:uid="{00000000-0005-0000-0000-0000DC870000}"/>
    <cellStyle name="Normal 9 8 2 4 2" xfId="31447" xr:uid="{00000000-0005-0000-0000-0000DD870000}"/>
    <cellStyle name="Normal 9 8 2 5" xfId="17679" xr:uid="{00000000-0005-0000-0000-0000DE870000}"/>
    <cellStyle name="Normal 9 8 2 5 2" xfId="37599" xr:uid="{00000000-0005-0000-0000-0000DF870000}"/>
    <cellStyle name="Normal 9 8 2 6" xfId="25294" xr:uid="{00000000-0005-0000-0000-0000E0870000}"/>
    <cellStyle name="Normal 9 8 3" xfId="6065" xr:uid="{00000000-0005-0000-0000-0000E1870000}"/>
    <cellStyle name="Normal 9 8 3 2" xfId="9165" xr:uid="{00000000-0005-0000-0000-0000E2870000}"/>
    <cellStyle name="Normal 9 8 3 2 2" xfId="15358" xr:uid="{00000000-0005-0000-0000-0000E3870000}"/>
    <cellStyle name="Normal 9 8 3 2 2 2" xfId="35278" xr:uid="{00000000-0005-0000-0000-0000E4870000}"/>
    <cellStyle name="Normal 9 8 3 2 3" xfId="21510" xr:uid="{00000000-0005-0000-0000-0000E5870000}"/>
    <cellStyle name="Normal 9 8 3 2 3 2" xfId="41430" xr:uid="{00000000-0005-0000-0000-0000E6870000}"/>
    <cellStyle name="Normal 9 8 3 2 4" xfId="29125" xr:uid="{00000000-0005-0000-0000-0000E7870000}"/>
    <cellStyle name="Normal 9 8 3 3" xfId="12292" xr:uid="{00000000-0005-0000-0000-0000E8870000}"/>
    <cellStyle name="Normal 9 8 3 3 2" xfId="32212" xr:uid="{00000000-0005-0000-0000-0000E9870000}"/>
    <cellStyle name="Normal 9 8 3 4" xfId="18444" xr:uid="{00000000-0005-0000-0000-0000EA870000}"/>
    <cellStyle name="Normal 9 8 3 4 2" xfId="38364" xr:uid="{00000000-0005-0000-0000-0000EB870000}"/>
    <cellStyle name="Normal 9 8 3 5" xfId="26059" xr:uid="{00000000-0005-0000-0000-0000EC870000}"/>
    <cellStyle name="Normal 9 8 4" xfId="7630" xr:uid="{00000000-0005-0000-0000-0000ED870000}"/>
    <cellStyle name="Normal 9 8 4 2" xfId="13824" xr:uid="{00000000-0005-0000-0000-0000EE870000}"/>
    <cellStyle name="Normal 9 8 4 2 2" xfId="33744" xr:uid="{00000000-0005-0000-0000-0000EF870000}"/>
    <cellStyle name="Normal 9 8 4 3" xfId="19976" xr:uid="{00000000-0005-0000-0000-0000F0870000}"/>
    <cellStyle name="Normal 9 8 4 3 2" xfId="39896" xr:uid="{00000000-0005-0000-0000-0000F1870000}"/>
    <cellStyle name="Normal 9 8 4 4" xfId="27591" xr:uid="{00000000-0005-0000-0000-0000F2870000}"/>
    <cellStyle name="Normal 9 8 5" xfId="10758" xr:uid="{00000000-0005-0000-0000-0000F3870000}"/>
    <cellStyle name="Normal 9 8 5 2" xfId="30678" xr:uid="{00000000-0005-0000-0000-0000F4870000}"/>
    <cellStyle name="Normal 9 8 6" xfId="16910" xr:uid="{00000000-0005-0000-0000-0000F5870000}"/>
    <cellStyle name="Normal 9 8 6 2" xfId="36830" xr:uid="{00000000-0005-0000-0000-0000F6870000}"/>
    <cellStyle name="Normal 9 8 7" xfId="24525" xr:uid="{00000000-0005-0000-0000-0000F7870000}"/>
    <cellStyle name="Normal 9 9" xfId="4054" xr:uid="{00000000-0005-0000-0000-0000F8870000}"/>
    <cellStyle name="Normal 9 9 2" xfId="5224" xr:uid="{00000000-0005-0000-0000-0000F9870000}"/>
    <cellStyle name="Normal 9 9 2 2" xfId="6849" xr:uid="{00000000-0005-0000-0000-0000FA870000}"/>
    <cellStyle name="Normal 9 9 2 2 2" xfId="9935" xr:uid="{00000000-0005-0000-0000-0000FB870000}"/>
    <cellStyle name="Normal 9 9 2 2 2 2" xfId="16128" xr:uid="{00000000-0005-0000-0000-0000FC870000}"/>
    <cellStyle name="Normal 9 9 2 2 2 2 2" xfId="36048" xr:uid="{00000000-0005-0000-0000-0000FD870000}"/>
    <cellStyle name="Normal 9 9 2 2 2 3" xfId="22280" xr:uid="{00000000-0005-0000-0000-0000FE870000}"/>
    <cellStyle name="Normal 9 9 2 2 2 3 2" xfId="42200" xr:uid="{00000000-0005-0000-0000-0000FF870000}"/>
    <cellStyle name="Normal 9 9 2 2 2 4" xfId="29895" xr:uid="{00000000-0005-0000-0000-000000880000}"/>
    <cellStyle name="Normal 9 9 2 2 3" xfId="13062" xr:uid="{00000000-0005-0000-0000-000001880000}"/>
    <cellStyle name="Normal 9 9 2 2 3 2" xfId="32982" xr:uid="{00000000-0005-0000-0000-000002880000}"/>
    <cellStyle name="Normal 9 9 2 2 4" xfId="19214" xr:uid="{00000000-0005-0000-0000-000003880000}"/>
    <cellStyle name="Normal 9 9 2 2 4 2" xfId="39134" xr:uid="{00000000-0005-0000-0000-000004880000}"/>
    <cellStyle name="Normal 9 9 2 2 5" xfId="26829" xr:uid="{00000000-0005-0000-0000-000005880000}"/>
    <cellStyle name="Normal 9 9 2 3" xfId="8400" xr:uid="{00000000-0005-0000-0000-000006880000}"/>
    <cellStyle name="Normal 9 9 2 3 2" xfId="14594" xr:uid="{00000000-0005-0000-0000-000007880000}"/>
    <cellStyle name="Normal 9 9 2 3 2 2" xfId="34514" xr:uid="{00000000-0005-0000-0000-000008880000}"/>
    <cellStyle name="Normal 9 9 2 3 3" xfId="20746" xr:uid="{00000000-0005-0000-0000-000009880000}"/>
    <cellStyle name="Normal 9 9 2 3 3 2" xfId="40666" xr:uid="{00000000-0005-0000-0000-00000A880000}"/>
    <cellStyle name="Normal 9 9 2 3 4" xfId="28361" xr:uid="{00000000-0005-0000-0000-00000B880000}"/>
    <cellStyle name="Normal 9 9 2 4" xfId="11528" xr:uid="{00000000-0005-0000-0000-00000C880000}"/>
    <cellStyle name="Normal 9 9 2 4 2" xfId="31448" xr:uid="{00000000-0005-0000-0000-00000D880000}"/>
    <cellStyle name="Normal 9 9 2 5" xfId="17680" xr:uid="{00000000-0005-0000-0000-00000E880000}"/>
    <cellStyle name="Normal 9 9 2 5 2" xfId="37600" xr:uid="{00000000-0005-0000-0000-00000F880000}"/>
    <cellStyle name="Normal 9 9 2 6" xfId="25295" xr:uid="{00000000-0005-0000-0000-000010880000}"/>
    <cellStyle name="Normal 9 9 3" xfId="6066" xr:uid="{00000000-0005-0000-0000-000011880000}"/>
    <cellStyle name="Normal 9 9 3 2" xfId="9166" xr:uid="{00000000-0005-0000-0000-000012880000}"/>
    <cellStyle name="Normal 9 9 3 2 2" xfId="15359" xr:uid="{00000000-0005-0000-0000-000013880000}"/>
    <cellStyle name="Normal 9 9 3 2 2 2" xfId="35279" xr:uid="{00000000-0005-0000-0000-000014880000}"/>
    <cellStyle name="Normal 9 9 3 2 3" xfId="21511" xr:uid="{00000000-0005-0000-0000-000015880000}"/>
    <cellStyle name="Normal 9 9 3 2 3 2" xfId="41431" xr:uid="{00000000-0005-0000-0000-000016880000}"/>
    <cellStyle name="Normal 9 9 3 2 4" xfId="29126" xr:uid="{00000000-0005-0000-0000-000017880000}"/>
    <cellStyle name="Normal 9 9 3 3" xfId="12293" xr:uid="{00000000-0005-0000-0000-000018880000}"/>
    <cellStyle name="Normal 9 9 3 3 2" xfId="32213" xr:uid="{00000000-0005-0000-0000-000019880000}"/>
    <cellStyle name="Normal 9 9 3 4" xfId="18445" xr:uid="{00000000-0005-0000-0000-00001A880000}"/>
    <cellStyle name="Normal 9 9 3 4 2" xfId="38365" xr:uid="{00000000-0005-0000-0000-00001B880000}"/>
    <cellStyle name="Normal 9 9 3 5" xfId="26060" xr:uid="{00000000-0005-0000-0000-00001C880000}"/>
    <cellStyle name="Normal 9 9 4" xfId="7631" xr:uid="{00000000-0005-0000-0000-00001D880000}"/>
    <cellStyle name="Normal 9 9 4 2" xfId="13825" xr:uid="{00000000-0005-0000-0000-00001E880000}"/>
    <cellStyle name="Normal 9 9 4 2 2" xfId="33745" xr:uid="{00000000-0005-0000-0000-00001F880000}"/>
    <cellStyle name="Normal 9 9 4 3" xfId="19977" xr:uid="{00000000-0005-0000-0000-000020880000}"/>
    <cellStyle name="Normal 9 9 4 3 2" xfId="39897" xr:uid="{00000000-0005-0000-0000-000021880000}"/>
    <cellStyle name="Normal 9 9 4 4" xfId="27592" xr:uid="{00000000-0005-0000-0000-000022880000}"/>
    <cellStyle name="Normal 9 9 5" xfId="10759" xr:uid="{00000000-0005-0000-0000-000023880000}"/>
    <cellStyle name="Normal 9 9 5 2" xfId="30679" xr:uid="{00000000-0005-0000-0000-000024880000}"/>
    <cellStyle name="Normal 9 9 6" xfId="16911" xr:uid="{00000000-0005-0000-0000-000025880000}"/>
    <cellStyle name="Normal 9 9 6 2" xfId="36831" xr:uid="{00000000-0005-0000-0000-000026880000}"/>
    <cellStyle name="Normal 9 9 7" xfId="24526" xr:uid="{00000000-0005-0000-0000-000027880000}"/>
    <cellStyle name="Normal_2006 Sch 25 Data" xfId="43228" xr:uid="{0F6236D4-519A-4728-A576-BE052B6001A2}"/>
    <cellStyle name="Note 2" xfId="176" xr:uid="{00000000-0005-0000-0000-000028880000}"/>
    <cellStyle name="Note 2 10" xfId="617" xr:uid="{00000000-0005-0000-0000-000029880000}"/>
    <cellStyle name="Note 2 10 2" xfId="952" xr:uid="{00000000-0005-0000-0000-00002A880000}"/>
    <cellStyle name="Note 2 10 2 2" xfId="23834" xr:uid="{00000000-0005-0000-0000-00002B880000}"/>
    <cellStyle name="Note 2 10 3" xfId="22592" xr:uid="{00000000-0005-0000-0000-00002C880000}"/>
    <cellStyle name="Note 2 10 3 2" xfId="42503" xr:uid="{00000000-0005-0000-0000-00002D880000}"/>
    <cellStyle name="Note 2 10 4" xfId="22917" xr:uid="{00000000-0005-0000-0000-00002E880000}"/>
    <cellStyle name="Note 2 10 4 2" xfId="42828" xr:uid="{00000000-0005-0000-0000-00002F880000}"/>
    <cellStyle name="Note 2 10 5" xfId="23220" xr:uid="{00000000-0005-0000-0000-000030880000}"/>
    <cellStyle name="Note 2 10 5 2" xfId="43131" xr:uid="{00000000-0005-0000-0000-000031880000}"/>
    <cellStyle name="Note 2 10 6" xfId="23531" xr:uid="{00000000-0005-0000-0000-000032880000}"/>
    <cellStyle name="Note 2 11" xfId="643" xr:uid="{00000000-0005-0000-0000-000033880000}"/>
    <cellStyle name="Note 2 11 2" xfId="968" xr:uid="{00000000-0005-0000-0000-000034880000}"/>
    <cellStyle name="Note 2 11 2 2" xfId="23850" xr:uid="{00000000-0005-0000-0000-000035880000}"/>
    <cellStyle name="Note 2 11 3" xfId="22609" xr:uid="{00000000-0005-0000-0000-000036880000}"/>
    <cellStyle name="Note 2 11 3 2" xfId="42520" xr:uid="{00000000-0005-0000-0000-000037880000}"/>
    <cellStyle name="Note 2 11 4" xfId="22933" xr:uid="{00000000-0005-0000-0000-000038880000}"/>
    <cellStyle name="Note 2 11 4 2" xfId="42844" xr:uid="{00000000-0005-0000-0000-000039880000}"/>
    <cellStyle name="Note 2 11 5" xfId="23236" xr:uid="{00000000-0005-0000-0000-00003A880000}"/>
    <cellStyle name="Note 2 11 5 2" xfId="43147" xr:uid="{00000000-0005-0000-0000-00003B880000}"/>
    <cellStyle name="Note 2 11 6" xfId="23547" xr:uid="{00000000-0005-0000-0000-00003C880000}"/>
    <cellStyle name="Note 2 12" xfId="668" xr:uid="{00000000-0005-0000-0000-00003D880000}"/>
    <cellStyle name="Note 2 12 2" xfId="984" xr:uid="{00000000-0005-0000-0000-00003E880000}"/>
    <cellStyle name="Note 2 12 2 2" xfId="23866" xr:uid="{00000000-0005-0000-0000-00003F880000}"/>
    <cellStyle name="Note 2 12 3" xfId="22517" xr:uid="{00000000-0005-0000-0000-000040880000}"/>
    <cellStyle name="Note 2 12 3 2" xfId="42428" xr:uid="{00000000-0005-0000-0000-000041880000}"/>
    <cellStyle name="Note 2 12 4" xfId="22949" xr:uid="{00000000-0005-0000-0000-000042880000}"/>
    <cellStyle name="Note 2 12 4 2" xfId="42860" xr:uid="{00000000-0005-0000-0000-000043880000}"/>
    <cellStyle name="Note 2 12 5" xfId="23252" xr:uid="{00000000-0005-0000-0000-000044880000}"/>
    <cellStyle name="Note 2 12 5 2" xfId="43163" xr:uid="{00000000-0005-0000-0000-000045880000}"/>
    <cellStyle name="Note 2 12 6" xfId="23563" xr:uid="{00000000-0005-0000-0000-000046880000}"/>
    <cellStyle name="Note 2 13" xfId="692" xr:uid="{00000000-0005-0000-0000-000047880000}"/>
    <cellStyle name="Note 2 13 2" xfId="1000" xr:uid="{00000000-0005-0000-0000-000048880000}"/>
    <cellStyle name="Note 2 13 2 2" xfId="23882" xr:uid="{00000000-0005-0000-0000-000049880000}"/>
    <cellStyle name="Note 2 13 3" xfId="22575" xr:uid="{00000000-0005-0000-0000-00004A880000}"/>
    <cellStyle name="Note 2 13 3 2" xfId="42486" xr:uid="{00000000-0005-0000-0000-00004B880000}"/>
    <cellStyle name="Note 2 13 4" xfId="22965" xr:uid="{00000000-0005-0000-0000-00004C880000}"/>
    <cellStyle name="Note 2 13 4 2" xfId="42876" xr:uid="{00000000-0005-0000-0000-00004D880000}"/>
    <cellStyle name="Note 2 13 5" xfId="23268" xr:uid="{00000000-0005-0000-0000-00004E880000}"/>
    <cellStyle name="Note 2 13 5 2" xfId="43179" xr:uid="{00000000-0005-0000-0000-00004F880000}"/>
    <cellStyle name="Note 2 13 6" xfId="23579" xr:uid="{00000000-0005-0000-0000-000050880000}"/>
    <cellStyle name="Note 2 14" xfId="708" xr:uid="{00000000-0005-0000-0000-000051880000}"/>
    <cellStyle name="Note 2 14 2" xfId="1016" xr:uid="{00000000-0005-0000-0000-000052880000}"/>
    <cellStyle name="Note 2 14 2 2" xfId="23898" xr:uid="{00000000-0005-0000-0000-000053880000}"/>
    <cellStyle name="Note 2 14 3" xfId="22476" xr:uid="{00000000-0005-0000-0000-000054880000}"/>
    <cellStyle name="Note 2 14 3 2" xfId="42387" xr:uid="{00000000-0005-0000-0000-000055880000}"/>
    <cellStyle name="Note 2 14 4" xfId="22981" xr:uid="{00000000-0005-0000-0000-000056880000}"/>
    <cellStyle name="Note 2 14 4 2" xfId="42892" xr:uid="{00000000-0005-0000-0000-000057880000}"/>
    <cellStyle name="Note 2 14 5" xfId="23284" xr:uid="{00000000-0005-0000-0000-000058880000}"/>
    <cellStyle name="Note 2 14 5 2" xfId="43195" xr:uid="{00000000-0005-0000-0000-000059880000}"/>
    <cellStyle name="Note 2 14 6" xfId="23595" xr:uid="{00000000-0005-0000-0000-00005A880000}"/>
    <cellStyle name="Note 2 15" xfId="724" xr:uid="{00000000-0005-0000-0000-00005B880000}"/>
    <cellStyle name="Note 2 15 2" xfId="1032" xr:uid="{00000000-0005-0000-0000-00005C880000}"/>
    <cellStyle name="Note 2 15 2 2" xfId="23914" xr:uid="{00000000-0005-0000-0000-00005D880000}"/>
    <cellStyle name="Note 2 15 3" xfId="22681" xr:uid="{00000000-0005-0000-0000-00005E880000}"/>
    <cellStyle name="Note 2 15 3 2" xfId="42592" xr:uid="{00000000-0005-0000-0000-00005F880000}"/>
    <cellStyle name="Note 2 15 4" xfId="22997" xr:uid="{00000000-0005-0000-0000-000060880000}"/>
    <cellStyle name="Note 2 15 4 2" xfId="42908" xr:uid="{00000000-0005-0000-0000-000061880000}"/>
    <cellStyle name="Note 2 15 5" xfId="23300" xr:uid="{00000000-0005-0000-0000-000062880000}"/>
    <cellStyle name="Note 2 15 5 2" xfId="43211" xr:uid="{00000000-0005-0000-0000-000063880000}"/>
    <cellStyle name="Note 2 15 6" xfId="23611" xr:uid="{00000000-0005-0000-0000-000064880000}"/>
    <cellStyle name="Note 2 16" xfId="772" xr:uid="{00000000-0005-0000-0000-000065880000}"/>
    <cellStyle name="Note 2 16 2" xfId="23654" xr:uid="{00000000-0005-0000-0000-000066880000}"/>
    <cellStyle name="Note 2 17" xfId="4055" xr:uid="{00000000-0005-0000-0000-000067880000}"/>
    <cellStyle name="Note 2 17 2" xfId="24527" xr:uid="{00000000-0005-0000-0000-000068880000}"/>
    <cellStyle name="Note 2 18" xfId="22737" xr:uid="{00000000-0005-0000-0000-000069880000}"/>
    <cellStyle name="Note 2 18 2" xfId="42648" xr:uid="{00000000-0005-0000-0000-00006A880000}"/>
    <cellStyle name="Note 2 19" xfId="23040" xr:uid="{00000000-0005-0000-0000-00006B880000}"/>
    <cellStyle name="Note 2 19 2" xfId="42951" xr:uid="{00000000-0005-0000-0000-00006C880000}"/>
    <cellStyle name="Note 2 2" xfId="390" xr:uid="{00000000-0005-0000-0000-00006D880000}"/>
    <cellStyle name="Note 2 2 2" xfId="824" xr:uid="{00000000-0005-0000-0000-00006E880000}"/>
    <cellStyle name="Note 2 2 2 2" xfId="9936" xr:uid="{00000000-0005-0000-0000-00006F880000}"/>
    <cellStyle name="Note 2 2 2 2 2" xfId="16129" xr:uid="{00000000-0005-0000-0000-000070880000}"/>
    <cellStyle name="Note 2 2 2 2 2 2" xfId="36049" xr:uid="{00000000-0005-0000-0000-000071880000}"/>
    <cellStyle name="Note 2 2 2 2 3" xfId="22281" xr:uid="{00000000-0005-0000-0000-000072880000}"/>
    <cellStyle name="Note 2 2 2 2 3 2" xfId="42201" xr:uid="{00000000-0005-0000-0000-000073880000}"/>
    <cellStyle name="Note 2 2 2 2 4" xfId="29896" xr:uid="{00000000-0005-0000-0000-000074880000}"/>
    <cellStyle name="Note 2 2 2 3" xfId="13063" xr:uid="{00000000-0005-0000-0000-000075880000}"/>
    <cellStyle name="Note 2 2 2 3 2" xfId="32983" xr:uid="{00000000-0005-0000-0000-000076880000}"/>
    <cellStyle name="Note 2 2 2 4" xfId="19215" xr:uid="{00000000-0005-0000-0000-000077880000}"/>
    <cellStyle name="Note 2 2 2 4 2" xfId="39135" xr:uid="{00000000-0005-0000-0000-000078880000}"/>
    <cellStyle name="Note 2 2 2 5" xfId="6850" xr:uid="{00000000-0005-0000-0000-000079880000}"/>
    <cellStyle name="Note 2 2 2 5 2" xfId="26830" xr:uid="{00000000-0005-0000-0000-00007A880000}"/>
    <cellStyle name="Note 2 2 2 6" xfId="23706" xr:uid="{00000000-0005-0000-0000-00007B880000}"/>
    <cellStyle name="Note 2 2 3" xfId="8401" xr:uid="{00000000-0005-0000-0000-00007C880000}"/>
    <cellStyle name="Note 2 2 3 2" xfId="14595" xr:uid="{00000000-0005-0000-0000-00007D880000}"/>
    <cellStyle name="Note 2 2 3 2 2" xfId="34515" xr:uid="{00000000-0005-0000-0000-00007E880000}"/>
    <cellStyle name="Note 2 2 3 3" xfId="20747" xr:uid="{00000000-0005-0000-0000-00007F880000}"/>
    <cellStyle name="Note 2 2 3 3 2" xfId="40667" xr:uid="{00000000-0005-0000-0000-000080880000}"/>
    <cellStyle name="Note 2 2 3 4" xfId="28362" xr:uid="{00000000-0005-0000-0000-000081880000}"/>
    <cellStyle name="Note 2 2 4" xfId="11529" xr:uid="{00000000-0005-0000-0000-000082880000}"/>
    <cellStyle name="Note 2 2 4 2" xfId="31449" xr:uid="{00000000-0005-0000-0000-000083880000}"/>
    <cellStyle name="Note 2 2 5" xfId="17681" xr:uid="{00000000-0005-0000-0000-000084880000}"/>
    <cellStyle name="Note 2 2 5 2" xfId="37601" xr:uid="{00000000-0005-0000-0000-000085880000}"/>
    <cellStyle name="Note 2 2 6" xfId="5225" xr:uid="{00000000-0005-0000-0000-000086880000}"/>
    <cellStyle name="Note 2 2 6 2" xfId="25296" xr:uid="{00000000-0005-0000-0000-000087880000}"/>
    <cellStyle name="Note 2 2 7" xfId="22789" xr:uid="{00000000-0005-0000-0000-000088880000}"/>
    <cellStyle name="Note 2 2 7 2" xfId="42700" xr:uid="{00000000-0005-0000-0000-000089880000}"/>
    <cellStyle name="Note 2 2 8" xfId="23092" xr:uid="{00000000-0005-0000-0000-00008A880000}"/>
    <cellStyle name="Note 2 2 8 2" xfId="43003" xr:uid="{00000000-0005-0000-0000-00008B880000}"/>
    <cellStyle name="Note 2 2 9" xfId="23403" xr:uid="{00000000-0005-0000-0000-00008C880000}"/>
    <cellStyle name="Note 2 20" xfId="23351" xr:uid="{00000000-0005-0000-0000-00008D880000}"/>
    <cellStyle name="Note 2 3" xfId="420" xr:uid="{00000000-0005-0000-0000-00008E880000}"/>
    <cellStyle name="Note 2 3 2" xfId="840" xr:uid="{00000000-0005-0000-0000-00008F880000}"/>
    <cellStyle name="Note 2 3 2 2" xfId="15360" xr:uid="{00000000-0005-0000-0000-000090880000}"/>
    <cellStyle name="Note 2 3 2 2 2" xfId="35280" xr:uid="{00000000-0005-0000-0000-000091880000}"/>
    <cellStyle name="Note 2 3 2 3" xfId="21512" xr:uid="{00000000-0005-0000-0000-000092880000}"/>
    <cellStyle name="Note 2 3 2 3 2" xfId="41432" xr:uid="{00000000-0005-0000-0000-000093880000}"/>
    <cellStyle name="Note 2 3 2 4" xfId="9167" xr:uid="{00000000-0005-0000-0000-000094880000}"/>
    <cellStyle name="Note 2 3 2 4 2" xfId="29127" xr:uid="{00000000-0005-0000-0000-000095880000}"/>
    <cellStyle name="Note 2 3 2 5" xfId="23722" xr:uid="{00000000-0005-0000-0000-000096880000}"/>
    <cellStyle name="Note 2 3 3" xfId="12294" xr:uid="{00000000-0005-0000-0000-000097880000}"/>
    <cellStyle name="Note 2 3 3 2" xfId="32214" xr:uid="{00000000-0005-0000-0000-000098880000}"/>
    <cellStyle name="Note 2 3 4" xfId="18446" xr:uid="{00000000-0005-0000-0000-000099880000}"/>
    <cellStyle name="Note 2 3 4 2" xfId="38366" xr:uid="{00000000-0005-0000-0000-00009A880000}"/>
    <cellStyle name="Note 2 3 5" xfId="6067" xr:uid="{00000000-0005-0000-0000-00009B880000}"/>
    <cellStyle name="Note 2 3 5 2" xfId="26061" xr:uid="{00000000-0005-0000-0000-00009C880000}"/>
    <cellStyle name="Note 2 3 6" xfId="22805" xr:uid="{00000000-0005-0000-0000-00009D880000}"/>
    <cellStyle name="Note 2 3 6 2" xfId="42716" xr:uid="{00000000-0005-0000-0000-00009E880000}"/>
    <cellStyle name="Note 2 3 7" xfId="23108" xr:uid="{00000000-0005-0000-0000-00009F880000}"/>
    <cellStyle name="Note 2 3 7 2" xfId="43019" xr:uid="{00000000-0005-0000-0000-0000A0880000}"/>
    <cellStyle name="Note 2 3 8" xfId="23419" xr:uid="{00000000-0005-0000-0000-0000A1880000}"/>
    <cellStyle name="Note 2 4" xfId="447" xr:uid="{00000000-0005-0000-0000-0000A2880000}"/>
    <cellStyle name="Note 2 4 2" xfId="856" xr:uid="{00000000-0005-0000-0000-0000A3880000}"/>
    <cellStyle name="Note 2 4 2 2" xfId="13826" xr:uid="{00000000-0005-0000-0000-0000A4880000}"/>
    <cellStyle name="Note 2 4 2 2 2" xfId="33746" xr:uid="{00000000-0005-0000-0000-0000A5880000}"/>
    <cellStyle name="Note 2 4 2 3" xfId="23738" xr:uid="{00000000-0005-0000-0000-0000A6880000}"/>
    <cellStyle name="Note 2 4 3" xfId="19978" xr:uid="{00000000-0005-0000-0000-0000A7880000}"/>
    <cellStyle name="Note 2 4 3 2" xfId="39898" xr:uid="{00000000-0005-0000-0000-0000A8880000}"/>
    <cellStyle name="Note 2 4 4" xfId="7632" xr:uid="{00000000-0005-0000-0000-0000A9880000}"/>
    <cellStyle name="Note 2 4 4 2" xfId="27593" xr:uid="{00000000-0005-0000-0000-0000AA880000}"/>
    <cellStyle name="Note 2 4 5" xfId="22821" xr:uid="{00000000-0005-0000-0000-0000AB880000}"/>
    <cellStyle name="Note 2 4 5 2" xfId="42732" xr:uid="{00000000-0005-0000-0000-0000AC880000}"/>
    <cellStyle name="Note 2 4 6" xfId="23124" xr:uid="{00000000-0005-0000-0000-0000AD880000}"/>
    <cellStyle name="Note 2 4 6 2" xfId="43035" xr:uid="{00000000-0005-0000-0000-0000AE880000}"/>
    <cellStyle name="Note 2 4 7" xfId="23435" xr:uid="{00000000-0005-0000-0000-0000AF880000}"/>
    <cellStyle name="Note 2 5" xfId="473" xr:uid="{00000000-0005-0000-0000-0000B0880000}"/>
    <cellStyle name="Note 2 5 2" xfId="872" xr:uid="{00000000-0005-0000-0000-0000B1880000}"/>
    <cellStyle name="Note 2 5 2 2" xfId="23754" xr:uid="{00000000-0005-0000-0000-0000B2880000}"/>
    <cellStyle name="Note 2 5 3" xfId="10760" xr:uid="{00000000-0005-0000-0000-0000B3880000}"/>
    <cellStyle name="Note 2 5 3 2" xfId="30680" xr:uid="{00000000-0005-0000-0000-0000B4880000}"/>
    <cellStyle name="Note 2 5 4" xfId="22837" xr:uid="{00000000-0005-0000-0000-0000B5880000}"/>
    <cellStyle name="Note 2 5 4 2" xfId="42748" xr:uid="{00000000-0005-0000-0000-0000B6880000}"/>
    <cellStyle name="Note 2 5 5" xfId="23140" xr:uid="{00000000-0005-0000-0000-0000B7880000}"/>
    <cellStyle name="Note 2 5 5 2" xfId="43051" xr:uid="{00000000-0005-0000-0000-0000B8880000}"/>
    <cellStyle name="Note 2 5 6" xfId="23451" xr:uid="{00000000-0005-0000-0000-0000B9880000}"/>
    <cellStyle name="Note 2 6" xfId="499" xr:uid="{00000000-0005-0000-0000-0000BA880000}"/>
    <cellStyle name="Note 2 6 2" xfId="888" xr:uid="{00000000-0005-0000-0000-0000BB880000}"/>
    <cellStyle name="Note 2 6 2 2" xfId="23770" xr:uid="{00000000-0005-0000-0000-0000BC880000}"/>
    <cellStyle name="Note 2 6 3" xfId="16912" xr:uid="{00000000-0005-0000-0000-0000BD880000}"/>
    <cellStyle name="Note 2 6 3 2" xfId="36832" xr:uid="{00000000-0005-0000-0000-0000BE880000}"/>
    <cellStyle name="Note 2 6 4" xfId="22853" xr:uid="{00000000-0005-0000-0000-0000BF880000}"/>
    <cellStyle name="Note 2 6 4 2" xfId="42764" xr:uid="{00000000-0005-0000-0000-0000C0880000}"/>
    <cellStyle name="Note 2 6 5" xfId="23156" xr:uid="{00000000-0005-0000-0000-0000C1880000}"/>
    <cellStyle name="Note 2 6 5 2" xfId="43067" xr:uid="{00000000-0005-0000-0000-0000C2880000}"/>
    <cellStyle name="Note 2 6 6" xfId="23467" xr:uid="{00000000-0005-0000-0000-0000C3880000}"/>
    <cellStyle name="Note 2 7" xfId="523" xr:uid="{00000000-0005-0000-0000-0000C4880000}"/>
    <cellStyle name="Note 2 7 2" xfId="904" xr:uid="{00000000-0005-0000-0000-0000C5880000}"/>
    <cellStyle name="Note 2 7 2 2" xfId="23786" xr:uid="{00000000-0005-0000-0000-0000C6880000}"/>
    <cellStyle name="Note 2 7 3" xfId="22494" xr:uid="{00000000-0005-0000-0000-0000C7880000}"/>
    <cellStyle name="Note 2 7 3 2" xfId="42405" xr:uid="{00000000-0005-0000-0000-0000C8880000}"/>
    <cellStyle name="Note 2 7 4" xfId="22869" xr:uid="{00000000-0005-0000-0000-0000C9880000}"/>
    <cellStyle name="Note 2 7 4 2" xfId="42780" xr:uid="{00000000-0005-0000-0000-0000CA880000}"/>
    <cellStyle name="Note 2 7 5" xfId="23172" xr:uid="{00000000-0005-0000-0000-0000CB880000}"/>
    <cellStyle name="Note 2 7 5 2" xfId="43083" xr:uid="{00000000-0005-0000-0000-0000CC880000}"/>
    <cellStyle name="Note 2 7 6" xfId="23483" xr:uid="{00000000-0005-0000-0000-0000CD880000}"/>
    <cellStyle name="Note 2 8" xfId="549" xr:uid="{00000000-0005-0000-0000-0000CE880000}"/>
    <cellStyle name="Note 2 8 2" xfId="920" xr:uid="{00000000-0005-0000-0000-0000CF880000}"/>
    <cellStyle name="Note 2 8 2 2" xfId="23802" xr:uid="{00000000-0005-0000-0000-0000D0880000}"/>
    <cellStyle name="Note 2 8 3" xfId="22616" xr:uid="{00000000-0005-0000-0000-0000D1880000}"/>
    <cellStyle name="Note 2 8 3 2" xfId="42527" xr:uid="{00000000-0005-0000-0000-0000D2880000}"/>
    <cellStyle name="Note 2 8 4" xfId="22885" xr:uid="{00000000-0005-0000-0000-0000D3880000}"/>
    <cellStyle name="Note 2 8 4 2" xfId="42796" xr:uid="{00000000-0005-0000-0000-0000D4880000}"/>
    <cellStyle name="Note 2 8 5" xfId="23188" xr:uid="{00000000-0005-0000-0000-0000D5880000}"/>
    <cellStyle name="Note 2 8 5 2" xfId="43099" xr:uid="{00000000-0005-0000-0000-0000D6880000}"/>
    <cellStyle name="Note 2 8 6" xfId="23499" xr:uid="{00000000-0005-0000-0000-0000D7880000}"/>
    <cellStyle name="Note 2 9" xfId="589" xr:uid="{00000000-0005-0000-0000-0000D8880000}"/>
    <cellStyle name="Note 2 9 2" xfId="936" xr:uid="{00000000-0005-0000-0000-0000D9880000}"/>
    <cellStyle name="Note 2 9 2 2" xfId="23818" xr:uid="{00000000-0005-0000-0000-0000DA880000}"/>
    <cellStyle name="Note 2 9 3" xfId="22519" xr:uid="{00000000-0005-0000-0000-0000DB880000}"/>
    <cellStyle name="Note 2 9 3 2" xfId="42430" xr:uid="{00000000-0005-0000-0000-0000DC880000}"/>
    <cellStyle name="Note 2 9 4" xfId="22901" xr:uid="{00000000-0005-0000-0000-0000DD880000}"/>
    <cellStyle name="Note 2 9 4 2" xfId="42812" xr:uid="{00000000-0005-0000-0000-0000DE880000}"/>
    <cellStyle name="Note 2 9 5" xfId="23204" xr:uid="{00000000-0005-0000-0000-0000DF880000}"/>
    <cellStyle name="Note 2 9 5 2" xfId="43115" xr:uid="{00000000-0005-0000-0000-0000E0880000}"/>
    <cellStyle name="Note 2 9 6" xfId="23515" xr:uid="{00000000-0005-0000-0000-0000E1880000}"/>
    <cellStyle name="Note 3" xfId="4056" xr:uid="{00000000-0005-0000-0000-0000E2880000}"/>
    <cellStyle name="Note 3 2" xfId="5226" xr:uid="{00000000-0005-0000-0000-0000E3880000}"/>
    <cellStyle name="Note 3 2 2" xfId="6851" xr:uid="{00000000-0005-0000-0000-0000E4880000}"/>
    <cellStyle name="Note 3 2 2 2" xfId="9937" xr:uid="{00000000-0005-0000-0000-0000E5880000}"/>
    <cellStyle name="Note 3 2 2 2 2" xfId="16130" xr:uid="{00000000-0005-0000-0000-0000E6880000}"/>
    <cellStyle name="Note 3 2 2 2 2 2" xfId="36050" xr:uid="{00000000-0005-0000-0000-0000E7880000}"/>
    <cellStyle name="Note 3 2 2 2 3" xfId="22282" xr:uid="{00000000-0005-0000-0000-0000E8880000}"/>
    <cellStyle name="Note 3 2 2 2 3 2" xfId="42202" xr:uid="{00000000-0005-0000-0000-0000E9880000}"/>
    <cellStyle name="Note 3 2 2 2 4" xfId="29897" xr:uid="{00000000-0005-0000-0000-0000EA880000}"/>
    <cellStyle name="Note 3 2 2 3" xfId="13064" xr:uid="{00000000-0005-0000-0000-0000EB880000}"/>
    <cellStyle name="Note 3 2 2 3 2" xfId="32984" xr:uid="{00000000-0005-0000-0000-0000EC880000}"/>
    <cellStyle name="Note 3 2 2 4" xfId="19216" xr:uid="{00000000-0005-0000-0000-0000ED880000}"/>
    <cellStyle name="Note 3 2 2 4 2" xfId="39136" xr:uid="{00000000-0005-0000-0000-0000EE880000}"/>
    <cellStyle name="Note 3 2 2 5" xfId="26831" xr:uid="{00000000-0005-0000-0000-0000EF880000}"/>
    <cellStyle name="Note 3 2 3" xfId="8402" xr:uid="{00000000-0005-0000-0000-0000F0880000}"/>
    <cellStyle name="Note 3 2 3 2" xfId="14596" xr:uid="{00000000-0005-0000-0000-0000F1880000}"/>
    <cellStyle name="Note 3 2 3 2 2" xfId="34516" xr:uid="{00000000-0005-0000-0000-0000F2880000}"/>
    <cellStyle name="Note 3 2 3 3" xfId="20748" xr:uid="{00000000-0005-0000-0000-0000F3880000}"/>
    <cellStyle name="Note 3 2 3 3 2" xfId="40668" xr:uid="{00000000-0005-0000-0000-0000F4880000}"/>
    <cellStyle name="Note 3 2 3 4" xfId="28363" xr:uid="{00000000-0005-0000-0000-0000F5880000}"/>
    <cellStyle name="Note 3 2 4" xfId="11530" xr:uid="{00000000-0005-0000-0000-0000F6880000}"/>
    <cellStyle name="Note 3 2 4 2" xfId="31450" xr:uid="{00000000-0005-0000-0000-0000F7880000}"/>
    <cellStyle name="Note 3 2 5" xfId="17682" xr:uid="{00000000-0005-0000-0000-0000F8880000}"/>
    <cellStyle name="Note 3 2 5 2" xfId="37602" xr:uid="{00000000-0005-0000-0000-0000F9880000}"/>
    <cellStyle name="Note 3 2 6" xfId="25297" xr:uid="{00000000-0005-0000-0000-0000FA880000}"/>
    <cellStyle name="Note 3 3" xfId="6068" xr:uid="{00000000-0005-0000-0000-0000FB880000}"/>
    <cellStyle name="Note 3 3 2" xfId="9168" xr:uid="{00000000-0005-0000-0000-0000FC880000}"/>
    <cellStyle name="Note 3 3 2 2" xfId="15361" xr:uid="{00000000-0005-0000-0000-0000FD880000}"/>
    <cellStyle name="Note 3 3 2 2 2" xfId="35281" xr:uid="{00000000-0005-0000-0000-0000FE880000}"/>
    <cellStyle name="Note 3 3 2 3" xfId="21513" xr:uid="{00000000-0005-0000-0000-0000FF880000}"/>
    <cellStyle name="Note 3 3 2 3 2" xfId="41433" xr:uid="{00000000-0005-0000-0000-000000890000}"/>
    <cellStyle name="Note 3 3 2 4" xfId="29128" xr:uid="{00000000-0005-0000-0000-000001890000}"/>
    <cellStyle name="Note 3 3 3" xfId="12295" xr:uid="{00000000-0005-0000-0000-000002890000}"/>
    <cellStyle name="Note 3 3 3 2" xfId="32215" xr:uid="{00000000-0005-0000-0000-000003890000}"/>
    <cellStyle name="Note 3 3 4" xfId="18447" xr:uid="{00000000-0005-0000-0000-000004890000}"/>
    <cellStyle name="Note 3 3 4 2" xfId="38367" xr:uid="{00000000-0005-0000-0000-000005890000}"/>
    <cellStyle name="Note 3 3 5" xfId="26062" xr:uid="{00000000-0005-0000-0000-000006890000}"/>
    <cellStyle name="Note 3 4" xfId="7633" xr:uid="{00000000-0005-0000-0000-000007890000}"/>
    <cellStyle name="Note 3 4 2" xfId="13827" xr:uid="{00000000-0005-0000-0000-000008890000}"/>
    <cellStyle name="Note 3 4 2 2" xfId="33747" xr:uid="{00000000-0005-0000-0000-000009890000}"/>
    <cellStyle name="Note 3 4 3" xfId="19979" xr:uid="{00000000-0005-0000-0000-00000A890000}"/>
    <cellStyle name="Note 3 4 3 2" xfId="39899" xr:uid="{00000000-0005-0000-0000-00000B890000}"/>
    <cellStyle name="Note 3 4 4" xfId="27594" xr:uid="{00000000-0005-0000-0000-00000C890000}"/>
    <cellStyle name="Note 3 5" xfId="10761" xr:uid="{00000000-0005-0000-0000-00000D890000}"/>
    <cellStyle name="Note 3 5 2" xfId="30681" xr:uid="{00000000-0005-0000-0000-00000E890000}"/>
    <cellStyle name="Note 3 6" xfId="16913" xr:uid="{00000000-0005-0000-0000-00000F890000}"/>
    <cellStyle name="Note 3 6 2" xfId="36833" xr:uid="{00000000-0005-0000-0000-000010890000}"/>
    <cellStyle name="Note 3 7" xfId="24528" xr:uid="{00000000-0005-0000-0000-000011890000}"/>
    <cellStyle name="Note 4" xfId="4057" xr:uid="{00000000-0005-0000-0000-000012890000}"/>
    <cellStyle name="Note 4 2" xfId="5227" xr:uid="{00000000-0005-0000-0000-000013890000}"/>
    <cellStyle name="Note 4 2 2" xfId="6852" xr:uid="{00000000-0005-0000-0000-000014890000}"/>
    <cellStyle name="Note 4 2 2 2" xfId="9938" xr:uid="{00000000-0005-0000-0000-000015890000}"/>
    <cellStyle name="Note 4 2 2 2 2" xfId="16131" xr:uid="{00000000-0005-0000-0000-000016890000}"/>
    <cellStyle name="Note 4 2 2 2 2 2" xfId="36051" xr:uid="{00000000-0005-0000-0000-000017890000}"/>
    <cellStyle name="Note 4 2 2 2 3" xfId="22283" xr:uid="{00000000-0005-0000-0000-000018890000}"/>
    <cellStyle name="Note 4 2 2 2 3 2" xfId="42203" xr:uid="{00000000-0005-0000-0000-000019890000}"/>
    <cellStyle name="Note 4 2 2 2 4" xfId="29898" xr:uid="{00000000-0005-0000-0000-00001A890000}"/>
    <cellStyle name="Note 4 2 2 3" xfId="13065" xr:uid="{00000000-0005-0000-0000-00001B890000}"/>
    <cellStyle name="Note 4 2 2 3 2" xfId="32985" xr:uid="{00000000-0005-0000-0000-00001C890000}"/>
    <cellStyle name="Note 4 2 2 4" xfId="19217" xr:uid="{00000000-0005-0000-0000-00001D890000}"/>
    <cellStyle name="Note 4 2 2 4 2" xfId="39137" xr:uid="{00000000-0005-0000-0000-00001E890000}"/>
    <cellStyle name="Note 4 2 2 5" xfId="26832" xr:uid="{00000000-0005-0000-0000-00001F890000}"/>
    <cellStyle name="Note 4 2 3" xfId="8403" xr:uid="{00000000-0005-0000-0000-000020890000}"/>
    <cellStyle name="Note 4 2 3 2" xfId="14597" xr:uid="{00000000-0005-0000-0000-000021890000}"/>
    <cellStyle name="Note 4 2 3 2 2" xfId="34517" xr:uid="{00000000-0005-0000-0000-000022890000}"/>
    <cellStyle name="Note 4 2 3 3" xfId="20749" xr:uid="{00000000-0005-0000-0000-000023890000}"/>
    <cellStyle name="Note 4 2 3 3 2" xfId="40669" xr:uid="{00000000-0005-0000-0000-000024890000}"/>
    <cellStyle name="Note 4 2 3 4" xfId="28364" xr:uid="{00000000-0005-0000-0000-000025890000}"/>
    <cellStyle name="Note 4 2 4" xfId="11531" xr:uid="{00000000-0005-0000-0000-000026890000}"/>
    <cellStyle name="Note 4 2 4 2" xfId="31451" xr:uid="{00000000-0005-0000-0000-000027890000}"/>
    <cellStyle name="Note 4 2 5" xfId="17683" xr:uid="{00000000-0005-0000-0000-000028890000}"/>
    <cellStyle name="Note 4 2 5 2" xfId="37603" xr:uid="{00000000-0005-0000-0000-000029890000}"/>
    <cellStyle name="Note 4 2 6" xfId="25298" xr:uid="{00000000-0005-0000-0000-00002A890000}"/>
    <cellStyle name="Note 4 3" xfId="6069" xr:uid="{00000000-0005-0000-0000-00002B890000}"/>
    <cellStyle name="Note 4 3 2" xfId="9169" xr:uid="{00000000-0005-0000-0000-00002C890000}"/>
    <cellStyle name="Note 4 3 2 2" xfId="15362" xr:uid="{00000000-0005-0000-0000-00002D890000}"/>
    <cellStyle name="Note 4 3 2 2 2" xfId="35282" xr:uid="{00000000-0005-0000-0000-00002E890000}"/>
    <cellStyle name="Note 4 3 2 3" xfId="21514" xr:uid="{00000000-0005-0000-0000-00002F890000}"/>
    <cellStyle name="Note 4 3 2 3 2" xfId="41434" xr:uid="{00000000-0005-0000-0000-000030890000}"/>
    <cellStyle name="Note 4 3 2 4" xfId="29129" xr:uid="{00000000-0005-0000-0000-000031890000}"/>
    <cellStyle name="Note 4 3 3" xfId="12296" xr:uid="{00000000-0005-0000-0000-000032890000}"/>
    <cellStyle name="Note 4 3 3 2" xfId="32216" xr:uid="{00000000-0005-0000-0000-000033890000}"/>
    <cellStyle name="Note 4 3 4" xfId="18448" xr:uid="{00000000-0005-0000-0000-000034890000}"/>
    <cellStyle name="Note 4 3 4 2" xfId="38368" xr:uid="{00000000-0005-0000-0000-000035890000}"/>
    <cellStyle name="Note 4 3 5" xfId="26063" xr:uid="{00000000-0005-0000-0000-000036890000}"/>
    <cellStyle name="Note 4 4" xfId="7634" xr:uid="{00000000-0005-0000-0000-000037890000}"/>
    <cellStyle name="Note 4 4 2" xfId="13828" xr:uid="{00000000-0005-0000-0000-000038890000}"/>
    <cellStyle name="Note 4 4 2 2" xfId="33748" xr:uid="{00000000-0005-0000-0000-000039890000}"/>
    <cellStyle name="Note 4 4 3" xfId="19980" xr:uid="{00000000-0005-0000-0000-00003A890000}"/>
    <cellStyle name="Note 4 4 3 2" xfId="39900" xr:uid="{00000000-0005-0000-0000-00003B890000}"/>
    <cellStyle name="Note 4 4 4" xfId="27595" xr:uid="{00000000-0005-0000-0000-00003C890000}"/>
    <cellStyle name="Note 4 5" xfId="10762" xr:uid="{00000000-0005-0000-0000-00003D890000}"/>
    <cellStyle name="Note 4 5 2" xfId="30682" xr:uid="{00000000-0005-0000-0000-00003E890000}"/>
    <cellStyle name="Note 4 6" xfId="16914" xr:uid="{00000000-0005-0000-0000-00003F890000}"/>
    <cellStyle name="Note 4 6 2" xfId="36834" xr:uid="{00000000-0005-0000-0000-000040890000}"/>
    <cellStyle name="Note 4 7" xfId="24529" xr:uid="{00000000-0005-0000-0000-000041890000}"/>
    <cellStyle name="Note 5" xfId="4058" xr:uid="{00000000-0005-0000-0000-000042890000}"/>
    <cellStyle name="Note 6" xfId="4059" xr:uid="{00000000-0005-0000-0000-000043890000}"/>
    <cellStyle name="Note 6 2" xfId="5436" xr:uid="{00000000-0005-0000-0000-000044890000}"/>
    <cellStyle name="Note 6 2 2" xfId="6149" xr:uid="{00000000-0005-0000-0000-000045890000}"/>
    <cellStyle name="Note 6 3" xfId="5425" xr:uid="{00000000-0005-0000-0000-000046890000}"/>
    <cellStyle name="Note 6 3 2" xfId="6115" xr:uid="{00000000-0005-0000-0000-000047890000}"/>
    <cellStyle name="Note 6 4" xfId="5420" xr:uid="{00000000-0005-0000-0000-000048890000}"/>
    <cellStyle name="Note 6 4 2" xfId="6105" xr:uid="{00000000-0005-0000-0000-000049890000}"/>
    <cellStyle name="Note 6 5" xfId="5398" xr:uid="{00000000-0005-0000-0000-00004A890000}"/>
    <cellStyle name="Note 6 5 2" xfId="6224" xr:uid="{00000000-0005-0000-0000-00004B890000}"/>
    <cellStyle name="Note 6 6" xfId="5604" xr:uid="{00000000-0005-0000-0000-00004C890000}"/>
    <cellStyle name="Note 7" xfId="4060" xr:uid="{00000000-0005-0000-0000-00004D890000}"/>
    <cellStyle name="Note 7 2" xfId="5228" xr:uid="{00000000-0005-0000-0000-00004E890000}"/>
    <cellStyle name="Note 7 2 2" xfId="6853" xr:uid="{00000000-0005-0000-0000-00004F890000}"/>
    <cellStyle name="Note 7 2 2 2" xfId="9939" xr:uid="{00000000-0005-0000-0000-000050890000}"/>
    <cellStyle name="Note 7 2 2 2 2" xfId="16132" xr:uid="{00000000-0005-0000-0000-000051890000}"/>
    <cellStyle name="Note 7 2 2 2 2 2" xfId="36052" xr:uid="{00000000-0005-0000-0000-000052890000}"/>
    <cellStyle name="Note 7 2 2 2 3" xfId="22284" xr:uid="{00000000-0005-0000-0000-000053890000}"/>
    <cellStyle name="Note 7 2 2 2 3 2" xfId="42204" xr:uid="{00000000-0005-0000-0000-000054890000}"/>
    <cellStyle name="Note 7 2 2 2 4" xfId="29899" xr:uid="{00000000-0005-0000-0000-000055890000}"/>
    <cellStyle name="Note 7 2 2 3" xfId="13066" xr:uid="{00000000-0005-0000-0000-000056890000}"/>
    <cellStyle name="Note 7 2 2 3 2" xfId="32986" xr:uid="{00000000-0005-0000-0000-000057890000}"/>
    <cellStyle name="Note 7 2 2 4" xfId="19218" xr:uid="{00000000-0005-0000-0000-000058890000}"/>
    <cellStyle name="Note 7 2 2 4 2" xfId="39138" xr:uid="{00000000-0005-0000-0000-000059890000}"/>
    <cellStyle name="Note 7 2 2 5" xfId="26833" xr:uid="{00000000-0005-0000-0000-00005A890000}"/>
    <cellStyle name="Note 7 2 3" xfId="8404" xr:uid="{00000000-0005-0000-0000-00005B890000}"/>
    <cellStyle name="Note 7 2 3 2" xfId="14598" xr:uid="{00000000-0005-0000-0000-00005C890000}"/>
    <cellStyle name="Note 7 2 3 2 2" xfId="34518" xr:uid="{00000000-0005-0000-0000-00005D890000}"/>
    <cellStyle name="Note 7 2 3 3" xfId="20750" xr:uid="{00000000-0005-0000-0000-00005E890000}"/>
    <cellStyle name="Note 7 2 3 3 2" xfId="40670" xr:uid="{00000000-0005-0000-0000-00005F890000}"/>
    <cellStyle name="Note 7 2 3 4" xfId="28365" xr:uid="{00000000-0005-0000-0000-000060890000}"/>
    <cellStyle name="Note 7 2 4" xfId="11532" xr:uid="{00000000-0005-0000-0000-000061890000}"/>
    <cellStyle name="Note 7 2 4 2" xfId="31452" xr:uid="{00000000-0005-0000-0000-000062890000}"/>
    <cellStyle name="Note 7 2 5" xfId="17684" xr:uid="{00000000-0005-0000-0000-000063890000}"/>
    <cellStyle name="Note 7 2 5 2" xfId="37604" xr:uid="{00000000-0005-0000-0000-000064890000}"/>
    <cellStyle name="Note 7 2 6" xfId="25299" xr:uid="{00000000-0005-0000-0000-000065890000}"/>
    <cellStyle name="Note 7 3" xfId="6070" xr:uid="{00000000-0005-0000-0000-000066890000}"/>
    <cellStyle name="Note 7 3 2" xfId="9170" xr:uid="{00000000-0005-0000-0000-000067890000}"/>
    <cellStyle name="Note 7 3 2 2" xfId="15363" xr:uid="{00000000-0005-0000-0000-000068890000}"/>
    <cellStyle name="Note 7 3 2 2 2" xfId="35283" xr:uid="{00000000-0005-0000-0000-000069890000}"/>
    <cellStyle name="Note 7 3 2 3" xfId="21515" xr:uid="{00000000-0005-0000-0000-00006A890000}"/>
    <cellStyle name="Note 7 3 2 3 2" xfId="41435" xr:uid="{00000000-0005-0000-0000-00006B890000}"/>
    <cellStyle name="Note 7 3 2 4" xfId="29130" xr:uid="{00000000-0005-0000-0000-00006C890000}"/>
    <cellStyle name="Note 7 3 3" xfId="12297" xr:uid="{00000000-0005-0000-0000-00006D890000}"/>
    <cellStyle name="Note 7 3 3 2" xfId="32217" xr:uid="{00000000-0005-0000-0000-00006E890000}"/>
    <cellStyle name="Note 7 3 4" xfId="18449" xr:uid="{00000000-0005-0000-0000-00006F890000}"/>
    <cellStyle name="Note 7 3 4 2" xfId="38369" xr:uid="{00000000-0005-0000-0000-000070890000}"/>
    <cellStyle name="Note 7 3 5" xfId="26064" xr:uid="{00000000-0005-0000-0000-000071890000}"/>
    <cellStyle name="Note 7 4" xfId="7635" xr:uid="{00000000-0005-0000-0000-000072890000}"/>
    <cellStyle name="Note 7 4 2" xfId="13829" xr:uid="{00000000-0005-0000-0000-000073890000}"/>
    <cellStyle name="Note 7 4 2 2" xfId="33749" xr:uid="{00000000-0005-0000-0000-000074890000}"/>
    <cellStyle name="Note 7 4 3" xfId="19981" xr:uid="{00000000-0005-0000-0000-000075890000}"/>
    <cellStyle name="Note 7 4 3 2" xfId="39901" xr:uid="{00000000-0005-0000-0000-000076890000}"/>
    <cellStyle name="Note 7 4 4" xfId="27596" xr:uid="{00000000-0005-0000-0000-000077890000}"/>
    <cellStyle name="Note 7 5" xfId="10763" xr:uid="{00000000-0005-0000-0000-000078890000}"/>
    <cellStyle name="Note 7 5 2" xfId="30683" xr:uid="{00000000-0005-0000-0000-000079890000}"/>
    <cellStyle name="Note 7 6" xfId="16915" xr:uid="{00000000-0005-0000-0000-00007A890000}"/>
    <cellStyle name="Note 7 6 2" xfId="36835" xr:uid="{00000000-0005-0000-0000-00007B890000}"/>
    <cellStyle name="Note 7 7" xfId="24530" xr:uid="{00000000-0005-0000-0000-00007C890000}"/>
    <cellStyle name="Output" xfId="54" builtinId="21" customBuiltin="1"/>
    <cellStyle name="Output 2" xfId="4061" xr:uid="{00000000-0005-0000-0000-00007E890000}"/>
    <cellStyle name="Output 3" xfId="4062" xr:uid="{00000000-0005-0000-0000-00007F890000}"/>
    <cellStyle name="Output 4" xfId="4063" xr:uid="{00000000-0005-0000-0000-000080890000}"/>
    <cellStyle name="Output 5" xfId="4064" xr:uid="{00000000-0005-0000-0000-000081890000}"/>
    <cellStyle name="Output 6" xfId="4065" xr:uid="{00000000-0005-0000-0000-000082890000}"/>
    <cellStyle name="Output 6 2" xfId="5437" xr:uid="{00000000-0005-0000-0000-000083890000}"/>
    <cellStyle name="Output 6 2 2" xfId="7012" xr:uid="{00000000-0005-0000-0000-000084890000}"/>
    <cellStyle name="Output 6 3" xfId="5426" xr:uid="{00000000-0005-0000-0000-000085890000}"/>
    <cellStyle name="Output 6 3 2" xfId="7015" xr:uid="{00000000-0005-0000-0000-000086890000}"/>
    <cellStyle name="Output 6 4" xfId="5389" xr:uid="{00000000-0005-0000-0000-000087890000}"/>
    <cellStyle name="Output 6 4 2" xfId="7019" xr:uid="{00000000-0005-0000-0000-000088890000}"/>
    <cellStyle name="Output 6 5" xfId="5440" xr:uid="{00000000-0005-0000-0000-000089890000}"/>
    <cellStyle name="Output 6 5 2" xfId="7011" xr:uid="{00000000-0005-0000-0000-00008A890000}"/>
    <cellStyle name="Output 6 6" xfId="5605" xr:uid="{00000000-0005-0000-0000-00008B890000}"/>
    <cellStyle name="Output Amounts" xfId="1124" xr:uid="{00000000-0005-0000-0000-00008C890000}"/>
    <cellStyle name="Output Column Headings" xfId="1068" xr:uid="{00000000-0005-0000-0000-00008D890000}"/>
    <cellStyle name="Output highlight" xfId="4066" xr:uid="{00000000-0005-0000-0000-00008E890000}"/>
    <cellStyle name="Output highlight 2" xfId="4067" xr:uid="{00000000-0005-0000-0000-00008F890000}"/>
    <cellStyle name="Output Line Items" xfId="1069" xr:uid="{00000000-0005-0000-0000-000090890000}"/>
    <cellStyle name="Output Report Heading" xfId="1067" xr:uid="{00000000-0005-0000-0000-000091890000}"/>
    <cellStyle name="Output Report Title" xfId="1066" xr:uid="{00000000-0005-0000-0000-000092890000}"/>
    <cellStyle name="Percent" xfId="3" builtinId="5"/>
    <cellStyle name="Percent %" xfId="4068" xr:uid="{00000000-0005-0000-0000-000094890000}"/>
    <cellStyle name="Percent % Long Underline" xfId="4069" xr:uid="{00000000-0005-0000-0000-000095890000}"/>
    <cellStyle name="Percent 0.0%" xfId="4070" xr:uid="{00000000-0005-0000-0000-000096890000}"/>
    <cellStyle name="Percent 0.0% Long Underline" xfId="4071" xr:uid="{00000000-0005-0000-0000-000097890000}"/>
    <cellStyle name="Percent 0.00%" xfId="4072" xr:uid="{00000000-0005-0000-0000-000098890000}"/>
    <cellStyle name="Percent 0.00% Long Underline" xfId="4073" xr:uid="{00000000-0005-0000-0000-000099890000}"/>
    <cellStyle name="Percent 0.000%" xfId="4074" xr:uid="{00000000-0005-0000-0000-00009A890000}"/>
    <cellStyle name="Percent 0.000% Long Underline" xfId="4075" xr:uid="{00000000-0005-0000-0000-00009B890000}"/>
    <cellStyle name="Percent 0.0000%" xfId="4076" xr:uid="{00000000-0005-0000-0000-00009C890000}"/>
    <cellStyle name="Percent 0.0000% Long Underline" xfId="4077" xr:uid="{00000000-0005-0000-0000-00009D890000}"/>
    <cellStyle name="Percent 10" xfId="4078" xr:uid="{00000000-0005-0000-0000-00009E890000}"/>
    <cellStyle name="Percent 10 2" xfId="4079" xr:uid="{00000000-0005-0000-0000-00009F890000}"/>
    <cellStyle name="Percent 10 2 2" xfId="4080" xr:uid="{00000000-0005-0000-0000-0000A0890000}"/>
    <cellStyle name="Percent 10 2 3" xfId="4081" xr:uid="{00000000-0005-0000-0000-0000A1890000}"/>
    <cellStyle name="Percent 10 3" xfId="10148" xr:uid="{00000000-0005-0000-0000-0000A2890000}"/>
    <cellStyle name="Percent 100" xfId="4082" xr:uid="{00000000-0005-0000-0000-0000A3890000}"/>
    <cellStyle name="Percent 101" xfId="4083" xr:uid="{00000000-0005-0000-0000-0000A4890000}"/>
    <cellStyle name="Percent 102" xfId="4084" xr:uid="{00000000-0005-0000-0000-0000A5890000}"/>
    <cellStyle name="Percent 103" xfId="4085" xr:uid="{00000000-0005-0000-0000-0000A6890000}"/>
    <cellStyle name="Percent 104" xfId="4086" xr:uid="{00000000-0005-0000-0000-0000A7890000}"/>
    <cellStyle name="Percent 105" xfId="4087" xr:uid="{00000000-0005-0000-0000-0000A8890000}"/>
    <cellStyle name="Percent 106" xfId="4088" xr:uid="{00000000-0005-0000-0000-0000A9890000}"/>
    <cellStyle name="Percent 107" xfId="4089" xr:uid="{00000000-0005-0000-0000-0000AA890000}"/>
    <cellStyle name="Percent 108" xfId="4090" xr:uid="{00000000-0005-0000-0000-0000AB890000}"/>
    <cellStyle name="Percent 109" xfId="4091" xr:uid="{00000000-0005-0000-0000-0000AC890000}"/>
    <cellStyle name="Percent 11" xfId="4092" xr:uid="{00000000-0005-0000-0000-0000AD890000}"/>
    <cellStyle name="Percent 11 2" xfId="4093" xr:uid="{00000000-0005-0000-0000-0000AE890000}"/>
    <cellStyle name="Percent 11 2 2" xfId="4094" xr:uid="{00000000-0005-0000-0000-0000AF890000}"/>
    <cellStyle name="Percent 11 2 3" xfId="4095" xr:uid="{00000000-0005-0000-0000-0000B0890000}"/>
    <cellStyle name="Percent 110" xfId="4096" xr:uid="{00000000-0005-0000-0000-0000B1890000}"/>
    <cellStyle name="Percent 111" xfId="4097" xr:uid="{00000000-0005-0000-0000-0000B2890000}"/>
    <cellStyle name="Percent 112" xfId="4098" xr:uid="{00000000-0005-0000-0000-0000B3890000}"/>
    <cellStyle name="Percent 113" xfId="4099" xr:uid="{00000000-0005-0000-0000-0000B4890000}"/>
    <cellStyle name="Percent 114" xfId="4100" xr:uid="{00000000-0005-0000-0000-0000B5890000}"/>
    <cellStyle name="Percent 115" xfId="4101" xr:uid="{00000000-0005-0000-0000-0000B6890000}"/>
    <cellStyle name="Percent 116" xfId="4102" xr:uid="{00000000-0005-0000-0000-0000B7890000}"/>
    <cellStyle name="Percent 117" xfId="4103" xr:uid="{00000000-0005-0000-0000-0000B8890000}"/>
    <cellStyle name="Percent 118" xfId="4104" xr:uid="{00000000-0005-0000-0000-0000B9890000}"/>
    <cellStyle name="Percent 119" xfId="4105" xr:uid="{00000000-0005-0000-0000-0000BA890000}"/>
    <cellStyle name="Percent 12" xfId="4106" xr:uid="{00000000-0005-0000-0000-0000BB890000}"/>
    <cellStyle name="Percent 12 2" xfId="4107" xr:uid="{00000000-0005-0000-0000-0000BC890000}"/>
    <cellStyle name="Percent 12 2 2" xfId="4108" xr:uid="{00000000-0005-0000-0000-0000BD890000}"/>
    <cellStyle name="Percent 12 2 3" xfId="4109" xr:uid="{00000000-0005-0000-0000-0000BE890000}"/>
    <cellStyle name="Percent 120" xfId="4110" xr:uid="{00000000-0005-0000-0000-0000BF890000}"/>
    <cellStyle name="Percent 120 2" xfId="5229" xr:uid="{00000000-0005-0000-0000-0000C0890000}"/>
    <cellStyle name="Percent 120 2 2" xfId="6854" xr:uid="{00000000-0005-0000-0000-0000C1890000}"/>
    <cellStyle name="Percent 120 2 2 2" xfId="9940" xr:uid="{00000000-0005-0000-0000-0000C2890000}"/>
    <cellStyle name="Percent 120 2 2 2 2" xfId="16133" xr:uid="{00000000-0005-0000-0000-0000C3890000}"/>
    <cellStyle name="Percent 120 2 2 2 2 2" xfId="36053" xr:uid="{00000000-0005-0000-0000-0000C4890000}"/>
    <cellStyle name="Percent 120 2 2 2 3" xfId="22285" xr:uid="{00000000-0005-0000-0000-0000C5890000}"/>
    <cellStyle name="Percent 120 2 2 2 3 2" xfId="42205" xr:uid="{00000000-0005-0000-0000-0000C6890000}"/>
    <cellStyle name="Percent 120 2 2 2 4" xfId="29900" xr:uid="{00000000-0005-0000-0000-0000C7890000}"/>
    <cellStyle name="Percent 120 2 2 3" xfId="13067" xr:uid="{00000000-0005-0000-0000-0000C8890000}"/>
    <cellStyle name="Percent 120 2 2 3 2" xfId="32987" xr:uid="{00000000-0005-0000-0000-0000C9890000}"/>
    <cellStyle name="Percent 120 2 2 4" xfId="19219" xr:uid="{00000000-0005-0000-0000-0000CA890000}"/>
    <cellStyle name="Percent 120 2 2 4 2" xfId="39139" xr:uid="{00000000-0005-0000-0000-0000CB890000}"/>
    <cellStyle name="Percent 120 2 2 5" xfId="26834" xr:uid="{00000000-0005-0000-0000-0000CC890000}"/>
    <cellStyle name="Percent 120 2 3" xfId="8405" xr:uid="{00000000-0005-0000-0000-0000CD890000}"/>
    <cellStyle name="Percent 120 2 3 2" xfId="14599" xr:uid="{00000000-0005-0000-0000-0000CE890000}"/>
    <cellStyle name="Percent 120 2 3 2 2" xfId="34519" xr:uid="{00000000-0005-0000-0000-0000CF890000}"/>
    <cellStyle name="Percent 120 2 3 3" xfId="20751" xr:uid="{00000000-0005-0000-0000-0000D0890000}"/>
    <cellStyle name="Percent 120 2 3 3 2" xfId="40671" xr:uid="{00000000-0005-0000-0000-0000D1890000}"/>
    <cellStyle name="Percent 120 2 3 4" xfId="28366" xr:uid="{00000000-0005-0000-0000-0000D2890000}"/>
    <cellStyle name="Percent 120 2 4" xfId="11533" xr:uid="{00000000-0005-0000-0000-0000D3890000}"/>
    <cellStyle name="Percent 120 2 4 2" xfId="31453" xr:uid="{00000000-0005-0000-0000-0000D4890000}"/>
    <cellStyle name="Percent 120 2 5" xfId="17685" xr:uid="{00000000-0005-0000-0000-0000D5890000}"/>
    <cellStyle name="Percent 120 2 5 2" xfId="37605" xr:uid="{00000000-0005-0000-0000-0000D6890000}"/>
    <cellStyle name="Percent 120 2 6" xfId="25300" xr:uid="{00000000-0005-0000-0000-0000D7890000}"/>
    <cellStyle name="Percent 120 3" xfId="6071" xr:uid="{00000000-0005-0000-0000-0000D8890000}"/>
    <cellStyle name="Percent 120 3 2" xfId="9171" xr:uid="{00000000-0005-0000-0000-0000D9890000}"/>
    <cellStyle name="Percent 120 3 2 2" xfId="15364" xr:uid="{00000000-0005-0000-0000-0000DA890000}"/>
    <cellStyle name="Percent 120 3 2 2 2" xfId="35284" xr:uid="{00000000-0005-0000-0000-0000DB890000}"/>
    <cellStyle name="Percent 120 3 2 3" xfId="21516" xr:uid="{00000000-0005-0000-0000-0000DC890000}"/>
    <cellStyle name="Percent 120 3 2 3 2" xfId="41436" xr:uid="{00000000-0005-0000-0000-0000DD890000}"/>
    <cellStyle name="Percent 120 3 2 4" xfId="29131" xr:uid="{00000000-0005-0000-0000-0000DE890000}"/>
    <cellStyle name="Percent 120 3 3" xfId="12298" xr:uid="{00000000-0005-0000-0000-0000DF890000}"/>
    <cellStyle name="Percent 120 3 3 2" xfId="32218" xr:uid="{00000000-0005-0000-0000-0000E0890000}"/>
    <cellStyle name="Percent 120 3 4" xfId="18450" xr:uid="{00000000-0005-0000-0000-0000E1890000}"/>
    <cellStyle name="Percent 120 3 4 2" xfId="38370" xr:uid="{00000000-0005-0000-0000-0000E2890000}"/>
    <cellStyle name="Percent 120 3 5" xfId="26065" xr:uid="{00000000-0005-0000-0000-0000E3890000}"/>
    <cellStyle name="Percent 120 4" xfId="7636" xr:uid="{00000000-0005-0000-0000-0000E4890000}"/>
    <cellStyle name="Percent 120 4 2" xfId="13830" xr:uid="{00000000-0005-0000-0000-0000E5890000}"/>
    <cellStyle name="Percent 120 4 2 2" xfId="33750" xr:uid="{00000000-0005-0000-0000-0000E6890000}"/>
    <cellStyle name="Percent 120 4 3" xfId="19982" xr:uid="{00000000-0005-0000-0000-0000E7890000}"/>
    <cellStyle name="Percent 120 4 3 2" xfId="39902" xr:uid="{00000000-0005-0000-0000-0000E8890000}"/>
    <cellStyle name="Percent 120 4 4" xfId="27597" xr:uid="{00000000-0005-0000-0000-0000E9890000}"/>
    <cellStyle name="Percent 120 5" xfId="10764" xr:uid="{00000000-0005-0000-0000-0000EA890000}"/>
    <cellStyle name="Percent 120 5 2" xfId="30684" xr:uid="{00000000-0005-0000-0000-0000EB890000}"/>
    <cellStyle name="Percent 120 6" xfId="16916" xr:uid="{00000000-0005-0000-0000-0000EC890000}"/>
    <cellStyle name="Percent 120 6 2" xfId="36836" xr:uid="{00000000-0005-0000-0000-0000ED890000}"/>
    <cellStyle name="Percent 120 7" xfId="24531" xr:uid="{00000000-0005-0000-0000-0000EE890000}"/>
    <cellStyle name="Percent 121" xfId="4111" xr:uid="{00000000-0005-0000-0000-0000EF890000}"/>
    <cellStyle name="Percent 121 2" xfId="5230" xr:uid="{00000000-0005-0000-0000-0000F0890000}"/>
    <cellStyle name="Percent 121 2 2" xfId="6855" xr:uid="{00000000-0005-0000-0000-0000F1890000}"/>
    <cellStyle name="Percent 121 2 2 2" xfId="9941" xr:uid="{00000000-0005-0000-0000-0000F2890000}"/>
    <cellStyle name="Percent 121 2 2 2 2" xfId="16134" xr:uid="{00000000-0005-0000-0000-0000F3890000}"/>
    <cellStyle name="Percent 121 2 2 2 2 2" xfId="36054" xr:uid="{00000000-0005-0000-0000-0000F4890000}"/>
    <cellStyle name="Percent 121 2 2 2 3" xfId="22286" xr:uid="{00000000-0005-0000-0000-0000F5890000}"/>
    <cellStyle name="Percent 121 2 2 2 3 2" xfId="42206" xr:uid="{00000000-0005-0000-0000-0000F6890000}"/>
    <cellStyle name="Percent 121 2 2 2 4" xfId="29901" xr:uid="{00000000-0005-0000-0000-0000F7890000}"/>
    <cellStyle name="Percent 121 2 2 3" xfId="13068" xr:uid="{00000000-0005-0000-0000-0000F8890000}"/>
    <cellStyle name="Percent 121 2 2 3 2" xfId="32988" xr:uid="{00000000-0005-0000-0000-0000F9890000}"/>
    <cellStyle name="Percent 121 2 2 4" xfId="19220" xr:uid="{00000000-0005-0000-0000-0000FA890000}"/>
    <cellStyle name="Percent 121 2 2 4 2" xfId="39140" xr:uid="{00000000-0005-0000-0000-0000FB890000}"/>
    <cellStyle name="Percent 121 2 2 5" xfId="26835" xr:uid="{00000000-0005-0000-0000-0000FC890000}"/>
    <cellStyle name="Percent 121 2 3" xfId="8406" xr:uid="{00000000-0005-0000-0000-0000FD890000}"/>
    <cellStyle name="Percent 121 2 3 2" xfId="14600" xr:uid="{00000000-0005-0000-0000-0000FE890000}"/>
    <cellStyle name="Percent 121 2 3 2 2" xfId="34520" xr:uid="{00000000-0005-0000-0000-0000FF890000}"/>
    <cellStyle name="Percent 121 2 3 3" xfId="20752" xr:uid="{00000000-0005-0000-0000-0000008A0000}"/>
    <cellStyle name="Percent 121 2 3 3 2" xfId="40672" xr:uid="{00000000-0005-0000-0000-0000018A0000}"/>
    <cellStyle name="Percent 121 2 3 4" xfId="28367" xr:uid="{00000000-0005-0000-0000-0000028A0000}"/>
    <cellStyle name="Percent 121 2 4" xfId="11534" xr:uid="{00000000-0005-0000-0000-0000038A0000}"/>
    <cellStyle name="Percent 121 2 4 2" xfId="31454" xr:uid="{00000000-0005-0000-0000-0000048A0000}"/>
    <cellStyle name="Percent 121 2 5" xfId="17686" xr:uid="{00000000-0005-0000-0000-0000058A0000}"/>
    <cellStyle name="Percent 121 2 5 2" xfId="37606" xr:uid="{00000000-0005-0000-0000-0000068A0000}"/>
    <cellStyle name="Percent 121 2 6" xfId="25301" xr:uid="{00000000-0005-0000-0000-0000078A0000}"/>
    <cellStyle name="Percent 121 3" xfId="6072" xr:uid="{00000000-0005-0000-0000-0000088A0000}"/>
    <cellStyle name="Percent 121 3 2" xfId="9172" xr:uid="{00000000-0005-0000-0000-0000098A0000}"/>
    <cellStyle name="Percent 121 3 2 2" xfId="15365" xr:uid="{00000000-0005-0000-0000-00000A8A0000}"/>
    <cellStyle name="Percent 121 3 2 2 2" xfId="35285" xr:uid="{00000000-0005-0000-0000-00000B8A0000}"/>
    <cellStyle name="Percent 121 3 2 3" xfId="21517" xr:uid="{00000000-0005-0000-0000-00000C8A0000}"/>
    <cellStyle name="Percent 121 3 2 3 2" xfId="41437" xr:uid="{00000000-0005-0000-0000-00000D8A0000}"/>
    <cellStyle name="Percent 121 3 2 4" xfId="29132" xr:uid="{00000000-0005-0000-0000-00000E8A0000}"/>
    <cellStyle name="Percent 121 3 3" xfId="12299" xr:uid="{00000000-0005-0000-0000-00000F8A0000}"/>
    <cellStyle name="Percent 121 3 3 2" xfId="32219" xr:uid="{00000000-0005-0000-0000-0000108A0000}"/>
    <cellStyle name="Percent 121 3 4" xfId="18451" xr:uid="{00000000-0005-0000-0000-0000118A0000}"/>
    <cellStyle name="Percent 121 3 4 2" xfId="38371" xr:uid="{00000000-0005-0000-0000-0000128A0000}"/>
    <cellStyle name="Percent 121 3 5" xfId="26066" xr:uid="{00000000-0005-0000-0000-0000138A0000}"/>
    <cellStyle name="Percent 121 4" xfId="7637" xr:uid="{00000000-0005-0000-0000-0000148A0000}"/>
    <cellStyle name="Percent 121 4 2" xfId="13831" xr:uid="{00000000-0005-0000-0000-0000158A0000}"/>
    <cellStyle name="Percent 121 4 2 2" xfId="33751" xr:uid="{00000000-0005-0000-0000-0000168A0000}"/>
    <cellStyle name="Percent 121 4 3" xfId="19983" xr:uid="{00000000-0005-0000-0000-0000178A0000}"/>
    <cellStyle name="Percent 121 4 3 2" xfId="39903" xr:uid="{00000000-0005-0000-0000-0000188A0000}"/>
    <cellStyle name="Percent 121 4 4" xfId="27598" xr:uid="{00000000-0005-0000-0000-0000198A0000}"/>
    <cellStyle name="Percent 121 5" xfId="10765" xr:uid="{00000000-0005-0000-0000-00001A8A0000}"/>
    <cellStyle name="Percent 121 5 2" xfId="30685" xr:uid="{00000000-0005-0000-0000-00001B8A0000}"/>
    <cellStyle name="Percent 121 6" xfId="16917" xr:uid="{00000000-0005-0000-0000-00001C8A0000}"/>
    <cellStyle name="Percent 121 6 2" xfId="36837" xr:uid="{00000000-0005-0000-0000-00001D8A0000}"/>
    <cellStyle name="Percent 121 7" xfId="24532" xr:uid="{00000000-0005-0000-0000-00001E8A0000}"/>
    <cellStyle name="Percent 122" xfId="4112" xr:uid="{00000000-0005-0000-0000-00001F8A0000}"/>
    <cellStyle name="Percent 122 2" xfId="5231" xr:uid="{00000000-0005-0000-0000-0000208A0000}"/>
    <cellStyle name="Percent 122 2 2" xfId="6856" xr:uid="{00000000-0005-0000-0000-0000218A0000}"/>
    <cellStyle name="Percent 122 2 2 2" xfId="9942" xr:uid="{00000000-0005-0000-0000-0000228A0000}"/>
    <cellStyle name="Percent 122 2 2 2 2" xfId="16135" xr:uid="{00000000-0005-0000-0000-0000238A0000}"/>
    <cellStyle name="Percent 122 2 2 2 2 2" xfId="36055" xr:uid="{00000000-0005-0000-0000-0000248A0000}"/>
    <cellStyle name="Percent 122 2 2 2 3" xfId="22287" xr:uid="{00000000-0005-0000-0000-0000258A0000}"/>
    <cellStyle name="Percent 122 2 2 2 3 2" xfId="42207" xr:uid="{00000000-0005-0000-0000-0000268A0000}"/>
    <cellStyle name="Percent 122 2 2 2 4" xfId="29902" xr:uid="{00000000-0005-0000-0000-0000278A0000}"/>
    <cellStyle name="Percent 122 2 2 3" xfId="13069" xr:uid="{00000000-0005-0000-0000-0000288A0000}"/>
    <cellStyle name="Percent 122 2 2 3 2" xfId="32989" xr:uid="{00000000-0005-0000-0000-0000298A0000}"/>
    <cellStyle name="Percent 122 2 2 4" xfId="19221" xr:uid="{00000000-0005-0000-0000-00002A8A0000}"/>
    <cellStyle name="Percent 122 2 2 4 2" xfId="39141" xr:uid="{00000000-0005-0000-0000-00002B8A0000}"/>
    <cellStyle name="Percent 122 2 2 5" xfId="26836" xr:uid="{00000000-0005-0000-0000-00002C8A0000}"/>
    <cellStyle name="Percent 122 2 3" xfId="8407" xr:uid="{00000000-0005-0000-0000-00002D8A0000}"/>
    <cellStyle name="Percent 122 2 3 2" xfId="14601" xr:uid="{00000000-0005-0000-0000-00002E8A0000}"/>
    <cellStyle name="Percent 122 2 3 2 2" xfId="34521" xr:uid="{00000000-0005-0000-0000-00002F8A0000}"/>
    <cellStyle name="Percent 122 2 3 3" xfId="20753" xr:uid="{00000000-0005-0000-0000-0000308A0000}"/>
    <cellStyle name="Percent 122 2 3 3 2" xfId="40673" xr:uid="{00000000-0005-0000-0000-0000318A0000}"/>
    <cellStyle name="Percent 122 2 3 4" xfId="28368" xr:uid="{00000000-0005-0000-0000-0000328A0000}"/>
    <cellStyle name="Percent 122 2 4" xfId="11535" xr:uid="{00000000-0005-0000-0000-0000338A0000}"/>
    <cellStyle name="Percent 122 2 4 2" xfId="31455" xr:uid="{00000000-0005-0000-0000-0000348A0000}"/>
    <cellStyle name="Percent 122 2 5" xfId="17687" xr:uid="{00000000-0005-0000-0000-0000358A0000}"/>
    <cellStyle name="Percent 122 2 5 2" xfId="37607" xr:uid="{00000000-0005-0000-0000-0000368A0000}"/>
    <cellStyle name="Percent 122 2 6" xfId="25302" xr:uid="{00000000-0005-0000-0000-0000378A0000}"/>
    <cellStyle name="Percent 122 3" xfId="6073" xr:uid="{00000000-0005-0000-0000-0000388A0000}"/>
    <cellStyle name="Percent 122 3 2" xfId="9173" xr:uid="{00000000-0005-0000-0000-0000398A0000}"/>
    <cellStyle name="Percent 122 3 2 2" xfId="15366" xr:uid="{00000000-0005-0000-0000-00003A8A0000}"/>
    <cellStyle name="Percent 122 3 2 2 2" xfId="35286" xr:uid="{00000000-0005-0000-0000-00003B8A0000}"/>
    <cellStyle name="Percent 122 3 2 3" xfId="21518" xr:uid="{00000000-0005-0000-0000-00003C8A0000}"/>
    <cellStyle name="Percent 122 3 2 3 2" xfId="41438" xr:uid="{00000000-0005-0000-0000-00003D8A0000}"/>
    <cellStyle name="Percent 122 3 2 4" xfId="29133" xr:uid="{00000000-0005-0000-0000-00003E8A0000}"/>
    <cellStyle name="Percent 122 3 3" xfId="12300" xr:uid="{00000000-0005-0000-0000-00003F8A0000}"/>
    <cellStyle name="Percent 122 3 3 2" xfId="32220" xr:uid="{00000000-0005-0000-0000-0000408A0000}"/>
    <cellStyle name="Percent 122 3 4" xfId="18452" xr:uid="{00000000-0005-0000-0000-0000418A0000}"/>
    <cellStyle name="Percent 122 3 4 2" xfId="38372" xr:uid="{00000000-0005-0000-0000-0000428A0000}"/>
    <cellStyle name="Percent 122 3 5" xfId="26067" xr:uid="{00000000-0005-0000-0000-0000438A0000}"/>
    <cellStyle name="Percent 122 4" xfId="7638" xr:uid="{00000000-0005-0000-0000-0000448A0000}"/>
    <cellStyle name="Percent 122 4 2" xfId="13832" xr:uid="{00000000-0005-0000-0000-0000458A0000}"/>
    <cellStyle name="Percent 122 4 2 2" xfId="33752" xr:uid="{00000000-0005-0000-0000-0000468A0000}"/>
    <cellStyle name="Percent 122 4 3" xfId="19984" xr:uid="{00000000-0005-0000-0000-0000478A0000}"/>
    <cellStyle name="Percent 122 4 3 2" xfId="39904" xr:uid="{00000000-0005-0000-0000-0000488A0000}"/>
    <cellStyle name="Percent 122 4 4" xfId="27599" xr:uid="{00000000-0005-0000-0000-0000498A0000}"/>
    <cellStyle name="Percent 122 5" xfId="10766" xr:uid="{00000000-0005-0000-0000-00004A8A0000}"/>
    <cellStyle name="Percent 122 5 2" xfId="30686" xr:uid="{00000000-0005-0000-0000-00004B8A0000}"/>
    <cellStyle name="Percent 122 6" xfId="16918" xr:uid="{00000000-0005-0000-0000-00004C8A0000}"/>
    <cellStyle name="Percent 122 6 2" xfId="36838" xr:uid="{00000000-0005-0000-0000-00004D8A0000}"/>
    <cellStyle name="Percent 122 7" xfId="24533" xr:uid="{00000000-0005-0000-0000-00004E8A0000}"/>
    <cellStyle name="Percent 123" xfId="4113" xr:uid="{00000000-0005-0000-0000-00004F8A0000}"/>
    <cellStyle name="Percent 123 2" xfId="5232" xr:uid="{00000000-0005-0000-0000-0000508A0000}"/>
    <cellStyle name="Percent 123 2 2" xfId="6857" xr:uid="{00000000-0005-0000-0000-0000518A0000}"/>
    <cellStyle name="Percent 123 2 2 2" xfId="9943" xr:uid="{00000000-0005-0000-0000-0000528A0000}"/>
    <cellStyle name="Percent 123 2 2 2 2" xfId="16136" xr:uid="{00000000-0005-0000-0000-0000538A0000}"/>
    <cellStyle name="Percent 123 2 2 2 2 2" xfId="36056" xr:uid="{00000000-0005-0000-0000-0000548A0000}"/>
    <cellStyle name="Percent 123 2 2 2 3" xfId="22288" xr:uid="{00000000-0005-0000-0000-0000558A0000}"/>
    <cellStyle name="Percent 123 2 2 2 3 2" xfId="42208" xr:uid="{00000000-0005-0000-0000-0000568A0000}"/>
    <cellStyle name="Percent 123 2 2 2 4" xfId="29903" xr:uid="{00000000-0005-0000-0000-0000578A0000}"/>
    <cellStyle name="Percent 123 2 2 3" xfId="13070" xr:uid="{00000000-0005-0000-0000-0000588A0000}"/>
    <cellStyle name="Percent 123 2 2 3 2" xfId="32990" xr:uid="{00000000-0005-0000-0000-0000598A0000}"/>
    <cellStyle name="Percent 123 2 2 4" xfId="19222" xr:uid="{00000000-0005-0000-0000-00005A8A0000}"/>
    <cellStyle name="Percent 123 2 2 4 2" xfId="39142" xr:uid="{00000000-0005-0000-0000-00005B8A0000}"/>
    <cellStyle name="Percent 123 2 2 5" xfId="26837" xr:uid="{00000000-0005-0000-0000-00005C8A0000}"/>
    <cellStyle name="Percent 123 2 3" xfId="8408" xr:uid="{00000000-0005-0000-0000-00005D8A0000}"/>
    <cellStyle name="Percent 123 2 3 2" xfId="14602" xr:uid="{00000000-0005-0000-0000-00005E8A0000}"/>
    <cellStyle name="Percent 123 2 3 2 2" xfId="34522" xr:uid="{00000000-0005-0000-0000-00005F8A0000}"/>
    <cellStyle name="Percent 123 2 3 3" xfId="20754" xr:uid="{00000000-0005-0000-0000-0000608A0000}"/>
    <cellStyle name="Percent 123 2 3 3 2" xfId="40674" xr:uid="{00000000-0005-0000-0000-0000618A0000}"/>
    <cellStyle name="Percent 123 2 3 4" xfId="28369" xr:uid="{00000000-0005-0000-0000-0000628A0000}"/>
    <cellStyle name="Percent 123 2 4" xfId="11536" xr:uid="{00000000-0005-0000-0000-0000638A0000}"/>
    <cellStyle name="Percent 123 2 4 2" xfId="31456" xr:uid="{00000000-0005-0000-0000-0000648A0000}"/>
    <cellStyle name="Percent 123 2 5" xfId="17688" xr:uid="{00000000-0005-0000-0000-0000658A0000}"/>
    <cellStyle name="Percent 123 2 5 2" xfId="37608" xr:uid="{00000000-0005-0000-0000-0000668A0000}"/>
    <cellStyle name="Percent 123 2 6" xfId="25303" xr:uid="{00000000-0005-0000-0000-0000678A0000}"/>
    <cellStyle name="Percent 123 3" xfId="6074" xr:uid="{00000000-0005-0000-0000-0000688A0000}"/>
    <cellStyle name="Percent 123 3 2" xfId="9174" xr:uid="{00000000-0005-0000-0000-0000698A0000}"/>
    <cellStyle name="Percent 123 3 2 2" xfId="15367" xr:uid="{00000000-0005-0000-0000-00006A8A0000}"/>
    <cellStyle name="Percent 123 3 2 2 2" xfId="35287" xr:uid="{00000000-0005-0000-0000-00006B8A0000}"/>
    <cellStyle name="Percent 123 3 2 3" xfId="21519" xr:uid="{00000000-0005-0000-0000-00006C8A0000}"/>
    <cellStyle name="Percent 123 3 2 3 2" xfId="41439" xr:uid="{00000000-0005-0000-0000-00006D8A0000}"/>
    <cellStyle name="Percent 123 3 2 4" xfId="29134" xr:uid="{00000000-0005-0000-0000-00006E8A0000}"/>
    <cellStyle name="Percent 123 3 3" xfId="12301" xr:uid="{00000000-0005-0000-0000-00006F8A0000}"/>
    <cellStyle name="Percent 123 3 3 2" xfId="32221" xr:uid="{00000000-0005-0000-0000-0000708A0000}"/>
    <cellStyle name="Percent 123 3 4" xfId="18453" xr:uid="{00000000-0005-0000-0000-0000718A0000}"/>
    <cellStyle name="Percent 123 3 4 2" xfId="38373" xr:uid="{00000000-0005-0000-0000-0000728A0000}"/>
    <cellStyle name="Percent 123 3 5" xfId="26068" xr:uid="{00000000-0005-0000-0000-0000738A0000}"/>
    <cellStyle name="Percent 123 4" xfId="7639" xr:uid="{00000000-0005-0000-0000-0000748A0000}"/>
    <cellStyle name="Percent 123 4 2" xfId="13833" xr:uid="{00000000-0005-0000-0000-0000758A0000}"/>
    <cellStyle name="Percent 123 4 2 2" xfId="33753" xr:uid="{00000000-0005-0000-0000-0000768A0000}"/>
    <cellStyle name="Percent 123 4 3" xfId="19985" xr:uid="{00000000-0005-0000-0000-0000778A0000}"/>
    <cellStyle name="Percent 123 4 3 2" xfId="39905" xr:uid="{00000000-0005-0000-0000-0000788A0000}"/>
    <cellStyle name="Percent 123 4 4" xfId="27600" xr:uid="{00000000-0005-0000-0000-0000798A0000}"/>
    <cellStyle name="Percent 123 5" xfId="10767" xr:uid="{00000000-0005-0000-0000-00007A8A0000}"/>
    <cellStyle name="Percent 123 5 2" xfId="30687" xr:uid="{00000000-0005-0000-0000-00007B8A0000}"/>
    <cellStyle name="Percent 123 6" xfId="16919" xr:uid="{00000000-0005-0000-0000-00007C8A0000}"/>
    <cellStyle name="Percent 123 6 2" xfId="36839" xr:uid="{00000000-0005-0000-0000-00007D8A0000}"/>
    <cellStyle name="Percent 123 7" xfId="24534" xr:uid="{00000000-0005-0000-0000-00007E8A0000}"/>
    <cellStyle name="Percent 124" xfId="4114" xr:uid="{00000000-0005-0000-0000-00007F8A0000}"/>
    <cellStyle name="Percent 124 2" xfId="5233" xr:uid="{00000000-0005-0000-0000-0000808A0000}"/>
    <cellStyle name="Percent 124 2 2" xfId="6858" xr:uid="{00000000-0005-0000-0000-0000818A0000}"/>
    <cellStyle name="Percent 124 2 2 2" xfId="9944" xr:uid="{00000000-0005-0000-0000-0000828A0000}"/>
    <cellStyle name="Percent 124 2 2 2 2" xfId="16137" xr:uid="{00000000-0005-0000-0000-0000838A0000}"/>
    <cellStyle name="Percent 124 2 2 2 2 2" xfId="36057" xr:uid="{00000000-0005-0000-0000-0000848A0000}"/>
    <cellStyle name="Percent 124 2 2 2 3" xfId="22289" xr:uid="{00000000-0005-0000-0000-0000858A0000}"/>
    <cellStyle name="Percent 124 2 2 2 3 2" xfId="42209" xr:uid="{00000000-0005-0000-0000-0000868A0000}"/>
    <cellStyle name="Percent 124 2 2 2 4" xfId="29904" xr:uid="{00000000-0005-0000-0000-0000878A0000}"/>
    <cellStyle name="Percent 124 2 2 3" xfId="13071" xr:uid="{00000000-0005-0000-0000-0000888A0000}"/>
    <cellStyle name="Percent 124 2 2 3 2" xfId="32991" xr:uid="{00000000-0005-0000-0000-0000898A0000}"/>
    <cellStyle name="Percent 124 2 2 4" xfId="19223" xr:uid="{00000000-0005-0000-0000-00008A8A0000}"/>
    <cellStyle name="Percent 124 2 2 4 2" xfId="39143" xr:uid="{00000000-0005-0000-0000-00008B8A0000}"/>
    <cellStyle name="Percent 124 2 2 5" xfId="26838" xr:uid="{00000000-0005-0000-0000-00008C8A0000}"/>
    <cellStyle name="Percent 124 2 3" xfId="8409" xr:uid="{00000000-0005-0000-0000-00008D8A0000}"/>
    <cellStyle name="Percent 124 2 3 2" xfId="14603" xr:uid="{00000000-0005-0000-0000-00008E8A0000}"/>
    <cellStyle name="Percent 124 2 3 2 2" xfId="34523" xr:uid="{00000000-0005-0000-0000-00008F8A0000}"/>
    <cellStyle name="Percent 124 2 3 3" xfId="20755" xr:uid="{00000000-0005-0000-0000-0000908A0000}"/>
    <cellStyle name="Percent 124 2 3 3 2" xfId="40675" xr:uid="{00000000-0005-0000-0000-0000918A0000}"/>
    <cellStyle name="Percent 124 2 3 4" xfId="28370" xr:uid="{00000000-0005-0000-0000-0000928A0000}"/>
    <cellStyle name="Percent 124 2 4" xfId="11537" xr:uid="{00000000-0005-0000-0000-0000938A0000}"/>
    <cellStyle name="Percent 124 2 4 2" xfId="31457" xr:uid="{00000000-0005-0000-0000-0000948A0000}"/>
    <cellStyle name="Percent 124 2 5" xfId="17689" xr:uid="{00000000-0005-0000-0000-0000958A0000}"/>
    <cellStyle name="Percent 124 2 5 2" xfId="37609" xr:uid="{00000000-0005-0000-0000-0000968A0000}"/>
    <cellStyle name="Percent 124 2 6" xfId="25304" xr:uid="{00000000-0005-0000-0000-0000978A0000}"/>
    <cellStyle name="Percent 124 3" xfId="6075" xr:uid="{00000000-0005-0000-0000-0000988A0000}"/>
    <cellStyle name="Percent 124 3 2" xfId="9175" xr:uid="{00000000-0005-0000-0000-0000998A0000}"/>
    <cellStyle name="Percent 124 3 2 2" xfId="15368" xr:uid="{00000000-0005-0000-0000-00009A8A0000}"/>
    <cellStyle name="Percent 124 3 2 2 2" xfId="35288" xr:uid="{00000000-0005-0000-0000-00009B8A0000}"/>
    <cellStyle name="Percent 124 3 2 3" xfId="21520" xr:uid="{00000000-0005-0000-0000-00009C8A0000}"/>
    <cellStyle name="Percent 124 3 2 3 2" xfId="41440" xr:uid="{00000000-0005-0000-0000-00009D8A0000}"/>
    <cellStyle name="Percent 124 3 2 4" xfId="29135" xr:uid="{00000000-0005-0000-0000-00009E8A0000}"/>
    <cellStyle name="Percent 124 3 3" xfId="12302" xr:uid="{00000000-0005-0000-0000-00009F8A0000}"/>
    <cellStyle name="Percent 124 3 3 2" xfId="32222" xr:uid="{00000000-0005-0000-0000-0000A08A0000}"/>
    <cellStyle name="Percent 124 3 4" xfId="18454" xr:uid="{00000000-0005-0000-0000-0000A18A0000}"/>
    <cellStyle name="Percent 124 3 4 2" xfId="38374" xr:uid="{00000000-0005-0000-0000-0000A28A0000}"/>
    <cellStyle name="Percent 124 3 5" xfId="26069" xr:uid="{00000000-0005-0000-0000-0000A38A0000}"/>
    <cellStyle name="Percent 124 4" xfId="7640" xr:uid="{00000000-0005-0000-0000-0000A48A0000}"/>
    <cellStyle name="Percent 124 4 2" xfId="13834" xr:uid="{00000000-0005-0000-0000-0000A58A0000}"/>
    <cellStyle name="Percent 124 4 2 2" xfId="33754" xr:uid="{00000000-0005-0000-0000-0000A68A0000}"/>
    <cellStyle name="Percent 124 4 3" xfId="19986" xr:uid="{00000000-0005-0000-0000-0000A78A0000}"/>
    <cellStyle name="Percent 124 4 3 2" xfId="39906" xr:uid="{00000000-0005-0000-0000-0000A88A0000}"/>
    <cellStyle name="Percent 124 4 4" xfId="27601" xr:uid="{00000000-0005-0000-0000-0000A98A0000}"/>
    <cellStyle name="Percent 124 5" xfId="10768" xr:uid="{00000000-0005-0000-0000-0000AA8A0000}"/>
    <cellStyle name="Percent 124 5 2" xfId="30688" xr:uid="{00000000-0005-0000-0000-0000AB8A0000}"/>
    <cellStyle name="Percent 124 6" xfId="16920" xr:uid="{00000000-0005-0000-0000-0000AC8A0000}"/>
    <cellStyle name="Percent 124 6 2" xfId="36840" xr:uid="{00000000-0005-0000-0000-0000AD8A0000}"/>
    <cellStyle name="Percent 124 7" xfId="24535" xr:uid="{00000000-0005-0000-0000-0000AE8A0000}"/>
    <cellStyle name="Percent 125" xfId="4115" xr:uid="{00000000-0005-0000-0000-0000AF8A0000}"/>
    <cellStyle name="Percent 125 2" xfId="5234" xr:uid="{00000000-0005-0000-0000-0000B08A0000}"/>
    <cellStyle name="Percent 125 2 2" xfId="6859" xr:uid="{00000000-0005-0000-0000-0000B18A0000}"/>
    <cellStyle name="Percent 125 2 2 2" xfId="9945" xr:uid="{00000000-0005-0000-0000-0000B28A0000}"/>
    <cellStyle name="Percent 125 2 2 2 2" xfId="16138" xr:uid="{00000000-0005-0000-0000-0000B38A0000}"/>
    <cellStyle name="Percent 125 2 2 2 2 2" xfId="36058" xr:uid="{00000000-0005-0000-0000-0000B48A0000}"/>
    <cellStyle name="Percent 125 2 2 2 3" xfId="22290" xr:uid="{00000000-0005-0000-0000-0000B58A0000}"/>
    <cellStyle name="Percent 125 2 2 2 3 2" xfId="42210" xr:uid="{00000000-0005-0000-0000-0000B68A0000}"/>
    <cellStyle name="Percent 125 2 2 2 4" xfId="29905" xr:uid="{00000000-0005-0000-0000-0000B78A0000}"/>
    <cellStyle name="Percent 125 2 2 3" xfId="13072" xr:uid="{00000000-0005-0000-0000-0000B88A0000}"/>
    <cellStyle name="Percent 125 2 2 3 2" xfId="32992" xr:uid="{00000000-0005-0000-0000-0000B98A0000}"/>
    <cellStyle name="Percent 125 2 2 4" xfId="19224" xr:uid="{00000000-0005-0000-0000-0000BA8A0000}"/>
    <cellStyle name="Percent 125 2 2 4 2" xfId="39144" xr:uid="{00000000-0005-0000-0000-0000BB8A0000}"/>
    <cellStyle name="Percent 125 2 2 5" xfId="26839" xr:uid="{00000000-0005-0000-0000-0000BC8A0000}"/>
    <cellStyle name="Percent 125 2 3" xfId="8410" xr:uid="{00000000-0005-0000-0000-0000BD8A0000}"/>
    <cellStyle name="Percent 125 2 3 2" xfId="14604" xr:uid="{00000000-0005-0000-0000-0000BE8A0000}"/>
    <cellStyle name="Percent 125 2 3 2 2" xfId="34524" xr:uid="{00000000-0005-0000-0000-0000BF8A0000}"/>
    <cellStyle name="Percent 125 2 3 3" xfId="20756" xr:uid="{00000000-0005-0000-0000-0000C08A0000}"/>
    <cellStyle name="Percent 125 2 3 3 2" xfId="40676" xr:uid="{00000000-0005-0000-0000-0000C18A0000}"/>
    <cellStyle name="Percent 125 2 3 4" xfId="28371" xr:uid="{00000000-0005-0000-0000-0000C28A0000}"/>
    <cellStyle name="Percent 125 2 4" xfId="11538" xr:uid="{00000000-0005-0000-0000-0000C38A0000}"/>
    <cellStyle name="Percent 125 2 4 2" xfId="31458" xr:uid="{00000000-0005-0000-0000-0000C48A0000}"/>
    <cellStyle name="Percent 125 2 5" xfId="17690" xr:uid="{00000000-0005-0000-0000-0000C58A0000}"/>
    <cellStyle name="Percent 125 2 5 2" xfId="37610" xr:uid="{00000000-0005-0000-0000-0000C68A0000}"/>
    <cellStyle name="Percent 125 2 6" xfId="25305" xr:uid="{00000000-0005-0000-0000-0000C78A0000}"/>
    <cellStyle name="Percent 125 3" xfId="6076" xr:uid="{00000000-0005-0000-0000-0000C88A0000}"/>
    <cellStyle name="Percent 125 3 2" xfId="9176" xr:uid="{00000000-0005-0000-0000-0000C98A0000}"/>
    <cellStyle name="Percent 125 3 2 2" xfId="15369" xr:uid="{00000000-0005-0000-0000-0000CA8A0000}"/>
    <cellStyle name="Percent 125 3 2 2 2" xfId="35289" xr:uid="{00000000-0005-0000-0000-0000CB8A0000}"/>
    <cellStyle name="Percent 125 3 2 3" xfId="21521" xr:uid="{00000000-0005-0000-0000-0000CC8A0000}"/>
    <cellStyle name="Percent 125 3 2 3 2" xfId="41441" xr:uid="{00000000-0005-0000-0000-0000CD8A0000}"/>
    <cellStyle name="Percent 125 3 2 4" xfId="29136" xr:uid="{00000000-0005-0000-0000-0000CE8A0000}"/>
    <cellStyle name="Percent 125 3 3" xfId="12303" xr:uid="{00000000-0005-0000-0000-0000CF8A0000}"/>
    <cellStyle name="Percent 125 3 3 2" xfId="32223" xr:uid="{00000000-0005-0000-0000-0000D08A0000}"/>
    <cellStyle name="Percent 125 3 4" xfId="18455" xr:uid="{00000000-0005-0000-0000-0000D18A0000}"/>
    <cellStyle name="Percent 125 3 4 2" xfId="38375" xr:uid="{00000000-0005-0000-0000-0000D28A0000}"/>
    <cellStyle name="Percent 125 3 5" xfId="26070" xr:uid="{00000000-0005-0000-0000-0000D38A0000}"/>
    <cellStyle name="Percent 125 4" xfId="7641" xr:uid="{00000000-0005-0000-0000-0000D48A0000}"/>
    <cellStyle name="Percent 125 4 2" xfId="13835" xr:uid="{00000000-0005-0000-0000-0000D58A0000}"/>
    <cellStyle name="Percent 125 4 2 2" xfId="33755" xr:uid="{00000000-0005-0000-0000-0000D68A0000}"/>
    <cellStyle name="Percent 125 4 3" xfId="19987" xr:uid="{00000000-0005-0000-0000-0000D78A0000}"/>
    <cellStyle name="Percent 125 4 3 2" xfId="39907" xr:uid="{00000000-0005-0000-0000-0000D88A0000}"/>
    <cellStyle name="Percent 125 4 4" xfId="27602" xr:uid="{00000000-0005-0000-0000-0000D98A0000}"/>
    <cellStyle name="Percent 125 5" xfId="10769" xr:uid="{00000000-0005-0000-0000-0000DA8A0000}"/>
    <cellStyle name="Percent 125 5 2" xfId="30689" xr:uid="{00000000-0005-0000-0000-0000DB8A0000}"/>
    <cellStyle name="Percent 125 6" xfId="16921" xr:uid="{00000000-0005-0000-0000-0000DC8A0000}"/>
    <cellStyle name="Percent 125 6 2" xfId="36841" xr:uid="{00000000-0005-0000-0000-0000DD8A0000}"/>
    <cellStyle name="Percent 125 7" xfId="24536" xr:uid="{00000000-0005-0000-0000-0000DE8A0000}"/>
    <cellStyle name="Percent 126" xfId="4116" xr:uid="{00000000-0005-0000-0000-0000DF8A0000}"/>
    <cellStyle name="Percent 126 2" xfId="5235" xr:uid="{00000000-0005-0000-0000-0000E08A0000}"/>
    <cellStyle name="Percent 126 2 2" xfId="6860" xr:uid="{00000000-0005-0000-0000-0000E18A0000}"/>
    <cellStyle name="Percent 126 2 2 2" xfId="9946" xr:uid="{00000000-0005-0000-0000-0000E28A0000}"/>
    <cellStyle name="Percent 126 2 2 2 2" xfId="16139" xr:uid="{00000000-0005-0000-0000-0000E38A0000}"/>
    <cellStyle name="Percent 126 2 2 2 2 2" xfId="36059" xr:uid="{00000000-0005-0000-0000-0000E48A0000}"/>
    <cellStyle name="Percent 126 2 2 2 3" xfId="22291" xr:uid="{00000000-0005-0000-0000-0000E58A0000}"/>
    <cellStyle name="Percent 126 2 2 2 3 2" xfId="42211" xr:uid="{00000000-0005-0000-0000-0000E68A0000}"/>
    <cellStyle name="Percent 126 2 2 2 4" xfId="29906" xr:uid="{00000000-0005-0000-0000-0000E78A0000}"/>
    <cellStyle name="Percent 126 2 2 3" xfId="13073" xr:uid="{00000000-0005-0000-0000-0000E88A0000}"/>
    <cellStyle name="Percent 126 2 2 3 2" xfId="32993" xr:uid="{00000000-0005-0000-0000-0000E98A0000}"/>
    <cellStyle name="Percent 126 2 2 4" xfId="19225" xr:uid="{00000000-0005-0000-0000-0000EA8A0000}"/>
    <cellStyle name="Percent 126 2 2 4 2" xfId="39145" xr:uid="{00000000-0005-0000-0000-0000EB8A0000}"/>
    <cellStyle name="Percent 126 2 2 5" xfId="26840" xr:uid="{00000000-0005-0000-0000-0000EC8A0000}"/>
    <cellStyle name="Percent 126 2 3" xfId="8411" xr:uid="{00000000-0005-0000-0000-0000ED8A0000}"/>
    <cellStyle name="Percent 126 2 3 2" xfId="14605" xr:uid="{00000000-0005-0000-0000-0000EE8A0000}"/>
    <cellStyle name="Percent 126 2 3 2 2" xfId="34525" xr:uid="{00000000-0005-0000-0000-0000EF8A0000}"/>
    <cellStyle name="Percent 126 2 3 3" xfId="20757" xr:uid="{00000000-0005-0000-0000-0000F08A0000}"/>
    <cellStyle name="Percent 126 2 3 3 2" xfId="40677" xr:uid="{00000000-0005-0000-0000-0000F18A0000}"/>
    <cellStyle name="Percent 126 2 3 4" xfId="28372" xr:uid="{00000000-0005-0000-0000-0000F28A0000}"/>
    <cellStyle name="Percent 126 2 4" xfId="11539" xr:uid="{00000000-0005-0000-0000-0000F38A0000}"/>
    <cellStyle name="Percent 126 2 4 2" xfId="31459" xr:uid="{00000000-0005-0000-0000-0000F48A0000}"/>
    <cellStyle name="Percent 126 2 5" xfId="17691" xr:uid="{00000000-0005-0000-0000-0000F58A0000}"/>
    <cellStyle name="Percent 126 2 5 2" xfId="37611" xr:uid="{00000000-0005-0000-0000-0000F68A0000}"/>
    <cellStyle name="Percent 126 2 6" xfId="25306" xr:uid="{00000000-0005-0000-0000-0000F78A0000}"/>
    <cellStyle name="Percent 126 3" xfId="6077" xr:uid="{00000000-0005-0000-0000-0000F88A0000}"/>
    <cellStyle name="Percent 126 3 2" xfId="9177" xr:uid="{00000000-0005-0000-0000-0000F98A0000}"/>
    <cellStyle name="Percent 126 3 2 2" xfId="15370" xr:uid="{00000000-0005-0000-0000-0000FA8A0000}"/>
    <cellStyle name="Percent 126 3 2 2 2" xfId="35290" xr:uid="{00000000-0005-0000-0000-0000FB8A0000}"/>
    <cellStyle name="Percent 126 3 2 3" xfId="21522" xr:uid="{00000000-0005-0000-0000-0000FC8A0000}"/>
    <cellStyle name="Percent 126 3 2 3 2" xfId="41442" xr:uid="{00000000-0005-0000-0000-0000FD8A0000}"/>
    <cellStyle name="Percent 126 3 2 4" xfId="29137" xr:uid="{00000000-0005-0000-0000-0000FE8A0000}"/>
    <cellStyle name="Percent 126 3 3" xfId="12304" xr:uid="{00000000-0005-0000-0000-0000FF8A0000}"/>
    <cellStyle name="Percent 126 3 3 2" xfId="32224" xr:uid="{00000000-0005-0000-0000-0000008B0000}"/>
    <cellStyle name="Percent 126 3 4" xfId="18456" xr:uid="{00000000-0005-0000-0000-0000018B0000}"/>
    <cellStyle name="Percent 126 3 4 2" xfId="38376" xr:uid="{00000000-0005-0000-0000-0000028B0000}"/>
    <cellStyle name="Percent 126 3 5" xfId="26071" xr:uid="{00000000-0005-0000-0000-0000038B0000}"/>
    <cellStyle name="Percent 126 4" xfId="7642" xr:uid="{00000000-0005-0000-0000-0000048B0000}"/>
    <cellStyle name="Percent 126 4 2" xfId="13836" xr:uid="{00000000-0005-0000-0000-0000058B0000}"/>
    <cellStyle name="Percent 126 4 2 2" xfId="33756" xr:uid="{00000000-0005-0000-0000-0000068B0000}"/>
    <cellStyle name="Percent 126 4 3" xfId="19988" xr:uid="{00000000-0005-0000-0000-0000078B0000}"/>
    <cellStyle name="Percent 126 4 3 2" xfId="39908" xr:uid="{00000000-0005-0000-0000-0000088B0000}"/>
    <cellStyle name="Percent 126 4 4" xfId="27603" xr:uid="{00000000-0005-0000-0000-0000098B0000}"/>
    <cellStyle name="Percent 126 5" xfId="10770" xr:uid="{00000000-0005-0000-0000-00000A8B0000}"/>
    <cellStyle name="Percent 126 5 2" xfId="30690" xr:uid="{00000000-0005-0000-0000-00000B8B0000}"/>
    <cellStyle name="Percent 126 6" xfId="16922" xr:uid="{00000000-0005-0000-0000-00000C8B0000}"/>
    <cellStyle name="Percent 126 6 2" xfId="36842" xr:uid="{00000000-0005-0000-0000-00000D8B0000}"/>
    <cellStyle name="Percent 126 7" xfId="24537" xr:uid="{00000000-0005-0000-0000-00000E8B0000}"/>
    <cellStyle name="Percent 127" xfId="4117" xr:uid="{00000000-0005-0000-0000-00000F8B0000}"/>
    <cellStyle name="Percent 127 2" xfId="5236" xr:uid="{00000000-0005-0000-0000-0000108B0000}"/>
    <cellStyle name="Percent 127 2 2" xfId="6861" xr:uid="{00000000-0005-0000-0000-0000118B0000}"/>
    <cellStyle name="Percent 127 2 2 2" xfId="9947" xr:uid="{00000000-0005-0000-0000-0000128B0000}"/>
    <cellStyle name="Percent 127 2 2 2 2" xfId="16140" xr:uid="{00000000-0005-0000-0000-0000138B0000}"/>
    <cellStyle name="Percent 127 2 2 2 2 2" xfId="36060" xr:uid="{00000000-0005-0000-0000-0000148B0000}"/>
    <cellStyle name="Percent 127 2 2 2 3" xfId="22292" xr:uid="{00000000-0005-0000-0000-0000158B0000}"/>
    <cellStyle name="Percent 127 2 2 2 3 2" xfId="42212" xr:uid="{00000000-0005-0000-0000-0000168B0000}"/>
    <cellStyle name="Percent 127 2 2 2 4" xfId="29907" xr:uid="{00000000-0005-0000-0000-0000178B0000}"/>
    <cellStyle name="Percent 127 2 2 3" xfId="13074" xr:uid="{00000000-0005-0000-0000-0000188B0000}"/>
    <cellStyle name="Percent 127 2 2 3 2" xfId="32994" xr:uid="{00000000-0005-0000-0000-0000198B0000}"/>
    <cellStyle name="Percent 127 2 2 4" xfId="19226" xr:uid="{00000000-0005-0000-0000-00001A8B0000}"/>
    <cellStyle name="Percent 127 2 2 4 2" xfId="39146" xr:uid="{00000000-0005-0000-0000-00001B8B0000}"/>
    <cellStyle name="Percent 127 2 2 5" xfId="26841" xr:uid="{00000000-0005-0000-0000-00001C8B0000}"/>
    <cellStyle name="Percent 127 2 3" xfId="8412" xr:uid="{00000000-0005-0000-0000-00001D8B0000}"/>
    <cellStyle name="Percent 127 2 3 2" xfId="14606" xr:uid="{00000000-0005-0000-0000-00001E8B0000}"/>
    <cellStyle name="Percent 127 2 3 2 2" xfId="34526" xr:uid="{00000000-0005-0000-0000-00001F8B0000}"/>
    <cellStyle name="Percent 127 2 3 3" xfId="20758" xr:uid="{00000000-0005-0000-0000-0000208B0000}"/>
    <cellStyle name="Percent 127 2 3 3 2" xfId="40678" xr:uid="{00000000-0005-0000-0000-0000218B0000}"/>
    <cellStyle name="Percent 127 2 3 4" xfId="28373" xr:uid="{00000000-0005-0000-0000-0000228B0000}"/>
    <cellStyle name="Percent 127 2 4" xfId="11540" xr:uid="{00000000-0005-0000-0000-0000238B0000}"/>
    <cellStyle name="Percent 127 2 4 2" xfId="31460" xr:uid="{00000000-0005-0000-0000-0000248B0000}"/>
    <cellStyle name="Percent 127 2 5" xfId="17692" xr:uid="{00000000-0005-0000-0000-0000258B0000}"/>
    <cellStyle name="Percent 127 2 5 2" xfId="37612" xr:uid="{00000000-0005-0000-0000-0000268B0000}"/>
    <cellStyle name="Percent 127 2 6" xfId="25307" xr:uid="{00000000-0005-0000-0000-0000278B0000}"/>
    <cellStyle name="Percent 127 3" xfId="6078" xr:uid="{00000000-0005-0000-0000-0000288B0000}"/>
    <cellStyle name="Percent 127 3 2" xfId="9178" xr:uid="{00000000-0005-0000-0000-0000298B0000}"/>
    <cellStyle name="Percent 127 3 2 2" xfId="15371" xr:uid="{00000000-0005-0000-0000-00002A8B0000}"/>
    <cellStyle name="Percent 127 3 2 2 2" xfId="35291" xr:uid="{00000000-0005-0000-0000-00002B8B0000}"/>
    <cellStyle name="Percent 127 3 2 3" xfId="21523" xr:uid="{00000000-0005-0000-0000-00002C8B0000}"/>
    <cellStyle name="Percent 127 3 2 3 2" xfId="41443" xr:uid="{00000000-0005-0000-0000-00002D8B0000}"/>
    <cellStyle name="Percent 127 3 2 4" xfId="29138" xr:uid="{00000000-0005-0000-0000-00002E8B0000}"/>
    <cellStyle name="Percent 127 3 3" xfId="12305" xr:uid="{00000000-0005-0000-0000-00002F8B0000}"/>
    <cellStyle name="Percent 127 3 3 2" xfId="32225" xr:uid="{00000000-0005-0000-0000-0000308B0000}"/>
    <cellStyle name="Percent 127 3 4" xfId="18457" xr:uid="{00000000-0005-0000-0000-0000318B0000}"/>
    <cellStyle name="Percent 127 3 4 2" xfId="38377" xr:uid="{00000000-0005-0000-0000-0000328B0000}"/>
    <cellStyle name="Percent 127 3 5" xfId="26072" xr:uid="{00000000-0005-0000-0000-0000338B0000}"/>
    <cellStyle name="Percent 127 4" xfId="7643" xr:uid="{00000000-0005-0000-0000-0000348B0000}"/>
    <cellStyle name="Percent 127 4 2" xfId="13837" xr:uid="{00000000-0005-0000-0000-0000358B0000}"/>
    <cellStyle name="Percent 127 4 2 2" xfId="33757" xr:uid="{00000000-0005-0000-0000-0000368B0000}"/>
    <cellStyle name="Percent 127 4 3" xfId="19989" xr:uid="{00000000-0005-0000-0000-0000378B0000}"/>
    <cellStyle name="Percent 127 4 3 2" xfId="39909" xr:uid="{00000000-0005-0000-0000-0000388B0000}"/>
    <cellStyle name="Percent 127 4 4" xfId="27604" xr:uid="{00000000-0005-0000-0000-0000398B0000}"/>
    <cellStyle name="Percent 127 5" xfId="10771" xr:uid="{00000000-0005-0000-0000-00003A8B0000}"/>
    <cellStyle name="Percent 127 5 2" xfId="30691" xr:uid="{00000000-0005-0000-0000-00003B8B0000}"/>
    <cellStyle name="Percent 127 6" xfId="16923" xr:uid="{00000000-0005-0000-0000-00003C8B0000}"/>
    <cellStyle name="Percent 127 6 2" xfId="36843" xr:uid="{00000000-0005-0000-0000-00003D8B0000}"/>
    <cellStyle name="Percent 127 7" xfId="24538" xr:uid="{00000000-0005-0000-0000-00003E8B0000}"/>
    <cellStyle name="Percent 128" xfId="4118" xr:uid="{00000000-0005-0000-0000-00003F8B0000}"/>
    <cellStyle name="Percent 128 2" xfId="5237" xr:uid="{00000000-0005-0000-0000-0000408B0000}"/>
    <cellStyle name="Percent 128 2 2" xfId="6862" xr:uid="{00000000-0005-0000-0000-0000418B0000}"/>
    <cellStyle name="Percent 128 2 2 2" xfId="9948" xr:uid="{00000000-0005-0000-0000-0000428B0000}"/>
    <cellStyle name="Percent 128 2 2 2 2" xfId="16141" xr:uid="{00000000-0005-0000-0000-0000438B0000}"/>
    <cellStyle name="Percent 128 2 2 2 2 2" xfId="36061" xr:uid="{00000000-0005-0000-0000-0000448B0000}"/>
    <cellStyle name="Percent 128 2 2 2 3" xfId="22293" xr:uid="{00000000-0005-0000-0000-0000458B0000}"/>
    <cellStyle name="Percent 128 2 2 2 3 2" xfId="42213" xr:uid="{00000000-0005-0000-0000-0000468B0000}"/>
    <cellStyle name="Percent 128 2 2 2 4" xfId="29908" xr:uid="{00000000-0005-0000-0000-0000478B0000}"/>
    <cellStyle name="Percent 128 2 2 3" xfId="13075" xr:uid="{00000000-0005-0000-0000-0000488B0000}"/>
    <cellStyle name="Percent 128 2 2 3 2" xfId="32995" xr:uid="{00000000-0005-0000-0000-0000498B0000}"/>
    <cellStyle name="Percent 128 2 2 4" xfId="19227" xr:uid="{00000000-0005-0000-0000-00004A8B0000}"/>
    <cellStyle name="Percent 128 2 2 4 2" xfId="39147" xr:uid="{00000000-0005-0000-0000-00004B8B0000}"/>
    <cellStyle name="Percent 128 2 2 5" xfId="26842" xr:uid="{00000000-0005-0000-0000-00004C8B0000}"/>
    <cellStyle name="Percent 128 2 3" xfId="8413" xr:uid="{00000000-0005-0000-0000-00004D8B0000}"/>
    <cellStyle name="Percent 128 2 3 2" xfId="14607" xr:uid="{00000000-0005-0000-0000-00004E8B0000}"/>
    <cellStyle name="Percent 128 2 3 2 2" xfId="34527" xr:uid="{00000000-0005-0000-0000-00004F8B0000}"/>
    <cellStyle name="Percent 128 2 3 3" xfId="20759" xr:uid="{00000000-0005-0000-0000-0000508B0000}"/>
    <cellStyle name="Percent 128 2 3 3 2" xfId="40679" xr:uid="{00000000-0005-0000-0000-0000518B0000}"/>
    <cellStyle name="Percent 128 2 3 4" xfId="28374" xr:uid="{00000000-0005-0000-0000-0000528B0000}"/>
    <cellStyle name="Percent 128 2 4" xfId="11541" xr:uid="{00000000-0005-0000-0000-0000538B0000}"/>
    <cellStyle name="Percent 128 2 4 2" xfId="31461" xr:uid="{00000000-0005-0000-0000-0000548B0000}"/>
    <cellStyle name="Percent 128 2 5" xfId="17693" xr:uid="{00000000-0005-0000-0000-0000558B0000}"/>
    <cellStyle name="Percent 128 2 5 2" xfId="37613" xr:uid="{00000000-0005-0000-0000-0000568B0000}"/>
    <cellStyle name="Percent 128 2 6" xfId="25308" xr:uid="{00000000-0005-0000-0000-0000578B0000}"/>
    <cellStyle name="Percent 128 3" xfId="6079" xr:uid="{00000000-0005-0000-0000-0000588B0000}"/>
    <cellStyle name="Percent 128 3 2" xfId="9179" xr:uid="{00000000-0005-0000-0000-0000598B0000}"/>
    <cellStyle name="Percent 128 3 2 2" xfId="15372" xr:uid="{00000000-0005-0000-0000-00005A8B0000}"/>
    <cellStyle name="Percent 128 3 2 2 2" xfId="35292" xr:uid="{00000000-0005-0000-0000-00005B8B0000}"/>
    <cellStyle name="Percent 128 3 2 3" xfId="21524" xr:uid="{00000000-0005-0000-0000-00005C8B0000}"/>
    <cellStyle name="Percent 128 3 2 3 2" xfId="41444" xr:uid="{00000000-0005-0000-0000-00005D8B0000}"/>
    <cellStyle name="Percent 128 3 2 4" xfId="29139" xr:uid="{00000000-0005-0000-0000-00005E8B0000}"/>
    <cellStyle name="Percent 128 3 3" xfId="12306" xr:uid="{00000000-0005-0000-0000-00005F8B0000}"/>
    <cellStyle name="Percent 128 3 3 2" xfId="32226" xr:uid="{00000000-0005-0000-0000-0000608B0000}"/>
    <cellStyle name="Percent 128 3 4" xfId="18458" xr:uid="{00000000-0005-0000-0000-0000618B0000}"/>
    <cellStyle name="Percent 128 3 4 2" xfId="38378" xr:uid="{00000000-0005-0000-0000-0000628B0000}"/>
    <cellStyle name="Percent 128 3 5" xfId="26073" xr:uid="{00000000-0005-0000-0000-0000638B0000}"/>
    <cellStyle name="Percent 128 4" xfId="7644" xr:uid="{00000000-0005-0000-0000-0000648B0000}"/>
    <cellStyle name="Percent 128 4 2" xfId="13838" xr:uid="{00000000-0005-0000-0000-0000658B0000}"/>
    <cellStyle name="Percent 128 4 2 2" xfId="33758" xr:uid="{00000000-0005-0000-0000-0000668B0000}"/>
    <cellStyle name="Percent 128 4 3" xfId="19990" xr:uid="{00000000-0005-0000-0000-0000678B0000}"/>
    <cellStyle name="Percent 128 4 3 2" xfId="39910" xr:uid="{00000000-0005-0000-0000-0000688B0000}"/>
    <cellStyle name="Percent 128 4 4" xfId="27605" xr:uid="{00000000-0005-0000-0000-0000698B0000}"/>
    <cellStyle name="Percent 128 5" xfId="10772" xr:uid="{00000000-0005-0000-0000-00006A8B0000}"/>
    <cellStyle name="Percent 128 5 2" xfId="30692" xr:uid="{00000000-0005-0000-0000-00006B8B0000}"/>
    <cellStyle name="Percent 128 6" xfId="16924" xr:uid="{00000000-0005-0000-0000-00006C8B0000}"/>
    <cellStyle name="Percent 128 6 2" xfId="36844" xr:uid="{00000000-0005-0000-0000-00006D8B0000}"/>
    <cellStyle name="Percent 128 7" xfId="24539" xr:uid="{00000000-0005-0000-0000-00006E8B0000}"/>
    <cellStyle name="Percent 129" xfId="4119" xr:uid="{00000000-0005-0000-0000-00006F8B0000}"/>
    <cellStyle name="Percent 129 2" xfId="5238" xr:uid="{00000000-0005-0000-0000-0000708B0000}"/>
    <cellStyle name="Percent 129 2 2" xfId="6863" xr:uid="{00000000-0005-0000-0000-0000718B0000}"/>
    <cellStyle name="Percent 129 2 2 2" xfId="9949" xr:uid="{00000000-0005-0000-0000-0000728B0000}"/>
    <cellStyle name="Percent 129 2 2 2 2" xfId="16142" xr:uid="{00000000-0005-0000-0000-0000738B0000}"/>
    <cellStyle name="Percent 129 2 2 2 2 2" xfId="36062" xr:uid="{00000000-0005-0000-0000-0000748B0000}"/>
    <cellStyle name="Percent 129 2 2 2 3" xfId="22294" xr:uid="{00000000-0005-0000-0000-0000758B0000}"/>
    <cellStyle name="Percent 129 2 2 2 3 2" xfId="42214" xr:uid="{00000000-0005-0000-0000-0000768B0000}"/>
    <cellStyle name="Percent 129 2 2 2 4" xfId="29909" xr:uid="{00000000-0005-0000-0000-0000778B0000}"/>
    <cellStyle name="Percent 129 2 2 3" xfId="13076" xr:uid="{00000000-0005-0000-0000-0000788B0000}"/>
    <cellStyle name="Percent 129 2 2 3 2" xfId="32996" xr:uid="{00000000-0005-0000-0000-0000798B0000}"/>
    <cellStyle name="Percent 129 2 2 4" xfId="19228" xr:uid="{00000000-0005-0000-0000-00007A8B0000}"/>
    <cellStyle name="Percent 129 2 2 4 2" xfId="39148" xr:uid="{00000000-0005-0000-0000-00007B8B0000}"/>
    <cellStyle name="Percent 129 2 2 5" xfId="26843" xr:uid="{00000000-0005-0000-0000-00007C8B0000}"/>
    <cellStyle name="Percent 129 2 3" xfId="8414" xr:uid="{00000000-0005-0000-0000-00007D8B0000}"/>
    <cellStyle name="Percent 129 2 3 2" xfId="14608" xr:uid="{00000000-0005-0000-0000-00007E8B0000}"/>
    <cellStyle name="Percent 129 2 3 2 2" xfId="34528" xr:uid="{00000000-0005-0000-0000-00007F8B0000}"/>
    <cellStyle name="Percent 129 2 3 3" xfId="20760" xr:uid="{00000000-0005-0000-0000-0000808B0000}"/>
    <cellStyle name="Percent 129 2 3 3 2" xfId="40680" xr:uid="{00000000-0005-0000-0000-0000818B0000}"/>
    <cellStyle name="Percent 129 2 3 4" xfId="28375" xr:uid="{00000000-0005-0000-0000-0000828B0000}"/>
    <cellStyle name="Percent 129 2 4" xfId="11542" xr:uid="{00000000-0005-0000-0000-0000838B0000}"/>
    <cellStyle name="Percent 129 2 4 2" xfId="31462" xr:uid="{00000000-0005-0000-0000-0000848B0000}"/>
    <cellStyle name="Percent 129 2 5" xfId="17694" xr:uid="{00000000-0005-0000-0000-0000858B0000}"/>
    <cellStyle name="Percent 129 2 5 2" xfId="37614" xr:uid="{00000000-0005-0000-0000-0000868B0000}"/>
    <cellStyle name="Percent 129 2 6" xfId="25309" xr:uid="{00000000-0005-0000-0000-0000878B0000}"/>
    <cellStyle name="Percent 129 3" xfId="6080" xr:uid="{00000000-0005-0000-0000-0000888B0000}"/>
    <cellStyle name="Percent 129 3 2" xfId="9180" xr:uid="{00000000-0005-0000-0000-0000898B0000}"/>
    <cellStyle name="Percent 129 3 2 2" xfId="15373" xr:uid="{00000000-0005-0000-0000-00008A8B0000}"/>
    <cellStyle name="Percent 129 3 2 2 2" xfId="35293" xr:uid="{00000000-0005-0000-0000-00008B8B0000}"/>
    <cellStyle name="Percent 129 3 2 3" xfId="21525" xr:uid="{00000000-0005-0000-0000-00008C8B0000}"/>
    <cellStyle name="Percent 129 3 2 3 2" xfId="41445" xr:uid="{00000000-0005-0000-0000-00008D8B0000}"/>
    <cellStyle name="Percent 129 3 2 4" xfId="29140" xr:uid="{00000000-0005-0000-0000-00008E8B0000}"/>
    <cellStyle name="Percent 129 3 3" xfId="12307" xr:uid="{00000000-0005-0000-0000-00008F8B0000}"/>
    <cellStyle name="Percent 129 3 3 2" xfId="32227" xr:uid="{00000000-0005-0000-0000-0000908B0000}"/>
    <cellStyle name="Percent 129 3 4" xfId="18459" xr:uid="{00000000-0005-0000-0000-0000918B0000}"/>
    <cellStyle name="Percent 129 3 4 2" xfId="38379" xr:uid="{00000000-0005-0000-0000-0000928B0000}"/>
    <cellStyle name="Percent 129 3 5" xfId="26074" xr:uid="{00000000-0005-0000-0000-0000938B0000}"/>
    <cellStyle name="Percent 129 4" xfId="7645" xr:uid="{00000000-0005-0000-0000-0000948B0000}"/>
    <cellStyle name="Percent 129 4 2" xfId="13839" xr:uid="{00000000-0005-0000-0000-0000958B0000}"/>
    <cellStyle name="Percent 129 4 2 2" xfId="33759" xr:uid="{00000000-0005-0000-0000-0000968B0000}"/>
    <cellStyle name="Percent 129 4 3" xfId="19991" xr:uid="{00000000-0005-0000-0000-0000978B0000}"/>
    <cellStyle name="Percent 129 4 3 2" xfId="39911" xr:uid="{00000000-0005-0000-0000-0000988B0000}"/>
    <cellStyle name="Percent 129 4 4" xfId="27606" xr:uid="{00000000-0005-0000-0000-0000998B0000}"/>
    <cellStyle name="Percent 129 5" xfId="10773" xr:uid="{00000000-0005-0000-0000-00009A8B0000}"/>
    <cellStyle name="Percent 129 5 2" xfId="30693" xr:uid="{00000000-0005-0000-0000-00009B8B0000}"/>
    <cellStyle name="Percent 129 6" xfId="16925" xr:uid="{00000000-0005-0000-0000-00009C8B0000}"/>
    <cellStyle name="Percent 129 6 2" xfId="36845" xr:uid="{00000000-0005-0000-0000-00009D8B0000}"/>
    <cellStyle name="Percent 129 7" xfId="24540" xr:uid="{00000000-0005-0000-0000-00009E8B0000}"/>
    <cellStyle name="Percent 13" xfId="4120" xr:uid="{00000000-0005-0000-0000-00009F8B0000}"/>
    <cellStyle name="Percent 130" xfId="4121" xr:uid="{00000000-0005-0000-0000-0000A08B0000}"/>
    <cellStyle name="Percent 130 2" xfId="5239" xr:uid="{00000000-0005-0000-0000-0000A18B0000}"/>
    <cellStyle name="Percent 130 2 2" xfId="6864" xr:uid="{00000000-0005-0000-0000-0000A28B0000}"/>
    <cellStyle name="Percent 130 2 2 2" xfId="9950" xr:uid="{00000000-0005-0000-0000-0000A38B0000}"/>
    <cellStyle name="Percent 130 2 2 2 2" xfId="16143" xr:uid="{00000000-0005-0000-0000-0000A48B0000}"/>
    <cellStyle name="Percent 130 2 2 2 2 2" xfId="36063" xr:uid="{00000000-0005-0000-0000-0000A58B0000}"/>
    <cellStyle name="Percent 130 2 2 2 3" xfId="22295" xr:uid="{00000000-0005-0000-0000-0000A68B0000}"/>
    <cellStyle name="Percent 130 2 2 2 3 2" xfId="42215" xr:uid="{00000000-0005-0000-0000-0000A78B0000}"/>
    <cellStyle name="Percent 130 2 2 2 4" xfId="29910" xr:uid="{00000000-0005-0000-0000-0000A88B0000}"/>
    <cellStyle name="Percent 130 2 2 3" xfId="13077" xr:uid="{00000000-0005-0000-0000-0000A98B0000}"/>
    <cellStyle name="Percent 130 2 2 3 2" xfId="32997" xr:uid="{00000000-0005-0000-0000-0000AA8B0000}"/>
    <cellStyle name="Percent 130 2 2 4" xfId="19229" xr:uid="{00000000-0005-0000-0000-0000AB8B0000}"/>
    <cellStyle name="Percent 130 2 2 4 2" xfId="39149" xr:uid="{00000000-0005-0000-0000-0000AC8B0000}"/>
    <cellStyle name="Percent 130 2 2 5" xfId="26844" xr:uid="{00000000-0005-0000-0000-0000AD8B0000}"/>
    <cellStyle name="Percent 130 2 3" xfId="8415" xr:uid="{00000000-0005-0000-0000-0000AE8B0000}"/>
    <cellStyle name="Percent 130 2 3 2" xfId="14609" xr:uid="{00000000-0005-0000-0000-0000AF8B0000}"/>
    <cellStyle name="Percent 130 2 3 2 2" xfId="34529" xr:uid="{00000000-0005-0000-0000-0000B08B0000}"/>
    <cellStyle name="Percent 130 2 3 3" xfId="20761" xr:uid="{00000000-0005-0000-0000-0000B18B0000}"/>
    <cellStyle name="Percent 130 2 3 3 2" xfId="40681" xr:uid="{00000000-0005-0000-0000-0000B28B0000}"/>
    <cellStyle name="Percent 130 2 3 4" xfId="28376" xr:uid="{00000000-0005-0000-0000-0000B38B0000}"/>
    <cellStyle name="Percent 130 2 4" xfId="11543" xr:uid="{00000000-0005-0000-0000-0000B48B0000}"/>
    <cellStyle name="Percent 130 2 4 2" xfId="31463" xr:uid="{00000000-0005-0000-0000-0000B58B0000}"/>
    <cellStyle name="Percent 130 2 5" xfId="17695" xr:uid="{00000000-0005-0000-0000-0000B68B0000}"/>
    <cellStyle name="Percent 130 2 5 2" xfId="37615" xr:uid="{00000000-0005-0000-0000-0000B78B0000}"/>
    <cellStyle name="Percent 130 2 6" xfId="25310" xr:uid="{00000000-0005-0000-0000-0000B88B0000}"/>
    <cellStyle name="Percent 130 3" xfId="6081" xr:uid="{00000000-0005-0000-0000-0000B98B0000}"/>
    <cellStyle name="Percent 130 3 2" xfId="9181" xr:uid="{00000000-0005-0000-0000-0000BA8B0000}"/>
    <cellStyle name="Percent 130 3 2 2" xfId="15374" xr:uid="{00000000-0005-0000-0000-0000BB8B0000}"/>
    <cellStyle name="Percent 130 3 2 2 2" xfId="35294" xr:uid="{00000000-0005-0000-0000-0000BC8B0000}"/>
    <cellStyle name="Percent 130 3 2 3" xfId="21526" xr:uid="{00000000-0005-0000-0000-0000BD8B0000}"/>
    <cellStyle name="Percent 130 3 2 3 2" xfId="41446" xr:uid="{00000000-0005-0000-0000-0000BE8B0000}"/>
    <cellStyle name="Percent 130 3 2 4" xfId="29141" xr:uid="{00000000-0005-0000-0000-0000BF8B0000}"/>
    <cellStyle name="Percent 130 3 3" xfId="12308" xr:uid="{00000000-0005-0000-0000-0000C08B0000}"/>
    <cellStyle name="Percent 130 3 3 2" xfId="32228" xr:uid="{00000000-0005-0000-0000-0000C18B0000}"/>
    <cellStyle name="Percent 130 3 4" xfId="18460" xr:uid="{00000000-0005-0000-0000-0000C28B0000}"/>
    <cellStyle name="Percent 130 3 4 2" xfId="38380" xr:uid="{00000000-0005-0000-0000-0000C38B0000}"/>
    <cellStyle name="Percent 130 3 5" xfId="26075" xr:uid="{00000000-0005-0000-0000-0000C48B0000}"/>
    <cellStyle name="Percent 130 4" xfId="7646" xr:uid="{00000000-0005-0000-0000-0000C58B0000}"/>
    <cellStyle name="Percent 130 4 2" xfId="13840" xr:uid="{00000000-0005-0000-0000-0000C68B0000}"/>
    <cellStyle name="Percent 130 4 2 2" xfId="33760" xr:uid="{00000000-0005-0000-0000-0000C78B0000}"/>
    <cellStyle name="Percent 130 4 3" xfId="19992" xr:uid="{00000000-0005-0000-0000-0000C88B0000}"/>
    <cellStyle name="Percent 130 4 3 2" xfId="39912" xr:uid="{00000000-0005-0000-0000-0000C98B0000}"/>
    <cellStyle name="Percent 130 4 4" xfId="27607" xr:uid="{00000000-0005-0000-0000-0000CA8B0000}"/>
    <cellStyle name="Percent 130 5" xfId="10774" xr:uid="{00000000-0005-0000-0000-0000CB8B0000}"/>
    <cellStyle name="Percent 130 5 2" xfId="30694" xr:uid="{00000000-0005-0000-0000-0000CC8B0000}"/>
    <cellStyle name="Percent 130 6" xfId="16926" xr:uid="{00000000-0005-0000-0000-0000CD8B0000}"/>
    <cellStyle name="Percent 130 6 2" xfId="36846" xr:uid="{00000000-0005-0000-0000-0000CE8B0000}"/>
    <cellStyle name="Percent 130 7" xfId="24541" xr:uid="{00000000-0005-0000-0000-0000CF8B0000}"/>
    <cellStyle name="Percent 131" xfId="4122" xr:uid="{00000000-0005-0000-0000-0000D08B0000}"/>
    <cellStyle name="Percent 132" xfId="4123" xr:uid="{00000000-0005-0000-0000-0000D18B0000}"/>
    <cellStyle name="Percent 133" xfId="4124" xr:uid="{00000000-0005-0000-0000-0000D28B0000}"/>
    <cellStyle name="Percent 134" xfId="4125" xr:uid="{00000000-0005-0000-0000-0000D38B0000}"/>
    <cellStyle name="Percent 135" xfId="4126" xr:uid="{00000000-0005-0000-0000-0000D48B0000}"/>
    <cellStyle name="Percent 136" xfId="4127" xr:uid="{00000000-0005-0000-0000-0000D58B0000}"/>
    <cellStyle name="Percent 137" xfId="4128" xr:uid="{00000000-0005-0000-0000-0000D68B0000}"/>
    <cellStyle name="Percent 138" xfId="4129" xr:uid="{00000000-0005-0000-0000-0000D78B0000}"/>
    <cellStyle name="Percent 139" xfId="4130" xr:uid="{00000000-0005-0000-0000-0000D88B0000}"/>
    <cellStyle name="Percent 14" xfId="4131" xr:uid="{00000000-0005-0000-0000-0000D98B0000}"/>
    <cellStyle name="Percent 140" xfId="4132" xr:uid="{00000000-0005-0000-0000-0000DA8B0000}"/>
    <cellStyle name="Percent 141" xfId="4133" xr:uid="{00000000-0005-0000-0000-0000DB8B0000}"/>
    <cellStyle name="Percent 142" xfId="4134" xr:uid="{00000000-0005-0000-0000-0000DC8B0000}"/>
    <cellStyle name="Percent 143" xfId="4135" xr:uid="{00000000-0005-0000-0000-0000DD8B0000}"/>
    <cellStyle name="Percent 144" xfId="4136" xr:uid="{00000000-0005-0000-0000-0000DE8B0000}"/>
    <cellStyle name="Percent 145" xfId="4137" xr:uid="{00000000-0005-0000-0000-0000DF8B0000}"/>
    <cellStyle name="Percent 146" xfId="4138" xr:uid="{00000000-0005-0000-0000-0000E08B0000}"/>
    <cellStyle name="Percent 147" xfId="4139" xr:uid="{00000000-0005-0000-0000-0000E18B0000}"/>
    <cellStyle name="Percent 148" xfId="4140" xr:uid="{00000000-0005-0000-0000-0000E28B0000}"/>
    <cellStyle name="Percent 149" xfId="4141" xr:uid="{00000000-0005-0000-0000-0000E38B0000}"/>
    <cellStyle name="Percent 15" xfId="4142" xr:uid="{00000000-0005-0000-0000-0000E48B0000}"/>
    <cellStyle name="Percent 150" xfId="4143" xr:uid="{00000000-0005-0000-0000-0000E58B0000}"/>
    <cellStyle name="Percent 151" xfId="4144" xr:uid="{00000000-0005-0000-0000-0000E68B0000}"/>
    <cellStyle name="Percent 152" xfId="4145" xr:uid="{00000000-0005-0000-0000-0000E78B0000}"/>
    <cellStyle name="Percent 153" xfId="4146" xr:uid="{00000000-0005-0000-0000-0000E88B0000}"/>
    <cellStyle name="Percent 154" xfId="4147" xr:uid="{00000000-0005-0000-0000-0000E98B0000}"/>
    <cellStyle name="Percent 155" xfId="4148" xr:uid="{00000000-0005-0000-0000-0000EA8B0000}"/>
    <cellStyle name="Percent 156" xfId="4149" xr:uid="{00000000-0005-0000-0000-0000EB8B0000}"/>
    <cellStyle name="Percent 157" xfId="4150" xr:uid="{00000000-0005-0000-0000-0000EC8B0000}"/>
    <cellStyle name="Percent 158" xfId="4151" xr:uid="{00000000-0005-0000-0000-0000ED8B0000}"/>
    <cellStyle name="Percent 159" xfId="4152" xr:uid="{00000000-0005-0000-0000-0000EE8B0000}"/>
    <cellStyle name="Percent 159 2" xfId="5240" xr:uid="{00000000-0005-0000-0000-0000EF8B0000}"/>
    <cellStyle name="Percent 159 2 2" xfId="6865" xr:uid="{00000000-0005-0000-0000-0000F08B0000}"/>
    <cellStyle name="Percent 159 2 2 2" xfId="9951" xr:uid="{00000000-0005-0000-0000-0000F18B0000}"/>
    <cellStyle name="Percent 159 2 2 2 2" xfId="16144" xr:uid="{00000000-0005-0000-0000-0000F28B0000}"/>
    <cellStyle name="Percent 159 2 2 2 2 2" xfId="36064" xr:uid="{00000000-0005-0000-0000-0000F38B0000}"/>
    <cellStyle name="Percent 159 2 2 2 3" xfId="22296" xr:uid="{00000000-0005-0000-0000-0000F48B0000}"/>
    <cellStyle name="Percent 159 2 2 2 3 2" xfId="42216" xr:uid="{00000000-0005-0000-0000-0000F58B0000}"/>
    <cellStyle name="Percent 159 2 2 2 4" xfId="29911" xr:uid="{00000000-0005-0000-0000-0000F68B0000}"/>
    <cellStyle name="Percent 159 2 2 3" xfId="13078" xr:uid="{00000000-0005-0000-0000-0000F78B0000}"/>
    <cellStyle name="Percent 159 2 2 3 2" xfId="32998" xr:uid="{00000000-0005-0000-0000-0000F88B0000}"/>
    <cellStyle name="Percent 159 2 2 4" xfId="19230" xr:uid="{00000000-0005-0000-0000-0000F98B0000}"/>
    <cellStyle name="Percent 159 2 2 4 2" xfId="39150" xr:uid="{00000000-0005-0000-0000-0000FA8B0000}"/>
    <cellStyle name="Percent 159 2 2 5" xfId="26845" xr:uid="{00000000-0005-0000-0000-0000FB8B0000}"/>
    <cellStyle name="Percent 159 2 3" xfId="8416" xr:uid="{00000000-0005-0000-0000-0000FC8B0000}"/>
    <cellStyle name="Percent 159 2 3 2" xfId="14610" xr:uid="{00000000-0005-0000-0000-0000FD8B0000}"/>
    <cellStyle name="Percent 159 2 3 2 2" xfId="34530" xr:uid="{00000000-0005-0000-0000-0000FE8B0000}"/>
    <cellStyle name="Percent 159 2 3 3" xfId="20762" xr:uid="{00000000-0005-0000-0000-0000FF8B0000}"/>
    <cellStyle name="Percent 159 2 3 3 2" xfId="40682" xr:uid="{00000000-0005-0000-0000-0000008C0000}"/>
    <cellStyle name="Percent 159 2 3 4" xfId="28377" xr:uid="{00000000-0005-0000-0000-0000018C0000}"/>
    <cellStyle name="Percent 159 2 4" xfId="11544" xr:uid="{00000000-0005-0000-0000-0000028C0000}"/>
    <cellStyle name="Percent 159 2 4 2" xfId="31464" xr:uid="{00000000-0005-0000-0000-0000038C0000}"/>
    <cellStyle name="Percent 159 2 5" xfId="17696" xr:uid="{00000000-0005-0000-0000-0000048C0000}"/>
    <cellStyle name="Percent 159 2 5 2" xfId="37616" xr:uid="{00000000-0005-0000-0000-0000058C0000}"/>
    <cellStyle name="Percent 159 2 6" xfId="25311" xr:uid="{00000000-0005-0000-0000-0000068C0000}"/>
    <cellStyle name="Percent 159 3" xfId="6082" xr:uid="{00000000-0005-0000-0000-0000078C0000}"/>
    <cellStyle name="Percent 159 3 2" xfId="9182" xr:uid="{00000000-0005-0000-0000-0000088C0000}"/>
    <cellStyle name="Percent 159 3 2 2" xfId="15375" xr:uid="{00000000-0005-0000-0000-0000098C0000}"/>
    <cellStyle name="Percent 159 3 2 2 2" xfId="35295" xr:uid="{00000000-0005-0000-0000-00000A8C0000}"/>
    <cellStyle name="Percent 159 3 2 3" xfId="21527" xr:uid="{00000000-0005-0000-0000-00000B8C0000}"/>
    <cellStyle name="Percent 159 3 2 3 2" xfId="41447" xr:uid="{00000000-0005-0000-0000-00000C8C0000}"/>
    <cellStyle name="Percent 159 3 2 4" xfId="29142" xr:uid="{00000000-0005-0000-0000-00000D8C0000}"/>
    <cellStyle name="Percent 159 3 3" xfId="12309" xr:uid="{00000000-0005-0000-0000-00000E8C0000}"/>
    <cellStyle name="Percent 159 3 3 2" xfId="32229" xr:uid="{00000000-0005-0000-0000-00000F8C0000}"/>
    <cellStyle name="Percent 159 3 4" xfId="18461" xr:uid="{00000000-0005-0000-0000-0000108C0000}"/>
    <cellStyle name="Percent 159 3 4 2" xfId="38381" xr:uid="{00000000-0005-0000-0000-0000118C0000}"/>
    <cellStyle name="Percent 159 3 5" xfId="26076" xr:uid="{00000000-0005-0000-0000-0000128C0000}"/>
    <cellStyle name="Percent 159 4" xfId="7647" xr:uid="{00000000-0005-0000-0000-0000138C0000}"/>
    <cellStyle name="Percent 159 4 2" xfId="13841" xr:uid="{00000000-0005-0000-0000-0000148C0000}"/>
    <cellStyle name="Percent 159 4 2 2" xfId="33761" xr:uid="{00000000-0005-0000-0000-0000158C0000}"/>
    <cellStyle name="Percent 159 4 3" xfId="19993" xr:uid="{00000000-0005-0000-0000-0000168C0000}"/>
    <cellStyle name="Percent 159 4 3 2" xfId="39913" xr:uid="{00000000-0005-0000-0000-0000178C0000}"/>
    <cellStyle name="Percent 159 4 4" xfId="27608" xr:uid="{00000000-0005-0000-0000-0000188C0000}"/>
    <cellStyle name="Percent 159 5" xfId="10775" xr:uid="{00000000-0005-0000-0000-0000198C0000}"/>
    <cellStyle name="Percent 159 5 2" xfId="30695" xr:uid="{00000000-0005-0000-0000-00001A8C0000}"/>
    <cellStyle name="Percent 159 6" xfId="16927" xr:uid="{00000000-0005-0000-0000-00001B8C0000}"/>
    <cellStyle name="Percent 159 6 2" xfId="36847" xr:uid="{00000000-0005-0000-0000-00001C8C0000}"/>
    <cellStyle name="Percent 159 7" xfId="24542" xr:uid="{00000000-0005-0000-0000-00001D8C0000}"/>
    <cellStyle name="Percent 16" xfId="4153" xr:uid="{00000000-0005-0000-0000-00001E8C0000}"/>
    <cellStyle name="Percent 160" xfId="1205" xr:uid="{00000000-0005-0000-0000-00001F8C0000}"/>
    <cellStyle name="Percent 161" xfId="4504" xr:uid="{00000000-0005-0000-0000-0000208C0000}"/>
    <cellStyle name="Percent 162" xfId="1199" xr:uid="{00000000-0005-0000-0000-0000218C0000}"/>
    <cellStyle name="Percent 162 2" xfId="4647" xr:uid="{00000000-0005-0000-0000-0000228C0000}"/>
    <cellStyle name="Percent 162 2 2" xfId="6272" xr:uid="{00000000-0005-0000-0000-0000238C0000}"/>
    <cellStyle name="Percent 162 2 2 2" xfId="9358" xr:uid="{00000000-0005-0000-0000-0000248C0000}"/>
    <cellStyle name="Percent 162 2 2 2 2" xfId="15551" xr:uid="{00000000-0005-0000-0000-0000258C0000}"/>
    <cellStyle name="Percent 162 2 2 2 2 2" xfId="35471" xr:uid="{00000000-0005-0000-0000-0000268C0000}"/>
    <cellStyle name="Percent 162 2 2 2 3" xfId="21703" xr:uid="{00000000-0005-0000-0000-0000278C0000}"/>
    <cellStyle name="Percent 162 2 2 2 3 2" xfId="41623" xr:uid="{00000000-0005-0000-0000-0000288C0000}"/>
    <cellStyle name="Percent 162 2 2 2 4" xfId="29318" xr:uid="{00000000-0005-0000-0000-0000298C0000}"/>
    <cellStyle name="Percent 162 2 2 3" xfId="12485" xr:uid="{00000000-0005-0000-0000-00002A8C0000}"/>
    <cellStyle name="Percent 162 2 2 3 2" xfId="32405" xr:uid="{00000000-0005-0000-0000-00002B8C0000}"/>
    <cellStyle name="Percent 162 2 2 4" xfId="18637" xr:uid="{00000000-0005-0000-0000-00002C8C0000}"/>
    <cellStyle name="Percent 162 2 2 4 2" xfId="38557" xr:uid="{00000000-0005-0000-0000-00002D8C0000}"/>
    <cellStyle name="Percent 162 2 2 5" xfId="26252" xr:uid="{00000000-0005-0000-0000-00002E8C0000}"/>
    <cellStyle name="Percent 162 2 3" xfId="7823" xr:uid="{00000000-0005-0000-0000-00002F8C0000}"/>
    <cellStyle name="Percent 162 2 3 2" xfId="14017" xr:uid="{00000000-0005-0000-0000-0000308C0000}"/>
    <cellStyle name="Percent 162 2 3 2 2" xfId="33937" xr:uid="{00000000-0005-0000-0000-0000318C0000}"/>
    <cellStyle name="Percent 162 2 3 3" xfId="20169" xr:uid="{00000000-0005-0000-0000-0000328C0000}"/>
    <cellStyle name="Percent 162 2 3 3 2" xfId="40089" xr:uid="{00000000-0005-0000-0000-0000338C0000}"/>
    <cellStyle name="Percent 162 2 3 4" xfId="27784" xr:uid="{00000000-0005-0000-0000-0000348C0000}"/>
    <cellStyle name="Percent 162 2 4" xfId="10951" xr:uid="{00000000-0005-0000-0000-0000358C0000}"/>
    <cellStyle name="Percent 162 2 4 2" xfId="30871" xr:uid="{00000000-0005-0000-0000-0000368C0000}"/>
    <cellStyle name="Percent 162 2 5" xfId="17103" xr:uid="{00000000-0005-0000-0000-0000378C0000}"/>
    <cellStyle name="Percent 162 2 5 2" xfId="37023" xr:uid="{00000000-0005-0000-0000-0000388C0000}"/>
    <cellStyle name="Percent 162 2 6" xfId="24718" xr:uid="{00000000-0005-0000-0000-0000398C0000}"/>
    <cellStyle name="Percent 162 3" xfId="5486" xr:uid="{00000000-0005-0000-0000-00003A8C0000}"/>
    <cellStyle name="Percent 162 3 2" xfId="8589" xr:uid="{00000000-0005-0000-0000-00003B8C0000}"/>
    <cellStyle name="Percent 162 3 2 2" xfId="14782" xr:uid="{00000000-0005-0000-0000-00003C8C0000}"/>
    <cellStyle name="Percent 162 3 2 2 2" xfId="34702" xr:uid="{00000000-0005-0000-0000-00003D8C0000}"/>
    <cellStyle name="Percent 162 3 2 3" xfId="20934" xr:uid="{00000000-0005-0000-0000-00003E8C0000}"/>
    <cellStyle name="Percent 162 3 2 3 2" xfId="40854" xr:uid="{00000000-0005-0000-0000-00003F8C0000}"/>
    <cellStyle name="Percent 162 3 2 4" xfId="28549" xr:uid="{00000000-0005-0000-0000-0000408C0000}"/>
    <cellStyle name="Percent 162 3 3" xfId="11716" xr:uid="{00000000-0005-0000-0000-0000418C0000}"/>
    <cellStyle name="Percent 162 3 3 2" xfId="31636" xr:uid="{00000000-0005-0000-0000-0000428C0000}"/>
    <cellStyle name="Percent 162 3 4" xfId="17868" xr:uid="{00000000-0005-0000-0000-0000438C0000}"/>
    <cellStyle name="Percent 162 3 4 2" xfId="37788" xr:uid="{00000000-0005-0000-0000-0000448C0000}"/>
    <cellStyle name="Percent 162 3 5" xfId="25483" xr:uid="{00000000-0005-0000-0000-0000458C0000}"/>
    <cellStyle name="Percent 162 4" xfId="7054" xr:uid="{00000000-0005-0000-0000-0000468C0000}"/>
    <cellStyle name="Percent 162 4 2" xfId="13248" xr:uid="{00000000-0005-0000-0000-0000478C0000}"/>
    <cellStyle name="Percent 162 4 2 2" xfId="33168" xr:uid="{00000000-0005-0000-0000-0000488C0000}"/>
    <cellStyle name="Percent 162 4 3" xfId="19400" xr:uid="{00000000-0005-0000-0000-0000498C0000}"/>
    <cellStyle name="Percent 162 4 3 2" xfId="39320" xr:uid="{00000000-0005-0000-0000-00004A8C0000}"/>
    <cellStyle name="Percent 162 4 4" xfId="27015" xr:uid="{00000000-0005-0000-0000-00004B8C0000}"/>
    <cellStyle name="Percent 162 5" xfId="10182" xr:uid="{00000000-0005-0000-0000-00004C8C0000}"/>
    <cellStyle name="Percent 162 5 2" xfId="30102" xr:uid="{00000000-0005-0000-0000-00004D8C0000}"/>
    <cellStyle name="Percent 162 6" xfId="16334" xr:uid="{00000000-0005-0000-0000-00004E8C0000}"/>
    <cellStyle name="Percent 162 6 2" xfId="36254" xr:uid="{00000000-0005-0000-0000-00004F8C0000}"/>
    <cellStyle name="Percent 162 7" xfId="23949" xr:uid="{00000000-0005-0000-0000-0000508C0000}"/>
    <cellStyle name="Percent 163" xfId="4611" xr:uid="{00000000-0005-0000-0000-0000518C0000}"/>
    <cellStyle name="Percent 163 2" xfId="4618" xr:uid="{00000000-0005-0000-0000-0000528C0000}"/>
    <cellStyle name="Percent 163 3" xfId="6243" xr:uid="{00000000-0005-0000-0000-0000538C0000}"/>
    <cellStyle name="Percent 163 3 2" xfId="9329" xr:uid="{00000000-0005-0000-0000-0000548C0000}"/>
    <cellStyle name="Percent 163 3 2 2" xfId="15522" xr:uid="{00000000-0005-0000-0000-0000558C0000}"/>
    <cellStyle name="Percent 163 3 2 2 2" xfId="35442" xr:uid="{00000000-0005-0000-0000-0000568C0000}"/>
    <cellStyle name="Percent 163 3 2 3" xfId="21674" xr:uid="{00000000-0005-0000-0000-0000578C0000}"/>
    <cellStyle name="Percent 163 3 2 3 2" xfId="41594" xr:uid="{00000000-0005-0000-0000-0000588C0000}"/>
    <cellStyle name="Percent 163 3 2 4" xfId="29289" xr:uid="{00000000-0005-0000-0000-0000598C0000}"/>
    <cellStyle name="Percent 163 3 3" xfId="12456" xr:uid="{00000000-0005-0000-0000-00005A8C0000}"/>
    <cellStyle name="Percent 163 3 3 2" xfId="32376" xr:uid="{00000000-0005-0000-0000-00005B8C0000}"/>
    <cellStyle name="Percent 163 3 4" xfId="18608" xr:uid="{00000000-0005-0000-0000-00005C8C0000}"/>
    <cellStyle name="Percent 163 3 4 2" xfId="38528" xr:uid="{00000000-0005-0000-0000-00005D8C0000}"/>
    <cellStyle name="Percent 163 3 5" xfId="26223" xr:uid="{00000000-0005-0000-0000-00005E8C0000}"/>
    <cellStyle name="Percent 163 4" xfId="7794" xr:uid="{00000000-0005-0000-0000-00005F8C0000}"/>
    <cellStyle name="Percent 163 4 2" xfId="13988" xr:uid="{00000000-0005-0000-0000-0000608C0000}"/>
    <cellStyle name="Percent 163 4 2 2" xfId="33908" xr:uid="{00000000-0005-0000-0000-0000618C0000}"/>
    <cellStyle name="Percent 163 4 3" xfId="20140" xr:uid="{00000000-0005-0000-0000-0000628C0000}"/>
    <cellStyle name="Percent 163 4 3 2" xfId="40060" xr:uid="{00000000-0005-0000-0000-0000638C0000}"/>
    <cellStyle name="Percent 163 4 4" xfId="27755" xr:uid="{00000000-0005-0000-0000-0000648C0000}"/>
    <cellStyle name="Percent 163 5" xfId="10922" xr:uid="{00000000-0005-0000-0000-0000658C0000}"/>
    <cellStyle name="Percent 163 5 2" xfId="30842" xr:uid="{00000000-0005-0000-0000-0000668C0000}"/>
    <cellStyle name="Percent 163 6" xfId="17074" xr:uid="{00000000-0005-0000-0000-0000678C0000}"/>
    <cellStyle name="Percent 163 6 2" xfId="36994" xr:uid="{00000000-0005-0000-0000-0000688C0000}"/>
    <cellStyle name="Percent 163 7" xfId="24689" xr:uid="{00000000-0005-0000-0000-0000698C0000}"/>
    <cellStyle name="Percent 164" xfId="5385" xr:uid="{00000000-0005-0000-0000-00006A8C0000}"/>
    <cellStyle name="Percent 165" xfId="5455" xr:uid="{00000000-0005-0000-0000-00006B8C0000}"/>
    <cellStyle name="Percent 166" xfId="5393" xr:uid="{00000000-0005-0000-0000-00006C8C0000}"/>
    <cellStyle name="Percent 167" xfId="5446" xr:uid="{00000000-0005-0000-0000-00006D8C0000}"/>
    <cellStyle name="Percent 168" xfId="5404" xr:uid="{00000000-0005-0000-0000-00006E8C0000}"/>
    <cellStyle name="Percent 169" xfId="5435" xr:uid="{00000000-0005-0000-0000-00006F8C0000}"/>
    <cellStyle name="Percent 17" xfId="4154" xr:uid="{00000000-0005-0000-0000-0000708C0000}"/>
    <cellStyle name="Percent 170" xfId="5407" xr:uid="{00000000-0005-0000-0000-0000718C0000}"/>
    <cellStyle name="Percent 171" xfId="5432" xr:uid="{00000000-0005-0000-0000-0000728C0000}"/>
    <cellStyle name="Percent 172" xfId="5399" xr:uid="{00000000-0005-0000-0000-0000738C0000}"/>
    <cellStyle name="Percent 173" xfId="5449" xr:uid="{00000000-0005-0000-0000-0000748C0000}"/>
    <cellStyle name="Percent 174" xfId="5392" xr:uid="{00000000-0005-0000-0000-0000758C0000}"/>
    <cellStyle name="Percent 175" xfId="5424" xr:uid="{00000000-0005-0000-0000-0000768C0000}"/>
    <cellStyle name="Percent 176" xfId="5402" xr:uid="{00000000-0005-0000-0000-0000778C0000}"/>
    <cellStyle name="Percent 177" xfId="5448" xr:uid="{00000000-0005-0000-0000-0000788C0000}"/>
    <cellStyle name="Percent 178" xfId="5416" xr:uid="{00000000-0005-0000-0000-0000798C0000}"/>
    <cellStyle name="Percent 179" xfId="5439" xr:uid="{00000000-0005-0000-0000-00007A8C0000}"/>
    <cellStyle name="Percent 18" xfId="4155" xr:uid="{00000000-0005-0000-0000-00007B8C0000}"/>
    <cellStyle name="Percent 180" xfId="4622" xr:uid="{00000000-0005-0000-0000-00007C8C0000}"/>
    <cellStyle name="Percent 180 2" xfId="6247" xr:uid="{00000000-0005-0000-0000-00007D8C0000}"/>
    <cellStyle name="Percent 180 2 2" xfId="9333" xr:uid="{00000000-0005-0000-0000-00007E8C0000}"/>
    <cellStyle name="Percent 180 2 2 2" xfId="15526" xr:uid="{00000000-0005-0000-0000-00007F8C0000}"/>
    <cellStyle name="Percent 180 2 2 2 2" xfId="35446" xr:uid="{00000000-0005-0000-0000-0000808C0000}"/>
    <cellStyle name="Percent 180 2 2 3" xfId="21678" xr:uid="{00000000-0005-0000-0000-0000818C0000}"/>
    <cellStyle name="Percent 180 2 2 3 2" xfId="41598" xr:uid="{00000000-0005-0000-0000-0000828C0000}"/>
    <cellStyle name="Percent 180 2 2 4" xfId="29293" xr:uid="{00000000-0005-0000-0000-0000838C0000}"/>
    <cellStyle name="Percent 180 2 3" xfId="12460" xr:uid="{00000000-0005-0000-0000-0000848C0000}"/>
    <cellStyle name="Percent 180 2 3 2" xfId="32380" xr:uid="{00000000-0005-0000-0000-0000858C0000}"/>
    <cellStyle name="Percent 180 2 4" xfId="18612" xr:uid="{00000000-0005-0000-0000-0000868C0000}"/>
    <cellStyle name="Percent 180 2 4 2" xfId="38532" xr:uid="{00000000-0005-0000-0000-0000878C0000}"/>
    <cellStyle name="Percent 180 2 5" xfId="26227" xr:uid="{00000000-0005-0000-0000-0000888C0000}"/>
    <cellStyle name="Percent 180 3" xfId="7798" xr:uid="{00000000-0005-0000-0000-0000898C0000}"/>
    <cellStyle name="Percent 180 3 2" xfId="13992" xr:uid="{00000000-0005-0000-0000-00008A8C0000}"/>
    <cellStyle name="Percent 180 3 2 2" xfId="33912" xr:uid="{00000000-0005-0000-0000-00008B8C0000}"/>
    <cellStyle name="Percent 180 3 3" xfId="20144" xr:uid="{00000000-0005-0000-0000-00008C8C0000}"/>
    <cellStyle name="Percent 180 3 3 2" xfId="40064" xr:uid="{00000000-0005-0000-0000-00008D8C0000}"/>
    <cellStyle name="Percent 180 3 4" xfId="27759" xr:uid="{00000000-0005-0000-0000-00008E8C0000}"/>
    <cellStyle name="Percent 180 4" xfId="10926" xr:uid="{00000000-0005-0000-0000-00008F8C0000}"/>
    <cellStyle name="Percent 180 4 2" xfId="30846" xr:uid="{00000000-0005-0000-0000-0000908C0000}"/>
    <cellStyle name="Percent 180 5" xfId="17078" xr:uid="{00000000-0005-0000-0000-0000918C0000}"/>
    <cellStyle name="Percent 180 5 2" xfId="36998" xr:uid="{00000000-0005-0000-0000-0000928C0000}"/>
    <cellStyle name="Percent 180 6" xfId="24693" xr:uid="{00000000-0005-0000-0000-0000938C0000}"/>
    <cellStyle name="Percent 181" xfId="7025" xr:uid="{00000000-0005-0000-0000-0000948C0000}"/>
    <cellStyle name="Percent 182" xfId="10096" xr:uid="{00000000-0005-0000-0000-0000958C0000}"/>
    <cellStyle name="Percent 183" xfId="10102" xr:uid="{00000000-0005-0000-0000-0000968C0000}"/>
    <cellStyle name="Percent 184" xfId="10153" xr:uid="{00000000-0005-0000-0000-0000978C0000}"/>
    <cellStyle name="Percent 185" xfId="1061" xr:uid="{00000000-0005-0000-0000-0000988C0000}"/>
    <cellStyle name="Percent 186" xfId="1098" xr:uid="{00000000-0005-0000-0000-0000998C0000}"/>
    <cellStyle name="Percent 187" xfId="22468" xr:uid="{00000000-0005-0000-0000-00009A8C0000}"/>
    <cellStyle name="Percent 188" xfId="22463" xr:uid="{00000000-0005-0000-0000-00009B8C0000}"/>
    <cellStyle name="Percent 189" xfId="22465" xr:uid="{00000000-0005-0000-0000-00009C8C0000}"/>
    <cellStyle name="Percent 19" xfId="4156" xr:uid="{00000000-0005-0000-0000-00009D8C0000}"/>
    <cellStyle name="Percent 190" xfId="1038" xr:uid="{00000000-0005-0000-0000-00009E8C0000}"/>
    <cellStyle name="Percent 190 2" xfId="23919" xr:uid="{00000000-0005-0000-0000-00009F8C0000}"/>
    <cellStyle name="Percent 191" xfId="1043" xr:uid="{00000000-0005-0000-0000-0000A08C0000}"/>
    <cellStyle name="Percent 191 2" xfId="23922" xr:uid="{00000000-0005-0000-0000-0000A18C0000}"/>
    <cellStyle name="Percent 192" xfId="22509" xr:uid="{00000000-0005-0000-0000-0000A28C0000}"/>
    <cellStyle name="Percent 192 2" xfId="42420" xr:uid="{00000000-0005-0000-0000-0000A38C0000}"/>
    <cellStyle name="Percent 193" xfId="22538" xr:uid="{00000000-0005-0000-0000-0000A48C0000}"/>
    <cellStyle name="Percent 193 2" xfId="42449" xr:uid="{00000000-0005-0000-0000-0000A58C0000}"/>
    <cellStyle name="Percent 194" xfId="22656" xr:uid="{00000000-0005-0000-0000-0000A68C0000}"/>
    <cellStyle name="Percent 194 2" xfId="42567" xr:uid="{00000000-0005-0000-0000-0000A78C0000}"/>
    <cellStyle name="Percent 195" xfId="22473" xr:uid="{00000000-0005-0000-0000-0000A88C0000}"/>
    <cellStyle name="Percent 195 2" xfId="42384" xr:uid="{00000000-0005-0000-0000-0000A98C0000}"/>
    <cellStyle name="Percent 196" xfId="22684" xr:uid="{00000000-0005-0000-0000-0000AA8C0000}"/>
    <cellStyle name="Percent 196 2" xfId="42595" xr:uid="{00000000-0005-0000-0000-0000AB8C0000}"/>
    <cellStyle name="Percent 197" xfId="22513" xr:uid="{00000000-0005-0000-0000-0000AC8C0000}"/>
    <cellStyle name="Percent 197 2" xfId="42424" xr:uid="{00000000-0005-0000-0000-0000AD8C0000}"/>
    <cellStyle name="Percent 198" xfId="23322" xr:uid="{00000000-0005-0000-0000-0000AE8C0000}"/>
    <cellStyle name="Percent 2" xfId="9" xr:uid="{00000000-0005-0000-0000-0000AF8C0000}"/>
    <cellStyle name="Percent 2 10" xfId="196" xr:uid="{00000000-0005-0000-0000-0000B08C0000}"/>
    <cellStyle name="Percent 2 10 2" xfId="4562" xr:uid="{00000000-0005-0000-0000-0000B18C0000}"/>
    <cellStyle name="Percent 2 10 3" xfId="4158" xr:uid="{00000000-0005-0000-0000-0000B28C0000}"/>
    <cellStyle name="Percent 2 10 4" xfId="1125" xr:uid="{00000000-0005-0000-0000-0000B38C0000}"/>
    <cellStyle name="Percent 2 11" xfId="226" xr:uid="{00000000-0005-0000-0000-0000B48C0000}"/>
    <cellStyle name="Percent 2 11 2" xfId="4563" xr:uid="{00000000-0005-0000-0000-0000B58C0000}"/>
    <cellStyle name="Percent 2 11 3" xfId="4159" xr:uid="{00000000-0005-0000-0000-0000B68C0000}"/>
    <cellStyle name="Percent 2 11 4" xfId="1126" xr:uid="{00000000-0005-0000-0000-0000B78C0000}"/>
    <cellStyle name="Percent 2 12" xfId="218" xr:uid="{00000000-0005-0000-0000-0000B88C0000}"/>
    <cellStyle name="Percent 2 12 2" xfId="4564" xr:uid="{00000000-0005-0000-0000-0000B98C0000}"/>
    <cellStyle name="Percent 2 12 3" xfId="4160" xr:uid="{00000000-0005-0000-0000-0000BA8C0000}"/>
    <cellStyle name="Percent 2 12 4" xfId="1127" xr:uid="{00000000-0005-0000-0000-0000BB8C0000}"/>
    <cellStyle name="Percent 2 13" xfId="237" xr:uid="{00000000-0005-0000-0000-0000BC8C0000}"/>
    <cellStyle name="Percent 2 13 2" xfId="4565" xr:uid="{00000000-0005-0000-0000-0000BD8C0000}"/>
    <cellStyle name="Percent 2 13 3" xfId="4161" xr:uid="{00000000-0005-0000-0000-0000BE8C0000}"/>
    <cellStyle name="Percent 2 13 4" xfId="1128" xr:uid="{00000000-0005-0000-0000-0000BF8C0000}"/>
    <cellStyle name="Percent 2 14" xfId="252" xr:uid="{00000000-0005-0000-0000-0000C08C0000}"/>
    <cellStyle name="Percent 2 14 2" xfId="4566" xr:uid="{00000000-0005-0000-0000-0000C18C0000}"/>
    <cellStyle name="Percent 2 14 3" xfId="4162" xr:uid="{00000000-0005-0000-0000-0000C28C0000}"/>
    <cellStyle name="Percent 2 14 4" xfId="1129" xr:uid="{00000000-0005-0000-0000-0000C38C0000}"/>
    <cellStyle name="Percent 2 15" xfId="268" xr:uid="{00000000-0005-0000-0000-0000C48C0000}"/>
    <cellStyle name="Percent 2 15 2" xfId="4567" xr:uid="{00000000-0005-0000-0000-0000C58C0000}"/>
    <cellStyle name="Percent 2 15 3" xfId="4163" xr:uid="{00000000-0005-0000-0000-0000C68C0000}"/>
    <cellStyle name="Percent 2 15 4" xfId="1130" xr:uid="{00000000-0005-0000-0000-0000C78C0000}"/>
    <cellStyle name="Percent 2 16" xfId="282" xr:uid="{00000000-0005-0000-0000-0000C88C0000}"/>
    <cellStyle name="Percent 2 16 2" xfId="4568" xr:uid="{00000000-0005-0000-0000-0000C98C0000}"/>
    <cellStyle name="Percent 2 16 3" xfId="4164" xr:uid="{00000000-0005-0000-0000-0000CA8C0000}"/>
    <cellStyle name="Percent 2 16 4" xfId="1131" xr:uid="{00000000-0005-0000-0000-0000CB8C0000}"/>
    <cellStyle name="Percent 2 17" xfId="304" xr:uid="{00000000-0005-0000-0000-0000CC8C0000}"/>
    <cellStyle name="Percent 2 17 2" xfId="4569" xr:uid="{00000000-0005-0000-0000-0000CD8C0000}"/>
    <cellStyle name="Percent 2 17 3" xfId="4165" xr:uid="{00000000-0005-0000-0000-0000CE8C0000}"/>
    <cellStyle name="Percent 2 17 4" xfId="1132" xr:uid="{00000000-0005-0000-0000-0000CF8C0000}"/>
    <cellStyle name="Percent 2 18" xfId="332" xr:uid="{00000000-0005-0000-0000-0000D08C0000}"/>
    <cellStyle name="Percent 2 18 2" xfId="4570" xr:uid="{00000000-0005-0000-0000-0000D18C0000}"/>
    <cellStyle name="Percent 2 18 3" xfId="4166" xr:uid="{00000000-0005-0000-0000-0000D28C0000}"/>
    <cellStyle name="Percent 2 18 4" xfId="1133" xr:uid="{00000000-0005-0000-0000-0000D38C0000}"/>
    <cellStyle name="Percent 2 19" xfId="357" xr:uid="{00000000-0005-0000-0000-0000D48C0000}"/>
    <cellStyle name="Percent 2 19 2" xfId="4571" xr:uid="{00000000-0005-0000-0000-0000D58C0000}"/>
    <cellStyle name="Percent 2 19 3" xfId="4167" xr:uid="{00000000-0005-0000-0000-0000D68C0000}"/>
    <cellStyle name="Percent 2 19 4" xfId="1134" xr:uid="{00000000-0005-0000-0000-0000D78C0000}"/>
    <cellStyle name="Percent 2 2" xfId="17" xr:uid="{00000000-0005-0000-0000-0000D88C0000}"/>
    <cellStyle name="Percent 2 2 10" xfId="147" xr:uid="{00000000-0005-0000-0000-0000D98C0000}"/>
    <cellStyle name="Percent 2 2 11" xfId="180" xr:uid="{00000000-0005-0000-0000-0000DA8C0000}"/>
    <cellStyle name="Percent 2 2 12" xfId="225" xr:uid="{00000000-0005-0000-0000-0000DB8C0000}"/>
    <cellStyle name="Percent 2 2 13" xfId="204" xr:uid="{00000000-0005-0000-0000-0000DC8C0000}"/>
    <cellStyle name="Percent 2 2 14" xfId="306" xr:uid="{00000000-0005-0000-0000-0000DD8C0000}"/>
    <cellStyle name="Percent 2 2 15" xfId="336" xr:uid="{00000000-0005-0000-0000-0000DE8C0000}"/>
    <cellStyle name="Percent 2 2 16" xfId="353" xr:uid="{00000000-0005-0000-0000-0000DF8C0000}"/>
    <cellStyle name="Percent 2 2 17" xfId="376" xr:uid="{00000000-0005-0000-0000-0000E08C0000}"/>
    <cellStyle name="Percent 2 2 18" xfId="418" xr:uid="{00000000-0005-0000-0000-0000E18C0000}"/>
    <cellStyle name="Percent 2 2 19" xfId="445" xr:uid="{00000000-0005-0000-0000-0000E28C0000}"/>
    <cellStyle name="Percent 2 2 2" xfId="127" xr:uid="{00000000-0005-0000-0000-0000E38C0000}"/>
    <cellStyle name="Percent 2 2 2 2" xfId="4169" xr:uid="{00000000-0005-0000-0000-0000E48C0000}"/>
    <cellStyle name="Percent 2 2 2 2 2" xfId="4170" xr:uid="{00000000-0005-0000-0000-0000E58C0000}"/>
    <cellStyle name="Percent 2 2 2 3" xfId="4171" xr:uid="{00000000-0005-0000-0000-0000E68C0000}"/>
    <cellStyle name="Percent 2 2 20" xfId="471" xr:uid="{00000000-0005-0000-0000-0000E78C0000}"/>
    <cellStyle name="Percent 2 2 21" xfId="450" xr:uid="{00000000-0005-0000-0000-0000E88C0000}"/>
    <cellStyle name="Percent 2 2 22" xfId="402" xr:uid="{00000000-0005-0000-0000-0000E98C0000}"/>
    <cellStyle name="Percent 2 2 23" xfId="519" xr:uid="{00000000-0005-0000-0000-0000EA8C0000}"/>
    <cellStyle name="Percent 2 2 24" xfId="583" xr:uid="{00000000-0005-0000-0000-0000EB8C0000}"/>
    <cellStyle name="Percent 2 2 25" xfId="615" xr:uid="{00000000-0005-0000-0000-0000EC8C0000}"/>
    <cellStyle name="Percent 2 2 26" xfId="641" xr:uid="{00000000-0005-0000-0000-0000ED8C0000}"/>
    <cellStyle name="Percent 2 2 27" xfId="666" xr:uid="{00000000-0005-0000-0000-0000EE8C0000}"/>
    <cellStyle name="Percent 2 2 28" xfId="690" xr:uid="{00000000-0005-0000-0000-0000EF8C0000}"/>
    <cellStyle name="Percent 2 2 3" xfId="143" xr:uid="{00000000-0005-0000-0000-0000F08C0000}"/>
    <cellStyle name="Percent 2 2 3 2" xfId="4172" xr:uid="{00000000-0005-0000-0000-0000F18C0000}"/>
    <cellStyle name="Percent 2 2 4" xfId="162" xr:uid="{00000000-0005-0000-0000-0000F28C0000}"/>
    <cellStyle name="Percent 2 2 4 2" xfId="4173" xr:uid="{00000000-0005-0000-0000-0000F38C0000}"/>
    <cellStyle name="Percent 2 2 5" xfId="189" xr:uid="{00000000-0005-0000-0000-0000F48C0000}"/>
    <cellStyle name="Percent 2 2 5 2" xfId="4572" xr:uid="{00000000-0005-0000-0000-0000F58C0000}"/>
    <cellStyle name="Percent 2 2 6" xfId="179" xr:uid="{00000000-0005-0000-0000-0000F68C0000}"/>
    <cellStyle name="Percent 2 2 6 2" xfId="4168" xr:uid="{00000000-0005-0000-0000-0000F78C0000}"/>
    <cellStyle name="Percent 2 2 7" xfId="186" xr:uid="{00000000-0005-0000-0000-0000F88C0000}"/>
    <cellStyle name="Percent 2 2 7 2" xfId="1135" xr:uid="{00000000-0005-0000-0000-0000F98C0000}"/>
    <cellStyle name="Percent 2 2 8" xfId="165" xr:uid="{00000000-0005-0000-0000-0000FA8C0000}"/>
    <cellStyle name="Percent 2 2 9" xfId="187" xr:uid="{00000000-0005-0000-0000-0000FB8C0000}"/>
    <cellStyle name="Percent 2 20" xfId="354" xr:uid="{00000000-0005-0000-0000-0000FC8C0000}"/>
    <cellStyle name="Percent 2 20 2" xfId="4174" xr:uid="{00000000-0005-0000-0000-0000FD8C0000}"/>
    <cellStyle name="Percent 2 21" xfId="360" xr:uid="{00000000-0005-0000-0000-0000FE8C0000}"/>
    <cellStyle name="Percent 2 21 2" xfId="4175" xr:uid="{00000000-0005-0000-0000-0000FF8C0000}"/>
    <cellStyle name="Percent 2 22" xfId="348" xr:uid="{00000000-0005-0000-0000-0000008D0000}"/>
    <cellStyle name="Percent 2 22 2" xfId="5241" xr:uid="{00000000-0005-0000-0000-0000018D0000}"/>
    <cellStyle name="Percent 2 22 2 2" xfId="6866" xr:uid="{00000000-0005-0000-0000-0000028D0000}"/>
    <cellStyle name="Percent 2 22 2 2 2" xfId="9952" xr:uid="{00000000-0005-0000-0000-0000038D0000}"/>
    <cellStyle name="Percent 2 22 2 2 2 2" xfId="16145" xr:uid="{00000000-0005-0000-0000-0000048D0000}"/>
    <cellStyle name="Percent 2 22 2 2 2 2 2" xfId="36065" xr:uid="{00000000-0005-0000-0000-0000058D0000}"/>
    <cellStyle name="Percent 2 22 2 2 2 3" xfId="22297" xr:uid="{00000000-0005-0000-0000-0000068D0000}"/>
    <cellStyle name="Percent 2 22 2 2 2 3 2" xfId="42217" xr:uid="{00000000-0005-0000-0000-0000078D0000}"/>
    <cellStyle name="Percent 2 22 2 2 2 4" xfId="29912" xr:uid="{00000000-0005-0000-0000-0000088D0000}"/>
    <cellStyle name="Percent 2 22 2 2 3" xfId="13079" xr:uid="{00000000-0005-0000-0000-0000098D0000}"/>
    <cellStyle name="Percent 2 22 2 2 3 2" xfId="32999" xr:uid="{00000000-0005-0000-0000-00000A8D0000}"/>
    <cellStyle name="Percent 2 22 2 2 4" xfId="19231" xr:uid="{00000000-0005-0000-0000-00000B8D0000}"/>
    <cellStyle name="Percent 2 22 2 2 4 2" xfId="39151" xr:uid="{00000000-0005-0000-0000-00000C8D0000}"/>
    <cellStyle name="Percent 2 22 2 2 5" xfId="26846" xr:uid="{00000000-0005-0000-0000-00000D8D0000}"/>
    <cellStyle name="Percent 2 22 2 3" xfId="8417" xr:uid="{00000000-0005-0000-0000-00000E8D0000}"/>
    <cellStyle name="Percent 2 22 2 3 2" xfId="14611" xr:uid="{00000000-0005-0000-0000-00000F8D0000}"/>
    <cellStyle name="Percent 2 22 2 3 2 2" xfId="34531" xr:uid="{00000000-0005-0000-0000-0000108D0000}"/>
    <cellStyle name="Percent 2 22 2 3 3" xfId="20763" xr:uid="{00000000-0005-0000-0000-0000118D0000}"/>
    <cellStyle name="Percent 2 22 2 3 3 2" xfId="40683" xr:uid="{00000000-0005-0000-0000-0000128D0000}"/>
    <cellStyle name="Percent 2 22 2 3 4" xfId="28378" xr:uid="{00000000-0005-0000-0000-0000138D0000}"/>
    <cellStyle name="Percent 2 22 2 4" xfId="11545" xr:uid="{00000000-0005-0000-0000-0000148D0000}"/>
    <cellStyle name="Percent 2 22 2 4 2" xfId="31465" xr:uid="{00000000-0005-0000-0000-0000158D0000}"/>
    <cellStyle name="Percent 2 22 2 5" xfId="17697" xr:uid="{00000000-0005-0000-0000-0000168D0000}"/>
    <cellStyle name="Percent 2 22 2 5 2" xfId="37617" xr:uid="{00000000-0005-0000-0000-0000178D0000}"/>
    <cellStyle name="Percent 2 22 2 6" xfId="25312" xr:uid="{00000000-0005-0000-0000-0000188D0000}"/>
    <cellStyle name="Percent 2 22 3" xfId="6083" xr:uid="{00000000-0005-0000-0000-0000198D0000}"/>
    <cellStyle name="Percent 2 22 3 2" xfId="9183" xr:uid="{00000000-0005-0000-0000-00001A8D0000}"/>
    <cellStyle name="Percent 2 22 3 2 2" xfId="15376" xr:uid="{00000000-0005-0000-0000-00001B8D0000}"/>
    <cellStyle name="Percent 2 22 3 2 2 2" xfId="35296" xr:uid="{00000000-0005-0000-0000-00001C8D0000}"/>
    <cellStyle name="Percent 2 22 3 2 3" xfId="21528" xr:uid="{00000000-0005-0000-0000-00001D8D0000}"/>
    <cellStyle name="Percent 2 22 3 2 3 2" xfId="41448" xr:uid="{00000000-0005-0000-0000-00001E8D0000}"/>
    <cellStyle name="Percent 2 22 3 2 4" xfId="29143" xr:uid="{00000000-0005-0000-0000-00001F8D0000}"/>
    <cellStyle name="Percent 2 22 3 3" xfId="12310" xr:uid="{00000000-0005-0000-0000-0000208D0000}"/>
    <cellStyle name="Percent 2 22 3 3 2" xfId="32230" xr:uid="{00000000-0005-0000-0000-0000218D0000}"/>
    <cellStyle name="Percent 2 22 3 4" xfId="18462" xr:uid="{00000000-0005-0000-0000-0000228D0000}"/>
    <cellStyle name="Percent 2 22 3 4 2" xfId="38382" xr:uid="{00000000-0005-0000-0000-0000238D0000}"/>
    <cellStyle name="Percent 2 22 3 5" xfId="26077" xr:uid="{00000000-0005-0000-0000-0000248D0000}"/>
    <cellStyle name="Percent 2 22 4" xfId="7648" xr:uid="{00000000-0005-0000-0000-0000258D0000}"/>
    <cellStyle name="Percent 2 22 4 2" xfId="13842" xr:uid="{00000000-0005-0000-0000-0000268D0000}"/>
    <cellStyle name="Percent 2 22 4 2 2" xfId="33762" xr:uid="{00000000-0005-0000-0000-0000278D0000}"/>
    <cellStyle name="Percent 2 22 4 3" xfId="19994" xr:uid="{00000000-0005-0000-0000-0000288D0000}"/>
    <cellStyle name="Percent 2 22 4 3 2" xfId="39914" xr:uid="{00000000-0005-0000-0000-0000298D0000}"/>
    <cellStyle name="Percent 2 22 4 4" xfId="27609" xr:uid="{00000000-0005-0000-0000-00002A8D0000}"/>
    <cellStyle name="Percent 2 22 5" xfId="10776" xr:uid="{00000000-0005-0000-0000-00002B8D0000}"/>
    <cellStyle name="Percent 2 22 5 2" xfId="30696" xr:uid="{00000000-0005-0000-0000-00002C8D0000}"/>
    <cellStyle name="Percent 2 22 6" xfId="16928" xr:uid="{00000000-0005-0000-0000-00002D8D0000}"/>
    <cellStyle name="Percent 2 22 6 2" xfId="36848" xr:uid="{00000000-0005-0000-0000-00002E8D0000}"/>
    <cellStyle name="Percent 2 22 7" xfId="4157" xr:uid="{00000000-0005-0000-0000-00002F8D0000}"/>
    <cellStyle name="Percent 2 22 7 2" xfId="24543" xr:uid="{00000000-0005-0000-0000-0000308D0000}"/>
    <cellStyle name="Percent 2 23" xfId="395" xr:uid="{00000000-0005-0000-0000-0000318D0000}"/>
    <cellStyle name="Percent 2 24" xfId="410" xr:uid="{00000000-0005-0000-0000-0000328D0000}"/>
    <cellStyle name="Percent 2 25" xfId="343" xr:uid="{00000000-0005-0000-0000-0000338D0000}"/>
    <cellStyle name="Percent 2 26" xfId="481" xr:uid="{00000000-0005-0000-0000-0000348D0000}"/>
    <cellStyle name="Percent 2 27" xfId="558" xr:uid="{00000000-0005-0000-0000-0000358D0000}"/>
    <cellStyle name="Percent 2 28" xfId="536" xr:uid="{00000000-0005-0000-0000-0000368D0000}"/>
    <cellStyle name="Percent 2 29" xfId="526" xr:uid="{00000000-0005-0000-0000-0000378D0000}"/>
    <cellStyle name="Percent 2 3" xfId="88" xr:uid="{00000000-0005-0000-0000-0000388D0000}"/>
    <cellStyle name="Percent 2 3 10" xfId="23328" xr:uid="{00000000-0005-0000-0000-0000398D0000}"/>
    <cellStyle name="Percent 2 3 2" xfId="749" xr:uid="{00000000-0005-0000-0000-00003A8D0000}"/>
    <cellStyle name="Percent 2 3 2 2" xfId="4177" xr:uid="{00000000-0005-0000-0000-00003B8D0000}"/>
    <cellStyle name="Percent 2 3 2 3" xfId="23631" xr:uid="{00000000-0005-0000-0000-00003C8D0000}"/>
    <cellStyle name="Percent 2 3 3" xfId="4178" xr:uid="{00000000-0005-0000-0000-00003D8D0000}"/>
    <cellStyle name="Percent 2 3 4" xfId="4176" xr:uid="{00000000-0005-0000-0000-00003E8D0000}"/>
    <cellStyle name="Percent 2 3 5" xfId="10140" xr:uid="{00000000-0005-0000-0000-00003F8D0000}"/>
    <cellStyle name="Percent 2 3 6" xfId="1136" xr:uid="{00000000-0005-0000-0000-0000408D0000}"/>
    <cellStyle name="Percent 2 3 7" xfId="22505" xr:uid="{00000000-0005-0000-0000-0000418D0000}"/>
    <cellStyle name="Percent 2 3 7 2" xfId="42416" xr:uid="{00000000-0005-0000-0000-0000428D0000}"/>
    <cellStyle name="Percent 2 3 8" xfId="22714" xr:uid="{00000000-0005-0000-0000-0000438D0000}"/>
    <cellStyle name="Percent 2 3 8 2" xfId="42625" xr:uid="{00000000-0005-0000-0000-0000448D0000}"/>
    <cellStyle name="Percent 2 3 9" xfId="23017" xr:uid="{00000000-0005-0000-0000-0000458D0000}"/>
    <cellStyle name="Percent 2 3 9 2" xfId="42928" xr:uid="{00000000-0005-0000-0000-0000468D0000}"/>
    <cellStyle name="Percent 2 30" xfId="592" xr:uid="{00000000-0005-0000-0000-0000478D0000}"/>
    <cellStyle name="Percent 2 31" xfId="620" xr:uid="{00000000-0005-0000-0000-0000488D0000}"/>
    <cellStyle name="Percent 2 4" xfId="97" xr:uid="{00000000-0005-0000-0000-0000498D0000}"/>
    <cellStyle name="Percent 2 4 2" xfId="4180" xr:uid="{00000000-0005-0000-0000-00004A8D0000}"/>
    <cellStyle name="Percent 2 4 3" xfId="4573" xr:uid="{00000000-0005-0000-0000-00004B8D0000}"/>
    <cellStyle name="Percent 2 4 4" xfId="4179" xr:uid="{00000000-0005-0000-0000-00004C8D0000}"/>
    <cellStyle name="Percent 2 5" xfId="123" xr:uid="{00000000-0005-0000-0000-00004D8D0000}"/>
    <cellStyle name="Percent 2 5 2" xfId="4574" xr:uid="{00000000-0005-0000-0000-00004E8D0000}"/>
    <cellStyle name="Percent 2 5 3" xfId="4181" xr:uid="{00000000-0005-0000-0000-00004F8D0000}"/>
    <cellStyle name="Percent 2 5 4" xfId="1137" xr:uid="{00000000-0005-0000-0000-0000508D0000}"/>
    <cellStyle name="Percent 2 6" xfId="148" xr:uid="{00000000-0005-0000-0000-0000518D0000}"/>
    <cellStyle name="Percent 2 6 2" xfId="4575" xr:uid="{00000000-0005-0000-0000-0000528D0000}"/>
    <cellStyle name="Percent 2 6 3" xfId="4182" xr:uid="{00000000-0005-0000-0000-0000538D0000}"/>
    <cellStyle name="Percent 2 6 4" xfId="1138" xr:uid="{00000000-0005-0000-0000-0000548D0000}"/>
    <cellStyle name="Percent 2 7" xfId="142" xr:uid="{00000000-0005-0000-0000-0000558D0000}"/>
    <cellStyle name="Percent 2 7 2" xfId="4576" xr:uid="{00000000-0005-0000-0000-0000568D0000}"/>
    <cellStyle name="Percent 2 7 3" xfId="4183" xr:uid="{00000000-0005-0000-0000-0000578D0000}"/>
    <cellStyle name="Percent 2 7 4" xfId="1139" xr:uid="{00000000-0005-0000-0000-0000588D0000}"/>
    <cellStyle name="Percent 2 8" xfId="214" xr:uid="{00000000-0005-0000-0000-0000598D0000}"/>
    <cellStyle name="Percent 2 8 2" xfId="4577" xr:uid="{00000000-0005-0000-0000-00005A8D0000}"/>
    <cellStyle name="Percent 2 8 3" xfId="4184" xr:uid="{00000000-0005-0000-0000-00005B8D0000}"/>
    <cellStyle name="Percent 2 8 4" xfId="1140" xr:uid="{00000000-0005-0000-0000-00005C8D0000}"/>
    <cellStyle name="Percent 2 9" xfId="181" xr:uid="{00000000-0005-0000-0000-00005D8D0000}"/>
    <cellStyle name="Percent 2 9 2" xfId="4578" xr:uid="{00000000-0005-0000-0000-00005E8D0000}"/>
    <cellStyle name="Percent 2 9 3" xfId="4185" xr:uid="{00000000-0005-0000-0000-00005F8D0000}"/>
    <cellStyle name="Percent 2 9 4" xfId="1141" xr:uid="{00000000-0005-0000-0000-0000608D0000}"/>
    <cellStyle name="Percent 20" xfId="4186" xr:uid="{00000000-0005-0000-0000-0000618D0000}"/>
    <cellStyle name="Percent 21" xfId="4187" xr:uid="{00000000-0005-0000-0000-0000628D0000}"/>
    <cellStyle name="Percent 22" xfId="4188" xr:uid="{00000000-0005-0000-0000-0000638D0000}"/>
    <cellStyle name="Percent 23" xfId="4189" xr:uid="{00000000-0005-0000-0000-0000648D0000}"/>
    <cellStyle name="Percent 24" xfId="4190" xr:uid="{00000000-0005-0000-0000-0000658D0000}"/>
    <cellStyle name="Percent 25" xfId="4191" xr:uid="{00000000-0005-0000-0000-0000668D0000}"/>
    <cellStyle name="Percent 25 2" xfId="4192" xr:uid="{00000000-0005-0000-0000-0000678D0000}"/>
    <cellStyle name="Percent 25 2 2" xfId="4193" xr:uid="{00000000-0005-0000-0000-0000688D0000}"/>
    <cellStyle name="Percent 25 2 2 2" xfId="5243" xr:uid="{00000000-0005-0000-0000-0000698D0000}"/>
    <cellStyle name="Percent 25 2 2 2 2" xfId="6868" xr:uid="{00000000-0005-0000-0000-00006A8D0000}"/>
    <cellStyle name="Percent 25 2 2 2 2 2" xfId="9954" xr:uid="{00000000-0005-0000-0000-00006B8D0000}"/>
    <cellStyle name="Percent 25 2 2 2 2 2 2" xfId="16147" xr:uid="{00000000-0005-0000-0000-00006C8D0000}"/>
    <cellStyle name="Percent 25 2 2 2 2 2 2 2" xfId="36067" xr:uid="{00000000-0005-0000-0000-00006D8D0000}"/>
    <cellStyle name="Percent 25 2 2 2 2 2 3" xfId="22299" xr:uid="{00000000-0005-0000-0000-00006E8D0000}"/>
    <cellStyle name="Percent 25 2 2 2 2 2 3 2" xfId="42219" xr:uid="{00000000-0005-0000-0000-00006F8D0000}"/>
    <cellStyle name="Percent 25 2 2 2 2 2 4" xfId="29914" xr:uid="{00000000-0005-0000-0000-0000708D0000}"/>
    <cellStyle name="Percent 25 2 2 2 2 3" xfId="13081" xr:uid="{00000000-0005-0000-0000-0000718D0000}"/>
    <cellStyle name="Percent 25 2 2 2 2 3 2" xfId="33001" xr:uid="{00000000-0005-0000-0000-0000728D0000}"/>
    <cellStyle name="Percent 25 2 2 2 2 4" xfId="19233" xr:uid="{00000000-0005-0000-0000-0000738D0000}"/>
    <cellStyle name="Percent 25 2 2 2 2 4 2" xfId="39153" xr:uid="{00000000-0005-0000-0000-0000748D0000}"/>
    <cellStyle name="Percent 25 2 2 2 2 5" xfId="26848" xr:uid="{00000000-0005-0000-0000-0000758D0000}"/>
    <cellStyle name="Percent 25 2 2 2 3" xfId="8419" xr:uid="{00000000-0005-0000-0000-0000768D0000}"/>
    <cellStyle name="Percent 25 2 2 2 3 2" xfId="14613" xr:uid="{00000000-0005-0000-0000-0000778D0000}"/>
    <cellStyle name="Percent 25 2 2 2 3 2 2" xfId="34533" xr:uid="{00000000-0005-0000-0000-0000788D0000}"/>
    <cellStyle name="Percent 25 2 2 2 3 3" xfId="20765" xr:uid="{00000000-0005-0000-0000-0000798D0000}"/>
    <cellStyle name="Percent 25 2 2 2 3 3 2" xfId="40685" xr:uid="{00000000-0005-0000-0000-00007A8D0000}"/>
    <cellStyle name="Percent 25 2 2 2 3 4" xfId="28380" xr:uid="{00000000-0005-0000-0000-00007B8D0000}"/>
    <cellStyle name="Percent 25 2 2 2 4" xfId="11547" xr:uid="{00000000-0005-0000-0000-00007C8D0000}"/>
    <cellStyle name="Percent 25 2 2 2 4 2" xfId="31467" xr:uid="{00000000-0005-0000-0000-00007D8D0000}"/>
    <cellStyle name="Percent 25 2 2 2 5" xfId="17699" xr:uid="{00000000-0005-0000-0000-00007E8D0000}"/>
    <cellStyle name="Percent 25 2 2 2 5 2" xfId="37619" xr:uid="{00000000-0005-0000-0000-00007F8D0000}"/>
    <cellStyle name="Percent 25 2 2 2 6" xfId="25314" xr:uid="{00000000-0005-0000-0000-0000808D0000}"/>
    <cellStyle name="Percent 25 2 2 3" xfId="6089" xr:uid="{00000000-0005-0000-0000-0000818D0000}"/>
    <cellStyle name="Percent 25 2 2 3 2" xfId="9185" xr:uid="{00000000-0005-0000-0000-0000828D0000}"/>
    <cellStyle name="Percent 25 2 2 3 2 2" xfId="15378" xr:uid="{00000000-0005-0000-0000-0000838D0000}"/>
    <cellStyle name="Percent 25 2 2 3 2 2 2" xfId="35298" xr:uid="{00000000-0005-0000-0000-0000848D0000}"/>
    <cellStyle name="Percent 25 2 2 3 2 3" xfId="21530" xr:uid="{00000000-0005-0000-0000-0000858D0000}"/>
    <cellStyle name="Percent 25 2 2 3 2 3 2" xfId="41450" xr:uid="{00000000-0005-0000-0000-0000868D0000}"/>
    <cellStyle name="Percent 25 2 2 3 2 4" xfId="29145" xr:uid="{00000000-0005-0000-0000-0000878D0000}"/>
    <cellStyle name="Percent 25 2 2 3 3" xfId="12312" xr:uid="{00000000-0005-0000-0000-0000888D0000}"/>
    <cellStyle name="Percent 25 2 2 3 3 2" xfId="32232" xr:uid="{00000000-0005-0000-0000-0000898D0000}"/>
    <cellStyle name="Percent 25 2 2 3 4" xfId="18464" xr:uid="{00000000-0005-0000-0000-00008A8D0000}"/>
    <cellStyle name="Percent 25 2 2 3 4 2" xfId="38384" xr:uid="{00000000-0005-0000-0000-00008B8D0000}"/>
    <cellStyle name="Percent 25 2 2 3 5" xfId="26079" xr:uid="{00000000-0005-0000-0000-00008C8D0000}"/>
    <cellStyle name="Percent 25 2 2 4" xfId="7650" xr:uid="{00000000-0005-0000-0000-00008D8D0000}"/>
    <cellStyle name="Percent 25 2 2 4 2" xfId="13844" xr:uid="{00000000-0005-0000-0000-00008E8D0000}"/>
    <cellStyle name="Percent 25 2 2 4 2 2" xfId="33764" xr:uid="{00000000-0005-0000-0000-00008F8D0000}"/>
    <cellStyle name="Percent 25 2 2 4 3" xfId="19996" xr:uid="{00000000-0005-0000-0000-0000908D0000}"/>
    <cellStyle name="Percent 25 2 2 4 3 2" xfId="39916" xr:uid="{00000000-0005-0000-0000-0000918D0000}"/>
    <cellStyle name="Percent 25 2 2 4 4" xfId="27611" xr:uid="{00000000-0005-0000-0000-0000928D0000}"/>
    <cellStyle name="Percent 25 2 2 5" xfId="10778" xr:uid="{00000000-0005-0000-0000-0000938D0000}"/>
    <cellStyle name="Percent 25 2 2 5 2" xfId="30698" xr:uid="{00000000-0005-0000-0000-0000948D0000}"/>
    <cellStyle name="Percent 25 2 2 6" xfId="16930" xr:uid="{00000000-0005-0000-0000-0000958D0000}"/>
    <cellStyle name="Percent 25 2 2 6 2" xfId="36850" xr:uid="{00000000-0005-0000-0000-0000968D0000}"/>
    <cellStyle name="Percent 25 2 2 7" xfId="24545" xr:uid="{00000000-0005-0000-0000-0000978D0000}"/>
    <cellStyle name="Percent 25 2 3" xfId="5242" xr:uid="{00000000-0005-0000-0000-0000988D0000}"/>
    <cellStyle name="Percent 25 2 3 2" xfId="6867" xr:uid="{00000000-0005-0000-0000-0000998D0000}"/>
    <cellStyle name="Percent 25 2 3 2 2" xfId="9953" xr:uid="{00000000-0005-0000-0000-00009A8D0000}"/>
    <cellStyle name="Percent 25 2 3 2 2 2" xfId="16146" xr:uid="{00000000-0005-0000-0000-00009B8D0000}"/>
    <cellStyle name="Percent 25 2 3 2 2 2 2" xfId="36066" xr:uid="{00000000-0005-0000-0000-00009C8D0000}"/>
    <cellStyle name="Percent 25 2 3 2 2 3" xfId="22298" xr:uid="{00000000-0005-0000-0000-00009D8D0000}"/>
    <cellStyle name="Percent 25 2 3 2 2 3 2" xfId="42218" xr:uid="{00000000-0005-0000-0000-00009E8D0000}"/>
    <cellStyle name="Percent 25 2 3 2 2 4" xfId="29913" xr:uid="{00000000-0005-0000-0000-00009F8D0000}"/>
    <cellStyle name="Percent 25 2 3 2 3" xfId="13080" xr:uid="{00000000-0005-0000-0000-0000A08D0000}"/>
    <cellStyle name="Percent 25 2 3 2 3 2" xfId="33000" xr:uid="{00000000-0005-0000-0000-0000A18D0000}"/>
    <cellStyle name="Percent 25 2 3 2 4" xfId="19232" xr:uid="{00000000-0005-0000-0000-0000A28D0000}"/>
    <cellStyle name="Percent 25 2 3 2 4 2" xfId="39152" xr:uid="{00000000-0005-0000-0000-0000A38D0000}"/>
    <cellStyle name="Percent 25 2 3 2 5" xfId="26847" xr:uid="{00000000-0005-0000-0000-0000A48D0000}"/>
    <cellStyle name="Percent 25 2 3 3" xfId="8418" xr:uid="{00000000-0005-0000-0000-0000A58D0000}"/>
    <cellStyle name="Percent 25 2 3 3 2" xfId="14612" xr:uid="{00000000-0005-0000-0000-0000A68D0000}"/>
    <cellStyle name="Percent 25 2 3 3 2 2" xfId="34532" xr:uid="{00000000-0005-0000-0000-0000A78D0000}"/>
    <cellStyle name="Percent 25 2 3 3 3" xfId="20764" xr:uid="{00000000-0005-0000-0000-0000A88D0000}"/>
    <cellStyle name="Percent 25 2 3 3 3 2" xfId="40684" xr:uid="{00000000-0005-0000-0000-0000A98D0000}"/>
    <cellStyle name="Percent 25 2 3 3 4" xfId="28379" xr:uid="{00000000-0005-0000-0000-0000AA8D0000}"/>
    <cellStyle name="Percent 25 2 3 4" xfId="11546" xr:uid="{00000000-0005-0000-0000-0000AB8D0000}"/>
    <cellStyle name="Percent 25 2 3 4 2" xfId="31466" xr:uid="{00000000-0005-0000-0000-0000AC8D0000}"/>
    <cellStyle name="Percent 25 2 3 5" xfId="17698" xr:uid="{00000000-0005-0000-0000-0000AD8D0000}"/>
    <cellStyle name="Percent 25 2 3 5 2" xfId="37618" xr:uid="{00000000-0005-0000-0000-0000AE8D0000}"/>
    <cellStyle name="Percent 25 2 3 6" xfId="25313" xr:uid="{00000000-0005-0000-0000-0000AF8D0000}"/>
    <cellStyle name="Percent 25 2 4" xfId="6088" xr:uid="{00000000-0005-0000-0000-0000B08D0000}"/>
    <cellStyle name="Percent 25 2 4 2" xfId="9184" xr:uid="{00000000-0005-0000-0000-0000B18D0000}"/>
    <cellStyle name="Percent 25 2 4 2 2" xfId="15377" xr:uid="{00000000-0005-0000-0000-0000B28D0000}"/>
    <cellStyle name="Percent 25 2 4 2 2 2" xfId="35297" xr:uid="{00000000-0005-0000-0000-0000B38D0000}"/>
    <cellStyle name="Percent 25 2 4 2 3" xfId="21529" xr:uid="{00000000-0005-0000-0000-0000B48D0000}"/>
    <cellStyle name="Percent 25 2 4 2 3 2" xfId="41449" xr:uid="{00000000-0005-0000-0000-0000B58D0000}"/>
    <cellStyle name="Percent 25 2 4 2 4" xfId="29144" xr:uid="{00000000-0005-0000-0000-0000B68D0000}"/>
    <cellStyle name="Percent 25 2 4 3" xfId="12311" xr:uid="{00000000-0005-0000-0000-0000B78D0000}"/>
    <cellStyle name="Percent 25 2 4 3 2" xfId="32231" xr:uid="{00000000-0005-0000-0000-0000B88D0000}"/>
    <cellStyle name="Percent 25 2 4 4" xfId="18463" xr:uid="{00000000-0005-0000-0000-0000B98D0000}"/>
    <cellStyle name="Percent 25 2 4 4 2" xfId="38383" xr:uid="{00000000-0005-0000-0000-0000BA8D0000}"/>
    <cellStyle name="Percent 25 2 4 5" xfId="26078" xr:uid="{00000000-0005-0000-0000-0000BB8D0000}"/>
    <cellStyle name="Percent 25 2 5" xfId="7649" xr:uid="{00000000-0005-0000-0000-0000BC8D0000}"/>
    <cellStyle name="Percent 25 2 5 2" xfId="13843" xr:uid="{00000000-0005-0000-0000-0000BD8D0000}"/>
    <cellStyle name="Percent 25 2 5 2 2" xfId="33763" xr:uid="{00000000-0005-0000-0000-0000BE8D0000}"/>
    <cellStyle name="Percent 25 2 5 3" xfId="19995" xr:uid="{00000000-0005-0000-0000-0000BF8D0000}"/>
    <cellStyle name="Percent 25 2 5 3 2" xfId="39915" xr:uid="{00000000-0005-0000-0000-0000C08D0000}"/>
    <cellStyle name="Percent 25 2 5 4" xfId="27610" xr:uid="{00000000-0005-0000-0000-0000C18D0000}"/>
    <cellStyle name="Percent 25 2 6" xfId="10777" xr:uid="{00000000-0005-0000-0000-0000C28D0000}"/>
    <cellStyle name="Percent 25 2 6 2" xfId="30697" xr:uid="{00000000-0005-0000-0000-0000C38D0000}"/>
    <cellStyle name="Percent 25 2 7" xfId="16929" xr:uid="{00000000-0005-0000-0000-0000C48D0000}"/>
    <cellStyle name="Percent 25 2 7 2" xfId="36849" xr:uid="{00000000-0005-0000-0000-0000C58D0000}"/>
    <cellStyle name="Percent 25 2 8" xfId="24544" xr:uid="{00000000-0005-0000-0000-0000C68D0000}"/>
    <cellStyle name="Percent 25 3" xfId="4194" xr:uid="{00000000-0005-0000-0000-0000C78D0000}"/>
    <cellStyle name="Percent 25 3 2" xfId="4195" xr:uid="{00000000-0005-0000-0000-0000C88D0000}"/>
    <cellStyle name="Percent 25 3 2 2" xfId="5245" xr:uid="{00000000-0005-0000-0000-0000C98D0000}"/>
    <cellStyle name="Percent 25 3 2 2 2" xfId="6870" xr:uid="{00000000-0005-0000-0000-0000CA8D0000}"/>
    <cellStyle name="Percent 25 3 2 2 2 2" xfId="9956" xr:uid="{00000000-0005-0000-0000-0000CB8D0000}"/>
    <cellStyle name="Percent 25 3 2 2 2 2 2" xfId="16149" xr:uid="{00000000-0005-0000-0000-0000CC8D0000}"/>
    <cellStyle name="Percent 25 3 2 2 2 2 2 2" xfId="36069" xr:uid="{00000000-0005-0000-0000-0000CD8D0000}"/>
    <cellStyle name="Percent 25 3 2 2 2 2 3" xfId="22301" xr:uid="{00000000-0005-0000-0000-0000CE8D0000}"/>
    <cellStyle name="Percent 25 3 2 2 2 2 3 2" xfId="42221" xr:uid="{00000000-0005-0000-0000-0000CF8D0000}"/>
    <cellStyle name="Percent 25 3 2 2 2 2 4" xfId="29916" xr:uid="{00000000-0005-0000-0000-0000D08D0000}"/>
    <cellStyle name="Percent 25 3 2 2 2 3" xfId="13083" xr:uid="{00000000-0005-0000-0000-0000D18D0000}"/>
    <cellStyle name="Percent 25 3 2 2 2 3 2" xfId="33003" xr:uid="{00000000-0005-0000-0000-0000D28D0000}"/>
    <cellStyle name="Percent 25 3 2 2 2 4" xfId="19235" xr:uid="{00000000-0005-0000-0000-0000D38D0000}"/>
    <cellStyle name="Percent 25 3 2 2 2 4 2" xfId="39155" xr:uid="{00000000-0005-0000-0000-0000D48D0000}"/>
    <cellStyle name="Percent 25 3 2 2 2 5" xfId="26850" xr:uid="{00000000-0005-0000-0000-0000D58D0000}"/>
    <cellStyle name="Percent 25 3 2 2 3" xfId="8421" xr:uid="{00000000-0005-0000-0000-0000D68D0000}"/>
    <cellStyle name="Percent 25 3 2 2 3 2" xfId="14615" xr:uid="{00000000-0005-0000-0000-0000D78D0000}"/>
    <cellStyle name="Percent 25 3 2 2 3 2 2" xfId="34535" xr:uid="{00000000-0005-0000-0000-0000D88D0000}"/>
    <cellStyle name="Percent 25 3 2 2 3 3" xfId="20767" xr:uid="{00000000-0005-0000-0000-0000D98D0000}"/>
    <cellStyle name="Percent 25 3 2 2 3 3 2" xfId="40687" xr:uid="{00000000-0005-0000-0000-0000DA8D0000}"/>
    <cellStyle name="Percent 25 3 2 2 3 4" xfId="28382" xr:uid="{00000000-0005-0000-0000-0000DB8D0000}"/>
    <cellStyle name="Percent 25 3 2 2 4" xfId="11549" xr:uid="{00000000-0005-0000-0000-0000DC8D0000}"/>
    <cellStyle name="Percent 25 3 2 2 4 2" xfId="31469" xr:uid="{00000000-0005-0000-0000-0000DD8D0000}"/>
    <cellStyle name="Percent 25 3 2 2 5" xfId="17701" xr:uid="{00000000-0005-0000-0000-0000DE8D0000}"/>
    <cellStyle name="Percent 25 3 2 2 5 2" xfId="37621" xr:uid="{00000000-0005-0000-0000-0000DF8D0000}"/>
    <cellStyle name="Percent 25 3 2 2 6" xfId="25316" xr:uid="{00000000-0005-0000-0000-0000E08D0000}"/>
    <cellStyle name="Percent 25 3 2 3" xfId="6091" xr:uid="{00000000-0005-0000-0000-0000E18D0000}"/>
    <cellStyle name="Percent 25 3 2 3 2" xfId="9187" xr:uid="{00000000-0005-0000-0000-0000E28D0000}"/>
    <cellStyle name="Percent 25 3 2 3 2 2" xfId="15380" xr:uid="{00000000-0005-0000-0000-0000E38D0000}"/>
    <cellStyle name="Percent 25 3 2 3 2 2 2" xfId="35300" xr:uid="{00000000-0005-0000-0000-0000E48D0000}"/>
    <cellStyle name="Percent 25 3 2 3 2 3" xfId="21532" xr:uid="{00000000-0005-0000-0000-0000E58D0000}"/>
    <cellStyle name="Percent 25 3 2 3 2 3 2" xfId="41452" xr:uid="{00000000-0005-0000-0000-0000E68D0000}"/>
    <cellStyle name="Percent 25 3 2 3 2 4" xfId="29147" xr:uid="{00000000-0005-0000-0000-0000E78D0000}"/>
    <cellStyle name="Percent 25 3 2 3 3" xfId="12314" xr:uid="{00000000-0005-0000-0000-0000E88D0000}"/>
    <cellStyle name="Percent 25 3 2 3 3 2" xfId="32234" xr:uid="{00000000-0005-0000-0000-0000E98D0000}"/>
    <cellStyle name="Percent 25 3 2 3 4" xfId="18466" xr:uid="{00000000-0005-0000-0000-0000EA8D0000}"/>
    <cellStyle name="Percent 25 3 2 3 4 2" xfId="38386" xr:uid="{00000000-0005-0000-0000-0000EB8D0000}"/>
    <cellStyle name="Percent 25 3 2 3 5" xfId="26081" xr:uid="{00000000-0005-0000-0000-0000EC8D0000}"/>
    <cellStyle name="Percent 25 3 2 4" xfId="7652" xr:uid="{00000000-0005-0000-0000-0000ED8D0000}"/>
    <cellStyle name="Percent 25 3 2 4 2" xfId="13846" xr:uid="{00000000-0005-0000-0000-0000EE8D0000}"/>
    <cellStyle name="Percent 25 3 2 4 2 2" xfId="33766" xr:uid="{00000000-0005-0000-0000-0000EF8D0000}"/>
    <cellStyle name="Percent 25 3 2 4 3" xfId="19998" xr:uid="{00000000-0005-0000-0000-0000F08D0000}"/>
    <cellStyle name="Percent 25 3 2 4 3 2" xfId="39918" xr:uid="{00000000-0005-0000-0000-0000F18D0000}"/>
    <cellStyle name="Percent 25 3 2 4 4" xfId="27613" xr:uid="{00000000-0005-0000-0000-0000F28D0000}"/>
    <cellStyle name="Percent 25 3 2 5" xfId="10780" xr:uid="{00000000-0005-0000-0000-0000F38D0000}"/>
    <cellStyle name="Percent 25 3 2 5 2" xfId="30700" xr:uid="{00000000-0005-0000-0000-0000F48D0000}"/>
    <cellStyle name="Percent 25 3 2 6" xfId="16932" xr:uid="{00000000-0005-0000-0000-0000F58D0000}"/>
    <cellStyle name="Percent 25 3 2 6 2" xfId="36852" xr:uid="{00000000-0005-0000-0000-0000F68D0000}"/>
    <cellStyle name="Percent 25 3 2 7" xfId="24547" xr:uid="{00000000-0005-0000-0000-0000F78D0000}"/>
    <cellStyle name="Percent 25 3 3" xfId="5244" xr:uid="{00000000-0005-0000-0000-0000F88D0000}"/>
    <cellStyle name="Percent 25 3 3 2" xfId="6869" xr:uid="{00000000-0005-0000-0000-0000F98D0000}"/>
    <cellStyle name="Percent 25 3 3 2 2" xfId="9955" xr:uid="{00000000-0005-0000-0000-0000FA8D0000}"/>
    <cellStyle name="Percent 25 3 3 2 2 2" xfId="16148" xr:uid="{00000000-0005-0000-0000-0000FB8D0000}"/>
    <cellStyle name="Percent 25 3 3 2 2 2 2" xfId="36068" xr:uid="{00000000-0005-0000-0000-0000FC8D0000}"/>
    <cellStyle name="Percent 25 3 3 2 2 3" xfId="22300" xr:uid="{00000000-0005-0000-0000-0000FD8D0000}"/>
    <cellStyle name="Percent 25 3 3 2 2 3 2" xfId="42220" xr:uid="{00000000-0005-0000-0000-0000FE8D0000}"/>
    <cellStyle name="Percent 25 3 3 2 2 4" xfId="29915" xr:uid="{00000000-0005-0000-0000-0000FF8D0000}"/>
    <cellStyle name="Percent 25 3 3 2 3" xfId="13082" xr:uid="{00000000-0005-0000-0000-0000008E0000}"/>
    <cellStyle name="Percent 25 3 3 2 3 2" xfId="33002" xr:uid="{00000000-0005-0000-0000-0000018E0000}"/>
    <cellStyle name="Percent 25 3 3 2 4" xfId="19234" xr:uid="{00000000-0005-0000-0000-0000028E0000}"/>
    <cellStyle name="Percent 25 3 3 2 4 2" xfId="39154" xr:uid="{00000000-0005-0000-0000-0000038E0000}"/>
    <cellStyle name="Percent 25 3 3 2 5" xfId="26849" xr:uid="{00000000-0005-0000-0000-0000048E0000}"/>
    <cellStyle name="Percent 25 3 3 3" xfId="8420" xr:uid="{00000000-0005-0000-0000-0000058E0000}"/>
    <cellStyle name="Percent 25 3 3 3 2" xfId="14614" xr:uid="{00000000-0005-0000-0000-0000068E0000}"/>
    <cellStyle name="Percent 25 3 3 3 2 2" xfId="34534" xr:uid="{00000000-0005-0000-0000-0000078E0000}"/>
    <cellStyle name="Percent 25 3 3 3 3" xfId="20766" xr:uid="{00000000-0005-0000-0000-0000088E0000}"/>
    <cellStyle name="Percent 25 3 3 3 3 2" xfId="40686" xr:uid="{00000000-0005-0000-0000-0000098E0000}"/>
    <cellStyle name="Percent 25 3 3 3 4" xfId="28381" xr:uid="{00000000-0005-0000-0000-00000A8E0000}"/>
    <cellStyle name="Percent 25 3 3 4" xfId="11548" xr:uid="{00000000-0005-0000-0000-00000B8E0000}"/>
    <cellStyle name="Percent 25 3 3 4 2" xfId="31468" xr:uid="{00000000-0005-0000-0000-00000C8E0000}"/>
    <cellStyle name="Percent 25 3 3 5" xfId="17700" xr:uid="{00000000-0005-0000-0000-00000D8E0000}"/>
    <cellStyle name="Percent 25 3 3 5 2" xfId="37620" xr:uid="{00000000-0005-0000-0000-00000E8E0000}"/>
    <cellStyle name="Percent 25 3 3 6" xfId="25315" xr:uid="{00000000-0005-0000-0000-00000F8E0000}"/>
    <cellStyle name="Percent 25 3 4" xfId="6090" xr:uid="{00000000-0005-0000-0000-0000108E0000}"/>
    <cellStyle name="Percent 25 3 4 2" xfId="9186" xr:uid="{00000000-0005-0000-0000-0000118E0000}"/>
    <cellStyle name="Percent 25 3 4 2 2" xfId="15379" xr:uid="{00000000-0005-0000-0000-0000128E0000}"/>
    <cellStyle name="Percent 25 3 4 2 2 2" xfId="35299" xr:uid="{00000000-0005-0000-0000-0000138E0000}"/>
    <cellStyle name="Percent 25 3 4 2 3" xfId="21531" xr:uid="{00000000-0005-0000-0000-0000148E0000}"/>
    <cellStyle name="Percent 25 3 4 2 3 2" xfId="41451" xr:uid="{00000000-0005-0000-0000-0000158E0000}"/>
    <cellStyle name="Percent 25 3 4 2 4" xfId="29146" xr:uid="{00000000-0005-0000-0000-0000168E0000}"/>
    <cellStyle name="Percent 25 3 4 3" xfId="12313" xr:uid="{00000000-0005-0000-0000-0000178E0000}"/>
    <cellStyle name="Percent 25 3 4 3 2" xfId="32233" xr:uid="{00000000-0005-0000-0000-0000188E0000}"/>
    <cellStyle name="Percent 25 3 4 4" xfId="18465" xr:uid="{00000000-0005-0000-0000-0000198E0000}"/>
    <cellStyle name="Percent 25 3 4 4 2" xfId="38385" xr:uid="{00000000-0005-0000-0000-00001A8E0000}"/>
    <cellStyle name="Percent 25 3 4 5" xfId="26080" xr:uid="{00000000-0005-0000-0000-00001B8E0000}"/>
    <cellStyle name="Percent 25 3 5" xfId="7651" xr:uid="{00000000-0005-0000-0000-00001C8E0000}"/>
    <cellStyle name="Percent 25 3 5 2" xfId="13845" xr:uid="{00000000-0005-0000-0000-00001D8E0000}"/>
    <cellStyle name="Percent 25 3 5 2 2" xfId="33765" xr:uid="{00000000-0005-0000-0000-00001E8E0000}"/>
    <cellStyle name="Percent 25 3 5 3" xfId="19997" xr:uid="{00000000-0005-0000-0000-00001F8E0000}"/>
    <cellStyle name="Percent 25 3 5 3 2" xfId="39917" xr:uid="{00000000-0005-0000-0000-0000208E0000}"/>
    <cellStyle name="Percent 25 3 5 4" xfId="27612" xr:uid="{00000000-0005-0000-0000-0000218E0000}"/>
    <cellStyle name="Percent 25 3 6" xfId="10779" xr:uid="{00000000-0005-0000-0000-0000228E0000}"/>
    <cellStyle name="Percent 25 3 6 2" xfId="30699" xr:uid="{00000000-0005-0000-0000-0000238E0000}"/>
    <cellStyle name="Percent 25 3 7" xfId="16931" xr:uid="{00000000-0005-0000-0000-0000248E0000}"/>
    <cellStyle name="Percent 25 3 7 2" xfId="36851" xr:uid="{00000000-0005-0000-0000-0000258E0000}"/>
    <cellStyle name="Percent 25 3 8" xfId="24546" xr:uid="{00000000-0005-0000-0000-0000268E0000}"/>
    <cellStyle name="Percent 25 4" xfId="4196" xr:uid="{00000000-0005-0000-0000-0000278E0000}"/>
    <cellStyle name="Percent 25 4 2" xfId="4197" xr:uid="{00000000-0005-0000-0000-0000288E0000}"/>
    <cellStyle name="Percent 25 4 2 2" xfId="5246" xr:uid="{00000000-0005-0000-0000-0000298E0000}"/>
    <cellStyle name="Percent 25 4 2 2 2" xfId="6871" xr:uid="{00000000-0005-0000-0000-00002A8E0000}"/>
    <cellStyle name="Percent 25 4 2 2 2 2" xfId="9957" xr:uid="{00000000-0005-0000-0000-00002B8E0000}"/>
    <cellStyle name="Percent 25 4 2 2 2 2 2" xfId="16150" xr:uid="{00000000-0005-0000-0000-00002C8E0000}"/>
    <cellStyle name="Percent 25 4 2 2 2 2 2 2" xfId="36070" xr:uid="{00000000-0005-0000-0000-00002D8E0000}"/>
    <cellStyle name="Percent 25 4 2 2 2 2 3" xfId="22302" xr:uid="{00000000-0005-0000-0000-00002E8E0000}"/>
    <cellStyle name="Percent 25 4 2 2 2 2 3 2" xfId="42222" xr:uid="{00000000-0005-0000-0000-00002F8E0000}"/>
    <cellStyle name="Percent 25 4 2 2 2 2 4" xfId="29917" xr:uid="{00000000-0005-0000-0000-0000308E0000}"/>
    <cellStyle name="Percent 25 4 2 2 2 3" xfId="13084" xr:uid="{00000000-0005-0000-0000-0000318E0000}"/>
    <cellStyle name="Percent 25 4 2 2 2 3 2" xfId="33004" xr:uid="{00000000-0005-0000-0000-0000328E0000}"/>
    <cellStyle name="Percent 25 4 2 2 2 4" xfId="19236" xr:uid="{00000000-0005-0000-0000-0000338E0000}"/>
    <cellStyle name="Percent 25 4 2 2 2 4 2" xfId="39156" xr:uid="{00000000-0005-0000-0000-0000348E0000}"/>
    <cellStyle name="Percent 25 4 2 2 2 5" xfId="26851" xr:uid="{00000000-0005-0000-0000-0000358E0000}"/>
    <cellStyle name="Percent 25 4 2 2 3" xfId="8422" xr:uid="{00000000-0005-0000-0000-0000368E0000}"/>
    <cellStyle name="Percent 25 4 2 2 3 2" xfId="14616" xr:uid="{00000000-0005-0000-0000-0000378E0000}"/>
    <cellStyle name="Percent 25 4 2 2 3 2 2" xfId="34536" xr:uid="{00000000-0005-0000-0000-0000388E0000}"/>
    <cellStyle name="Percent 25 4 2 2 3 3" xfId="20768" xr:uid="{00000000-0005-0000-0000-0000398E0000}"/>
    <cellStyle name="Percent 25 4 2 2 3 3 2" xfId="40688" xr:uid="{00000000-0005-0000-0000-00003A8E0000}"/>
    <cellStyle name="Percent 25 4 2 2 3 4" xfId="28383" xr:uid="{00000000-0005-0000-0000-00003B8E0000}"/>
    <cellStyle name="Percent 25 4 2 2 4" xfId="11550" xr:uid="{00000000-0005-0000-0000-00003C8E0000}"/>
    <cellStyle name="Percent 25 4 2 2 4 2" xfId="31470" xr:uid="{00000000-0005-0000-0000-00003D8E0000}"/>
    <cellStyle name="Percent 25 4 2 2 5" xfId="17702" xr:uid="{00000000-0005-0000-0000-00003E8E0000}"/>
    <cellStyle name="Percent 25 4 2 2 5 2" xfId="37622" xr:uid="{00000000-0005-0000-0000-00003F8E0000}"/>
    <cellStyle name="Percent 25 4 2 2 6" xfId="25317" xr:uid="{00000000-0005-0000-0000-0000408E0000}"/>
    <cellStyle name="Percent 25 4 2 3" xfId="6092" xr:uid="{00000000-0005-0000-0000-0000418E0000}"/>
    <cellStyle name="Percent 25 4 2 3 2" xfId="9188" xr:uid="{00000000-0005-0000-0000-0000428E0000}"/>
    <cellStyle name="Percent 25 4 2 3 2 2" xfId="15381" xr:uid="{00000000-0005-0000-0000-0000438E0000}"/>
    <cellStyle name="Percent 25 4 2 3 2 2 2" xfId="35301" xr:uid="{00000000-0005-0000-0000-0000448E0000}"/>
    <cellStyle name="Percent 25 4 2 3 2 3" xfId="21533" xr:uid="{00000000-0005-0000-0000-0000458E0000}"/>
    <cellStyle name="Percent 25 4 2 3 2 3 2" xfId="41453" xr:uid="{00000000-0005-0000-0000-0000468E0000}"/>
    <cellStyle name="Percent 25 4 2 3 2 4" xfId="29148" xr:uid="{00000000-0005-0000-0000-0000478E0000}"/>
    <cellStyle name="Percent 25 4 2 3 3" xfId="12315" xr:uid="{00000000-0005-0000-0000-0000488E0000}"/>
    <cellStyle name="Percent 25 4 2 3 3 2" xfId="32235" xr:uid="{00000000-0005-0000-0000-0000498E0000}"/>
    <cellStyle name="Percent 25 4 2 3 4" xfId="18467" xr:uid="{00000000-0005-0000-0000-00004A8E0000}"/>
    <cellStyle name="Percent 25 4 2 3 4 2" xfId="38387" xr:uid="{00000000-0005-0000-0000-00004B8E0000}"/>
    <cellStyle name="Percent 25 4 2 3 5" xfId="26082" xr:uid="{00000000-0005-0000-0000-00004C8E0000}"/>
    <cellStyle name="Percent 25 4 2 4" xfId="7653" xr:uid="{00000000-0005-0000-0000-00004D8E0000}"/>
    <cellStyle name="Percent 25 4 2 4 2" xfId="13847" xr:uid="{00000000-0005-0000-0000-00004E8E0000}"/>
    <cellStyle name="Percent 25 4 2 4 2 2" xfId="33767" xr:uid="{00000000-0005-0000-0000-00004F8E0000}"/>
    <cellStyle name="Percent 25 4 2 4 3" xfId="19999" xr:uid="{00000000-0005-0000-0000-0000508E0000}"/>
    <cellStyle name="Percent 25 4 2 4 3 2" xfId="39919" xr:uid="{00000000-0005-0000-0000-0000518E0000}"/>
    <cellStyle name="Percent 25 4 2 4 4" xfId="27614" xr:uid="{00000000-0005-0000-0000-0000528E0000}"/>
    <cellStyle name="Percent 25 4 2 5" xfId="10781" xr:uid="{00000000-0005-0000-0000-0000538E0000}"/>
    <cellStyle name="Percent 25 4 2 5 2" xfId="30701" xr:uid="{00000000-0005-0000-0000-0000548E0000}"/>
    <cellStyle name="Percent 25 4 2 6" xfId="16933" xr:uid="{00000000-0005-0000-0000-0000558E0000}"/>
    <cellStyle name="Percent 25 4 2 6 2" xfId="36853" xr:uid="{00000000-0005-0000-0000-0000568E0000}"/>
    <cellStyle name="Percent 25 4 2 7" xfId="24548" xr:uid="{00000000-0005-0000-0000-0000578E0000}"/>
    <cellStyle name="Percent 25 5" xfId="4198" xr:uid="{00000000-0005-0000-0000-0000588E0000}"/>
    <cellStyle name="Percent 25 5 2" xfId="5247" xr:uid="{00000000-0005-0000-0000-0000598E0000}"/>
    <cellStyle name="Percent 25 5 2 2" xfId="6872" xr:uid="{00000000-0005-0000-0000-00005A8E0000}"/>
    <cellStyle name="Percent 25 5 2 2 2" xfId="9958" xr:uid="{00000000-0005-0000-0000-00005B8E0000}"/>
    <cellStyle name="Percent 25 5 2 2 2 2" xfId="16151" xr:uid="{00000000-0005-0000-0000-00005C8E0000}"/>
    <cellStyle name="Percent 25 5 2 2 2 2 2" xfId="36071" xr:uid="{00000000-0005-0000-0000-00005D8E0000}"/>
    <cellStyle name="Percent 25 5 2 2 2 3" xfId="22303" xr:uid="{00000000-0005-0000-0000-00005E8E0000}"/>
    <cellStyle name="Percent 25 5 2 2 2 3 2" xfId="42223" xr:uid="{00000000-0005-0000-0000-00005F8E0000}"/>
    <cellStyle name="Percent 25 5 2 2 2 4" xfId="29918" xr:uid="{00000000-0005-0000-0000-0000608E0000}"/>
    <cellStyle name="Percent 25 5 2 2 3" xfId="13085" xr:uid="{00000000-0005-0000-0000-0000618E0000}"/>
    <cellStyle name="Percent 25 5 2 2 3 2" xfId="33005" xr:uid="{00000000-0005-0000-0000-0000628E0000}"/>
    <cellStyle name="Percent 25 5 2 2 4" xfId="19237" xr:uid="{00000000-0005-0000-0000-0000638E0000}"/>
    <cellStyle name="Percent 25 5 2 2 4 2" xfId="39157" xr:uid="{00000000-0005-0000-0000-0000648E0000}"/>
    <cellStyle name="Percent 25 5 2 2 5" xfId="26852" xr:uid="{00000000-0005-0000-0000-0000658E0000}"/>
    <cellStyle name="Percent 25 5 2 3" xfId="8423" xr:uid="{00000000-0005-0000-0000-0000668E0000}"/>
    <cellStyle name="Percent 25 5 2 3 2" xfId="14617" xr:uid="{00000000-0005-0000-0000-0000678E0000}"/>
    <cellStyle name="Percent 25 5 2 3 2 2" xfId="34537" xr:uid="{00000000-0005-0000-0000-0000688E0000}"/>
    <cellStyle name="Percent 25 5 2 3 3" xfId="20769" xr:uid="{00000000-0005-0000-0000-0000698E0000}"/>
    <cellStyle name="Percent 25 5 2 3 3 2" xfId="40689" xr:uid="{00000000-0005-0000-0000-00006A8E0000}"/>
    <cellStyle name="Percent 25 5 2 3 4" xfId="28384" xr:uid="{00000000-0005-0000-0000-00006B8E0000}"/>
    <cellStyle name="Percent 25 5 2 4" xfId="11551" xr:uid="{00000000-0005-0000-0000-00006C8E0000}"/>
    <cellStyle name="Percent 25 5 2 4 2" xfId="31471" xr:uid="{00000000-0005-0000-0000-00006D8E0000}"/>
    <cellStyle name="Percent 25 5 2 5" xfId="17703" xr:uid="{00000000-0005-0000-0000-00006E8E0000}"/>
    <cellStyle name="Percent 25 5 2 5 2" xfId="37623" xr:uid="{00000000-0005-0000-0000-00006F8E0000}"/>
    <cellStyle name="Percent 25 5 2 6" xfId="25318" xr:uid="{00000000-0005-0000-0000-0000708E0000}"/>
    <cellStyle name="Percent 25 5 3" xfId="6093" xr:uid="{00000000-0005-0000-0000-0000718E0000}"/>
    <cellStyle name="Percent 25 5 3 2" xfId="9189" xr:uid="{00000000-0005-0000-0000-0000728E0000}"/>
    <cellStyle name="Percent 25 5 3 2 2" xfId="15382" xr:uid="{00000000-0005-0000-0000-0000738E0000}"/>
    <cellStyle name="Percent 25 5 3 2 2 2" xfId="35302" xr:uid="{00000000-0005-0000-0000-0000748E0000}"/>
    <cellStyle name="Percent 25 5 3 2 3" xfId="21534" xr:uid="{00000000-0005-0000-0000-0000758E0000}"/>
    <cellStyle name="Percent 25 5 3 2 3 2" xfId="41454" xr:uid="{00000000-0005-0000-0000-0000768E0000}"/>
    <cellStyle name="Percent 25 5 3 2 4" xfId="29149" xr:uid="{00000000-0005-0000-0000-0000778E0000}"/>
    <cellStyle name="Percent 25 5 3 3" xfId="12316" xr:uid="{00000000-0005-0000-0000-0000788E0000}"/>
    <cellStyle name="Percent 25 5 3 3 2" xfId="32236" xr:uid="{00000000-0005-0000-0000-0000798E0000}"/>
    <cellStyle name="Percent 25 5 3 4" xfId="18468" xr:uid="{00000000-0005-0000-0000-00007A8E0000}"/>
    <cellStyle name="Percent 25 5 3 4 2" xfId="38388" xr:uid="{00000000-0005-0000-0000-00007B8E0000}"/>
    <cellStyle name="Percent 25 5 3 5" xfId="26083" xr:uid="{00000000-0005-0000-0000-00007C8E0000}"/>
    <cellStyle name="Percent 25 5 4" xfId="7654" xr:uid="{00000000-0005-0000-0000-00007D8E0000}"/>
    <cellStyle name="Percent 25 5 4 2" xfId="13848" xr:uid="{00000000-0005-0000-0000-00007E8E0000}"/>
    <cellStyle name="Percent 25 5 4 2 2" xfId="33768" xr:uid="{00000000-0005-0000-0000-00007F8E0000}"/>
    <cellStyle name="Percent 25 5 4 3" xfId="20000" xr:uid="{00000000-0005-0000-0000-0000808E0000}"/>
    <cellStyle name="Percent 25 5 4 3 2" xfId="39920" xr:uid="{00000000-0005-0000-0000-0000818E0000}"/>
    <cellStyle name="Percent 25 5 4 4" xfId="27615" xr:uid="{00000000-0005-0000-0000-0000828E0000}"/>
    <cellStyle name="Percent 25 5 5" xfId="10782" xr:uid="{00000000-0005-0000-0000-0000838E0000}"/>
    <cellStyle name="Percent 25 5 5 2" xfId="30702" xr:uid="{00000000-0005-0000-0000-0000848E0000}"/>
    <cellStyle name="Percent 25 5 6" xfId="16934" xr:uid="{00000000-0005-0000-0000-0000858E0000}"/>
    <cellStyle name="Percent 25 5 6 2" xfId="36854" xr:uid="{00000000-0005-0000-0000-0000868E0000}"/>
    <cellStyle name="Percent 25 5 7" xfId="24549" xr:uid="{00000000-0005-0000-0000-0000878E0000}"/>
    <cellStyle name="Percent 26" xfId="4199" xr:uid="{00000000-0005-0000-0000-0000888E0000}"/>
    <cellStyle name="Percent 26 2" xfId="4200" xr:uid="{00000000-0005-0000-0000-0000898E0000}"/>
    <cellStyle name="Percent 26 2 2" xfId="4201" xr:uid="{00000000-0005-0000-0000-00008A8E0000}"/>
    <cellStyle name="Percent 26 2 2 2" xfId="5249" xr:uid="{00000000-0005-0000-0000-00008B8E0000}"/>
    <cellStyle name="Percent 26 2 2 2 2" xfId="6874" xr:uid="{00000000-0005-0000-0000-00008C8E0000}"/>
    <cellStyle name="Percent 26 2 2 2 2 2" xfId="9960" xr:uid="{00000000-0005-0000-0000-00008D8E0000}"/>
    <cellStyle name="Percent 26 2 2 2 2 2 2" xfId="16153" xr:uid="{00000000-0005-0000-0000-00008E8E0000}"/>
    <cellStyle name="Percent 26 2 2 2 2 2 2 2" xfId="36073" xr:uid="{00000000-0005-0000-0000-00008F8E0000}"/>
    <cellStyle name="Percent 26 2 2 2 2 2 3" xfId="22305" xr:uid="{00000000-0005-0000-0000-0000908E0000}"/>
    <cellStyle name="Percent 26 2 2 2 2 2 3 2" xfId="42225" xr:uid="{00000000-0005-0000-0000-0000918E0000}"/>
    <cellStyle name="Percent 26 2 2 2 2 2 4" xfId="29920" xr:uid="{00000000-0005-0000-0000-0000928E0000}"/>
    <cellStyle name="Percent 26 2 2 2 2 3" xfId="13087" xr:uid="{00000000-0005-0000-0000-0000938E0000}"/>
    <cellStyle name="Percent 26 2 2 2 2 3 2" xfId="33007" xr:uid="{00000000-0005-0000-0000-0000948E0000}"/>
    <cellStyle name="Percent 26 2 2 2 2 4" xfId="19239" xr:uid="{00000000-0005-0000-0000-0000958E0000}"/>
    <cellStyle name="Percent 26 2 2 2 2 4 2" xfId="39159" xr:uid="{00000000-0005-0000-0000-0000968E0000}"/>
    <cellStyle name="Percent 26 2 2 2 2 5" xfId="26854" xr:uid="{00000000-0005-0000-0000-0000978E0000}"/>
    <cellStyle name="Percent 26 2 2 2 3" xfId="8425" xr:uid="{00000000-0005-0000-0000-0000988E0000}"/>
    <cellStyle name="Percent 26 2 2 2 3 2" xfId="14619" xr:uid="{00000000-0005-0000-0000-0000998E0000}"/>
    <cellStyle name="Percent 26 2 2 2 3 2 2" xfId="34539" xr:uid="{00000000-0005-0000-0000-00009A8E0000}"/>
    <cellStyle name="Percent 26 2 2 2 3 3" xfId="20771" xr:uid="{00000000-0005-0000-0000-00009B8E0000}"/>
    <cellStyle name="Percent 26 2 2 2 3 3 2" xfId="40691" xr:uid="{00000000-0005-0000-0000-00009C8E0000}"/>
    <cellStyle name="Percent 26 2 2 2 3 4" xfId="28386" xr:uid="{00000000-0005-0000-0000-00009D8E0000}"/>
    <cellStyle name="Percent 26 2 2 2 4" xfId="11553" xr:uid="{00000000-0005-0000-0000-00009E8E0000}"/>
    <cellStyle name="Percent 26 2 2 2 4 2" xfId="31473" xr:uid="{00000000-0005-0000-0000-00009F8E0000}"/>
    <cellStyle name="Percent 26 2 2 2 5" xfId="17705" xr:uid="{00000000-0005-0000-0000-0000A08E0000}"/>
    <cellStyle name="Percent 26 2 2 2 5 2" xfId="37625" xr:uid="{00000000-0005-0000-0000-0000A18E0000}"/>
    <cellStyle name="Percent 26 2 2 2 6" xfId="25320" xr:uid="{00000000-0005-0000-0000-0000A28E0000}"/>
    <cellStyle name="Percent 26 2 2 3" xfId="6095" xr:uid="{00000000-0005-0000-0000-0000A38E0000}"/>
    <cellStyle name="Percent 26 2 2 3 2" xfId="9191" xr:uid="{00000000-0005-0000-0000-0000A48E0000}"/>
    <cellStyle name="Percent 26 2 2 3 2 2" xfId="15384" xr:uid="{00000000-0005-0000-0000-0000A58E0000}"/>
    <cellStyle name="Percent 26 2 2 3 2 2 2" xfId="35304" xr:uid="{00000000-0005-0000-0000-0000A68E0000}"/>
    <cellStyle name="Percent 26 2 2 3 2 3" xfId="21536" xr:uid="{00000000-0005-0000-0000-0000A78E0000}"/>
    <cellStyle name="Percent 26 2 2 3 2 3 2" xfId="41456" xr:uid="{00000000-0005-0000-0000-0000A88E0000}"/>
    <cellStyle name="Percent 26 2 2 3 2 4" xfId="29151" xr:uid="{00000000-0005-0000-0000-0000A98E0000}"/>
    <cellStyle name="Percent 26 2 2 3 3" xfId="12318" xr:uid="{00000000-0005-0000-0000-0000AA8E0000}"/>
    <cellStyle name="Percent 26 2 2 3 3 2" xfId="32238" xr:uid="{00000000-0005-0000-0000-0000AB8E0000}"/>
    <cellStyle name="Percent 26 2 2 3 4" xfId="18470" xr:uid="{00000000-0005-0000-0000-0000AC8E0000}"/>
    <cellStyle name="Percent 26 2 2 3 4 2" xfId="38390" xr:uid="{00000000-0005-0000-0000-0000AD8E0000}"/>
    <cellStyle name="Percent 26 2 2 3 5" xfId="26085" xr:uid="{00000000-0005-0000-0000-0000AE8E0000}"/>
    <cellStyle name="Percent 26 2 2 4" xfId="7656" xr:uid="{00000000-0005-0000-0000-0000AF8E0000}"/>
    <cellStyle name="Percent 26 2 2 4 2" xfId="13850" xr:uid="{00000000-0005-0000-0000-0000B08E0000}"/>
    <cellStyle name="Percent 26 2 2 4 2 2" xfId="33770" xr:uid="{00000000-0005-0000-0000-0000B18E0000}"/>
    <cellStyle name="Percent 26 2 2 4 3" xfId="20002" xr:uid="{00000000-0005-0000-0000-0000B28E0000}"/>
    <cellStyle name="Percent 26 2 2 4 3 2" xfId="39922" xr:uid="{00000000-0005-0000-0000-0000B38E0000}"/>
    <cellStyle name="Percent 26 2 2 4 4" xfId="27617" xr:uid="{00000000-0005-0000-0000-0000B48E0000}"/>
    <cellStyle name="Percent 26 2 2 5" xfId="10784" xr:uid="{00000000-0005-0000-0000-0000B58E0000}"/>
    <cellStyle name="Percent 26 2 2 5 2" xfId="30704" xr:uid="{00000000-0005-0000-0000-0000B68E0000}"/>
    <cellStyle name="Percent 26 2 2 6" xfId="16936" xr:uid="{00000000-0005-0000-0000-0000B78E0000}"/>
    <cellStyle name="Percent 26 2 2 6 2" xfId="36856" xr:uid="{00000000-0005-0000-0000-0000B88E0000}"/>
    <cellStyle name="Percent 26 2 2 7" xfId="24551" xr:uid="{00000000-0005-0000-0000-0000B98E0000}"/>
    <cellStyle name="Percent 26 2 3" xfId="5248" xr:uid="{00000000-0005-0000-0000-0000BA8E0000}"/>
    <cellStyle name="Percent 26 2 3 2" xfId="6873" xr:uid="{00000000-0005-0000-0000-0000BB8E0000}"/>
    <cellStyle name="Percent 26 2 3 2 2" xfId="9959" xr:uid="{00000000-0005-0000-0000-0000BC8E0000}"/>
    <cellStyle name="Percent 26 2 3 2 2 2" xfId="16152" xr:uid="{00000000-0005-0000-0000-0000BD8E0000}"/>
    <cellStyle name="Percent 26 2 3 2 2 2 2" xfId="36072" xr:uid="{00000000-0005-0000-0000-0000BE8E0000}"/>
    <cellStyle name="Percent 26 2 3 2 2 3" xfId="22304" xr:uid="{00000000-0005-0000-0000-0000BF8E0000}"/>
    <cellStyle name="Percent 26 2 3 2 2 3 2" xfId="42224" xr:uid="{00000000-0005-0000-0000-0000C08E0000}"/>
    <cellStyle name="Percent 26 2 3 2 2 4" xfId="29919" xr:uid="{00000000-0005-0000-0000-0000C18E0000}"/>
    <cellStyle name="Percent 26 2 3 2 3" xfId="13086" xr:uid="{00000000-0005-0000-0000-0000C28E0000}"/>
    <cellStyle name="Percent 26 2 3 2 3 2" xfId="33006" xr:uid="{00000000-0005-0000-0000-0000C38E0000}"/>
    <cellStyle name="Percent 26 2 3 2 4" xfId="19238" xr:uid="{00000000-0005-0000-0000-0000C48E0000}"/>
    <cellStyle name="Percent 26 2 3 2 4 2" xfId="39158" xr:uid="{00000000-0005-0000-0000-0000C58E0000}"/>
    <cellStyle name="Percent 26 2 3 2 5" xfId="26853" xr:uid="{00000000-0005-0000-0000-0000C68E0000}"/>
    <cellStyle name="Percent 26 2 3 3" xfId="8424" xr:uid="{00000000-0005-0000-0000-0000C78E0000}"/>
    <cellStyle name="Percent 26 2 3 3 2" xfId="14618" xr:uid="{00000000-0005-0000-0000-0000C88E0000}"/>
    <cellStyle name="Percent 26 2 3 3 2 2" xfId="34538" xr:uid="{00000000-0005-0000-0000-0000C98E0000}"/>
    <cellStyle name="Percent 26 2 3 3 3" xfId="20770" xr:uid="{00000000-0005-0000-0000-0000CA8E0000}"/>
    <cellStyle name="Percent 26 2 3 3 3 2" xfId="40690" xr:uid="{00000000-0005-0000-0000-0000CB8E0000}"/>
    <cellStyle name="Percent 26 2 3 3 4" xfId="28385" xr:uid="{00000000-0005-0000-0000-0000CC8E0000}"/>
    <cellStyle name="Percent 26 2 3 4" xfId="11552" xr:uid="{00000000-0005-0000-0000-0000CD8E0000}"/>
    <cellStyle name="Percent 26 2 3 4 2" xfId="31472" xr:uid="{00000000-0005-0000-0000-0000CE8E0000}"/>
    <cellStyle name="Percent 26 2 3 5" xfId="17704" xr:uid="{00000000-0005-0000-0000-0000CF8E0000}"/>
    <cellStyle name="Percent 26 2 3 5 2" xfId="37624" xr:uid="{00000000-0005-0000-0000-0000D08E0000}"/>
    <cellStyle name="Percent 26 2 3 6" xfId="25319" xr:uid="{00000000-0005-0000-0000-0000D18E0000}"/>
    <cellStyle name="Percent 26 2 4" xfId="6094" xr:uid="{00000000-0005-0000-0000-0000D28E0000}"/>
    <cellStyle name="Percent 26 2 4 2" xfId="9190" xr:uid="{00000000-0005-0000-0000-0000D38E0000}"/>
    <cellStyle name="Percent 26 2 4 2 2" xfId="15383" xr:uid="{00000000-0005-0000-0000-0000D48E0000}"/>
    <cellStyle name="Percent 26 2 4 2 2 2" xfId="35303" xr:uid="{00000000-0005-0000-0000-0000D58E0000}"/>
    <cellStyle name="Percent 26 2 4 2 3" xfId="21535" xr:uid="{00000000-0005-0000-0000-0000D68E0000}"/>
    <cellStyle name="Percent 26 2 4 2 3 2" xfId="41455" xr:uid="{00000000-0005-0000-0000-0000D78E0000}"/>
    <cellStyle name="Percent 26 2 4 2 4" xfId="29150" xr:uid="{00000000-0005-0000-0000-0000D88E0000}"/>
    <cellStyle name="Percent 26 2 4 3" xfId="12317" xr:uid="{00000000-0005-0000-0000-0000D98E0000}"/>
    <cellStyle name="Percent 26 2 4 3 2" xfId="32237" xr:uid="{00000000-0005-0000-0000-0000DA8E0000}"/>
    <cellStyle name="Percent 26 2 4 4" xfId="18469" xr:uid="{00000000-0005-0000-0000-0000DB8E0000}"/>
    <cellStyle name="Percent 26 2 4 4 2" xfId="38389" xr:uid="{00000000-0005-0000-0000-0000DC8E0000}"/>
    <cellStyle name="Percent 26 2 4 5" xfId="26084" xr:uid="{00000000-0005-0000-0000-0000DD8E0000}"/>
    <cellStyle name="Percent 26 2 5" xfId="7655" xr:uid="{00000000-0005-0000-0000-0000DE8E0000}"/>
    <cellStyle name="Percent 26 2 5 2" xfId="13849" xr:uid="{00000000-0005-0000-0000-0000DF8E0000}"/>
    <cellStyle name="Percent 26 2 5 2 2" xfId="33769" xr:uid="{00000000-0005-0000-0000-0000E08E0000}"/>
    <cellStyle name="Percent 26 2 5 3" xfId="20001" xr:uid="{00000000-0005-0000-0000-0000E18E0000}"/>
    <cellStyle name="Percent 26 2 5 3 2" xfId="39921" xr:uid="{00000000-0005-0000-0000-0000E28E0000}"/>
    <cellStyle name="Percent 26 2 5 4" xfId="27616" xr:uid="{00000000-0005-0000-0000-0000E38E0000}"/>
    <cellStyle name="Percent 26 2 6" xfId="10783" xr:uid="{00000000-0005-0000-0000-0000E48E0000}"/>
    <cellStyle name="Percent 26 2 6 2" xfId="30703" xr:uid="{00000000-0005-0000-0000-0000E58E0000}"/>
    <cellStyle name="Percent 26 2 7" xfId="16935" xr:uid="{00000000-0005-0000-0000-0000E68E0000}"/>
    <cellStyle name="Percent 26 2 7 2" xfId="36855" xr:uid="{00000000-0005-0000-0000-0000E78E0000}"/>
    <cellStyle name="Percent 26 2 8" xfId="24550" xr:uid="{00000000-0005-0000-0000-0000E88E0000}"/>
    <cellStyle name="Percent 26 3" xfId="4202" xr:uid="{00000000-0005-0000-0000-0000E98E0000}"/>
    <cellStyle name="Percent 26 3 2" xfId="4203" xr:uid="{00000000-0005-0000-0000-0000EA8E0000}"/>
    <cellStyle name="Percent 26 3 2 2" xfId="5251" xr:uid="{00000000-0005-0000-0000-0000EB8E0000}"/>
    <cellStyle name="Percent 26 3 2 2 2" xfId="6876" xr:uid="{00000000-0005-0000-0000-0000EC8E0000}"/>
    <cellStyle name="Percent 26 3 2 2 2 2" xfId="9962" xr:uid="{00000000-0005-0000-0000-0000ED8E0000}"/>
    <cellStyle name="Percent 26 3 2 2 2 2 2" xfId="16155" xr:uid="{00000000-0005-0000-0000-0000EE8E0000}"/>
    <cellStyle name="Percent 26 3 2 2 2 2 2 2" xfId="36075" xr:uid="{00000000-0005-0000-0000-0000EF8E0000}"/>
    <cellStyle name="Percent 26 3 2 2 2 2 3" xfId="22307" xr:uid="{00000000-0005-0000-0000-0000F08E0000}"/>
    <cellStyle name="Percent 26 3 2 2 2 2 3 2" xfId="42227" xr:uid="{00000000-0005-0000-0000-0000F18E0000}"/>
    <cellStyle name="Percent 26 3 2 2 2 2 4" xfId="29922" xr:uid="{00000000-0005-0000-0000-0000F28E0000}"/>
    <cellStyle name="Percent 26 3 2 2 2 3" xfId="13089" xr:uid="{00000000-0005-0000-0000-0000F38E0000}"/>
    <cellStyle name="Percent 26 3 2 2 2 3 2" xfId="33009" xr:uid="{00000000-0005-0000-0000-0000F48E0000}"/>
    <cellStyle name="Percent 26 3 2 2 2 4" xfId="19241" xr:uid="{00000000-0005-0000-0000-0000F58E0000}"/>
    <cellStyle name="Percent 26 3 2 2 2 4 2" xfId="39161" xr:uid="{00000000-0005-0000-0000-0000F68E0000}"/>
    <cellStyle name="Percent 26 3 2 2 2 5" xfId="26856" xr:uid="{00000000-0005-0000-0000-0000F78E0000}"/>
    <cellStyle name="Percent 26 3 2 2 3" xfId="8427" xr:uid="{00000000-0005-0000-0000-0000F88E0000}"/>
    <cellStyle name="Percent 26 3 2 2 3 2" xfId="14621" xr:uid="{00000000-0005-0000-0000-0000F98E0000}"/>
    <cellStyle name="Percent 26 3 2 2 3 2 2" xfId="34541" xr:uid="{00000000-0005-0000-0000-0000FA8E0000}"/>
    <cellStyle name="Percent 26 3 2 2 3 3" xfId="20773" xr:uid="{00000000-0005-0000-0000-0000FB8E0000}"/>
    <cellStyle name="Percent 26 3 2 2 3 3 2" xfId="40693" xr:uid="{00000000-0005-0000-0000-0000FC8E0000}"/>
    <cellStyle name="Percent 26 3 2 2 3 4" xfId="28388" xr:uid="{00000000-0005-0000-0000-0000FD8E0000}"/>
    <cellStyle name="Percent 26 3 2 2 4" xfId="11555" xr:uid="{00000000-0005-0000-0000-0000FE8E0000}"/>
    <cellStyle name="Percent 26 3 2 2 4 2" xfId="31475" xr:uid="{00000000-0005-0000-0000-0000FF8E0000}"/>
    <cellStyle name="Percent 26 3 2 2 5" xfId="17707" xr:uid="{00000000-0005-0000-0000-0000008F0000}"/>
    <cellStyle name="Percent 26 3 2 2 5 2" xfId="37627" xr:uid="{00000000-0005-0000-0000-0000018F0000}"/>
    <cellStyle name="Percent 26 3 2 2 6" xfId="25322" xr:uid="{00000000-0005-0000-0000-0000028F0000}"/>
    <cellStyle name="Percent 26 3 2 3" xfId="6097" xr:uid="{00000000-0005-0000-0000-0000038F0000}"/>
    <cellStyle name="Percent 26 3 2 3 2" xfId="9193" xr:uid="{00000000-0005-0000-0000-0000048F0000}"/>
    <cellStyle name="Percent 26 3 2 3 2 2" xfId="15386" xr:uid="{00000000-0005-0000-0000-0000058F0000}"/>
    <cellStyle name="Percent 26 3 2 3 2 2 2" xfId="35306" xr:uid="{00000000-0005-0000-0000-0000068F0000}"/>
    <cellStyle name="Percent 26 3 2 3 2 3" xfId="21538" xr:uid="{00000000-0005-0000-0000-0000078F0000}"/>
    <cellStyle name="Percent 26 3 2 3 2 3 2" xfId="41458" xr:uid="{00000000-0005-0000-0000-0000088F0000}"/>
    <cellStyle name="Percent 26 3 2 3 2 4" xfId="29153" xr:uid="{00000000-0005-0000-0000-0000098F0000}"/>
    <cellStyle name="Percent 26 3 2 3 3" xfId="12320" xr:uid="{00000000-0005-0000-0000-00000A8F0000}"/>
    <cellStyle name="Percent 26 3 2 3 3 2" xfId="32240" xr:uid="{00000000-0005-0000-0000-00000B8F0000}"/>
    <cellStyle name="Percent 26 3 2 3 4" xfId="18472" xr:uid="{00000000-0005-0000-0000-00000C8F0000}"/>
    <cellStyle name="Percent 26 3 2 3 4 2" xfId="38392" xr:uid="{00000000-0005-0000-0000-00000D8F0000}"/>
    <cellStyle name="Percent 26 3 2 3 5" xfId="26087" xr:uid="{00000000-0005-0000-0000-00000E8F0000}"/>
    <cellStyle name="Percent 26 3 2 4" xfId="7658" xr:uid="{00000000-0005-0000-0000-00000F8F0000}"/>
    <cellStyle name="Percent 26 3 2 4 2" xfId="13852" xr:uid="{00000000-0005-0000-0000-0000108F0000}"/>
    <cellStyle name="Percent 26 3 2 4 2 2" xfId="33772" xr:uid="{00000000-0005-0000-0000-0000118F0000}"/>
    <cellStyle name="Percent 26 3 2 4 3" xfId="20004" xr:uid="{00000000-0005-0000-0000-0000128F0000}"/>
    <cellStyle name="Percent 26 3 2 4 3 2" xfId="39924" xr:uid="{00000000-0005-0000-0000-0000138F0000}"/>
    <cellStyle name="Percent 26 3 2 4 4" xfId="27619" xr:uid="{00000000-0005-0000-0000-0000148F0000}"/>
    <cellStyle name="Percent 26 3 2 5" xfId="10786" xr:uid="{00000000-0005-0000-0000-0000158F0000}"/>
    <cellStyle name="Percent 26 3 2 5 2" xfId="30706" xr:uid="{00000000-0005-0000-0000-0000168F0000}"/>
    <cellStyle name="Percent 26 3 2 6" xfId="16938" xr:uid="{00000000-0005-0000-0000-0000178F0000}"/>
    <cellStyle name="Percent 26 3 2 6 2" xfId="36858" xr:uid="{00000000-0005-0000-0000-0000188F0000}"/>
    <cellStyle name="Percent 26 3 2 7" xfId="24553" xr:uid="{00000000-0005-0000-0000-0000198F0000}"/>
    <cellStyle name="Percent 26 3 3" xfId="5250" xr:uid="{00000000-0005-0000-0000-00001A8F0000}"/>
    <cellStyle name="Percent 26 3 3 2" xfId="6875" xr:uid="{00000000-0005-0000-0000-00001B8F0000}"/>
    <cellStyle name="Percent 26 3 3 2 2" xfId="9961" xr:uid="{00000000-0005-0000-0000-00001C8F0000}"/>
    <cellStyle name="Percent 26 3 3 2 2 2" xfId="16154" xr:uid="{00000000-0005-0000-0000-00001D8F0000}"/>
    <cellStyle name="Percent 26 3 3 2 2 2 2" xfId="36074" xr:uid="{00000000-0005-0000-0000-00001E8F0000}"/>
    <cellStyle name="Percent 26 3 3 2 2 3" xfId="22306" xr:uid="{00000000-0005-0000-0000-00001F8F0000}"/>
    <cellStyle name="Percent 26 3 3 2 2 3 2" xfId="42226" xr:uid="{00000000-0005-0000-0000-0000208F0000}"/>
    <cellStyle name="Percent 26 3 3 2 2 4" xfId="29921" xr:uid="{00000000-0005-0000-0000-0000218F0000}"/>
    <cellStyle name="Percent 26 3 3 2 3" xfId="13088" xr:uid="{00000000-0005-0000-0000-0000228F0000}"/>
    <cellStyle name="Percent 26 3 3 2 3 2" xfId="33008" xr:uid="{00000000-0005-0000-0000-0000238F0000}"/>
    <cellStyle name="Percent 26 3 3 2 4" xfId="19240" xr:uid="{00000000-0005-0000-0000-0000248F0000}"/>
    <cellStyle name="Percent 26 3 3 2 4 2" xfId="39160" xr:uid="{00000000-0005-0000-0000-0000258F0000}"/>
    <cellStyle name="Percent 26 3 3 2 5" xfId="26855" xr:uid="{00000000-0005-0000-0000-0000268F0000}"/>
    <cellStyle name="Percent 26 3 3 3" xfId="8426" xr:uid="{00000000-0005-0000-0000-0000278F0000}"/>
    <cellStyle name="Percent 26 3 3 3 2" xfId="14620" xr:uid="{00000000-0005-0000-0000-0000288F0000}"/>
    <cellStyle name="Percent 26 3 3 3 2 2" xfId="34540" xr:uid="{00000000-0005-0000-0000-0000298F0000}"/>
    <cellStyle name="Percent 26 3 3 3 3" xfId="20772" xr:uid="{00000000-0005-0000-0000-00002A8F0000}"/>
    <cellStyle name="Percent 26 3 3 3 3 2" xfId="40692" xr:uid="{00000000-0005-0000-0000-00002B8F0000}"/>
    <cellStyle name="Percent 26 3 3 3 4" xfId="28387" xr:uid="{00000000-0005-0000-0000-00002C8F0000}"/>
    <cellStyle name="Percent 26 3 3 4" xfId="11554" xr:uid="{00000000-0005-0000-0000-00002D8F0000}"/>
    <cellStyle name="Percent 26 3 3 4 2" xfId="31474" xr:uid="{00000000-0005-0000-0000-00002E8F0000}"/>
    <cellStyle name="Percent 26 3 3 5" xfId="17706" xr:uid="{00000000-0005-0000-0000-00002F8F0000}"/>
    <cellStyle name="Percent 26 3 3 5 2" xfId="37626" xr:uid="{00000000-0005-0000-0000-0000308F0000}"/>
    <cellStyle name="Percent 26 3 3 6" xfId="25321" xr:uid="{00000000-0005-0000-0000-0000318F0000}"/>
    <cellStyle name="Percent 26 3 4" xfId="6096" xr:uid="{00000000-0005-0000-0000-0000328F0000}"/>
    <cellStyle name="Percent 26 3 4 2" xfId="9192" xr:uid="{00000000-0005-0000-0000-0000338F0000}"/>
    <cellStyle name="Percent 26 3 4 2 2" xfId="15385" xr:uid="{00000000-0005-0000-0000-0000348F0000}"/>
    <cellStyle name="Percent 26 3 4 2 2 2" xfId="35305" xr:uid="{00000000-0005-0000-0000-0000358F0000}"/>
    <cellStyle name="Percent 26 3 4 2 3" xfId="21537" xr:uid="{00000000-0005-0000-0000-0000368F0000}"/>
    <cellStyle name="Percent 26 3 4 2 3 2" xfId="41457" xr:uid="{00000000-0005-0000-0000-0000378F0000}"/>
    <cellStyle name="Percent 26 3 4 2 4" xfId="29152" xr:uid="{00000000-0005-0000-0000-0000388F0000}"/>
    <cellStyle name="Percent 26 3 4 3" xfId="12319" xr:uid="{00000000-0005-0000-0000-0000398F0000}"/>
    <cellStyle name="Percent 26 3 4 3 2" xfId="32239" xr:uid="{00000000-0005-0000-0000-00003A8F0000}"/>
    <cellStyle name="Percent 26 3 4 4" xfId="18471" xr:uid="{00000000-0005-0000-0000-00003B8F0000}"/>
    <cellStyle name="Percent 26 3 4 4 2" xfId="38391" xr:uid="{00000000-0005-0000-0000-00003C8F0000}"/>
    <cellStyle name="Percent 26 3 4 5" xfId="26086" xr:uid="{00000000-0005-0000-0000-00003D8F0000}"/>
    <cellStyle name="Percent 26 3 5" xfId="7657" xr:uid="{00000000-0005-0000-0000-00003E8F0000}"/>
    <cellStyle name="Percent 26 3 5 2" xfId="13851" xr:uid="{00000000-0005-0000-0000-00003F8F0000}"/>
    <cellStyle name="Percent 26 3 5 2 2" xfId="33771" xr:uid="{00000000-0005-0000-0000-0000408F0000}"/>
    <cellStyle name="Percent 26 3 5 3" xfId="20003" xr:uid="{00000000-0005-0000-0000-0000418F0000}"/>
    <cellStyle name="Percent 26 3 5 3 2" xfId="39923" xr:uid="{00000000-0005-0000-0000-0000428F0000}"/>
    <cellStyle name="Percent 26 3 5 4" xfId="27618" xr:uid="{00000000-0005-0000-0000-0000438F0000}"/>
    <cellStyle name="Percent 26 3 6" xfId="10785" xr:uid="{00000000-0005-0000-0000-0000448F0000}"/>
    <cellStyle name="Percent 26 3 6 2" xfId="30705" xr:uid="{00000000-0005-0000-0000-0000458F0000}"/>
    <cellStyle name="Percent 26 3 7" xfId="16937" xr:uid="{00000000-0005-0000-0000-0000468F0000}"/>
    <cellStyle name="Percent 26 3 7 2" xfId="36857" xr:uid="{00000000-0005-0000-0000-0000478F0000}"/>
    <cellStyle name="Percent 26 3 8" xfId="24552" xr:uid="{00000000-0005-0000-0000-0000488F0000}"/>
    <cellStyle name="Percent 26 4" xfId="4204" xr:uid="{00000000-0005-0000-0000-0000498F0000}"/>
    <cellStyle name="Percent 26 4 2" xfId="4205" xr:uid="{00000000-0005-0000-0000-00004A8F0000}"/>
    <cellStyle name="Percent 26 4 2 2" xfId="5252" xr:uid="{00000000-0005-0000-0000-00004B8F0000}"/>
    <cellStyle name="Percent 26 4 2 2 2" xfId="6877" xr:uid="{00000000-0005-0000-0000-00004C8F0000}"/>
    <cellStyle name="Percent 26 4 2 2 2 2" xfId="9963" xr:uid="{00000000-0005-0000-0000-00004D8F0000}"/>
    <cellStyle name="Percent 26 4 2 2 2 2 2" xfId="16156" xr:uid="{00000000-0005-0000-0000-00004E8F0000}"/>
    <cellStyle name="Percent 26 4 2 2 2 2 2 2" xfId="36076" xr:uid="{00000000-0005-0000-0000-00004F8F0000}"/>
    <cellStyle name="Percent 26 4 2 2 2 2 3" xfId="22308" xr:uid="{00000000-0005-0000-0000-0000508F0000}"/>
    <cellStyle name="Percent 26 4 2 2 2 2 3 2" xfId="42228" xr:uid="{00000000-0005-0000-0000-0000518F0000}"/>
    <cellStyle name="Percent 26 4 2 2 2 2 4" xfId="29923" xr:uid="{00000000-0005-0000-0000-0000528F0000}"/>
    <cellStyle name="Percent 26 4 2 2 2 3" xfId="13090" xr:uid="{00000000-0005-0000-0000-0000538F0000}"/>
    <cellStyle name="Percent 26 4 2 2 2 3 2" xfId="33010" xr:uid="{00000000-0005-0000-0000-0000548F0000}"/>
    <cellStyle name="Percent 26 4 2 2 2 4" xfId="19242" xr:uid="{00000000-0005-0000-0000-0000558F0000}"/>
    <cellStyle name="Percent 26 4 2 2 2 4 2" xfId="39162" xr:uid="{00000000-0005-0000-0000-0000568F0000}"/>
    <cellStyle name="Percent 26 4 2 2 2 5" xfId="26857" xr:uid="{00000000-0005-0000-0000-0000578F0000}"/>
    <cellStyle name="Percent 26 4 2 2 3" xfId="8428" xr:uid="{00000000-0005-0000-0000-0000588F0000}"/>
    <cellStyle name="Percent 26 4 2 2 3 2" xfId="14622" xr:uid="{00000000-0005-0000-0000-0000598F0000}"/>
    <cellStyle name="Percent 26 4 2 2 3 2 2" xfId="34542" xr:uid="{00000000-0005-0000-0000-00005A8F0000}"/>
    <cellStyle name="Percent 26 4 2 2 3 3" xfId="20774" xr:uid="{00000000-0005-0000-0000-00005B8F0000}"/>
    <cellStyle name="Percent 26 4 2 2 3 3 2" xfId="40694" xr:uid="{00000000-0005-0000-0000-00005C8F0000}"/>
    <cellStyle name="Percent 26 4 2 2 3 4" xfId="28389" xr:uid="{00000000-0005-0000-0000-00005D8F0000}"/>
    <cellStyle name="Percent 26 4 2 2 4" xfId="11556" xr:uid="{00000000-0005-0000-0000-00005E8F0000}"/>
    <cellStyle name="Percent 26 4 2 2 4 2" xfId="31476" xr:uid="{00000000-0005-0000-0000-00005F8F0000}"/>
    <cellStyle name="Percent 26 4 2 2 5" xfId="17708" xr:uid="{00000000-0005-0000-0000-0000608F0000}"/>
    <cellStyle name="Percent 26 4 2 2 5 2" xfId="37628" xr:uid="{00000000-0005-0000-0000-0000618F0000}"/>
    <cellStyle name="Percent 26 4 2 2 6" xfId="25323" xr:uid="{00000000-0005-0000-0000-0000628F0000}"/>
    <cellStyle name="Percent 26 4 2 3" xfId="6098" xr:uid="{00000000-0005-0000-0000-0000638F0000}"/>
    <cellStyle name="Percent 26 4 2 3 2" xfId="9194" xr:uid="{00000000-0005-0000-0000-0000648F0000}"/>
    <cellStyle name="Percent 26 4 2 3 2 2" xfId="15387" xr:uid="{00000000-0005-0000-0000-0000658F0000}"/>
    <cellStyle name="Percent 26 4 2 3 2 2 2" xfId="35307" xr:uid="{00000000-0005-0000-0000-0000668F0000}"/>
    <cellStyle name="Percent 26 4 2 3 2 3" xfId="21539" xr:uid="{00000000-0005-0000-0000-0000678F0000}"/>
    <cellStyle name="Percent 26 4 2 3 2 3 2" xfId="41459" xr:uid="{00000000-0005-0000-0000-0000688F0000}"/>
    <cellStyle name="Percent 26 4 2 3 2 4" xfId="29154" xr:uid="{00000000-0005-0000-0000-0000698F0000}"/>
    <cellStyle name="Percent 26 4 2 3 3" xfId="12321" xr:uid="{00000000-0005-0000-0000-00006A8F0000}"/>
    <cellStyle name="Percent 26 4 2 3 3 2" xfId="32241" xr:uid="{00000000-0005-0000-0000-00006B8F0000}"/>
    <cellStyle name="Percent 26 4 2 3 4" xfId="18473" xr:uid="{00000000-0005-0000-0000-00006C8F0000}"/>
    <cellStyle name="Percent 26 4 2 3 4 2" xfId="38393" xr:uid="{00000000-0005-0000-0000-00006D8F0000}"/>
    <cellStyle name="Percent 26 4 2 3 5" xfId="26088" xr:uid="{00000000-0005-0000-0000-00006E8F0000}"/>
    <cellStyle name="Percent 26 4 2 4" xfId="7659" xr:uid="{00000000-0005-0000-0000-00006F8F0000}"/>
    <cellStyle name="Percent 26 4 2 4 2" xfId="13853" xr:uid="{00000000-0005-0000-0000-0000708F0000}"/>
    <cellStyle name="Percent 26 4 2 4 2 2" xfId="33773" xr:uid="{00000000-0005-0000-0000-0000718F0000}"/>
    <cellStyle name="Percent 26 4 2 4 3" xfId="20005" xr:uid="{00000000-0005-0000-0000-0000728F0000}"/>
    <cellStyle name="Percent 26 4 2 4 3 2" xfId="39925" xr:uid="{00000000-0005-0000-0000-0000738F0000}"/>
    <cellStyle name="Percent 26 4 2 4 4" xfId="27620" xr:uid="{00000000-0005-0000-0000-0000748F0000}"/>
    <cellStyle name="Percent 26 4 2 5" xfId="10787" xr:uid="{00000000-0005-0000-0000-0000758F0000}"/>
    <cellStyle name="Percent 26 4 2 5 2" xfId="30707" xr:uid="{00000000-0005-0000-0000-0000768F0000}"/>
    <cellStyle name="Percent 26 4 2 6" xfId="16939" xr:uid="{00000000-0005-0000-0000-0000778F0000}"/>
    <cellStyle name="Percent 26 4 2 6 2" xfId="36859" xr:uid="{00000000-0005-0000-0000-0000788F0000}"/>
    <cellStyle name="Percent 26 4 2 7" xfId="24554" xr:uid="{00000000-0005-0000-0000-0000798F0000}"/>
    <cellStyle name="Percent 26 5" xfId="4206" xr:uid="{00000000-0005-0000-0000-00007A8F0000}"/>
    <cellStyle name="Percent 26 5 2" xfId="5253" xr:uid="{00000000-0005-0000-0000-00007B8F0000}"/>
    <cellStyle name="Percent 26 5 2 2" xfId="6878" xr:uid="{00000000-0005-0000-0000-00007C8F0000}"/>
    <cellStyle name="Percent 26 5 2 2 2" xfId="9964" xr:uid="{00000000-0005-0000-0000-00007D8F0000}"/>
    <cellStyle name="Percent 26 5 2 2 2 2" xfId="16157" xr:uid="{00000000-0005-0000-0000-00007E8F0000}"/>
    <cellStyle name="Percent 26 5 2 2 2 2 2" xfId="36077" xr:uid="{00000000-0005-0000-0000-00007F8F0000}"/>
    <cellStyle name="Percent 26 5 2 2 2 3" xfId="22309" xr:uid="{00000000-0005-0000-0000-0000808F0000}"/>
    <cellStyle name="Percent 26 5 2 2 2 3 2" xfId="42229" xr:uid="{00000000-0005-0000-0000-0000818F0000}"/>
    <cellStyle name="Percent 26 5 2 2 2 4" xfId="29924" xr:uid="{00000000-0005-0000-0000-0000828F0000}"/>
    <cellStyle name="Percent 26 5 2 2 3" xfId="13091" xr:uid="{00000000-0005-0000-0000-0000838F0000}"/>
    <cellStyle name="Percent 26 5 2 2 3 2" xfId="33011" xr:uid="{00000000-0005-0000-0000-0000848F0000}"/>
    <cellStyle name="Percent 26 5 2 2 4" xfId="19243" xr:uid="{00000000-0005-0000-0000-0000858F0000}"/>
    <cellStyle name="Percent 26 5 2 2 4 2" xfId="39163" xr:uid="{00000000-0005-0000-0000-0000868F0000}"/>
    <cellStyle name="Percent 26 5 2 2 5" xfId="26858" xr:uid="{00000000-0005-0000-0000-0000878F0000}"/>
    <cellStyle name="Percent 26 5 2 3" xfId="8429" xr:uid="{00000000-0005-0000-0000-0000888F0000}"/>
    <cellStyle name="Percent 26 5 2 3 2" xfId="14623" xr:uid="{00000000-0005-0000-0000-0000898F0000}"/>
    <cellStyle name="Percent 26 5 2 3 2 2" xfId="34543" xr:uid="{00000000-0005-0000-0000-00008A8F0000}"/>
    <cellStyle name="Percent 26 5 2 3 3" xfId="20775" xr:uid="{00000000-0005-0000-0000-00008B8F0000}"/>
    <cellStyle name="Percent 26 5 2 3 3 2" xfId="40695" xr:uid="{00000000-0005-0000-0000-00008C8F0000}"/>
    <cellStyle name="Percent 26 5 2 3 4" xfId="28390" xr:uid="{00000000-0005-0000-0000-00008D8F0000}"/>
    <cellStyle name="Percent 26 5 2 4" xfId="11557" xr:uid="{00000000-0005-0000-0000-00008E8F0000}"/>
    <cellStyle name="Percent 26 5 2 4 2" xfId="31477" xr:uid="{00000000-0005-0000-0000-00008F8F0000}"/>
    <cellStyle name="Percent 26 5 2 5" xfId="17709" xr:uid="{00000000-0005-0000-0000-0000908F0000}"/>
    <cellStyle name="Percent 26 5 2 5 2" xfId="37629" xr:uid="{00000000-0005-0000-0000-0000918F0000}"/>
    <cellStyle name="Percent 26 5 2 6" xfId="25324" xr:uid="{00000000-0005-0000-0000-0000928F0000}"/>
    <cellStyle name="Percent 26 5 3" xfId="6099" xr:uid="{00000000-0005-0000-0000-0000938F0000}"/>
    <cellStyle name="Percent 26 5 3 2" xfId="9195" xr:uid="{00000000-0005-0000-0000-0000948F0000}"/>
    <cellStyle name="Percent 26 5 3 2 2" xfId="15388" xr:uid="{00000000-0005-0000-0000-0000958F0000}"/>
    <cellStyle name="Percent 26 5 3 2 2 2" xfId="35308" xr:uid="{00000000-0005-0000-0000-0000968F0000}"/>
    <cellStyle name="Percent 26 5 3 2 3" xfId="21540" xr:uid="{00000000-0005-0000-0000-0000978F0000}"/>
    <cellStyle name="Percent 26 5 3 2 3 2" xfId="41460" xr:uid="{00000000-0005-0000-0000-0000988F0000}"/>
    <cellStyle name="Percent 26 5 3 2 4" xfId="29155" xr:uid="{00000000-0005-0000-0000-0000998F0000}"/>
    <cellStyle name="Percent 26 5 3 3" xfId="12322" xr:uid="{00000000-0005-0000-0000-00009A8F0000}"/>
    <cellStyle name="Percent 26 5 3 3 2" xfId="32242" xr:uid="{00000000-0005-0000-0000-00009B8F0000}"/>
    <cellStyle name="Percent 26 5 3 4" xfId="18474" xr:uid="{00000000-0005-0000-0000-00009C8F0000}"/>
    <cellStyle name="Percent 26 5 3 4 2" xfId="38394" xr:uid="{00000000-0005-0000-0000-00009D8F0000}"/>
    <cellStyle name="Percent 26 5 3 5" xfId="26089" xr:uid="{00000000-0005-0000-0000-00009E8F0000}"/>
    <cellStyle name="Percent 26 5 4" xfId="7660" xr:uid="{00000000-0005-0000-0000-00009F8F0000}"/>
    <cellStyle name="Percent 26 5 4 2" xfId="13854" xr:uid="{00000000-0005-0000-0000-0000A08F0000}"/>
    <cellStyle name="Percent 26 5 4 2 2" xfId="33774" xr:uid="{00000000-0005-0000-0000-0000A18F0000}"/>
    <cellStyle name="Percent 26 5 4 3" xfId="20006" xr:uid="{00000000-0005-0000-0000-0000A28F0000}"/>
    <cellStyle name="Percent 26 5 4 3 2" xfId="39926" xr:uid="{00000000-0005-0000-0000-0000A38F0000}"/>
    <cellStyle name="Percent 26 5 4 4" xfId="27621" xr:uid="{00000000-0005-0000-0000-0000A48F0000}"/>
    <cellStyle name="Percent 26 5 5" xfId="10788" xr:uid="{00000000-0005-0000-0000-0000A58F0000}"/>
    <cellStyle name="Percent 26 5 5 2" xfId="30708" xr:uid="{00000000-0005-0000-0000-0000A68F0000}"/>
    <cellStyle name="Percent 26 5 6" xfId="16940" xr:uid="{00000000-0005-0000-0000-0000A78F0000}"/>
    <cellStyle name="Percent 26 5 6 2" xfId="36860" xr:uid="{00000000-0005-0000-0000-0000A88F0000}"/>
    <cellStyle name="Percent 26 5 7" xfId="24555" xr:uid="{00000000-0005-0000-0000-0000A98F0000}"/>
    <cellStyle name="Percent 27" xfId="4207" xr:uid="{00000000-0005-0000-0000-0000AA8F0000}"/>
    <cellStyle name="Percent 27 2" xfId="4208" xr:uid="{00000000-0005-0000-0000-0000AB8F0000}"/>
    <cellStyle name="Percent 27 2 2" xfId="4209" xr:uid="{00000000-0005-0000-0000-0000AC8F0000}"/>
    <cellStyle name="Percent 27 2 2 2" xfId="5255" xr:uid="{00000000-0005-0000-0000-0000AD8F0000}"/>
    <cellStyle name="Percent 27 2 2 2 2" xfId="6880" xr:uid="{00000000-0005-0000-0000-0000AE8F0000}"/>
    <cellStyle name="Percent 27 2 2 2 2 2" xfId="9966" xr:uid="{00000000-0005-0000-0000-0000AF8F0000}"/>
    <cellStyle name="Percent 27 2 2 2 2 2 2" xfId="16159" xr:uid="{00000000-0005-0000-0000-0000B08F0000}"/>
    <cellStyle name="Percent 27 2 2 2 2 2 2 2" xfId="36079" xr:uid="{00000000-0005-0000-0000-0000B18F0000}"/>
    <cellStyle name="Percent 27 2 2 2 2 2 3" xfId="22311" xr:uid="{00000000-0005-0000-0000-0000B28F0000}"/>
    <cellStyle name="Percent 27 2 2 2 2 2 3 2" xfId="42231" xr:uid="{00000000-0005-0000-0000-0000B38F0000}"/>
    <cellStyle name="Percent 27 2 2 2 2 2 4" xfId="29926" xr:uid="{00000000-0005-0000-0000-0000B48F0000}"/>
    <cellStyle name="Percent 27 2 2 2 2 3" xfId="13093" xr:uid="{00000000-0005-0000-0000-0000B58F0000}"/>
    <cellStyle name="Percent 27 2 2 2 2 3 2" xfId="33013" xr:uid="{00000000-0005-0000-0000-0000B68F0000}"/>
    <cellStyle name="Percent 27 2 2 2 2 4" xfId="19245" xr:uid="{00000000-0005-0000-0000-0000B78F0000}"/>
    <cellStyle name="Percent 27 2 2 2 2 4 2" xfId="39165" xr:uid="{00000000-0005-0000-0000-0000B88F0000}"/>
    <cellStyle name="Percent 27 2 2 2 2 5" xfId="26860" xr:uid="{00000000-0005-0000-0000-0000B98F0000}"/>
    <cellStyle name="Percent 27 2 2 2 3" xfId="8431" xr:uid="{00000000-0005-0000-0000-0000BA8F0000}"/>
    <cellStyle name="Percent 27 2 2 2 3 2" xfId="14625" xr:uid="{00000000-0005-0000-0000-0000BB8F0000}"/>
    <cellStyle name="Percent 27 2 2 2 3 2 2" xfId="34545" xr:uid="{00000000-0005-0000-0000-0000BC8F0000}"/>
    <cellStyle name="Percent 27 2 2 2 3 3" xfId="20777" xr:uid="{00000000-0005-0000-0000-0000BD8F0000}"/>
    <cellStyle name="Percent 27 2 2 2 3 3 2" xfId="40697" xr:uid="{00000000-0005-0000-0000-0000BE8F0000}"/>
    <cellStyle name="Percent 27 2 2 2 3 4" xfId="28392" xr:uid="{00000000-0005-0000-0000-0000BF8F0000}"/>
    <cellStyle name="Percent 27 2 2 2 4" xfId="11559" xr:uid="{00000000-0005-0000-0000-0000C08F0000}"/>
    <cellStyle name="Percent 27 2 2 2 4 2" xfId="31479" xr:uid="{00000000-0005-0000-0000-0000C18F0000}"/>
    <cellStyle name="Percent 27 2 2 2 5" xfId="17711" xr:uid="{00000000-0005-0000-0000-0000C28F0000}"/>
    <cellStyle name="Percent 27 2 2 2 5 2" xfId="37631" xr:uid="{00000000-0005-0000-0000-0000C38F0000}"/>
    <cellStyle name="Percent 27 2 2 2 6" xfId="25326" xr:uid="{00000000-0005-0000-0000-0000C48F0000}"/>
    <cellStyle name="Percent 27 2 2 3" xfId="6102" xr:uid="{00000000-0005-0000-0000-0000C58F0000}"/>
    <cellStyle name="Percent 27 2 2 3 2" xfId="9197" xr:uid="{00000000-0005-0000-0000-0000C68F0000}"/>
    <cellStyle name="Percent 27 2 2 3 2 2" xfId="15390" xr:uid="{00000000-0005-0000-0000-0000C78F0000}"/>
    <cellStyle name="Percent 27 2 2 3 2 2 2" xfId="35310" xr:uid="{00000000-0005-0000-0000-0000C88F0000}"/>
    <cellStyle name="Percent 27 2 2 3 2 3" xfId="21542" xr:uid="{00000000-0005-0000-0000-0000C98F0000}"/>
    <cellStyle name="Percent 27 2 2 3 2 3 2" xfId="41462" xr:uid="{00000000-0005-0000-0000-0000CA8F0000}"/>
    <cellStyle name="Percent 27 2 2 3 2 4" xfId="29157" xr:uid="{00000000-0005-0000-0000-0000CB8F0000}"/>
    <cellStyle name="Percent 27 2 2 3 3" xfId="12324" xr:uid="{00000000-0005-0000-0000-0000CC8F0000}"/>
    <cellStyle name="Percent 27 2 2 3 3 2" xfId="32244" xr:uid="{00000000-0005-0000-0000-0000CD8F0000}"/>
    <cellStyle name="Percent 27 2 2 3 4" xfId="18476" xr:uid="{00000000-0005-0000-0000-0000CE8F0000}"/>
    <cellStyle name="Percent 27 2 2 3 4 2" xfId="38396" xr:uid="{00000000-0005-0000-0000-0000CF8F0000}"/>
    <cellStyle name="Percent 27 2 2 3 5" xfId="26091" xr:uid="{00000000-0005-0000-0000-0000D08F0000}"/>
    <cellStyle name="Percent 27 2 2 4" xfId="7662" xr:uid="{00000000-0005-0000-0000-0000D18F0000}"/>
    <cellStyle name="Percent 27 2 2 4 2" xfId="13856" xr:uid="{00000000-0005-0000-0000-0000D28F0000}"/>
    <cellStyle name="Percent 27 2 2 4 2 2" xfId="33776" xr:uid="{00000000-0005-0000-0000-0000D38F0000}"/>
    <cellStyle name="Percent 27 2 2 4 3" xfId="20008" xr:uid="{00000000-0005-0000-0000-0000D48F0000}"/>
    <cellStyle name="Percent 27 2 2 4 3 2" xfId="39928" xr:uid="{00000000-0005-0000-0000-0000D58F0000}"/>
    <cellStyle name="Percent 27 2 2 4 4" xfId="27623" xr:uid="{00000000-0005-0000-0000-0000D68F0000}"/>
    <cellStyle name="Percent 27 2 2 5" xfId="10790" xr:uid="{00000000-0005-0000-0000-0000D78F0000}"/>
    <cellStyle name="Percent 27 2 2 5 2" xfId="30710" xr:uid="{00000000-0005-0000-0000-0000D88F0000}"/>
    <cellStyle name="Percent 27 2 2 6" xfId="16942" xr:uid="{00000000-0005-0000-0000-0000D98F0000}"/>
    <cellStyle name="Percent 27 2 2 6 2" xfId="36862" xr:uid="{00000000-0005-0000-0000-0000DA8F0000}"/>
    <cellStyle name="Percent 27 2 2 7" xfId="24557" xr:uid="{00000000-0005-0000-0000-0000DB8F0000}"/>
    <cellStyle name="Percent 27 2 3" xfId="5254" xr:uid="{00000000-0005-0000-0000-0000DC8F0000}"/>
    <cellStyle name="Percent 27 2 3 2" xfId="6879" xr:uid="{00000000-0005-0000-0000-0000DD8F0000}"/>
    <cellStyle name="Percent 27 2 3 2 2" xfId="9965" xr:uid="{00000000-0005-0000-0000-0000DE8F0000}"/>
    <cellStyle name="Percent 27 2 3 2 2 2" xfId="16158" xr:uid="{00000000-0005-0000-0000-0000DF8F0000}"/>
    <cellStyle name="Percent 27 2 3 2 2 2 2" xfId="36078" xr:uid="{00000000-0005-0000-0000-0000E08F0000}"/>
    <cellStyle name="Percent 27 2 3 2 2 3" xfId="22310" xr:uid="{00000000-0005-0000-0000-0000E18F0000}"/>
    <cellStyle name="Percent 27 2 3 2 2 3 2" xfId="42230" xr:uid="{00000000-0005-0000-0000-0000E28F0000}"/>
    <cellStyle name="Percent 27 2 3 2 2 4" xfId="29925" xr:uid="{00000000-0005-0000-0000-0000E38F0000}"/>
    <cellStyle name="Percent 27 2 3 2 3" xfId="13092" xr:uid="{00000000-0005-0000-0000-0000E48F0000}"/>
    <cellStyle name="Percent 27 2 3 2 3 2" xfId="33012" xr:uid="{00000000-0005-0000-0000-0000E58F0000}"/>
    <cellStyle name="Percent 27 2 3 2 4" xfId="19244" xr:uid="{00000000-0005-0000-0000-0000E68F0000}"/>
    <cellStyle name="Percent 27 2 3 2 4 2" xfId="39164" xr:uid="{00000000-0005-0000-0000-0000E78F0000}"/>
    <cellStyle name="Percent 27 2 3 2 5" xfId="26859" xr:uid="{00000000-0005-0000-0000-0000E88F0000}"/>
    <cellStyle name="Percent 27 2 3 3" xfId="8430" xr:uid="{00000000-0005-0000-0000-0000E98F0000}"/>
    <cellStyle name="Percent 27 2 3 3 2" xfId="14624" xr:uid="{00000000-0005-0000-0000-0000EA8F0000}"/>
    <cellStyle name="Percent 27 2 3 3 2 2" xfId="34544" xr:uid="{00000000-0005-0000-0000-0000EB8F0000}"/>
    <cellStyle name="Percent 27 2 3 3 3" xfId="20776" xr:uid="{00000000-0005-0000-0000-0000EC8F0000}"/>
    <cellStyle name="Percent 27 2 3 3 3 2" xfId="40696" xr:uid="{00000000-0005-0000-0000-0000ED8F0000}"/>
    <cellStyle name="Percent 27 2 3 3 4" xfId="28391" xr:uid="{00000000-0005-0000-0000-0000EE8F0000}"/>
    <cellStyle name="Percent 27 2 3 4" xfId="11558" xr:uid="{00000000-0005-0000-0000-0000EF8F0000}"/>
    <cellStyle name="Percent 27 2 3 4 2" xfId="31478" xr:uid="{00000000-0005-0000-0000-0000F08F0000}"/>
    <cellStyle name="Percent 27 2 3 5" xfId="17710" xr:uid="{00000000-0005-0000-0000-0000F18F0000}"/>
    <cellStyle name="Percent 27 2 3 5 2" xfId="37630" xr:uid="{00000000-0005-0000-0000-0000F28F0000}"/>
    <cellStyle name="Percent 27 2 3 6" xfId="25325" xr:uid="{00000000-0005-0000-0000-0000F38F0000}"/>
    <cellStyle name="Percent 27 2 4" xfId="6101" xr:uid="{00000000-0005-0000-0000-0000F48F0000}"/>
    <cellStyle name="Percent 27 2 4 2" xfId="9196" xr:uid="{00000000-0005-0000-0000-0000F58F0000}"/>
    <cellStyle name="Percent 27 2 4 2 2" xfId="15389" xr:uid="{00000000-0005-0000-0000-0000F68F0000}"/>
    <cellStyle name="Percent 27 2 4 2 2 2" xfId="35309" xr:uid="{00000000-0005-0000-0000-0000F78F0000}"/>
    <cellStyle name="Percent 27 2 4 2 3" xfId="21541" xr:uid="{00000000-0005-0000-0000-0000F88F0000}"/>
    <cellStyle name="Percent 27 2 4 2 3 2" xfId="41461" xr:uid="{00000000-0005-0000-0000-0000F98F0000}"/>
    <cellStyle name="Percent 27 2 4 2 4" xfId="29156" xr:uid="{00000000-0005-0000-0000-0000FA8F0000}"/>
    <cellStyle name="Percent 27 2 4 3" xfId="12323" xr:uid="{00000000-0005-0000-0000-0000FB8F0000}"/>
    <cellStyle name="Percent 27 2 4 3 2" xfId="32243" xr:uid="{00000000-0005-0000-0000-0000FC8F0000}"/>
    <cellStyle name="Percent 27 2 4 4" xfId="18475" xr:uid="{00000000-0005-0000-0000-0000FD8F0000}"/>
    <cellStyle name="Percent 27 2 4 4 2" xfId="38395" xr:uid="{00000000-0005-0000-0000-0000FE8F0000}"/>
    <cellStyle name="Percent 27 2 4 5" xfId="26090" xr:uid="{00000000-0005-0000-0000-0000FF8F0000}"/>
    <cellStyle name="Percent 27 2 5" xfId="7661" xr:uid="{00000000-0005-0000-0000-000000900000}"/>
    <cellStyle name="Percent 27 2 5 2" xfId="13855" xr:uid="{00000000-0005-0000-0000-000001900000}"/>
    <cellStyle name="Percent 27 2 5 2 2" xfId="33775" xr:uid="{00000000-0005-0000-0000-000002900000}"/>
    <cellStyle name="Percent 27 2 5 3" xfId="20007" xr:uid="{00000000-0005-0000-0000-000003900000}"/>
    <cellStyle name="Percent 27 2 5 3 2" xfId="39927" xr:uid="{00000000-0005-0000-0000-000004900000}"/>
    <cellStyle name="Percent 27 2 5 4" xfId="27622" xr:uid="{00000000-0005-0000-0000-000005900000}"/>
    <cellStyle name="Percent 27 2 6" xfId="10789" xr:uid="{00000000-0005-0000-0000-000006900000}"/>
    <cellStyle name="Percent 27 2 6 2" xfId="30709" xr:uid="{00000000-0005-0000-0000-000007900000}"/>
    <cellStyle name="Percent 27 2 7" xfId="16941" xr:uid="{00000000-0005-0000-0000-000008900000}"/>
    <cellStyle name="Percent 27 2 7 2" xfId="36861" xr:uid="{00000000-0005-0000-0000-000009900000}"/>
    <cellStyle name="Percent 27 2 8" xfId="24556" xr:uid="{00000000-0005-0000-0000-00000A900000}"/>
    <cellStyle name="Percent 27 3" xfId="4210" xr:uid="{00000000-0005-0000-0000-00000B900000}"/>
    <cellStyle name="Percent 27 3 2" xfId="4211" xr:uid="{00000000-0005-0000-0000-00000C900000}"/>
    <cellStyle name="Percent 27 3 2 2" xfId="5257" xr:uid="{00000000-0005-0000-0000-00000D900000}"/>
    <cellStyle name="Percent 27 3 2 2 2" xfId="6882" xr:uid="{00000000-0005-0000-0000-00000E900000}"/>
    <cellStyle name="Percent 27 3 2 2 2 2" xfId="9968" xr:uid="{00000000-0005-0000-0000-00000F900000}"/>
    <cellStyle name="Percent 27 3 2 2 2 2 2" xfId="16161" xr:uid="{00000000-0005-0000-0000-000010900000}"/>
    <cellStyle name="Percent 27 3 2 2 2 2 2 2" xfId="36081" xr:uid="{00000000-0005-0000-0000-000011900000}"/>
    <cellStyle name="Percent 27 3 2 2 2 2 3" xfId="22313" xr:uid="{00000000-0005-0000-0000-000012900000}"/>
    <cellStyle name="Percent 27 3 2 2 2 2 3 2" xfId="42233" xr:uid="{00000000-0005-0000-0000-000013900000}"/>
    <cellStyle name="Percent 27 3 2 2 2 2 4" xfId="29928" xr:uid="{00000000-0005-0000-0000-000014900000}"/>
    <cellStyle name="Percent 27 3 2 2 2 3" xfId="13095" xr:uid="{00000000-0005-0000-0000-000015900000}"/>
    <cellStyle name="Percent 27 3 2 2 2 3 2" xfId="33015" xr:uid="{00000000-0005-0000-0000-000016900000}"/>
    <cellStyle name="Percent 27 3 2 2 2 4" xfId="19247" xr:uid="{00000000-0005-0000-0000-000017900000}"/>
    <cellStyle name="Percent 27 3 2 2 2 4 2" xfId="39167" xr:uid="{00000000-0005-0000-0000-000018900000}"/>
    <cellStyle name="Percent 27 3 2 2 2 5" xfId="26862" xr:uid="{00000000-0005-0000-0000-000019900000}"/>
    <cellStyle name="Percent 27 3 2 2 3" xfId="8433" xr:uid="{00000000-0005-0000-0000-00001A900000}"/>
    <cellStyle name="Percent 27 3 2 2 3 2" xfId="14627" xr:uid="{00000000-0005-0000-0000-00001B900000}"/>
    <cellStyle name="Percent 27 3 2 2 3 2 2" xfId="34547" xr:uid="{00000000-0005-0000-0000-00001C900000}"/>
    <cellStyle name="Percent 27 3 2 2 3 3" xfId="20779" xr:uid="{00000000-0005-0000-0000-00001D900000}"/>
    <cellStyle name="Percent 27 3 2 2 3 3 2" xfId="40699" xr:uid="{00000000-0005-0000-0000-00001E900000}"/>
    <cellStyle name="Percent 27 3 2 2 3 4" xfId="28394" xr:uid="{00000000-0005-0000-0000-00001F900000}"/>
    <cellStyle name="Percent 27 3 2 2 4" xfId="11561" xr:uid="{00000000-0005-0000-0000-000020900000}"/>
    <cellStyle name="Percent 27 3 2 2 4 2" xfId="31481" xr:uid="{00000000-0005-0000-0000-000021900000}"/>
    <cellStyle name="Percent 27 3 2 2 5" xfId="17713" xr:uid="{00000000-0005-0000-0000-000022900000}"/>
    <cellStyle name="Percent 27 3 2 2 5 2" xfId="37633" xr:uid="{00000000-0005-0000-0000-000023900000}"/>
    <cellStyle name="Percent 27 3 2 2 6" xfId="25328" xr:uid="{00000000-0005-0000-0000-000024900000}"/>
    <cellStyle name="Percent 27 3 2 3" xfId="6104" xr:uid="{00000000-0005-0000-0000-000025900000}"/>
    <cellStyle name="Percent 27 3 2 3 2" xfId="9199" xr:uid="{00000000-0005-0000-0000-000026900000}"/>
    <cellStyle name="Percent 27 3 2 3 2 2" xfId="15392" xr:uid="{00000000-0005-0000-0000-000027900000}"/>
    <cellStyle name="Percent 27 3 2 3 2 2 2" xfId="35312" xr:uid="{00000000-0005-0000-0000-000028900000}"/>
    <cellStyle name="Percent 27 3 2 3 2 3" xfId="21544" xr:uid="{00000000-0005-0000-0000-000029900000}"/>
    <cellStyle name="Percent 27 3 2 3 2 3 2" xfId="41464" xr:uid="{00000000-0005-0000-0000-00002A900000}"/>
    <cellStyle name="Percent 27 3 2 3 2 4" xfId="29159" xr:uid="{00000000-0005-0000-0000-00002B900000}"/>
    <cellStyle name="Percent 27 3 2 3 3" xfId="12326" xr:uid="{00000000-0005-0000-0000-00002C900000}"/>
    <cellStyle name="Percent 27 3 2 3 3 2" xfId="32246" xr:uid="{00000000-0005-0000-0000-00002D900000}"/>
    <cellStyle name="Percent 27 3 2 3 4" xfId="18478" xr:uid="{00000000-0005-0000-0000-00002E900000}"/>
    <cellStyle name="Percent 27 3 2 3 4 2" xfId="38398" xr:uid="{00000000-0005-0000-0000-00002F900000}"/>
    <cellStyle name="Percent 27 3 2 3 5" xfId="26093" xr:uid="{00000000-0005-0000-0000-000030900000}"/>
    <cellStyle name="Percent 27 3 2 4" xfId="7664" xr:uid="{00000000-0005-0000-0000-000031900000}"/>
    <cellStyle name="Percent 27 3 2 4 2" xfId="13858" xr:uid="{00000000-0005-0000-0000-000032900000}"/>
    <cellStyle name="Percent 27 3 2 4 2 2" xfId="33778" xr:uid="{00000000-0005-0000-0000-000033900000}"/>
    <cellStyle name="Percent 27 3 2 4 3" xfId="20010" xr:uid="{00000000-0005-0000-0000-000034900000}"/>
    <cellStyle name="Percent 27 3 2 4 3 2" xfId="39930" xr:uid="{00000000-0005-0000-0000-000035900000}"/>
    <cellStyle name="Percent 27 3 2 4 4" xfId="27625" xr:uid="{00000000-0005-0000-0000-000036900000}"/>
    <cellStyle name="Percent 27 3 2 5" xfId="10792" xr:uid="{00000000-0005-0000-0000-000037900000}"/>
    <cellStyle name="Percent 27 3 2 5 2" xfId="30712" xr:uid="{00000000-0005-0000-0000-000038900000}"/>
    <cellStyle name="Percent 27 3 2 6" xfId="16944" xr:uid="{00000000-0005-0000-0000-000039900000}"/>
    <cellStyle name="Percent 27 3 2 6 2" xfId="36864" xr:uid="{00000000-0005-0000-0000-00003A900000}"/>
    <cellStyle name="Percent 27 3 2 7" xfId="24559" xr:uid="{00000000-0005-0000-0000-00003B900000}"/>
    <cellStyle name="Percent 27 3 3" xfId="5256" xr:uid="{00000000-0005-0000-0000-00003C900000}"/>
    <cellStyle name="Percent 27 3 3 2" xfId="6881" xr:uid="{00000000-0005-0000-0000-00003D900000}"/>
    <cellStyle name="Percent 27 3 3 2 2" xfId="9967" xr:uid="{00000000-0005-0000-0000-00003E900000}"/>
    <cellStyle name="Percent 27 3 3 2 2 2" xfId="16160" xr:uid="{00000000-0005-0000-0000-00003F900000}"/>
    <cellStyle name="Percent 27 3 3 2 2 2 2" xfId="36080" xr:uid="{00000000-0005-0000-0000-000040900000}"/>
    <cellStyle name="Percent 27 3 3 2 2 3" xfId="22312" xr:uid="{00000000-0005-0000-0000-000041900000}"/>
    <cellStyle name="Percent 27 3 3 2 2 3 2" xfId="42232" xr:uid="{00000000-0005-0000-0000-000042900000}"/>
    <cellStyle name="Percent 27 3 3 2 2 4" xfId="29927" xr:uid="{00000000-0005-0000-0000-000043900000}"/>
    <cellStyle name="Percent 27 3 3 2 3" xfId="13094" xr:uid="{00000000-0005-0000-0000-000044900000}"/>
    <cellStyle name="Percent 27 3 3 2 3 2" xfId="33014" xr:uid="{00000000-0005-0000-0000-000045900000}"/>
    <cellStyle name="Percent 27 3 3 2 4" xfId="19246" xr:uid="{00000000-0005-0000-0000-000046900000}"/>
    <cellStyle name="Percent 27 3 3 2 4 2" xfId="39166" xr:uid="{00000000-0005-0000-0000-000047900000}"/>
    <cellStyle name="Percent 27 3 3 2 5" xfId="26861" xr:uid="{00000000-0005-0000-0000-000048900000}"/>
    <cellStyle name="Percent 27 3 3 3" xfId="8432" xr:uid="{00000000-0005-0000-0000-000049900000}"/>
    <cellStyle name="Percent 27 3 3 3 2" xfId="14626" xr:uid="{00000000-0005-0000-0000-00004A900000}"/>
    <cellStyle name="Percent 27 3 3 3 2 2" xfId="34546" xr:uid="{00000000-0005-0000-0000-00004B900000}"/>
    <cellStyle name="Percent 27 3 3 3 3" xfId="20778" xr:uid="{00000000-0005-0000-0000-00004C900000}"/>
    <cellStyle name="Percent 27 3 3 3 3 2" xfId="40698" xr:uid="{00000000-0005-0000-0000-00004D900000}"/>
    <cellStyle name="Percent 27 3 3 3 4" xfId="28393" xr:uid="{00000000-0005-0000-0000-00004E900000}"/>
    <cellStyle name="Percent 27 3 3 4" xfId="11560" xr:uid="{00000000-0005-0000-0000-00004F900000}"/>
    <cellStyle name="Percent 27 3 3 4 2" xfId="31480" xr:uid="{00000000-0005-0000-0000-000050900000}"/>
    <cellStyle name="Percent 27 3 3 5" xfId="17712" xr:uid="{00000000-0005-0000-0000-000051900000}"/>
    <cellStyle name="Percent 27 3 3 5 2" xfId="37632" xr:uid="{00000000-0005-0000-0000-000052900000}"/>
    <cellStyle name="Percent 27 3 3 6" xfId="25327" xr:uid="{00000000-0005-0000-0000-000053900000}"/>
    <cellStyle name="Percent 27 3 4" xfId="6103" xr:uid="{00000000-0005-0000-0000-000054900000}"/>
    <cellStyle name="Percent 27 3 4 2" xfId="9198" xr:uid="{00000000-0005-0000-0000-000055900000}"/>
    <cellStyle name="Percent 27 3 4 2 2" xfId="15391" xr:uid="{00000000-0005-0000-0000-000056900000}"/>
    <cellStyle name="Percent 27 3 4 2 2 2" xfId="35311" xr:uid="{00000000-0005-0000-0000-000057900000}"/>
    <cellStyle name="Percent 27 3 4 2 3" xfId="21543" xr:uid="{00000000-0005-0000-0000-000058900000}"/>
    <cellStyle name="Percent 27 3 4 2 3 2" xfId="41463" xr:uid="{00000000-0005-0000-0000-000059900000}"/>
    <cellStyle name="Percent 27 3 4 2 4" xfId="29158" xr:uid="{00000000-0005-0000-0000-00005A900000}"/>
    <cellStyle name="Percent 27 3 4 3" xfId="12325" xr:uid="{00000000-0005-0000-0000-00005B900000}"/>
    <cellStyle name="Percent 27 3 4 3 2" xfId="32245" xr:uid="{00000000-0005-0000-0000-00005C900000}"/>
    <cellStyle name="Percent 27 3 4 4" xfId="18477" xr:uid="{00000000-0005-0000-0000-00005D900000}"/>
    <cellStyle name="Percent 27 3 4 4 2" xfId="38397" xr:uid="{00000000-0005-0000-0000-00005E900000}"/>
    <cellStyle name="Percent 27 3 4 5" xfId="26092" xr:uid="{00000000-0005-0000-0000-00005F900000}"/>
    <cellStyle name="Percent 27 3 5" xfId="7663" xr:uid="{00000000-0005-0000-0000-000060900000}"/>
    <cellStyle name="Percent 27 3 5 2" xfId="13857" xr:uid="{00000000-0005-0000-0000-000061900000}"/>
    <cellStyle name="Percent 27 3 5 2 2" xfId="33777" xr:uid="{00000000-0005-0000-0000-000062900000}"/>
    <cellStyle name="Percent 27 3 5 3" xfId="20009" xr:uid="{00000000-0005-0000-0000-000063900000}"/>
    <cellStyle name="Percent 27 3 5 3 2" xfId="39929" xr:uid="{00000000-0005-0000-0000-000064900000}"/>
    <cellStyle name="Percent 27 3 5 4" xfId="27624" xr:uid="{00000000-0005-0000-0000-000065900000}"/>
    <cellStyle name="Percent 27 3 6" xfId="10791" xr:uid="{00000000-0005-0000-0000-000066900000}"/>
    <cellStyle name="Percent 27 3 6 2" xfId="30711" xr:uid="{00000000-0005-0000-0000-000067900000}"/>
    <cellStyle name="Percent 27 3 7" xfId="16943" xr:uid="{00000000-0005-0000-0000-000068900000}"/>
    <cellStyle name="Percent 27 3 7 2" xfId="36863" xr:uid="{00000000-0005-0000-0000-000069900000}"/>
    <cellStyle name="Percent 27 3 8" xfId="24558" xr:uid="{00000000-0005-0000-0000-00006A900000}"/>
    <cellStyle name="Percent 27 4" xfId="4212" xr:uid="{00000000-0005-0000-0000-00006B900000}"/>
    <cellStyle name="Percent 27 4 2" xfId="4213" xr:uid="{00000000-0005-0000-0000-00006C900000}"/>
    <cellStyle name="Percent 27 4 2 2" xfId="5258" xr:uid="{00000000-0005-0000-0000-00006D900000}"/>
    <cellStyle name="Percent 27 4 2 2 2" xfId="6883" xr:uid="{00000000-0005-0000-0000-00006E900000}"/>
    <cellStyle name="Percent 27 4 2 2 2 2" xfId="9969" xr:uid="{00000000-0005-0000-0000-00006F900000}"/>
    <cellStyle name="Percent 27 4 2 2 2 2 2" xfId="16162" xr:uid="{00000000-0005-0000-0000-000070900000}"/>
    <cellStyle name="Percent 27 4 2 2 2 2 2 2" xfId="36082" xr:uid="{00000000-0005-0000-0000-000071900000}"/>
    <cellStyle name="Percent 27 4 2 2 2 2 3" xfId="22314" xr:uid="{00000000-0005-0000-0000-000072900000}"/>
    <cellStyle name="Percent 27 4 2 2 2 2 3 2" xfId="42234" xr:uid="{00000000-0005-0000-0000-000073900000}"/>
    <cellStyle name="Percent 27 4 2 2 2 2 4" xfId="29929" xr:uid="{00000000-0005-0000-0000-000074900000}"/>
    <cellStyle name="Percent 27 4 2 2 2 3" xfId="13096" xr:uid="{00000000-0005-0000-0000-000075900000}"/>
    <cellStyle name="Percent 27 4 2 2 2 3 2" xfId="33016" xr:uid="{00000000-0005-0000-0000-000076900000}"/>
    <cellStyle name="Percent 27 4 2 2 2 4" xfId="19248" xr:uid="{00000000-0005-0000-0000-000077900000}"/>
    <cellStyle name="Percent 27 4 2 2 2 4 2" xfId="39168" xr:uid="{00000000-0005-0000-0000-000078900000}"/>
    <cellStyle name="Percent 27 4 2 2 2 5" xfId="26863" xr:uid="{00000000-0005-0000-0000-000079900000}"/>
    <cellStyle name="Percent 27 4 2 2 3" xfId="8434" xr:uid="{00000000-0005-0000-0000-00007A900000}"/>
    <cellStyle name="Percent 27 4 2 2 3 2" xfId="14628" xr:uid="{00000000-0005-0000-0000-00007B900000}"/>
    <cellStyle name="Percent 27 4 2 2 3 2 2" xfId="34548" xr:uid="{00000000-0005-0000-0000-00007C900000}"/>
    <cellStyle name="Percent 27 4 2 2 3 3" xfId="20780" xr:uid="{00000000-0005-0000-0000-00007D900000}"/>
    <cellStyle name="Percent 27 4 2 2 3 3 2" xfId="40700" xr:uid="{00000000-0005-0000-0000-00007E900000}"/>
    <cellStyle name="Percent 27 4 2 2 3 4" xfId="28395" xr:uid="{00000000-0005-0000-0000-00007F900000}"/>
    <cellStyle name="Percent 27 4 2 2 4" xfId="11562" xr:uid="{00000000-0005-0000-0000-000080900000}"/>
    <cellStyle name="Percent 27 4 2 2 4 2" xfId="31482" xr:uid="{00000000-0005-0000-0000-000081900000}"/>
    <cellStyle name="Percent 27 4 2 2 5" xfId="17714" xr:uid="{00000000-0005-0000-0000-000082900000}"/>
    <cellStyle name="Percent 27 4 2 2 5 2" xfId="37634" xr:uid="{00000000-0005-0000-0000-000083900000}"/>
    <cellStyle name="Percent 27 4 2 2 6" xfId="25329" xr:uid="{00000000-0005-0000-0000-000084900000}"/>
    <cellStyle name="Percent 27 4 2 3" xfId="6106" xr:uid="{00000000-0005-0000-0000-000085900000}"/>
    <cellStyle name="Percent 27 4 2 3 2" xfId="9200" xr:uid="{00000000-0005-0000-0000-000086900000}"/>
    <cellStyle name="Percent 27 4 2 3 2 2" xfId="15393" xr:uid="{00000000-0005-0000-0000-000087900000}"/>
    <cellStyle name="Percent 27 4 2 3 2 2 2" xfId="35313" xr:uid="{00000000-0005-0000-0000-000088900000}"/>
    <cellStyle name="Percent 27 4 2 3 2 3" xfId="21545" xr:uid="{00000000-0005-0000-0000-000089900000}"/>
    <cellStyle name="Percent 27 4 2 3 2 3 2" xfId="41465" xr:uid="{00000000-0005-0000-0000-00008A900000}"/>
    <cellStyle name="Percent 27 4 2 3 2 4" xfId="29160" xr:uid="{00000000-0005-0000-0000-00008B900000}"/>
    <cellStyle name="Percent 27 4 2 3 3" xfId="12327" xr:uid="{00000000-0005-0000-0000-00008C900000}"/>
    <cellStyle name="Percent 27 4 2 3 3 2" xfId="32247" xr:uid="{00000000-0005-0000-0000-00008D900000}"/>
    <cellStyle name="Percent 27 4 2 3 4" xfId="18479" xr:uid="{00000000-0005-0000-0000-00008E900000}"/>
    <cellStyle name="Percent 27 4 2 3 4 2" xfId="38399" xr:uid="{00000000-0005-0000-0000-00008F900000}"/>
    <cellStyle name="Percent 27 4 2 3 5" xfId="26094" xr:uid="{00000000-0005-0000-0000-000090900000}"/>
    <cellStyle name="Percent 27 4 2 4" xfId="7665" xr:uid="{00000000-0005-0000-0000-000091900000}"/>
    <cellStyle name="Percent 27 4 2 4 2" xfId="13859" xr:uid="{00000000-0005-0000-0000-000092900000}"/>
    <cellStyle name="Percent 27 4 2 4 2 2" xfId="33779" xr:uid="{00000000-0005-0000-0000-000093900000}"/>
    <cellStyle name="Percent 27 4 2 4 3" xfId="20011" xr:uid="{00000000-0005-0000-0000-000094900000}"/>
    <cellStyle name="Percent 27 4 2 4 3 2" xfId="39931" xr:uid="{00000000-0005-0000-0000-000095900000}"/>
    <cellStyle name="Percent 27 4 2 4 4" xfId="27626" xr:uid="{00000000-0005-0000-0000-000096900000}"/>
    <cellStyle name="Percent 27 4 2 5" xfId="10793" xr:uid="{00000000-0005-0000-0000-000097900000}"/>
    <cellStyle name="Percent 27 4 2 5 2" xfId="30713" xr:uid="{00000000-0005-0000-0000-000098900000}"/>
    <cellStyle name="Percent 27 4 2 6" xfId="16945" xr:uid="{00000000-0005-0000-0000-000099900000}"/>
    <cellStyle name="Percent 27 4 2 6 2" xfId="36865" xr:uid="{00000000-0005-0000-0000-00009A900000}"/>
    <cellStyle name="Percent 27 4 2 7" xfId="24560" xr:uid="{00000000-0005-0000-0000-00009B900000}"/>
    <cellStyle name="Percent 27 5" xfId="4214" xr:uid="{00000000-0005-0000-0000-00009C900000}"/>
    <cellStyle name="Percent 27 5 2" xfId="5259" xr:uid="{00000000-0005-0000-0000-00009D900000}"/>
    <cellStyle name="Percent 27 5 2 2" xfId="6884" xr:uid="{00000000-0005-0000-0000-00009E900000}"/>
    <cellStyle name="Percent 27 5 2 2 2" xfId="9970" xr:uid="{00000000-0005-0000-0000-00009F900000}"/>
    <cellStyle name="Percent 27 5 2 2 2 2" xfId="16163" xr:uid="{00000000-0005-0000-0000-0000A0900000}"/>
    <cellStyle name="Percent 27 5 2 2 2 2 2" xfId="36083" xr:uid="{00000000-0005-0000-0000-0000A1900000}"/>
    <cellStyle name="Percent 27 5 2 2 2 3" xfId="22315" xr:uid="{00000000-0005-0000-0000-0000A2900000}"/>
    <cellStyle name="Percent 27 5 2 2 2 3 2" xfId="42235" xr:uid="{00000000-0005-0000-0000-0000A3900000}"/>
    <cellStyle name="Percent 27 5 2 2 2 4" xfId="29930" xr:uid="{00000000-0005-0000-0000-0000A4900000}"/>
    <cellStyle name="Percent 27 5 2 2 3" xfId="13097" xr:uid="{00000000-0005-0000-0000-0000A5900000}"/>
    <cellStyle name="Percent 27 5 2 2 3 2" xfId="33017" xr:uid="{00000000-0005-0000-0000-0000A6900000}"/>
    <cellStyle name="Percent 27 5 2 2 4" xfId="19249" xr:uid="{00000000-0005-0000-0000-0000A7900000}"/>
    <cellStyle name="Percent 27 5 2 2 4 2" xfId="39169" xr:uid="{00000000-0005-0000-0000-0000A8900000}"/>
    <cellStyle name="Percent 27 5 2 2 5" xfId="26864" xr:uid="{00000000-0005-0000-0000-0000A9900000}"/>
    <cellStyle name="Percent 27 5 2 3" xfId="8435" xr:uid="{00000000-0005-0000-0000-0000AA900000}"/>
    <cellStyle name="Percent 27 5 2 3 2" xfId="14629" xr:uid="{00000000-0005-0000-0000-0000AB900000}"/>
    <cellStyle name="Percent 27 5 2 3 2 2" xfId="34549" xr:uid="{00000000-0005-0000-0000-0000AC900000}"/>
    <cellStyle name="Percent 27 5 2 3 3" xfId="20781" xr:uid="{00000000-0005-0000-0000-0000AD900000}"/>
    <cellStyle name="Percent 27 5 2 3 3 2" xfId="40701" xr:uid="{00000000-0005-0000-0000-0000AE900000}"/>
    <cellStyle name="Percent 27 5 2 3 4" xfId="28396" xr:uid="{00000000-0005-0000-0000-0000AF900000}"/>
    <cellStyle name="Percent 27 5 2 4" xfId="11563" xr:uid="{00000000-0005-0000-0000-0000B0900000}"/>
    <cellStyle name="Percent 27 5 2 4 2" xfId="31483" xr:uid="{00000000-0005-0000-0000-0000B1900000}"/>
    <cellStyle name="Percent 27 5 2 5" xfId="17715" xr:uid="{00000000-0005-0000-0000-0000B2900000}"/>
    <cellStyle name="Percent 27 5 2 5 2" xfId="37635" xr:uid="{00000000-0005-0000-0000-0000B3900000}"/>
    <cellStyle name="Percent 27 5 2 6" xfId="25330" xr:uid="{00000000-0005-0000-0000-0000B4900000}"/>
    <cellStyle name="Percent 27 5 3" xfId="6107" xr:uid="{00000000-0005-0000-0000-0000B5900000}"/>
    <cellStyle name="Percent 27 5 3 2" xfId="9201" xr:uid="{00000000-0005-0000-0000-0000B6900000}"/>
    <cellStyle name="Percent 27 5 3 2 2" xfId="15394" xr:uid="{00000000-0005-0000-0000-0000B7900000}"/>
    <cellStyle name="Percent 27 5 3 2 2 2" xfId="35314" xr:uid="{00000000-0005-0000-0000-0000B8900000}"/>
    <cellStyle name="Percent 27 5 3 2 3" xfId="21546" xr:uid="{00000000-0005-0000-0000-0000B9900000}"/>
    <cellStyle name="Percent 27 5 3 2 3 2" xfId="41466" xr:uid="{00000000-0005-0000-0000-0000BA900000}"/>
    <cellStyle name="Percent 27 5 3 2 4" xfId="29161" xr:uid="{00000000-0005-0000-0000-0000BB900000}"/>
    <cellStyle name="Percent 27 5 3 3" xfId="12328" xr:uid="{00000000-0005-0000-0000-0000BC900000}"/>
    <cellStyle name="Percent 27 5 3 3 2" xfId="32248" xr:uid="{00000000-0005-0000-0000-0000BD900000}"/>
    <cellStyle name="Percent 27 5 3 4" xfId="18480" xr:uid="{00000000-0005-0000-0000-0000BE900000}"/>
    <cellStyle name="Percent 27 5 3 4 2" xfId="38400" xr:uid="{00000000-0005-0000-0000-0000BF900000}"/>
    <cellStyle name="Percent 27 5 3 5" xfId="26095" xr:uid="{00000000-0005-0000-0000-0000C0900000}"/>
    <cellStyle name="Percent 27 5 4" xfId="7666" xr:uid="{00000000-0005-0000-0000-0000C1900000}"/>
    <cellStyle name="Percent 27 5 4 2" xfId="13860" xr:uid="{00000000-0005-0000-0000-0000C2900000}"/>
    <cellStyle name="Percent 27 5 4 2 2" xfId="33780" xr:uid="{00000000-0005-0000-0000-0000C3900000}"/>
    <cellStyle name="Percent 27 5 4 3" xfId="20012" xr:uid="{00000000-0005-0000-0000-0000C4900000}"/>
    <cellStyle name="Percent 27 5 4 3 2" xfId="39932" xr:uid="{00000000-0005-0000-0000-0000C5900000}"/>
    <cellStyle name="Percent 27 5 4 4" xfId="27627" xr:uid="{00000000-0005-0000-0000-0000C6900000}"/>
    <cellStyle name="Percent 27 5 5" xfId="10794" xr:uid="{00000000-0005-0000-0000-0000C7900000}"/>
    <cellStyle name="Percent 27 5 5 2" xfId="30714" xr:uid="{00000000-0005-0000-0000-0000C8900000}"/>
    <cellStyle name="Percent 27 5 6" xfId="16946" xr:uid="{00000000-0005-0000-0000-0000C9900000}"/>
    <cellStyle name="Percent 27 5 6 2" xfId="36866" xr:uid="{00000000-0005-0000-0000-0000CA900000}"/>
    <cellStyle name="Percent 27 5 7" xfId="24561" xr:uid="{00000000-0005-0000-0000-0000CB900000}"/>
    <cellStyle name="Percent 28" xfId="4215" xr:uid="{00000000-0005-0000-0000-0000CC900000}"/>
    <cellStyle name="Percent 28 2" xfId="4216" xr:uid="{00000000-0005-0000-0000-0000CD900000}"/>
    <cellStyle name="Percent 28 2 2" xfId="4217" xr:uid="{00000000-0005-0000-0000-0000CE900000}"/>
    <cellStyle name="Percent 28 2 2 2" xfId="5261" xr:uid="{00000000-0005-0000-0000-0000CF900000}"/>
    <cellStyle name="Percent 28 2 2 2 2" xfId="6886" xr:uid="{00000000-0005-0000-0000-0000D0900000}"/>
    <cellStyle name="Percent 28 2 2 2 2 2" xfId="9972" xr:uid="{00000000-0005-0000-0000-0000D1900000}"/>
    <cellStyle name="Percent 28 2 2 2 2 2 2" xfId="16165" xr:uid="{00000000-0005-0000-0000-0000D2900000}"/>
    <cellStyle name="Percent 28 2 2 2 2 2 2 2" xfId="36085" xr:uid="{00000000-0005-0000-0000-0000D3900000}"/>
    <cellStyle name="Percent 28 2 2 2 2 2 3" xfId="22317" xr:uid="{00000000-0005-0000-0000-0000D4900000}"/>
    <cellStyle name="Percent 28 2 2 2 2 2 3 2" xfId="42237" xr:uid="{00000000-0005-0000-0000-0000D5900000}"/>
    <cellStyle name="Percent 28 2 2 2 2 2 4" xfId="29932" xr:uid="{00000000-0005-0000-0000-0000D6900000}"/>
    <cellStyle name="Percent 28 2 2 2 2 3" xfId="13099" xr:uid="{00000000-0005-0000-0000-0000D7900000}"/>
    <cellStyle name="Percent 28 2 2 2 2 3 2" xfId="33019" xr:uid="{00000000-0005-0000-0000-0000D8900000}"/>
    <cellStyle name="Percent 28 2 2 2 2 4" xfId="19251" xr:uid="{00000000-0005-0000-0000-0000D9900000}"/>
    <cellStyle name="Percent 28 2 2 2 2 4 2" xfId="39171" xr:uid="{00000000-0005-0000-0000-0000DA900000}"/>
    <cellStyle name="Percent 28 2 2 2 2 5" xfId="26866" xr:uid="{00000000-0005-0000-0000-0000DB900000}"/>
    <cellStyle name="Percent 28 2 2 2 3" xfId="8437" xr:uid="{00000000-0005-0000-0000-0000DC900000}"/>
    <cellStyle name="Percent 28 2 2 2 3 2" xfId="14631" xr:uid="{00000000-0005-0000-0000-0000DD900000}"/>
    <cellStyle name="Percent 28 2 2 2 3 2 2" xfId="34551" xr:uid="{00000000-0005-0000-0000-0000DE900000}"/>
    <cellStyle name="Percent 28 2 2 2 3 3" xfId="20783" xr:uid="{00000000-0005-0000-0000-0000DF900000}"/>
    <cellStyle name="Percent 28 2 2 2 3 3 2" xfId="40703" xr:uid="{00000000-0005-0000-0000-0000E0900000}"/>
    <cellStyle name="Percent 28 2 2 2 3 4" xfId="28398" xr:uid="{00000000-0005-0000-0000-0000E1900000}"/>
    <cellStyle name="Percent 28 2 2 2 4" xfId="11565" xr:uid="{00000000-0005-0000-0000-0000E2900000}"/>
    <cellStyle name="Percent 28 2 2 2 4 2" xfId="31485" xr:uid="{00000000-0005-0000-0000-0000E3900000}"/>
    <cellStyle name="Percent 28 2 2 2 5" xfId="17717" xr:uid="{00000000-0005-0000-0000-0000E4900000}"/>
    <cellStyle name="Percent 28 2 2 2 5 2" xfId="37637" xr:uid="{00000000-0005-0000-0000-0000E5900000}"/>
    <cellStyle name="Percent 28 2 2 2 6" xfId="25332" xr:uid="{00000000-0005-0000-0000-0000E6900000}"/>
    <cellStyle name="Percent 28 2 2 3" xfId="6110" xr:uid="{00000000-0005-0000-0000-0000E7900000}"/>
    <cellStyle name="Percent 28 2 2 3 2" xfId="9203" xr:uid="{00000000-0005-0000-0000-0000E8900000}"/>
    <cellStyle name="Percent 28 2 2 3 2 2" xfId="15396" xr:uid="{00000000-0005-0000-0000-0000E9900000}"/>
    <cellStyle name="Percent 28 2 2 3 2 2 2" xfId="35316" xr:uid="{00000000-0005-0000-0000-0000EA900000}"/>
    <cellStyle name="Percent 28 2 2 3 2 3" xfId="21548" xr:uid="{00000000-0005-0000-0000-0000EB900000}"/>
    <cellStyle name="Percent 28 2 2 3 2 3 2" xfId="41468" xr:uid="{00000000-0005-0000-0000-0000EC900000}"/>
    <cellStyle name="Percent 28 2 2 3 2 4" xfId="29163" xr:uid="{00000000-0005-0000-0000-0000ED900000}"/>
    <cellStyle name="Percent 28 2 2 3 3" xfId="12330" xr:uid="{00000000-0005-0000-0000-0000EE900000}"/>
    <cellStyle name="Percent 28 2 2 3 3 2" xfId="32250" xr:uid="{00000000-0005-0000-0000-0000EF900000}"/>
    <cellStyle name="Percent 28 2 2 3 4" xfId="18482" xr:uid="{00000000-0005-0000-0000-0000F0900000}"/>
    <cellStyle name="Percent 28 2 2 3 4 2" xfId="38402" xr:uid="{00000000-0005-0000-0000-0000F1900000}"/>
    <cellStyle name="Percent 28 2 2 3 5" xfId="26097" xr:uid="{00000000-0005-0000-0000-0000F2900000}"/>
    <cellStyle name="Percent 28 2 2 4" xfId="7668" xr:uid="{00000000-0005-0000-0000-0000F3900000}"/>
    <cellStyle name="Percent 28 2 2 4 2" xfId="13862" xr:uid="{00000000-0005-0000-0000-0000F4900000}"/>
    <cellStyle name="Percent 28 2 2 4 2 2" xfId="33782" xr:uid="{00000000-0005-0000-0000-0000F5900000}"/>
    <cellStyle name="Percent 28 2 2 4 3" xfId="20014" xr:uid="{00000000-0005-0000-0000-0000F6900000}"/>
    <cellStyle name="Percent 28 2 2 4 3 2" xfId="39934" xr:uid="{00000000-0005-0000-0000-0000F7900000}"/>
    <cellStyle name="Percent 28 2 2 4 4" xfId="27629" xr:uid="{00000000-0005-0000-0000-0000F8900000}"/>
    <cellStyle name="Percent 28 2 2 5" xfId="10796" xr:uid="{00000000-0005-0000-0000-0000F9900000}"/>
    <cellStyle name="Percent 28 2 2 5 2" xfId="30716" xr:uid="{00000000-0005-0000-0000-0000FA900000}"/>
    <cellStyle name="Percent 28 2 2 6" xfId="16948" xr:uid="{00000000-0005-0000-0000-0000FB900000}"/>
    <cellStyle name="Percent 28 2 2 6 2" xfId="36868" xr:uid="{00000000-0005-0000-0000-0000FC900000}"/>
    <cellStyle name="Percent 28 2 2 7" xfId="24563" xr:uid="{00000000-0005-0000-0000-0000FD900000}"/>
    <cellStyle name="Percent 28 2 3" xfId="5260" xr:uid="{00000000-0005-0000-0000-0000FE900000}"/>
    <cellStyle name="Percent 28 2 3 2" xfId="6885" xr:uid="{00000000-0005-0000-0000-0000FF900000}"/>
    <cellStyle name="Percent 28 2 3 2 2" xfId="9971" xr:uid="{00000000-0005-0000-0000-000000910000}"/>
    <cellStyle name="Percent 28 2 3 2 2 2" xfId="16164" xr:uid="{00000000-0005-0000-0000-000001910000}"/>
    <cellStyle name="Percent 28 2 3 2 2 2 2" xfId="36084" xr:uid="{00000000-0005-0000-0000-000002910000}"/>
    <cellStyle name="Percent 28 2 3 2 2 3" xfId="22316" xr:uid="{00000000-0005-0000-0000-000003910000}"/>
    <cellStyle name="Percent 28 2 3 2 2 3 2" xfId="42236" xr:uid="{00000000-0005-0000-0000-000004910000}"/>
    <cellStyle name="Percent 28 2 3 2 2 4" xfId="29931" xr:uid="{00000000-0005-0000-0000-000005910000}"/>
    <cellStyle name="Percent 28 2 3 2 3" xfId="13098" xr:uid="{00000000-0005-0000-0000-000006910000}"/>
    <cellStyle name="Percent 28 2 3 2 3 2" xfId="33018" xr:uid="{00000000-0005-0000-0000-000007910000}"/>
    <cellStyle name="Percent 28 2 3 2 4" xfId="19250" xr:uid="{00000000-0005-0000-0000-000008910000}"/>
    <cellStyle name="Percent 28 2 3 2 4 2" xfId="39170" xr:uid="{00000000-0005-0000-0000-000009910000}"/>
    <cellStyle name="Percent 28 2 3 2 5" xfId="26865" xr:uid="{00000000-0005-0000-0000-00000A910000}"/>
    <cellStyle name="Percent 28 2 3 3" xfId="8436" xr:uid="{00000000-0005-0000-0000-00000B910000}"/>
    <cellStyle name="Percent 28 2 3 3 2" xfId="14630" xr:uid="{00000000-0005-0000-0000-00000C910000}"/>
    <cellStyle name="Percent 28 2 3 3 2 2" xfId="34550" xr:uid="{00000000-0005-0000-0000-00000D910000}"/>
    <cellStyle name="Percent 28 2 3 3 3" xfId="20782" xr:uid="{00000000-0005-0000-0000-00000E910000}"/>
    <cellStyle name="Percent 28 2 3 3 3 2" xfId="40702" xr:uid="{00000000-0005-0000-0000-00000F910000}"/>
    <cellStyle name="Percent 28 2 3 3 4" xfId="28397" xr:uid="{00000000-0005-0000-0000-000010910000}"/>
    <cellStyle name="Percent 28 2 3 4" xfId="11564" xr:uid="{00000000-0005-0000-0000-000011910000}"/>
    <cellStyle name="Percent 28 2 3 4 2" xfId="31484" xr:uid="{00000000-0005-0000-0000-000012910000}"/>
    <cellStyle name="Percent 28 2 3 5" xfId="17716" xr:uid="{00000000-0005-0000-0000-000013910000}"/>
    <cellStyle name="Percent 28 2 3 5 2" xfId="37636" xr:uid="{00000000-0005-0000-0000-000014910000}"/>
    <cellStyle name="Percent 28 2 3 6" xfId="25331" xr:uid="{00000000-0005-0000-0000-000015910000}"/>
    <cellStyle name="Percent 28 2 4" xfId="6109" xr:uid="{00000000-0005-0000-0000-000016910000}"/>
    <cellStyle name="Percent 28 2 4 2" xfId="9202" xr:uid="{00000000-0005-0000-0000-000017910000}"/>
    <cellStyle name="Percent 28 2 4 2 2" xfId="15395" xr:uid="{00000000-0005-0000-0000-000018910000}"/>
    <cellStyle name="Percent 28 2 4 2 2 2" xfId="35315" xr:uid="{00000000-0005-0000-0000-000019910000}"/>
    <cellStyle name="Percent 28 2 4 2 3" xfId="21547" xr:uid="{00000000-0005-0000-0000-00001A910000}"/>
    <cellStyle name="Percent 28 2 4 2 3 2" xfId="41467" xr:uid="{00000000-0005-0000-0000-00001B910000}"/>
    <cellStyle name="Percent 28 2 4 2 4" xfId="29162" xr:uid="{00000000-0005-0000-0000-00001C910000}"/>
    <cellStyle name="Percent 28 2 4 3" xfId="12329" xr:uid="{00000000-0005-0000-0000-00001D910000}"/>
    <cellStyle name="Percent 28 2 4 3 2" xfId="32249" xr:uid="{00000000-0005-0000-0000-00001E910000}"/>
    <cellStyle name="Percent 28 2 4 4" xfId="18481" xr:uid="{00000000-0005-0000-0000-00001F910000}"/>
    <cellStyle name="Percent 28 2 4 4 2" xfId="38401" xr:uid="{00000000-0005-0000-0000-000020910000}"/>
    <cellStyle name="Percent 28 2 4 5" xfId="26096" xr:uid="{00000000-0005-0000-0000-000021910000}"/>
    <cellStyle name="Percent 28 2 5" xfId="7667" xr:uid="{00000000-0005-0000-0000-000022910000}"/>
    <cellStyle name="Percent 28 2 5 2" xfId="13861" xr:uid="{00000000-0005-0000-0000-000023910000}"/>
    <cellStyle name="Percent 28 2 5 2 2" xfId="33781" xr:uid="{00000000-0005-0000-0000-000024910000}"/>
    <cellStyle name="Percent 28 2 5 3" xfId="20013" xr:uid="{00000000-0005-0000-0000-000025910000}"/>
    <cellStyle name="Percent 28 2 5 3 2" xfId="39933" xr:uid="{00000000-0005-0000-0000-000026910000}"/>
    <cellStyle name="Percent 28 2 5 4" xfId="27628" xr:uid="{00000000-0005-0000-0000-000027910000}"/>
    <cellStyle name="Percent 28 2 6" xfId="10795" xr:uid="{00000000-0005-0000-0000-000028910000}"/>
    <cellStyle name="Percent 28 2 6 2" xfId="30715" xr:uid="{00000000-0005-0000-0000-000029910000}"/>
    <cellStyle name="Percent 28 2 7" xfId="16947" xr:uid="{00000000-0005-0000-0000-00002A910000}"/>
    <cellStyle name="Percent 28 2 7 2" xfId="36867" xr:uid="{00000000-0005-0000-0000-00002B910000}"/>
    <cellStyle name="Percent 28 2 8" xfId="24562" xr:uid="{00000000-0005-0000-0000-00002C910000}"/>
    <cellStyle name="Percent 28 3" xfId="4218" xr:uid="{00000000-0005-0000-0000-00002D910000}"/>
    <cellStyle name="Percent 28 3 2" xfId="4219" xr:uid="{00000000-0005-0000-0000-00002E910000}"/>
    <cellStyle name="Percent 28 3 2 2" xfId="5263" xr:uid="{00000000-0005-0000-0000-00002F910000}"/>
    <cellStyle name="Percent 28 3 2 2 2" xfId="6888" xr:uid="{00000000-0005-0000-0000-000030910000}"/>
    <cellStyle name="Percent 28 3 2 2 2 2" xfId="9974" xr:uid="{00000000-0005-0000-0000-000031910000}"/>
    <cellStyle name="Percent 28 3 2 2 2 2 2" xfId="16167" xr:uid="{00000000-0005-0000-0000-000032910000}"/>
    <cellStyle name="Percent 28 3 2 2 2 2 2 2" xfId="36087" xr:uid="{00000000-0005-0000-0000-000033910000}"/>
    <cellStyle name="Percent 28 3 2 2 2 2 3" xfId="22319" xr:uid="{00000000-0005-0000-0000-000034910000}"/>
    <cellStyle name="Percent 28 3 2 2 2 2 3 2" xfId="42239" xr:uid="{00000000-0005-0000-0000-000035910000}"/>
    <cellStyle name="Percent 28 3 2 2 2 2 4" xfId="29934" xr:uid="{00000000-0005-0000-0000-000036910000}"/>
    <cellStyle name="Percent 28 3 2 2 2 3" xfId="13101" xr:uid="{00000000-0005-0000-0000-000037910000}"/>
    <cellStyle name="Percent 28 3 2 2 2 3 2" xfId="33021" xr:uid="{00000000-0005-0000-0000-000038910000}"/>
    <cellStyle name="Percent 28 3 2 2 2 4" xfId="19253" xr:uid="{00000000-0005-0000-0000-000039910000}"/>
    <cellStyle name="Percent 28 3 2 2 2 4 2" xfId="39173" xr:uid="{00000000-0005-0000-0000-00003A910000}"/>
    <cellStyle name="Percent 28 3 2 2 2 5" xfId="26868" xr:uid="{00000000-0005-0000-0000-00003B910000}"/>
    <cellStyle name="Percent 28 3 2 2 3" xfId="8439" xr:uid="{00000000-0005-0000-0000-00003C910000}"/>
    <cellStyle name="Percent 28 3 2 2 3 2" xfId="14633" xr:uid="{00000000-0005-0000-0000-00003D910000}"/>
    <cellStyle name="Percent 28 3 2 2 3 2 2" xfId="34553" xr:uid="{00000000-0005-0000-0000-00003E910000}"/>
    <cellStyle name="Percent 28 3 2 2 3 3" xfId="20785" xr:uid="{00000000-0005-0000-0000-00003F910000}"/>
    <cellStyle name="Percent 28 3 2 2 3 3 2" xfId="40705" xr:uid="{00000000-0005-0000-0000-000040910000}"/>
    <cellStyle name="Percent 28 3 2 2 3 4" xfId="28400" xr:uid="{00000000-0005-0000-0000-000041910000}"/>
    <cellStyle name="Percent 28 3 2 2 4" xfId="11567" xr:uid="{00000000-0005-0000-0000-000042910000}"/>
    <cellStyle name="Percent 28 3 2 2 4 2" xfId="31487" xr:uid="{00000000-0005-0000-0000-000043910000}"/>
    <cellStyle name="Percent 28 3 2 2 5" xfId="17719" xr:uid="{00000000-0005-0000-0000-000044910000}"/>
    <cellStyle name="Percent 28 3 2 2 5 2" xfId="37639" xr:uid="{00000000-0005-0000-0000-000045910000}"/>
    <cellStyle name="Percent 28 3 2 2 6" xfId="25334" xr:uid="{00000000-0005-0000-0000-000046910000}"/>
    <cellStyle name="Percent 28 3 2 3" xfId="6112" xr:uid="{00000000-0005-0000-0000-000047910000}"/>
    <cellStyle name="Percent 28 3 2 3 2" xfId="9205" xr:uid="{00000000-0005-0000-0000-000048910000}"/>
    <cellStyle name="Percent 28 3 2 3 2 2" xfId="15398" xr:uid="{00000000-0005-0000-0000-000049910000}"/>
    <cellStyle name="Percent 28 3 2 3 2 2 2" xfId="35318" xr:uid="{00000000-0005-0000-0000-00004A910000}"/>
    <cellStyle name="Percent 28 3 2 3 2 3" xfId="21550" xr:uid="{00000000-0005-0000-0000-00004B910000}"/>
    <cellStyle name="Percent 28 3 2 3 2 3 2" xfId="41470" xr:uid="{00000000-0005-0000-0000-00004C910000}"/>
    <cellStyle name="Percent 28 3 2 3 2 4" xfId="29165" xr:uid="{00000000-0005-0000-0000-00004D910000}"/>
    <cellStyle name="Percent 28 3 2 3 3" xfId="12332" xr:uid="{00000000-0005-0000-0000-00004E910000}"/>
    <cellStyle name="Percent 28 3 2 3 3 2" xfId="32252" xr:uid="{00000000-0005-0000-0000-00004F910000}"/>
    <cellStyle name="Percent 28 3 2 3 4" xfId="18484" xr:uid="{00000000-0005-0000-0000-000050910000}"/>
    <cellStyle name="Percent 28 3 2 3 4 2" xfId="38404" xr:uid="{00000000-0005-0000-0000-000051910000}"/>
    <cellStyle name="Percent 28 3 2 3 5" xfId="26099" xr:uid="{00000000-0005-0000-0000-000052910000}"/>
    <cellStyle name="Percent 28 3 2 4" xfId="7670" xr:uid="{00000000-0005-0000-0000-000053910000}"/>
    <cellStyle name="Percent 28 3 2 4 2" xfId="13864" xr:uid="{00000000-0005-0000-0000-000054910000}"/>
    <cellStyle name="Percent 28 3 2 4 2 2" xfId="33784" xr:uid="{00000000-0005-0000-0000-000055910000}"/>
    <cellStyle name="Percent 28 3 2 4 3" xfId="20016" xr:uid="{00000000-0005-0000-0000-000056910000}"/>
    <cellStyle name="Percent 28 3 2 4 3 2" xfId="39936" xr:uid="{00000000-0005-0000-0000-000057910000}"/>
    <cellStyle name="Percent 28 3 2 4 4" xfId="27631" xr:uid="{00000000-0005-0000-0000-000058910000}"/>
    <cellStyle name="Percent 28 3 2 5" xfId="10798" xr:uid="{00000000-0005-0000-0000-000059910000}"/>
    <cellStyle name="Percent 28 3 2 5 2" xfId="30718" xr:uid="{00000000-0005-0000-0000-00005A910000}"/>
    <cellStyle name="Percent 28 3 2 6" xfId="16950" xr:uid="{00000000-0005-0000-0000-00005B910000}"/>
    <cellStyle name="Percent 28 3 2 6 2" xfId="36870" xr:uid="{00000000-0005-0000-0000-00005C910000}"/>
    <cellStyle name="Percent 28 3 2 7" xfId="24565" xr:uid="{00000000-0005-0000-0000-00005D910000}"/>
    <cellStyle name="Percent 28 3 3" xfId="5262" xr:uid="{00000000-0005-0000-0000-00005E910000}"/>
    <cellStyle name="Percent 28 3 3 2" xfId="6887" xr:uid="{00000000-0005-0000-0000-00005F910000}"/>
    <cellStyle name="Percent 28 3 3 2 2" xfId="9973" xr:uid="{00000000-0005-0000-0000-000060910000}"/>
    <cellStyle name="Percent 28 3 3 2 2 2" xfId="16166" xr:uid="{00000000-0005-0000-0000-000061910000}"/>
    <cellStyle name="Percent 28 3 3 2 2 2 2" xfId="36086" xr:uid="{00000000-0005-0000-0000-000062910000}"/>
    <cellStyle name="Percent 28 3 3 2 2 3" xfId="22318" xr:uid="{00000000-0005-0000-0000-000063910000}"/>
    <cellStyle name="Percent 28 3 3 2 2 3 2" xfId="42238" xr:uid="{00000000-0005-0000-0000-000064910000}"/>
    <cellStyle name="Percent 28 3 3 2 2 4" xfId="29933" xr:uid="{00000000-0005-0000-0000-000065910000}"/>
    <cellStyle name="Percent 28 3 3 2 3" xfId="13100" xr:uid="{00000000-0005-0000-0000-000066910000}"/>
    <cellStyle name="Percent 28 3 3 2 3 2" xfId="33020" xr:uid="{00000000-0005-0000-0000-000067910000}"/>
    <cellStyle name="Percent 28 3 3 2 4" xfId="19252" xr:uid="{00000000-0005-0000-0000-000068910000}"/>
    <cellStyle name="Percent 28 3 3 2 4 2" xfId="39172" xr:uid="{00000000-0005-0000-0000-000069910000}"/>
    <cellStyle name="Percent 28 3 3 2 5" xfId="26867" xr:uid="{00000000-0005-0000-0000-00006A910000}"/>
    <cellStyle name="Percent 28 3 3 3" xfId="8438" xr:uid="{00000000-0005-0000-0000-00006B910000}"/>
    <cellStyle name="Percent 28 3 3 3 2" xfId="14632" xr:uid="{00000000-0005-0000-0000-00006C910000}"/>
    <cellStyle name="Percent 28 3 3 3 2 2" xfId="34552" xr:uid="{00000000-0005-0000-0000-00006D910000}"/>
    <cellStyle name="Percent 28 3 3 3 3" xfId="20784" xr:uid="{00000000-0005-0000-0000-00006E910000}"/>
    <cellStyle name="Percent 28 3 3 3 3 2" xfId="40704" xr:uid="{00000000-0005-0000-0000-00006F910000}"/>
    <cellStyle name="Percent 28 3 3 3 4" xfId="28399" xr:uid="{00000000-0005-0000-0000-000070910000}"/>
    <cellStyle name="Percent 28 3 3 4" xfId="11566" xr:uid="{00000000-0005-0000-0000-000071910000}"/>
    <cellStyle name="Percent 28 3 3 4 2" xfId="31486" xr:uid="{00000000-0005-0000-0000-000072910000}"/>
    <cellStyle name="Percent 28 3 3 5" xfId="17718" xr:uid="{00000000-0005-0000-0000-000073910000}"/>
    <cellStyle name="Percent 28 3 3 5 2" xfId="37638" xr:uid="{00000000-0005-0000-0000-000074910000}"/>
    <cellStyle name="Percent 28 3 3 6" xfId="25333" xr:uid="{00000000-0005-0000-0000-000075910000}"/>
    <cellStyle name="Percent 28 3 4" xfId="6111" xr:uid="{00000000-0005-0000-0000-000076910000}"/>
    <cellStyle name="Percent 28 3 4 2" xfId="9204" xr:uid="{00000000-0005-0000-0000-000077910000}"/>
    <cellStyle name="Percent 28 3 4 2 2" xfId="15397" xr:uid="{00000000-0005-0000-0000-000078910000}"/>
    <cellStyle name="Percent 28 3 4 2 2 2" xfId="35317" xr:uid="{00000000-0005-0000-0000-000079910000}"/>
    <cellStyle name="Percent 28 3 4 2 3" xfId="21549" xr:uid="{00000000-0005-0000-0000-00007A910000}"/>
    <cellStyle name="Percent 28 3 4 2 3 2" xfId="41469" xr:uid="{00000000-0005-0000-0000-00007B910000}"/>
    <cellStyle name="Percent 28 3 4 2 4" xfId="29164" xr:uid="{00000000-0005-0000-0000-00007C910000}"/>
    <cellStyle name="Percent 28 3 4 3" xfId="12331" xr:uid="{00000000-0005-0000-0000-00007D910000}"/>
    <cellStyle name="Percent 28 3 4 3 2" xfId="32251" xr:uid="{00000000-0005-0000-0000-00007E910000}"/>
    <cellStyle name="Percent 28 3 4 4" xfId="18483" xr:uid="{00000000-0005-0000-0000-00007F910000}"/>
    <cellStyle name="Percent 28 3 4 4 2" xfId="38403" xr:uid="{00000000-0005-0000-0000-000080910000}"/>
    <cellStyle name="Percent 28 3 4 5" xfId="26098" xr:uid="{00000000-0005-0000-0000-000081910000}"/>
    <cellStyle name="Percent 28 3 5" xfId="7669" xr:uid="{00000000-0005-0000-0000-000082910000}"/>
    <cellStyle name="Percent 28 3 5 2" xfId="13863" xr:uid="{00000000-0005-0000-0000-000083910000}"/>
    <cellStyle name="Percent 28 3 5 2 2" xfId="33783" xr:uid="{00000000-0005-0000-0000-000084910000}"/>
    <cellStyle name="Percent 28 3 5 3" xfId="20015" xr:uid="{00000000-0005-0000-0000-000085910000}"/>
    <cellStyle name="Percent 28 3 5 3 2" xfId="39935" xr:uid="{00000000-0005-0000-0000-000086910000}"/>
    <cellStyle name="Percent 28 3 5 4" xfId="27630" xr:uid="{00000000-0005-0000-0000-000087910000}"/>
    <cellStyle name="Percent 28 3 6" xfId="10797" xr:uid="{00000000-0005-0000-0000-000088910000}"/>
    <cellStyle name="Percent 28 3 6 2" xfId="30717" xr:uid="{00000000-0005-0000-0000-000089910000}"/>
    <cellStyle name="Percent 28 3 7" xfId="16949" xr:uid="{00000000-0005-0000-0000-00008A910000}"/>
    <cellStyle name="Percent 28 3 7 2" xfId="36869" xr:uid="{00000000-0005-0000-0000-00008B910000}"/>
    <cellStyle name="Percent 28 3 8" xfId="24564" xr:uid="{00000000-0005-0000-0000-00008C910000}"/>
    <cellStyle name="Percent 28 4" xfId="4220" xr:uid="{00000000-0005-0000-0000-00008D910000}"/>
    <cellStyle name="Percent 28 4 2" xfId="4221" xr:uid="{00000000-0005-0000-0000-00008E910000}"/>
    <cellStyle name="Percent 28 4 2 2" xfId="5264" xr:uid="{00000000-0005-0000-0000-00008F910000}"/>
    <cellStyle name="Percent 28 4 2 2 2" xfId="6889" xr:uid="{00000000-0005-0000-0000-000090910000}"/>
    <cellStyle name="Percent 28 4 2 2 2 2" xfId="9975" xr:uid="{00000000-0005-0000-0000-000091910000}"/>
    <cellStyle name="Percent 28 4 2 2 2 2 2" xfId="16168" xr:uid="{00000000-0005-0000-0000-000092910000}"/>
    <cellStyle name="Percent 28 4 2 2 2 2 2 2" xfId="36088" xr:uid="{00000000-0005-0000-0000-000093910000}"/>
    <cellStyle name="Percent 28 4 2 2 2 2 3" xfId="22320" xr:uid="{00000000-0005-0000-0000-000094910000}"/>
    <cellStyle name="Percent 28 4 2 2 2 2 3 2" xfId="42240" xr:uid="{00000000-0005-0000-0000-000095910000}"/>
    <cellStyle name="Percent 28 4 2 2 2 2 4" xfId="29935" xr:uid="{00000000-0005-0000-0000-000096910000}"/>
    <cellStyle name="Percent 28 4 2 2 2 3" xfId="13102" xr:uid="{00000000-0005-0000-0000-000097910000}"/>
    <cellStyle name="Percent 28 4 2 2 2 3 2" xfId="33022" xr:uid="{00000000-0005-0000-0000-000098910000}"/>
    <cellStyle name="Percent 28 4 2 2 2 4" xfId="19254" xr:uid="{00000000-0005-0000-0000-000099910000}"/>
    <cellStyle name="Percent 28 4 2 2 2 4 2" xfId="39174" xr:uid="{00000000-0005-0000-0000-00009A910000}"/>
    <cellStyle name="Percent 28 4 2 2 2 5" xfId="26869" xr:uid="{00000000-0005-0000-0000-00009B910000}"/>
    <cellStyle name="Percent 28 4 2 2 3" xfId="8440" xr:uid="{00000000-0005-0000-0000-00009C910000}"/>
    <cellStyle name="Percent 28 4 2 2 3 2" xfId="14634" xr:uid="{00000000-0005-0000-0000-00009D910000}"/>
    <cellStyle name="Percent 28 4 2 2 3 2 2" xfId="34554" xr:uid="{00000000-0005-0000-0000-00009E910000}"/>
    <cellStyle name="Percent 28 4 2 2 3 3" xfId="20786" xr:uid="{00000000-0005-0000-0000-00009F910000}"/>
    <cellStyle name="Percent 28 4 2 2 3 3 2" xfId="40706" xr:uid="{00000000-0005-0000-0000-0000A0910000}"/>
    <cellStyle name="Percent 28 4 2 2 3 4" xfId="28401" xr:uid="{00000000-0005-0000-0000-0000A1910000}"/>
    <cellStyle name="Percent 28 4 2 2 4" xfId="11568" xr:uid="{00000000-0005-0000-0000-0000A2910000}"/>
    <cellStyle name="Percent 28 4 2 2 4 2" xfId="31488" xr:uid="{00000000-0005-0000-0000-0000A3910000}"/>
    <cellStyle name="Percent 28 4 2 2 5" xfId="17720" xr:uid="{00000000-0005-0000-0000-0000A4910000}"/>
    <cellStyle name="Percent 28 4 2 2 5 2" xfId="37640" xr:uid="{00000000-0005-0000-0000-0000A5910000}"/>
    <cellStyle name="Percent 28 4 2 2 6" xfId="25335" xr:uid="{00000000-0005-0000-0000-0000A6910000}"/>
    <cellStyle name="Percent 28 4 2 3" xfId="6113" xr:uid="{00000000-0005-0000-0000-0000A7910000}"/>
    <cellStyle name="Percent 28 4 2 3 2" xfId="9206" xr:uid="{00000000-0005-0000-0000-0000A8910000}"/>
    <cellStyle name="Percent 28 4 2 3 2 2" xfId="15399" xr:uid="{00000000-0005-0000-0000-0000A9910000}"/>
    <cellStyle name="Percent 28 4 2 3 2 2 2" xfId="35319" xr:uid="{00000000-0005-0000-0000-0000AA910000}"/>
    <cellStyle name="Percent 28 4 2 3 2 3" xfId="21551" xr:uid="{00000000-0005-0000-0000-0000AB910000}"/>
    <cellStyle name="Percent 28 4 2 3 2 3 2" xfId="41471" xr:uid="{00000000-0005-0000-0000-0000AC910000}"/>
    <cellStyle name="Percent 28 4 2 3 2 4" xfId="29166" xr:uid="{00000000-0005-0000-0000-0000AD910000}"/>
    <cellStyle name="Percent 28 4 2 3 3" xfId="12333" xr:uid="{00000000-0005-0000-0000-0000AE910000}"/>
    <cellStyle name="Percent 28 4 2 3 3 2" xfId="32253" xr:uid="{00000000-0005-0000-0000-0000AF910000}"/>
    <cellStyle name="Percent 28 4 2 3 4" xfId="18485" xr:uid="{00000000-0005-0000-0000-0000B0910000}"/>
    <cellStyle name="Percent 28 4 2 3 4 2" xfId="38405" xr:uid="{00000000-0005-0000-0000-0000B1910000}"/>
    <cellStyle name="Percent 28 4 2 3 5" xfId="26100" xr:uid="{00000000-0005-0000-0000-0000B2910000}"/>
    <cellStyle name="Percent 28 4 2 4" xfId="7671" xr:uid="{00000000-0005-0000-0000-0000B3910000}"/>
    <cellStyle name="Percent 28 4 2 4 2" xfId="13865" xr:uid="{00000000-0005-0000-0000-0000B4910000}"/>
    <cellStyle name="Percent 28 4 2 4 2 2" xfId="33785" xr:uid="{00000000-0005-0000-0000-0000B5910000}"/>
    <cellStyle name="Percent 28 4 2 4 3" xfId="20017" xr:uid="{00000000-0005-0000-0000-0000B6910000}"/>
    <cellStyle name="Percent 28 4 2 4 3 2" xfId="39937" xr:uid="{00000000-0005-0000-0000-0000B7910000}"/>
    <cellStyle name="Percent 28 4 2 4 4" xfId="27632" xr:uid="{00000000-0005-0000-0000-0000B8910000}"/>
    <cellStyle name="Percent 28 4 2 5" xfId="10799" xr:uid="{00000000-0005-0000-0000-0000B9910000}"/>
    <cellStyle name="Percent 28 4 2 5 2" xfId="30719" xr:uid="{00000000-0005-0000-0000-0000BA910000}"/>
    <cellStyle name="Percent 28 4 2 6" xfId="16951" xr:uid="{00000000-0005-0000-0000-0000BB910000}"/>
    <cellStyle name="Percent 28 4 2 6 2" xfId="36871" xr:uid="{00000000-0005-0000-0000-0000BC910000}"/>
    <cellStyle name="Percent 28 4 2 7" xfId="24566" xr:uid="{00000000-0005-0000-0000-0000BD910000}"/>
    <cellStyle name="Percent 28 5" xfId="4222" xr:uid="{00000000-0005-0000-0000-0000BE910000}"/>
    <cellStyle name="Percent 28 5 2" xfId="5265" xr:uid="{00000000-0005-0000-0000-0000BF910000}"/>
    <cellStyle name="Percent 28 5 2 2" xfId="6890" xr:uid="{00000000-0005-0000-0000-0000C0910000}"/>
    <cellStyle name="Percent 28 5 2 2 2" xfId="9976" xr:uid="{00000000-0005-0000-0000-0000C1910000}"/>
    <cellStyle name="Percent 28 5 2 2 2 2" xfId="16169" xr:uid="{00000000-0005-0000-0000-0000C2910000}"/>
    <cellStyle name="Percent 28 5 2 2 2 2 2" xfId="36089" xr:uid="{00000000-0005-0000-0000-0000C3910000}"/>
    <cellStyle name="Percent 28 5 2 2 2 3" xfId="22321" xr:uid="{00000000-0005-0000-0000-0000C4910000}"/>
    <cellStyle name="Percent 28 5 2 2 2 3 2" xfId="42241" xr:uid="{00000000-0005-0000-0000-0000C5910000}"/>
    <cellStyle name="Percent 28 5 2 2 2 4" xfId="29936" xr:uid="{00000000-0005-0000-0000-0000C6910000}"/>
    <cellStyle name="Percent 28 5 2 2 3" xfId="13103" xr:uid="{00000000-0005-0000-0000-0000C7910000}"/>
    <cellStyle name="Percent 28 5 2 2 3 2" xfId="33023" xr:uid="{00000000-0005-0000-0000-0000C8910000}"/>
    <cellStyle name="Percent 28 5 2 2 4" xfId="19255" xr:uid="{00000000-0005-0000-0000-0000C9910000}"/>
    <cellStyle name="Percent 28 5 2 2 4 2" xfId="39175" xr:uid="{00000000-0005-0000-0000-0000CA910000}"/>
    <cellStyle name="Percent 28 5 2 2 5" xfId="26870" xr:uid="{00000000-0005-0000-0000-0000CB910000}"/>
    <cellStyle name="Percent 28 5 2 3" xfId="8441" xr:uid="{00000000-0005-0000-0000-0000CC910000}"/>
    <cellStyle name="Percent 28 5 2 3 2" xfId="14635" xr:uid="{00000000-0005-0000-0000-0000CD910000}"/>
    <cellStyle name="Percent 28 5 2 3 2 2" xfId="34555" xr:uid="{00000000-0005-0000-0000-0000CE910000}"/>
    <cellStyle name="Percent 28 5 2 3 3" xfId="20787" xr:uid="{00000000-0005-0000-0000-0000CF910000}"/>
    <cellStyle name="Percent 28 5 2 3 3 2" xfId="40707" xr:uid="{00000000-0005-0000-0000-0000D0910000}"/>
    <cellStyle name="Percent 28 5 2 3 4" xfId="28402" xr:uid="{00000000-0005-0000-0000-0000D1910000}"/>
    <cellStyle name="Percent 28 5 2 4" xfId="11569" xr:uid="{00000000-0005-0000-0000-0000D2910000}"/>
    <cellStyle name="Percent 28 5 2 4 2" xfId="31489" xr:uid="{00000000-0005-0000-0000-0000D3910000}"/>
    <cellStyle name="Percent 28 5 2 5" xfId="17721" xr:uid="{00000000-0005-0000-0000-0000D4910000}"/>
    <cellStyle name="Percent 28 5 2 5 2" xfId="37641" xr:uid="{00000000-0005-0000-0000-0000D5910000}"/>
    <cellStyle name="Percent 28 5 2 6" xfId="25336" xr:uid="{00000000-0005-0000-0000-0000D6910000}"/>
    <cellStyle name="Percent 28 5 3" xfId="6114" xr:uid="{00000000-0005-0000-0000-0000D7910000}"/>
    <cellStyle name="Percent 28 5 3 2" xfId="9207" xr:uid="{00000000-0005-0000-0000-0000D8910000}"/>
    <cellStyle name="Percent 28 5 3 2 2" xfId="15400" xr:uid="{00000000-0005-0000-0000-0000D9910000}"/>
    <cellStyle name="Percent 28 5 3 2 2 2" xfId="35320" xr:uid="{00000000-0005-0000-0000-0000DA910000}"/>
    <cellStyle name="Percent 28 5 3 2 3" xfId="21552" xr:uid="{00000000-0005-0000-0000-0000DB910000}"/>
    <cellStyle name="Percent 28 5 3 2 3 2" xfId="41472" xr:uid="{00000000-0005-0000-0000-0000DC910000}"/>
    <cellStyle name="Percent 28 5 3 2 4" xfId="29167" xr:uid="{00000000-0005-0000-0000-0000DD910000}"/>
    <cellStyle name="Percent 28 5 3 3" xfId="12334" xr:uid="{00000000-0005-0000-0000-0000DE910000}"/>
    <cellStyle name="Percent 28 5 3 3 2" xfId="32254" xr:uid="{00000000-0005-0000-0000-0000DF910000}"/>
    <cellStyle name="Percent 28 5 3 4" xfId="18486" xr:uid="{00000000-0005-0000-0000-0000E0910000}"/>
    <cellStyle name="Percent 28 5 3 4 2" xfId="38406" xr:uid="{00000000-0005-0000-0000-0000E1910000}"/>
    <cellStyle name="Percent 28 5 3 5" xfId="26101" xr:uid="{00000000-0005-0000-0000-0000E2910000}"/>
    <cellStyle name="Percent 28 5 4" xfId="7672" xr:uid="{00000000-0005-0000-0000-0000E3910000}"/>
    <cellStyle name="Percent 28 5 4 2" xfId="13866" xr:uid="{00000000-0005-0000-0000-0000E4910000}"/>
    <cellStyle name="Percent 28 5 4 2 2" xfId="33786" xr:uid="{00000000-0005-0000-0000-0000E5910000}"/>
    <cellStyle name="Percent 28 5 4 3" xfId="20018" xr:uid="{00000000-0005-0000-0000-0000E6910000}"/>
    <cellStyle name="Percent 28 5 4 3 2" xfId="39938" xr:uid="{00000000-0005-0000-0000-0000E7910000}"/>
    <cellStyle name="Percent 28 5 4 4" xfId="27633" xr:uid="{00000000-0005-0000-0000-0000E8910000}"/>
    <cellStyle name="Percent 28 5 5" xfId="10800" xr:uid="{00000000-0005-0000-0000-0000E9910000}"/>
    <cellStyle name="Percent 28 5 5 2" xfId="30720" xr:uid="{00000000-0005-0000-0000-0000EA910000}"/>
    <cellStyle name="Percent 28 5 6" xfId="16952" xr:uid="{00000000-0005-0000-0000-0000EB910000}"/>
    <cellStyle name="Percent 28 5 6 2" xfId="36872" xr:uid="{00000000-0005-0000-0000-0000EC910000}"/>
    <cellStyle name="Percent 28 5 7" xfId="24567" xr:uid="{00000000-0005-0000-0000-0000ED910000}"/>
    <cellStyle name="Percent 29" xfId="4223" xr:uid="{00000000-0005-0000-0000-0000EE910000}"/>
    <cellStyle name="Percent 29 2" xfId="4224" xr:uid="{00000000-0005-0000-0000-0000EF910000}"/>
    <cellStyle name="Percent 29 2 2" xfId="4225" xr:uid="{00000000-0005-0000-0000-0000F0910000}"/>
    <cellStyle name="Percent 29 2 2 2" xfId="5267" xr:uid="{00000000-0005-0000-0000-0000F1910000}"/>
    <cellStyle name="Percent 29 2 2 2 2" xfId="6892" xr:uid="{00000000-0005-0000-0000-0000F2910000}"/>
    <cellStyle name="Percent 29 2 2 2 2 2" xfId="9978" xr:uid="{00000000-0005-0000-0000-0000F3910000}"/>
    <cellStyle name="Percent 29 2 2 2 2 2 2" xfId="16171" xr:uid="{00000000-0005-0000-0000-0000F4910000}"/>
    <cellStyle name="Percent 29 2 2 2 2 2 2 2" xfId="36091" xr:uid="{00000000-0005-0000-0000-0000F5910000}"/>
    <cellStyle name="Percent 29 2 2 2 2 2 3" xfId="22323" xr:uid="{00000000-0005-0000-0000-0000F6910000}"/>
    <cellStyle name="Percent 29 2 2 2 2 2 3 2" xfId="42243" xr:uid="{00000000-0005-0000-0000-0000F7910000}"/>
    <cellStyle name="Percent 29 2 2 2 2 2 4" xfId="29938" xr:uid="{00000000-0005-0000-0000-0000F8910000}"/>
    <cellStyle name="Percent 29 2 2 2 2 3" xfId="13105" xr:uid="{00000000-0005-0000-0000-0000F9910000}"/>
    <cellStyle name="Percent 29 2 2 2 2 3 2" xfId="33025" xr:uid="{00000000-0005-0000-0000-0000FA910000}"/>
    <cellStyle name="Percent 29 2 2 2 2 4" xfId="19257" xr:uid="{00000000-0005-0000-0000-0000FB910000}"/>
    <cellStyle name="Percent 29 2 2 2 2 4 2" xfId="39177" xr:uid="{00000000-0005-0000-0000-0000FC910000}"/>
    <cellStyle name="Percent 29 2 2 2 2 5" xfId="26872" xr:uid="{00000000-0005-0000-0000-0000FD910000}"/>
    <cellStyle name="Percent 29 2 2 2 3" xfId="8443" xr:uid="{00000000-0005-0000-0000-0000FE910000}"/>
    <cellStyle name="Percent 29 2 2 2 3 2" xfId="14637" xr:uid="{00000000-0005-0000-0000-0000FF910000}"/>
    <cellStyle name="Percent 29 2 2 2 3 2 2" xfId="34557" xr:uid="{00000000-0005-0000-0000-000000920000}"/>
    <cellStyle name="Percent 29 2 2 2 3 3" xfId="20789" xr:uid="{00000000-0005-0000-0000-000001920000}"/>
    <cellStyle name="Percent 29 2 2 2 3 3 2" xfId="40709" xr:uid="{00000000-0005-0000-0000-000002920000}"/>
    <cellStyle name="Percent 29 2 2 2 3 4" xfId="28404" xr:uid="{00000000-0005-0000-0000-000003920000}"/>
    <cellStyle name="Percent 29 2 2 2 4" xfId="11571" xr:uid="{00000000-0005-0000-0000-000004920000}"/>
    <cellStyle name="Percent 29 2 2 2 4 2" xfId="31491" xr:uid="{00000000-0005-0000-0000-000005920000}"/>
    <cellStyle name="Percent 29 2 2 2 5" xfId="17723" xr:uid="{00000000-0005-0000-0000-000006920000}"/>
    <cellStyle name="Percent 29 2 2 2 5 2" xfId="37643" xr:uid="{00000000-0005-0000-0000-000007920000}"/>
    <cellStyle name="Percent 29 2 2 2 6" xfId="25338" xr:uid="{00000000-0005-0000-0000-000008920000}"/>
    <cellStyle name="Percent 29 2 2 3" xfId="6117" xr:uid="{00000000-0005-0000-0000-000009920000}"/>
    <cellStyle name="Percent 29 2 2 3 2" xfId="9209" xr:uid="{00000000-0005-0000-0000-00000A920000}"/>
    <cellStyle name="Percent 29 2 2 3 2 2" xfId="15402" xr:uid="{00000000-0005-0000-0000-00000B920000}"/>
    <cellStyle name="Percent 29 2 2 3 2 2 2" xfId="35322" xr:uid="{00000000-0005-0000-0000-00000C920000}"/>
    <cellStyle name="Percent 29 2 2 3 2 3" xfId="21554" xr:uid="{00000000-0005-0000-0000-00000D920000}"/>
    <cellStyle name="Percent 29 2 2 3 2 3 2" xfId="41474" xr:uid="{00000000-0005-0000-0000-00000E920000}"/>
    <cellStyle name="Percent 29 2 2 3 2 4" xfId="29169" xr:uid="{00000000-0005-0000-0000-00000F920000}"/>
    <cellStyle name="Percent 29 2 2 3 3" xfId="12336" xr:uid="{00000000-0005-0000-0000-000010920000}"/>
    <cellStyle name="Percent 29 2 2 3 3 2" xfId="32256" xr:uid="{00000000-0005-0000-0000-000011920000}"/>
    <cellStyle name="Percent 29 2 2 3 4" xfId="18488" xr:uid="{00000000-0005-0000-0000-000012920000}"/>
    <cellStyle name="Percent 29 2 2 3 4 2" xfId="38408" xr:uid="{00000000-0005-0000-0000-000013920000}"/>
    <cellStyle name="Percent 29 2 2 3 5" xfId="26103" xr:uid="{00000000-0005-0000-0000-000014920000}"/>
    <cellStyle name="Percent 29 2 2 4" xfId="7674" xr:uid="{00000000-0005-0000-0000-000015920000}"/>
    <cellStyle name="Percent 29 2 2 4 2" xfId="13868" xr:uid="{00000000-0005-0000-0000-000016920000}"/>
    <cellStyle name="Percent 29 2 2 4 2 2" xfId="33788" xr:uid="{00000000-0005-0000-0000-000017920000}"/>
    <cellStyle name="Percent 29 2 2 4 3" xfId="20020" xr:uid="{00000000-0005-0000-0000-000018920000}"/>
    <cellStyle name="Percent 29 2 2 4 3 2" xfId="39940" xr:uid="{00000000-0005-0000-0000-000019920000}"/>
    <cellStyle name="Percent 29 2 2 4 4" xfId="27635" xr:uid="{00000000-0005-0000-0000-00001A920000}"/>
    <cellStyle name="Percent 29 2 2 5" xfId="10802" xr:uid="{00000000-0005-0000-0000-00001B920000}"/>
    <cellStyle name="Percent 29 2 2 5 2" xfId="30722" xr:uid="{00000000-0005-0000-0000-00001C920000}"/>
    <cellStyle name="Percent 29 2 2 6" xfId="16954" xr:uid="{00000000-0005-0000-0000-00001D920000}"/>
    <cellStyle name="Percent 29 2 2 6 2" xfId="36874" xr:uid="{00000000-0005-0000-0000-00001E920000}"/>
    <cellStyle name="Percent 29 2 2 7" xfId="24569" xr:uid="{00000000-0005-0000-0000-00001F920000}"/>
    <cellStyle name="Percent 29 2 3" xfId="5266" xr:uid="{00000000-0005-0000-0000-000020920000}"/>
    <cellStyle name="Percent 29 2 3 2" xfId="6891" xr:uid="{00000000-0005-0000-0000-000021920000}"/>
    <cellStyle name="Percent 29 2 3 2 2" xfId="9977" xr:uid="{00000000-0005-0000-0000-000022920000}"/>
    <cellStyle name="Percent 29 2 3 2 2 2" xfId="16170" xr:uid="{00000000-0005-0000-0000-000023920000}"/>
    <cellStyle name="Percent 29 2 3 2 2 2 2" xfId="36090" xr:uid="{00000000-0005-0000-0000-000024920000}"/>
    <cellStyle name="Percent 29 2 3 2 2 3" xfId="22322" xr:uid="{00000000-0005-0000-0000-000025920000}"/>
    <cellStyle name="Percent 29 2 3 2 2 3 2" xfId="42242" xr:uid="{00000000-0005-0000-0000-000026920000}"/>
    <cellStyle name="Percent 29 2 3 2 2 4" xfId="29937" xr:uid="{00000000-0005-0000-0000-000027920000}"/>
    <cellStyle name="Percent 29 2 3 2 3" xfId="13104" xr:uid="{00000000-0005-0000-0000-000028920000}"/>
    <cellStyle name="Percent 29 2 3 2 3 2" xfId="33024" xr:uid="{00000000-0005-0000-0000-000029920000}"/>
    <cellStyle name="Percent 29 2 3 2 4" xfId="19256" xr:uid="{00000000-0005-0000-0000-00002A920000}"/>
    <cellStyle name="Percent 29 2 3 2 4 2" xfId="39176" xr:uid="{00000000-0005-0000-0000-00002B920000}"/>
    <cellStyle name="Percent 29 2 3 2 5" xfId="26871" xr:uid="{00000000-0005-0000-0000-00002C920000}"/>
    <cellStyle name="Percent 29 2 3 3" xfId="8442" xr:uid="{00000000-0005-0000-0000-00002D920000}"/>
    <cellStyle name="Percent 29 2 3 3 2" xfId="14636" xr:uid="{00000000-0005-0000-0000-00002E920000}"/>
    <cellStyle name="Percent 29 2 3 3 2 2" xfId="34556" xr:uid="{00000000-0005-0000-0000-00002F920000}"/>
    <cellStyle name="Percent 29 2 3 3 3" xfId="20788" xr:uid="{00000000-0005-0000-0000-000030920000}"/>
    <cellStyle name="Percent 29 2 3 3 3 2" xfId="40708" xr:uid="{00000000-0005-0000-0000-000031920000}"/>
    <cellStyle name="Percent 29 2 3 3 4" xfId="28403" xr:uid="{00000000-0005-0000-0000-000032920000}"/>
    <cellStyle name="Percent 29 2 3 4" xfId="11570" xr:uid="{00000000-0005-0000-0000-000033920000}"/>
    <cellStyle name="Percent 29 2 3 4 2" xfId="31490" xr:uid="{00000000-0005-0000-0000-000034920000}"/>
    <cellStyle name="Percent 29 2 3 5" xfId="17722" xr:uid="{00000000-0005-0000-0000-000035920000}"/>
    <cellStyle name="Percent 29 2 3 5 2" xfId="37642" xr:uid="{00000000-0005-0000-0000-000036920000}"/>
    <cellStyle name="Percent 29 2 3 6" xfId="25337" xr:uid="{00000000-0005-0000-0000-000037920000}"/>
    <cellStyle name="Percent 29 2 4" xfId="6116" xr:uid="{00000000-0005-0000-0000-000038920000}"/>
    <cellStyle name="Percent 29 2 4 2" xfId="9208" xr:uid="{00000000-0005-0000-0000-000039920000}"/>
    <cellStyle name="Percent 29 2 4 2 2" xfId="15401" xr:uid="{00000000-0005-0000-0000-00003A920000}"/>
    <cellStyle name="Percent 29 2 4 2 2 2" xfId="35321" xr:uid="{00000000-0005-0000-0000-00003B920000}"/>
    <cellStyle name="Percent 29 2 4 2 3" xfId="21553" xr:uid="{00000000-0005-0000-0000-00003C920000}"/>
    <cellStyle name="Percent 29 2 4 2 3 2" xfId="41473" xr:uid="{00000000-0005-0000-0000-00003D920000}"/>
    <cellStyle name="Percent 29 2 4 2 4" xfId="29168" xr:uid="{00000000-0005-0000-0000-00003E920000}"/>
    <cellStyle name="Percent 29 2 4 3" xfId="12335" xr:uid="{00000000-0005-0000-0000-00003F920000}"/>
    <cellStyle name="Percent 29 2 4 3 2" xfId="32255" xr:uid="{00000000-0005-0000-0000-000040920000}"/>
    <cellStyle name="Percent 29 2 4 4" xfId="18487" xr:uid="{00000000-0005-0000-0000-000041920000}"/>
    <cellStyle name="Percent 29 2 4 4 2" xfId="38407" xr:uid="{00000000-0005-0000-0000-000042920000}"/>
    <cellStyle name="Percent 29 2 4 5" xfId="26102" xr:uid="{00000000-0005-0000-0000-000043920000}"/>
    <cellStyle name="Percent 29 2 5" xfId="7673" xr:uid="{00000000-0005-0000-0000-000044920000}"/>
    <cellStyle name="Percent 29 2 5 2" xfId="13867" xr:uid="{00000000-0005-0000-0000-000045920000}"/>
    <cellStyle name="Percent 29 2 5 2 2" xfId="33787" xr:uid="{00000000-0005-0000-0000-000046920000}"/>
    <cellStyle name="Percent 29 2 5 3" xfId="20019" xr:uid="{00000000-0005-0000-0000-000047920000}"/>
    <cellStyle name="Percent 29 2 5 3 2" xfId="39939" xr:uid="{00000000-0005-0000-0000-000048920000}"/>
    <cellStyle name="Percent 29 2 5 4" xfId="27634" xr:uid="{00000000-0005-0000-0000-000049920000}"/>
    <cellStyle name="Percent 29 2 6" xfId="10801" xr:uid="{00000000-0005-0000-0000-00004A920000}"/>
    <cellStyle name="Percent 29 2 6 2" xfId="30721" xr:uid="{00000000-0005-0000-0000-00004B920000}"/>
    <cellStyle name="Percent 29 2 7" xfId="16953" xr:uid="{00000000-0005-0000-0000-00004C920000}"/>
    <cellStyle name="Percent 29 2 7 2" xfId="36873" xr:uid="{00000000-0005-0000-0000-00004D920000}"/>
    <cellStyle name="Percent 29 2 8" xfId="24568" xr:uid="{00000000-0005-0000-0000-00004E920000}"/>
    <cellStyle name="Percent 29 3" xfId="4226" xr:uid="{00000000-0005-0000-0000-00004F920000}"/>
    <cellStyle name="Percent 29 3 2" xfId="4227" xr:uid="{00000000-0005-0000-0000-000050920000}"/>
    <cellStyle name="Percent 29 3 2 2" xfId="5269" xr:uid="{00000000-0005-0000-0000-000051920000}"/>
    <cellStyle name="Percent 29 3 2 2 2" xfId="6894" xr:uid="{00000000-0005-0000-0000-000052920000}"/>
    <cellStyle name="Percent 29 3 2 2 2 2" xfId="9980" xr:uid="{00000000-0005-0000-0000-000053920000}"/>
    <cellStyle name="Percent 29 3 2 2 2 2 2" xfId="16173" xr:uid="{00000000-0005-0000-0000-000054920000}"/>
    <cellStyle name="Percent 29 3 2 2 2 2 2 2" xfId="36093" xr:uid="{00000000-0005-0000-0000-000055920000}"/>
    <cellStyle name="Percent 29 3 2 2 2 2 3" xfId="22325" xr:uid="{00000000-0005-0000-0000-000056920000}"/>
    <cellStyle name="Percent 29 3 2 2 2 2 3 2" xfId="42245" xr:uid="{00000000-0005-0000-0000-000057920000}"/>
    <cellStyle name="Percent 29 3 2 2 2 2 4" xfId="29940" xr:uid="{00000000-0005-0000-0000-000058920000}"/>
    <cellStyle name="Percent 29 3 2 2 2 3" xfId="13107" xr:uid="{00000000-0005-0000-0000-000059920000}"/>
    <cellStyle name="Percent 29 3 2 2 2 3 2" xfId="33027" xr:uid="{00000000-0005-0000-0000-00005A920000}"/>
    <cellStyle name="Percent 29 3 2 2 2 4" xfId="19259" xr:uid="{00000000-0005-0000-0000-00005B920000}"/>
    <cellStyle name="Percent 29 3 2 2 2 4 2" xfId="39179" xr:uid="{00000000-0005-0000-0000-00005C920000}"/>
    <cellStyle name="Percent 29 3 2 2 2 5" xfId="26874" xr:uid="{00000000-0005-0000-0000-00005D920000}"/>
    <cellStyle name="Percent 29 3 2 2 3" xfId="8445" xr:uid="{00000000-0005-0000-0000-00005E920000}"/>
    <cellStyle name="Percent 29 3 2 2 3 2" xfId="14639" xr:uid="{00000000-0005-0000-0000-00005F920000}"/>
    <cellStyle name="Percent 29 3 2 2 3 2 2" xfId="34559" xr:uid="{00000000-0005-0000-0000-000060920000}"/>
    <cellStyle name="Percent 29 3 2 2 3 3" xfId="20791" xr:uid="{00000000-0005-0000-0000-000061920000}"/>
    <cellStyle name="Percent 29 3 2 2 3 3 2" xfId="40711" xr:uid="{00000000-0005-0000-0000-000062920000}"/>
    <cellStyle name="Percent 29 3 2 2 3 4" xfId="28406" xr:uid="{00000000-0005-0000-0000-000063920000}"/>
    <cellStyle name="Percent 29 3 2 2 4" xfId="11573" xr:uid="{00000000-0005-0000-0000-000064920000}"/>
    <cellStyle name="Percent 29 3 2 2 4 2" xfId="31493" xr:uid="{00000000-0005-0000-0000-000065920000}"/>
    <cellStyle name="Percent 29 3 2 2 5" xfId="17725" xr:uid="{00000000-0005-0000-0000-000066920000}"/>
    <cellStyle name="Percent 29 3 2 2 5 2" xfId="37645" xr:uid="{00000000-0005-0000-0000-000067920000}"/>
    <cellStyle name="Percent 29 3 2 2 6" xfId="25340" xr:uid="{00000000-0005-0000-0000-000068920000}"/>
    <cellStyle name="Percent 29 3 2 3" xfId="6119" xr:uid="{00000000-0005-0000-0000-000069920000}"/>
    <cellStyle name="Percent 29 3 2 3 2" xfId="9211" xr:uid="{00000000-0005-0000-0000-00006A920000}"/>
    <cellStyle name="Percent 29 3 2 3 2 2" xfId="15404" xr:uid="{00000000-0005-0000-0000-00006B920000}"/>
    <cellStyle name="Percent 29 3 2 3 2 2 2" xfId="35324" xr:uid="{00000000-0005-0000-0000-00006C920000}"/>
    <cellStyle name="Percent 29 3 2 3 2 3" xfId="21556" xr:uid="{00000000-0005-0000-0000-00006D920000}"/>
    <cellStyle name="Percent 29 3 2 3 2 3 2" xfId="41476" xr:uid="{00000000-0005-0000-0000-00006E920000}"/>
    <cellStyle name="Percent 29 3 2 3 2 4" xfId="29171" xr:uid="{00000000-0005-0000-0000-00006F920000}"/>
    <cellStyle name="Percent 29 3 2 3 3" xfId="12338" xr:uid="{00000000-0005-0000-0000-000070920000}"/>
    <cellStyle name="Percent 29 3 2 3 3 2" xfId="32258" xr:uid="{00000000-0005-0000-0000-000071920000}"/>
    <cellStyle name="Percent 29 3 2 3 4" xfId="18490" xr:uid="{00000000-0005-0000-0000-000072920000}"/>
    <cellStyle name="Percent 29 3 2 3 4 2" xfId="38410" xr:uid="{00000000-0005-0000-0000-000073920000}"/>
    <cellStyle name="Percent 29 3 2 3 5" xfId="26105" xr:uid="{00000000-0005-0000-0000-000074920000}"/>
    <cellStyle name="Percent 29 3 2 4" xfId="7676" xr:uid="{00000000-0005-0000-0000-000075920000}"/>
    <cellStyle name="Percent 29 3 2 4 2" xfId="13870" xr:uid="{00000000-0005-0000-0000-000076920000}"/>
    <cellStyle name="Percent 29 3 2 4 2 2" xfId="33790" xr:uid="{00000000-0005-0000-0000-000077920000}"/>
    <cellStyle name="Percent 29 3 2 4 3" xfId="20022" xr:uid="{00000000-0005-0000-0000-000078920000}"/>
    <cellStyle name="Percent 29 3 2 4 3 2" xfId="39942" xr:uid="{00000000-0005-0000-0000-000079920000}"/>
    <cellStyle name="Percent 29 3 2 4 4" xfId="27637" xr:uid="{00000000-0005-0000-0000-00007A920000}"/>
    <cellStyle name="Percent 29 3 2 5" xfId="10804" xr:uid="{00000000-0005-0000-0000-00007B920000}"/>
    <cellStyle name="Percent 29 3 2 5 2" xfId="30724" xr:uid="{00000000-0005-0000-0000-00007C920000}"/>
    <cellStyle name="Percent 29 3 2 6" xfId="16956" xr:uid="{00000000-0005-0000-0000-00007D920000}"/>
    <cellStyle name="Percent 29 3 2 6 2" xfId="36876" xr:uid="{00000000-0005-0000-0000-00007E920000}"/>
    <cellStyle name="Percent 29 3 2 7" xfId="24571" xr:uid="{00000000-0005-0000-0000-00007F920000}"/>
    <cellStyle name="Percent 29 3 3" xfId="5268" xr:uid="{00000000-0005-0000-0000-000080920000}"/>
    <cellStyle name="Percent 29 3 3 2" xfId="6893" xr:uid="{00000000-0005-0000-0000-000081920000}"/>
    <cellStyle name="Percent 29 3 3 2 2" xfId="9979" xr:uid="{00000000-0005-0000-0000-000082920000}"/>
    <cellStyle name="Percent 29 3 3 2 2 2" xfId="16172" xr:uid="{00000000-0005-0000-0000-000083920000}"/>
    <cellStyle name="Percent 29 3 3 2 2 2 2" xfId="36092" xr:uid="{00000000-0005-0000-0000-000084920000}"/>
    <cellStyle name="Percent 29 3 3 2 2 3" xfId="22324" xr:uid="{00000000-0005-0000-0000-000085920000}"/>
    <cellStyle name="Percent 29 3 3 2 2 3 2" xfId="42244" xr:uid="{00000000-0005-0000-0000-000086920000}"/>
    <cellStyle name="Percent 29 3 3 2 2 4" xfId="29939" xr:uid="{00000000-0005-0000-0000-000087920000}"/>
    <cellStyle name="Percent 29 3 3 2 3" xfId="13106" xr:uid="{00000000-0005-0000-0000-000088920000}"/>
    <cellStyle name="Percent 29 3 3 2 3 2" xfId="33026" xr:uid="{00000000-0005-0000-0000-000089920000}"/>
    <cellStyle name="Percent 29 3 3 2 4" xfId="19258" xr:uid="{00000000-0005-0000-0000-00008A920000}"/>
    <cellStyle name="Percent 29 3 3 2 4 2" xfId="39178" xr:uid="{00000000-0005-0000-0000-00008B920000}"/>
    <cellStyle name="Percent 29 3 3 2 5" xfId="26873" xr:uid="{00000000-0005-0000-0000-00008C920000}"/>
    <cellStyle name="Percent 29 3 3 3" xfId="8444" xr:uid="{00000000-0005-0000-0000-00008D920000}"/>
    <cellStyle name="Percent 29 3 3 3 2" xfId="14638" xr:uid="{00000000-0005-0000-0000-00008E920000}"/>
    <cellStyle name="Percent 29 3 3 3 2 2" xfId="34558" xr:uid="{00000000-0005-0000-0000-00008F920000}"/>
    <cellStyle name="Percent 29 3 3 3 3" xfId="20790" xr:uid="{00000000-0005-0000-0000-000090920000}"/>
    <cellStyle name="Percent 29 3 3 3 3 2" xfId="40710" xr:uid="{00000000-0005-0000-0000-000091920000}"/>
    <cellStyle name="Percent 29 3 3 3 4" xfId="28405" xr:uid="{00000000-0005-0000-0000-000092920000}"/>
    <cellStyle name="Percent 29 3 3 4" xfId="11572" xr:uid="{00000000-0005-0000-0000-000093920000}"/>
    <cellStyle name="Percent 29 3 3 4 2" xfId="31492" xr:uid="{00000000-0005-0000-0000-000094920000}"/>
    <cellStyle name="Percent 29 3 3 5" xfId="17724" xr:uid="{00000000-0005-0000-0000-000095920000}"/>
    <cellStyle name="Percent 29 3 3 5 2" xfId="37644" xr:uid="{00000000-0005-0000-0000-000096920000}"/>
    <cellStyle name="Percent 29 3 3 6" xfId="25339" xr:uid="{00000000-0005-0000-0000-000097920000}"/>
    <cellStyle name="Percent 29 3 4" xfId="6118" xr:uid="{00000000-0005-0000-0000-000098920000}"/>
    <cellStyle name="Percent 29 3 4 2" xfId="9210" xr:uid="{00000000-0005-0000-0000-000099920000}"/>
    <cellStyle name="Percent 29 3 4 2 2" xfId="15403" xr:uid="{00000000-0005-0000-0000-00009A920000}"/>
    <cellStyle name="Percent 29 3 4 2 2 2" xfId="35323" xr:uid="{00000000-0005-0000-0000-00009B920000}"/>
    <cellStyle name="Percent 29 3 4 2 3" xfId="21555" xr:uid="{00000000-0005-0000-0000-00009C920000}"/>
    <cellStyle name="Percent 29 3 4 2 3 2" xfId="41475" xr:uid="{00000000-0005-0000-0000-00009D920000}"/>
    <cellStyle name="Percent 29 3 4 2 4" xfId="29170" xr:uid="{00000000-0005-0000-0000-00009E920000}"/>
    <cellStyle name="Percent 29 3 4 3" xfId="12337" xr:uid="{00000000-0005-0000-0000-00009F920000}"/>
    <cellStyle name="Percent 29 3 4 3 2" xfId="32257" xr:uid="{00000000-0005-0000-0000-0000A0920000}"/>
    <cellStyle name="Percent 29 3 4 4" xfId="18489" xr:uid="{00000000-0005-0000-0000-0000A1920000}"/>
    <cellStyle name="Percent 29 3 4 4 2" xfId="38409" xr:uid="{00000000-0005-0000-0000-0000A2920000}"/>
    <cellStyle name="Percent 29 3 4 5" xfId="26104" xr:uid="{00000000-0005-0000-0000-0000A3920000}"/>
    <cellStyle name="Percent 29 3 5" xfId="7675" xr:uid="{00000000-0005-0000-0000-0000A4920000}"/>
    <cellStyle name="Percent 29 3 5 2" xfId="13869" xr:uid="{00000000-0005-0000-0000-0000A5920000}"/>
    <cellStyle name="Percent 29 3 5 2 2" xfId="33789" xr:uid="{00000000-0005-0000-0000-0000A6920000}"/>
    <cellStyle name="Percent 29 3 5 3" xfId="20021" xr:uid="{00000000-0005-0000-0000-0000A7920000}"/>
    <cellStyle name="Percent 29 3 5 3 2" xfId="39941" xr:uid="{00000000-0005-0000-0000-0000A8920000}"/>
    <cellStyle name="Percent 29 3 5 4" xfId="27636" xr:uid="{00000000-0005-0000-0000-0000A9920000}"/>
    <cellStyle name="Percent 29 3 6" xfId="10803" xr:uid="{00000000-0005-0000-0000-0000AA920000}"/>
    <cellStyle name="Percent 29 3 6 2" xfId="30723" xr:uid="{00000000-0005-0000-0000-0000AB920000}"/>
    <cellStyle name="Percent 29 3 7" xfId="16955" xr:uid="{00000000-0005-0000-0000-0000AC920000}"/>
    <cellStyle name="Percent 29 3 7 2" xfId="36875" xr:uid="{00000000-0005-0000-0000-0000AD920000}"/>
    <cellStyle name="Percent 29 3 8" xfId="24570" xr:uid="{00000000-0005-0000-0000-0000AE920000}"/>
    <cellStyle name="Percent 29 4" xfId="4228" xr:uid="{00000000-0005-0000-0000-0000AF920000}"/>
    <cellStyle name="Percent 29 4 2" xfId="4229" xr:uid="{00000000-0005-0000-0000-0000B0920000}"/>
    <cellStyle name="Percent 29 4 2 2" xfId="5270" xr:uid="{00000000-0005-0000-0000-0000B1920000}"/>
    <cellStyle name="Percent 29 4 2 2 2" xfId="6895" xr:uid="{00000000-0005-0000-0000-0000B2920000}"/>
    <cellStyle name="Percent 29 4 2 2 2 2" xfId="9981" xr:uid="{00000000-0005-0000-0000-0000B3920000}"/>
    <cellStyle name="Percent 29 4 2 2 2 2 2" xfId="16174" xr:uid="{00000000-0005-0000-0000-0000B4920000}"/>
    <cellStyle name="Percent 29 4 2 2 2 2 2 2" xfId="36094" xr:uid="{00000000-0005-0000-0000-0000B5920000}"/>
    <cellStyle name="Percent 29 4 2 2 2 2 3" xfId="22326" xr:uid="{00000000-0005-0000-0000-0000B6920000}"/>
    <cellStyle name="Percent 29 4 2 2 2 2 3 2" xfId="42246" xr:uid="{00000000-0005-0000-0000-0000B7920000}"/>
    <cellStyle name="Percent 29 4 2 2 2 2 4" xfId="29941" xr:uid="{00000000-0005-0000-0000-0000B8920000}"/>
    <cellStyle name="Percent 29 4 2 2 2 3" xfId="13108" xr:uid="{00000000-0005-0000-0000-0000B9920000}"/>
    <cellStyle name="Percent 29 4 2 2 2 3 2" xfId="33028" xr:uid="{00000000-0005-0000-0000-0000BA920000}"/>
    <cellStyle name="Percent 29 4 2 2 2 4" xfId="19260" xr:uid="{00000000-0005-0000-0000-0000BB920000}"/>
    <cellStyle name="Percent 29 4 2 2 2 4 2" xfId="39180" xr:uid="{00000000-0005-0000-0000-0000BC920000}"/>
    <cellStyle name="Percent 29 4 2 2 2 5" xfId="26875" xr:uid="{00000000-0005-0000-0000-0000BD920000}"/>
    <cellStyle name="Percent 29 4 2 2 3" xfId="8446" xr:uid="{00000000-0005-0000-0000-0000BE920000}"/>
    <cellStyle name="Percent 29 4 2 2 3 2" xfId="14640" xr:uid="{00000000-0005-0000-0000-0000BF920000}"/>
    <cellStyle name="Percent 29 4 2 2 3 2 2" xfId="34560" xr:uid="{00000000-0005-0000-0000-0000C0920000}"/>
    <cellStyle name="Percent 29 4 2 2 3 3" xfId="20792" xr:uid="{00000000-0005-0000-0000-0000C1920000}"/>
    <cellStyle name="Percent 29 4 2 2 3 3 2" xfId="40712" xr:uid="{00000000-0005-0000-0000-0000C2920000}"/>
    <cellStyle name="Percent 29 4 2 2 3 4" xfId="28407" xr:uid="{00000000-0005-0000-0000-0000C3920000}"/>
    <cellStyle name="Percent 29 4 2 2 4" xfId="11574" xr:uid="{00000000-0005-0000-0000-0000C4920000}"/>
    <cellStyle name="Percent 29 4 2 2 4 2" xfId="31494" xr:uid="{00000000-0005-0000-0000-0000C5920000}"/>
    <cellStyle name="Percent 29 4 2 2 5" xfId="17726" xr:uid="{00000000-0005-0000-0000-0000C6920000}"/>
    <cellStyle name="Percent 29 4 2 2 5 2" xfId="37646" xr:uid="{00000000-0005-0000-0000-0000C7920000}"/>
    <cellStyle name="Percent 29 4 2 2 6" xfId="25341" xr:uid="{00000000-0005-0000-0000-0000C8920000}"/>
    <cellStyle name="Percent 29 4 2 3" xfId="6120" xr:uid="{00000000-0005-0000-0000-0000C9920000}"/>
    <cellStyle name="Percent 29 4 2 3 2" xfId="9212" xr:uid="{00000000-0005-0000-0000-0000CA920000}"/>
    <cellStyle name="Percent 29 4 2 3 2 2" xfId="15405" xr:uid="{00000000-0005-0000-0000-0000CB920000}"/>
    <cellStyle name="Percent 29 4 2 3 2 2 2" xfId="35325" xr:uid="{00000000-0005-0000-0000-0000CC920000}"/>
    <cellStyle name="Percent 29 4 2 3 2 3" xfId="21557" xr:uid="{00000000-0005-0000-0000-0000CD920000}"/>
    <cellStyle name="Percent 29 4 2 3 2 3 2" xfId="41477" xr:uid="{00000000-0005-0000-0000-0000CE920000}"/>
    <cellStyle name="Percent 29 4 2 3 2 4" xfId="29172" xr:uid="{00000000-0005-0000-0000-0000CF920000}"/>
    <cellStyle name="Percent 29 4 2 3 3" xfId="12339" xr:uid="{00000000-0005-0000-0000-0000D0920000}"/>
    <cellStyle name="Percent 29 4 2 3 3 2" xfId="32259" xr:uid="{00000000-0005-0000-0000-0000D1920000}"/>
    <cellStyle name="Percent 29 4 2 3 4" xfId="18491" xr:uid="{00000000-0005-0000-0000-0000D2920000}"/>
    <cellStyle name="Percent 29 4 2 3 4 2" xfId="38411" xr:uid="{00000000-0005-0000-0000-0000D3920000}"/>
    <cellStyle name="Percent 29 4 2 3 5" xfId="26106" xr:uid="{00000000-0005-0000-0000-0000D4920000}"/>
    <cellStyle name="Percent 29 4 2 4" xfId="7677" xr:uid="{00000000-0005-0000-0000-0000D5920000}"/>
    <cellStyle name="Percent 29 4 2 4 2" xfId="13871" xr:uid="{00000000-0005-0000-0000-0000D6920000}"/>
    <cellStyle name="Percent 29 4 2 4 2 2" xfId="33791" xr:uid="{00000000-0005-0000-0000-0000D7920000}"/>
    <cellStyle name="Percent 29 4 2 4 3" xfId="20023" xr:uid="{00000000-0005-0000-0000-0000D8920000}"/>
    <cellStyle name="Percent 29 4 2 4 3 2" xfId="39943" xr:uid="{00000000-0005-0000-0000-0000D9920000}"/>
    <cellStyle name="Percent 29 4 2 4 4" xfId="27638" xr:uid="{00000000-0005-0000-0000-0000DA920000}"/>
    <cellStyle name="Percent 29 4 2 5" xfId="10805" xr:uid="{00000000-0005-0000-0000-0000DB920000}"/>
    <cellStyle name="Percent 29 4 2 5 2" xfId="30725" xr:uid="{00000000-0005-0000-0000-0000DC920000}"/>
    <cellStyle name="Percent 29 4 2 6" xfId="16957" xr:uid="{00000000-0005-0000-0000-0000DD920000}"/>
    <cellStyle name="Percent 29 4 2 6 2" xfId="36877" xr:uid="{00000000-0005-0000-0000-0000DE920000}"/>
    <cellStyle name="Percent 29 4 2 7" xfId="24572" xr:uid="{00000000-0005-0000-0000-0000DF920000}"/>
    <cellStyle name="Percent 29 5" xfId="4230" xr:uid="{00000000-0005-0000-0000-0000E0920000}"/>
    <cellStyle name="Percent 29 5 2" xfId="5271" xr:uid="{00000000-0005-0000-0000-0000E1920000}"/>
    <cellStyle name="Percent 29 5 2 2" xfId="6896" xr:uid="{00000000-0005-0000-0000-0000E2920000}"/>
    <cellStyle name="Percent 29 5 2 2 2" xfId="9982" xr:uid="{00000000-0005-0000-0000-0000E3920000}"/>
    <cellStyle name="Percent 29 5 2 2 2 2" xfId="16175" xr:uid="{00000000-0005-0000-0000-0000E4920000}"/>
    <cellStyle name="Percent 29 5 2 2 2 2 2" xfId="36095" xr:uid="{00000000-0005-0000-0000-0000E5920000}"/>
    <cellStyle name="Percent 29 5 2 2 2 3" xfId="22327" xr:uid="{00000000-0005-0000-0000-0000E6920000}"/>
    <cellStyle name="Percent 29 5 2 2 2 3 2" xfId="42247" xr:uid="{00000000-0005-0000-0000-0000E7920000}"/>
    <cellStyle name="Percent 29 5 2 2 2 4" xfId="29942" xr:uid="{00000000-0005-0000-0000-0000E8920000}"/>
    <cellStyle name="Percent 29 5 2 2 3" xfId="13109" xr:uid="{00000000-0005-0000-0000-0000E9920000}"/>
    <cellStyle name="Percent 29 5 2 2 3 2" xfId="33029" xr:uid="{00000000-0005-0000-0000-0000EA920000}"/>
    <cellStyle name="Percent 29 5 2 2 4" xfId="19261" xr:uid="{00000000-0005-0000-0000-0000EB920000}"/>
    <cellStyle name="Percent 29 5 2 2 4 2" xfId="39181" xr:uid="{00000000-0005-0000-0000-0000EC920000}"/>
    <cellStyle name="Percent 29 5 2 2 5" xfId="26876" xr:uid="{00000000-0005-0000-0000-0000ED920000}"/>
    <cellStyle name="Percent 29 5 2 3" xfId="8447" xr:uid="{00000000-0005-0000-0000-0000EE920000}"/>
    <cellStyle name="Percent 29 5 2 3 2" xfId="14641" xr:uid="{00000000-0005-0000-0000-0000EF920000}"/>
    <cellStyle name="Percent 29 5 2 3 2 2" xfId="34561" xr:uid="{00000000-0005-0000-0000-0000F0920000}"/>
    <cellStyle name="Percent 29 5 2 3 3" xfId="20793" xr:uid="{00000000-0005-0000-0000-0000F1920000}"/>
    <cellStyle name="Percent 29 5 2 3 3 2" xfId="40713" xr:uid="{00000000-0005-0000-0000-0000F2920000}"/>
    <cellStyle name="Percent 29 5 2 3 4" xfId="28408" xr:uid="{00000000-0005-0000-0000-0000F3920000}"/>
    <cellStyle name="Percent 29 5 2 4" xfId="11575" xr:uid="{00000000-0005-0000-0000-0000F4920000}"/>
    <cellStyle name="Percent 29 5 2 4 2" xfId="31495" xr:uid="{00000000-0005-0000-0000-0000F5920000}"/>
    <cellStyle name="Percent 29 5 2 5" xfId="17727" xr:uid="{00000000-0005-0000-0000-0000F6920000}"/>
    <cellStyle name="Percent 29 5 2 5 2" xfId="37647" xr:uid="{00000000-0005-0000-0000-0000F7920000}"/>
    <cellStyle name="Percent 29 5 2 6" xfId="25342" xr:uid="{00000000-0005-0000-0000-0000F8920000}"/>
    <cellStyle name="Percent 29 5 3" xfId="6121" xr:uid="{00000000-0005-0000-0000-0000F9920000}"/>
    <cellStyle name="Percent 29 5 3 2" xfId="9213" xr:uid="{00000000-0005-0000-0000-0000FA920000}"/>
    <cellStyle name="Percent 29 5 3 2 2" xfId="15406" xr:uid="{00000000-0005-0000-0000-0000FB920000}"/>
    <cellStyle name="Percent 29 5 3 2 2 2" xfId="35326" xr:uid="{00000000-0005-0000-0000-0000FC920000}"/>
    <cellStyle name="Percent 29 5 3 2 3" xfId="21558" xr:uid="{00000000-0005-0000-0000-0000FD920000}"/>
    <cellStyle name="Percent 29 5 3 2 3 2" xfId="41478" xr:uid="{00000000-0005-0000-0000-0000FE920000}"/>
    <cellStyle name="Percent 29 5 3 2 4" xfId="29173" xr:uid="{00000000-0005-0000-0000-0000FF920000}"/>
    <cellStyle name="Percent 29 5 3 3" xfId="12340" xr:uid="{00000000-0005-0000-0000-000000930000}"/>
    <cellStyle name="Percent 29 5 3 3 2" xfId="32260" xr:uid="{00000000-0005-0000-0000-000001930000}"/>
    <cellStyle name="Percent 29 5 3 4" xfId="18492" xr:uid="{00000000-0005-0000-0000-000002930000}"/>
    <cellStyle name="Percent 29 5 3 4 2" xfId="38412" xr:uid="{00000000-0005-0000-0000-000003930000}"/>
    <cellStyle name="Percent 29 5 3 5" xfId="26107" xr:uid="{00000000-0005-0000-0000-000004930000}"/>
    <cellStyle name="Percent 29 5 4" xfId="7678" xr:uid="{00000000-0005-0000-0000-000005930000}"/>
    <cellStyle name="Percent 29 5 4 2" xfId="13872" xr:uid="{00000000-0005-0000-0000-000006930000}"/>
    <cellStyle name="Percent 29 5 4 2 2" xfId="33792" xr:uid="{00000000-0005-0000-0000-000007930000}"/>
    <cellStyle name="Percent 29 5 4 3" xfId="20024" xr:uid="{00000000-0005-0000-0000-000008930000}"/>
    <cellStyle name="Percent 29 5 4 3 2" xfId="39944" xr:uid="{00000000-0005-0000-0000-000009930000}"/>
    <cellStyle name="Percent 29 5 4 4" xfId="27639" xr:uid="{00000000-0005-0000-0000-00000A930000}"/>
    <cellStyle name="Percent 29 5 5" xfId="10806" xr:uid="{00000000-0005-0000-0000-00000B930000}"/>
    <cellStyle name="Percent 29 5 5 2" xfId="30726" xr:uid="{00000000-0005-0000-0000-00000C930000}"/>
    <cellStyle name="Percent 29 5 6" xfId="16958" xr:uid="{00000000-0005-0000-0000-00000D930000}"/>
    <cellStyle name="Percent 29 5 6 2" xfId="36878" xr:uid="{00000000-0005-0000-0000-00000E930000}"/>
    <cellStyle name="Percent 29 5 7" xfId="24573" xr:uid="{00000000-0005-0000-0000-00000F930000}"/>
    <cellStyle name="Percent 3" xfId="12" xr:uid="{00000000-0005-0000-0000-000010930000}"/>
    <cellStyle name="Percent 3 10" xfId="222" xr:uid="{00000000-0005-0000-0000-000011930000}"/>
    <cellStyle name="Percent 3 10 2" xfId="5272" xr:uid="{00000000-0005-0000-0000-000012930000}"/>
    <cellStyle name="Percent 3 10 2 2" xfId="6897" xr:uid="{00000000-0005-0000-0000-000013930000}"/>
    <cellStyle name="Percent 3 10 2 2 2" xfId="9983" xr:uid="{00000000-0005-0000-0000-000014930000}"/>
    <cellStyle name="Percent 3 10 2 2 2 2" xfId="16176" xr:uid="{00000000-0005-0000-0000-000015930000}"/>
    <cellStyle name="Percent 3 10 2 2 2 2 2" xfId="36096" xr:uid="{00000000-0005-0000-0000-000016930000}"/>
    <cellStyle name="Percent 3 10 2 2 2 3" xfId="22328" xr:uid="{00000000-0005-0000-0000-000017930000}"/>
    <cellStyle name="Percent 3 10 2 2 2 3 2" xfId="42248" xr:uid="{00000000-0005-0000-0000-000018930000}"/>
    <cellStyle name="Percent 3 10 2 2 2 4" xfId="29943" xr:uid="{00000000-0005-0000-0000-000019930000}"/>
    <cellStyle name="Percent 3 10 2 2 3" xfId="13110" xr:uid="{00000000-0005-0000-0000-00001A930000}"/>
    <cellStyle name="Percent 3 10 2 2 3 2" xfId="33030" xr:uid="{00000000-0005-0000-0000-00001B930000}"/>
    <cellStyle name="Percent 3 10 2 2 4" xfId="19262" xr:uid="{00000000-0005-0000-0000-00001C930000}"/>
    <cellStyle name="Percent 3 10 2 2 4 2" xfId="39182" xr:uid="{00000000-0005-0000-0000-00001D930000}"/>
    <cellStyle name="Percent 3 10 2 2 5" xfId="26877" xr:uid="{00000000-0005-0000-0000-00001E930000}"/>
    <cellStyle name="Percent 3 10 2 3" xfId="8448" xr:uid="{00000000-0005-0000-0000-00001F930000}"/>
    <cellStyle name="Percent 3 10 2 3 2" xfId="14642" xr:uid="{00000000-0005-0000-0000-000020930000}"/>
    <cellStyle name="Percent 3 10 2 3 2 2" xfId="34562" xr:uid="{00000000-0005-0000-0000-000021930000}"/>
    <cellStyle name="Percent 3 10 2 3 3" xfId="20794" xr:uid="{00000000-0005-0000-0000-000022930000}"/>
    <cellStyle name="Percent 3 10 2 3 3 2" xfId="40714" xr:uid="{00000000-0005-0000-0000-000023930000}"/>
    <cellStyle name="Percent 3 10 2 3 4" xfId="28409" xr:uid="{00000000-0005-0000-0000-000024930000}"/>
    <cellStyle name="Percent 3 10 2 4" xfId="11576" xr:uid="{00000000-0005-0000-0000-000025930000}"/>
    <cellStyle name="Percent 3 10 2 4 2" xfId="31496" xr:uid="{00000000-0005-0000-0000-000026930000}"/>
    <cellStyle name="Percent 3 10 2 5" xfId="17728" xr:uid="{00000000-0005-0000-0000-000027930000}"/>
    <cellStyle name="Percent 3 10 2 5 2" xfId="37648" xr:uid="{00000000-0005-0000-0000-000028930000}"/>
    <cellStyle name="Percent 3 10 2 6" xfId="25343" xr:uid="{00000000-0005-0000-0000-000029930000}"/>
    <cellStyle name="Percent 3 10 3" xfId="6122" xr:uid="{00000000-0005-0000-0000-00002A930000}"/>
    <cellStyle name="Percent 3 10 3 2" xfId="9214" xr:uid="{00000000-0005-0000-0000-00002B930000}"/>
    <cellStyle name="Percent 3 10 3 2 2" xfId="15407" xr:uid="{00000000-0005-0000-0000-00002C930000}"/>
    <cellStyle name="Percent 3 10 3 2 2 2" xfId="35327" xr:uid="{00000000-0005-0000-0000-00002D930000}"/>
    <cellStyle name="Percent 3 10 3 2 3" xfId="21559" xr:uid="{00000000-0005-0000-0000-00002E930000}"/>
    <cellStyle name="Percent 3 10 3 2 3 2" xfId="41479" xr:uid="{00000000-0005-0000-0000-00002F930000}"/>
    <cellStyle name="Percent 3 10 3 2 4" xfId="29174" xr:uid="{00000000-0005-0000-0000-000030930000}"/>
    <cellStyle name="Percent 3 10 3 3" xfId="12341" xr:uid="{00000000-0005-0000-0000-000031930000}"/>
    <cellStyle name="Percent 3 10 3 3 2" xfId="32261" xr:uid="{00000000-0005-0000-0000-000032930000}"/>
    <cellStyle name="Percent 3 10 3 4" xfId="18493" xr:uid="{00000000-0005-0000-0000-000033930000}"/>
    <cellStyle name="Percent 3 10 3 4 2" xfId="38413" xr:uid="{00000000-0005-0000-0000-000034930000}"/>
    <cellStyle name="Percent 3 10 3 5" xfId="26108" xr:uid="{00000000-0005-0000-0000-000035930000}"/>
    <cellStyle name="Percent 3 10 4" xfId="7679" xr:uid="{00000000-0005-0000-0000-000036930000}"/>
    <cellStyle name="Percent 3 10 4 2" xfId="13873" xr:uid="{00000000-0005-0000-0000-000037930000}"/>
    <cellStyle name="Percent 3 10 4 2 2" xfId="33793" xr:uid="{00000000-0005-0000-0000-000038930000}"/>
    <cellStyle name="Percent 3 10 4 3" xfId="20025" xr:uid="{00000000-0005-0000-0000-000039930000}"/>
    <cellStyle name="Percent 3 10 4 3 2" xfId="39945" xr:uid="{00000000-0005-0000-0000-00003A930000}"/>
    <cellStyle name="Percent 3 10 4 4" xfId="27640" xr:uid="{00000000-0005-0000-0000-00003B930000}"/>
    <cellStyle name="Percent 3 10 5" xfId="10807" xr:uid="{00000000-0005-0000-0000-00003C930000}"/>
    <cellStyle name="Percent 3 10 5 2" xfId="30727" xr:uid="{00000000-0005-0000-0000-00003D930000}"/>
    <cellStyle name="Percent 3 10 6" xfId="16959" xr:uid="{00000000-0005-0000-0000-00003E930000}"/>
    <cellStyle name="Percent 3 10 6 2" xfId="36879" xr:uid="{00000000-0005-0000-0000-00003F930000}"/>
    <cellStyle name="Percent 3 10 7" xfId="4231" xr:uid="{00000000-0005-0000-0000-000040930000}"/>
    <cellStyle name="Percent 3 10 7 2" xfId="24574" xr:uid="{00000000-0005-0000-0000-000041930000}"/>
    <cellStyle name="Percent 3 11" xfId="242" xr:uid="{00000000-0005-0000-0000-000042930000}"/>
    <cellStyle name="Percent 3 11 2" xfId="5273" xr:uid="{00000000-0005-0000-0000-000043930000}"/>
    <cellStyle name="Percent 3 11 2 2" xfId="6898" xr:uid="{00000000-0005-0000-0000-000044930000}"/>
    <cellStyle name="Percent 3 11 2 2 2" xfId="9984" xr:uid="{00000000-0005-0000-0000-000045930000}"/>
    <cellStyle name="Percent 3 11 2 2 2 2" xfId="16177" xr:uid="{00000000-0005-0000-0000-000046930000}"/>
    <cellStyle name="Percent 3 11 2 2 2 2 2" xfId="36097" xr:uid="{00000000-0005-0000-0000-000047930000}"/>
    <cellStyle name="Percent 3 11 2 2 2 3" xfId="22329" xr:uid="{00000000-0005-0000-0000-000048930000}"/>
    <cellStyle name="Percent 3 11 2 2 2 3 2" xfId="42249" xr:uid="{00000000-0005-0000-0000-000049930000}"/>
    <cellStyle name="Percent 3 11 2 2 2 4" xfId="29944" xr:uid="{00000000-0005-0000-0000-00004A930000}"/>
    <cellStyle name="Percent 3 11 2 2 3" xfId="13111" xr:uid="{00000000-0005-0000-0000-00004B930000}"/>
    <cellStyle name="Percent 3 11 2 2 3 2" xfId="33031" xr:uid="{00000000-0005-0000-0000-00004C930000}"/>
    <cellStyle name="Percent 3 11 2 2 4" xfId="19263" xr:uid="{00000000-0005-0000-0000-00004D930000}"/>
    <cellStyle name="Percent 3 11 2 2 4 2" xfId="39183" xr:uid="{00000000-0005-0000-0000-00004E930000}"/>
    <cellStyle name="Percent 3 11 2 2 5" xfId="26878" xr:uid="{00000000-0005-0000-0000-00004F930000}"/>
    <cellStyle name="Percent 3 11 2 3" xfId="8449" xr:uid="{00000000-0005-0000-0000-000050930000}"/>
    <cellStyle name="Percent 3 11 2 3 2" xfId="14643" xr:uid="{00000000-0005-0000-0000-000051930000}"/>
    <cellStyle name="Percent 3 11 2 3 2 2" xfId="34563" xr:uid="{00000000-0005-0000-0000-000052930000}"/>
    <cellStyle name="Percent 3 11 2 3 3" xfId="20795" xr:uid="{00000000-0005-0000-0000-000053930000}"/>
    <cellStyle name="Percent 3 11 2 3 3 2" xfId="40715" xr:uid="{00000000-0005-0000-0000-000054930000}"/>
    <cellStyle name="Percent 3 11 2 3 4" xfId="28410" xr:uid="{00000000-0005-0000-0000-000055930000}"/>
    <cellStyle name="Percent 3 11 2 4" xfId="11577" xr:uid="{00000000-0005-0000-0000-000056930000}"/>
    <cellStyle name="Percent 3 11 2 4 2" xfId="31497" xr:uid="{00000000-0005-0000-0000-000057930000}"/>
    <cellStyle name="Percent 3 11 2 5" xfId="17729" xr:uid="{00000000-0005-0000-0000-000058930000}"/>
    <cellStyle name="Percent 3 11 2 5 2" xfId="37649" xr:uid="{00000000-0005-0000-0000-000059930000}"/>
    <cellStyle name="Percent 3 11 2 6" xfId="25344" xr:uid="{00000000-0005-0000-0000-00005A930000}"/>
    <cellStyle name="Percent 3 11 3" xfId="6123" xr:uid="{00000000-0005-0000-0000-00005B930000}"/>
    <cellStyle name="Percent 3 11 3 2" xfId="9215" xr:uid="{00000000-0005-0000-0000-00005C930000}"/>
    <cellStyle name="Percent 3 11 3 2 2" xfId="15408" xr:uid="{00000000-0005-0000-0000-00005D930000}"/>
    <cellStyle name="Percent 3 11 3 2 2 2" xfId="35328" xr:uid="{00000000-0005-0000-0000-00005E930000}"/>
    <cellStyle name="Percent 3 11 3 2 3" xfId="21560" xr:uid="{00000000-0005-0000-0000-00005F930000}"/>
    <cellStyle name="Percent 3 11 3 2 3 2" xfId="41480" xr:uid="{00000000-0005-0000-0000-000060930000}"/>
    <cellStyle name="Percent 3 11 3 2 4" xfId="29175" xr:uid="{00000000-0005-0000-0000-000061930000}"/>
    <cellStyle name="Percent 3 11 3 3" xfId="12342" xr:uid="{00000000-0005-0000-0000-000062930000}"/>
    <cellStyle name="Percent 3 11 3 3 2" xfId="32262" xr:uid="{00000000-0005-0000-0000-000063930000}"/>
    <cellStyle name="Percent 3 11 3 4" xfId="18494" xr:uid="{00000000-0005-0000-0000-000064930000}"/>
    <cellStyle name="Percent 3 11 3 4 2" xfId="38414" xr:uid="{00000000-0005-0000-0000-000065930000}"/>
    <cellStyle name="Percent 3 11 3 5" xfId="26109" xr:uid="{00000000-0005-0000-0000-000066930000}"/>
    <cellStyle name="Percent 3 11 4" xfId="7680" xr:uid="{00000000-0005-0000-0000-000067930000}"/>
    <cellStyle name="Percent 3 11 4 2" xfId="13874" xr:uid="{00000000-0005-0000-0000-000068930000}"/>
    <cellStyle name="Percent 3 11 4 2 2" xfId="33794" xr:uid="{00000000-0005-0000-0000-000069930000}"/>
    <cellStyle name="Percent 3 11 4 3" xfId="20026" xr:uid="{00000000-0005-0000-0000-00006A930000}"/>
    <cellStyle name="Percent 3 11 4 3 2" xfId="39946" xr:uid="{00000000-0005-0000-0000-00006B930000}"/>
    <cellStyle name="Percent 3 11 4 4" xfId="27641" xr:uid="{00000000-0005-0000-0000-00006C930000}"/>
    <cellStyle name="Percent 3 11 5" xfId="10808" xr:uid="{00000000-0005-0000-0000-00006D930000}"/>
    <cellStyle name="Percent 3 11 5 2" xfId="30728" xr:uid="{00000000-0005-0000-0000-00006E930000}"/>
    <cellStyle name="Percent 3 11 6" xfId="16960" xr:uid="{00000000-0005-0000-0000-00006F930000}"/>
    <cellStyle name="Percent 3 11 6 2" xfId="36880" xr:uid="{00000000-0005-0000-0000-000070930000}"/>
    <cellStyle name="Percent 3 11 7" xfId="4232" xr:uid="{00000000-0005-0000-0000-000071930000}"/>
    <cellStyle name="Percent 3 11 7 2" xfId="24575" xr:uid="{00000000-0005-0000-0000-000072930000}"/>
    <cellStyle name="Percent 3 12" xfId="257" xr:uid="{00000000-0005-0000-0000-000073930000}"/>
    <cellStyle name="Percent 3 12 2" xfId="5274" xr:uid="{00000000-0005-0000-0000-000074930000}"/>
    <cellStyle name="Percent 3 12 2 2" xfId="6899" xr:uid="{00000000-0005-0000-0000-000075930000}"/>
    <cellStyle name="Percent 3 12 2 2 2" xfId="9985" xr:uid="{00000000-0005-0000-0000-000076930000}"/>
    <cellStyle name="Percent 3 12 2 2 2 2" xfId="16178" xr:uid="{00000000-0005-0000-0000-000077930000}"/>
    <cellStyle name="Percent 3 12 2 2 2 2 2" xfId="36098" xr:uid="{00000000-0005-0000-0000-000078930000}"/>
    <cellStyle name="Percent 3 12 2 2 2 3" xfId="22330" xr:uid="{00000000-0005-0000-0000-000079930000}"/>
    <cellStyle name="Percent 3 12 2 2 2 3 2" xfId="42250" xr:uid="{00000000-0005-0000-0000-00007A930000}"/>
    <cellStyle name="Percent 3 12 2 2 2 4" xfId="29945" xr:uid="{00000000-0005-0000-0000-00007B930000}"/>
    <cellStyle name="Percent 3 12 2 2 3" xfId="13112" xr:uid="{00000000-0005-0000-0000-00007C930000}"/>
    <cellStyle name="Percent 3 12 2 2 3 2" xfId="33032" xr:uid="{00000000-0005-0000-0000-00007D930000}"/>
    <cellStyle name="Percent 3 12 2 2 4" xfId="19264" xr:uid="{00000000-0005-0000-0000-00007E930000}"/>
    <cellStyle name="Percent 3 12 2 2 4 2" xfId="39184" xr:uid="{00000000-0005-0000-0000-00007F930000}"/>
    <cellStyle name="Percent 3 12 2 2 5" xfId="26879" xr:uid="{00000000-0005-0000-0000-000080930000}"/>
    <cellStyle name="Percent 3 12 2 3" xfId="8450" xr:uid="{00000000-0005-0000-0000-000081930000}"/>
    <cellStyle name="Percent 3 12 2 3 2" xfId="14644" xr:uid="{00000000-0005-0000-0000-000082930000}"/>
    <cellStyle name="Percent 3 12 2 3 2 2" xfId="34564" xr:uid="{00000000-0005-0000-0000-000083930000}"/>
    <cellStyle name="Percent 3 12 2 3 3" xfId="20796" xr:uid="{00000000-0005-0000-0000-000084930000}"/>
    <cellStyle name="Percent 3 12 2 3 3 2" xfId="40716" xr:uid="{00000000-0005-0000-0000-000085930000}"/>
    <cellStyle name="Percent 3 12 2 3 4" xfId="28411" xr:uid="{00000000-0005-0000-0000-000086930000}"/>
    <cellStyle name="Percent 3 12 2 4" xfId="11578" xr:uid="{00000000-0005-0000-0000-000087930000}"/>
    <cellStyle name="Percent 3 12 2 4 2" xfId="31498" xr:uid="{00000000-0005-0000-0000-000088930000}"/>
    <cellStyle name="Percent 3 12 2 5" xfId="17730" xr:uid="{00000000-0005-0000-0000-000089930000}"/>
    <cellStyle name="Percent 3 12 2 5 2" xfId="37650" xr:uid="{00000000-0005-0000-0000-00008A930000}"/>
    <cellStyle name="Percent 3 12 2 6" xfId="25345" xr:uid="{00000000-0005-0000-0000-00008B930000}"/>
    <cellStyle name="Percent 3 12 3" xfId="6124" xr:uid="{00000000-0005-0000-0000-00008C930000}"/>
    <cellStyle name="Percent 3 12 3 2" xfId="9216" xr:uid="{00000000-0005-0000-0000-00008D930000}"/>
    <cellStyle name="Percent 3 12 3 2 2" xfId="15409" xr:uid="{00000000-0005-0000-0000-00008E930000}"/>
    <cellStyle name="Percent 3 12 3 2 2 2" xfId="35329" xr:uid="{00000000-0005-0000-0000-00008F930000}"/>
    <cellStyle name="Percent 3 12 3 2 3" xfId="21561" xr:uid="{00000000-0005-0000-0000-000090930000}"/>
    <cellStyle name="Percent 3 12 3 2 3 2" xfId="41481" xr:uid="{00000000-0005-0000-0000-000091930000}"/>
    <cellStyle name="Percent 3 12 3 2 4" xfId="29176" xr:uid="{00000000-0005-0000-0000-000092930000}"/>
    <cellStyle name="Percent 3 12 3 3" xfId="12343" xr:uid="{00000000-0005-0000-0000-000093930000}"/>
    <cellStyle name="Percent 3 12 3 3 2" xfId="32263" xr:uid="{00000000-0005-0000-0000-000094930000}"/>
    <cellStyle name="Percent 3 12 3 4" xfId="18495" xr:uid="{00000000-0005-0000-0000-000095930000}"/>
    <cellStyle name="Percent 3 12 3 4 2" xfId="38415" xr:uid="{00000000-0005-0000-0000-000096930000}"/>
    <cellStyle name="Percent 3 12 3 5" xfId="26110" xr:uid="{00000000-0005-0000-0000-000097930000}"/>
    <cellStyle name="Percent 3 12 4" xfId="7681" xr:uid="{00000000-0005-0000-0000-000098930000}"/>
    <cellStyle name="Percent 3 12 4 2" xfId="13875" xr:uid="{00000000-0005-0000-0000-000099930000}"/>
    <cellStyle name="Percent 3 12 4 2 2" xfId="33795" xr:uid="{00000000-0005-0000-0000-00009A930000}"/>
    <cellStyle name="Percent 3 12 4 3" xfId="20027" xr:uid="{00000000-0005-0000-0000-00009B930000}"/>
    <cellStyle name="Percent 3 12 4 3 2" xfId="39947" xr:uid="{00000000-0005-0000-0000-00009C930000}"/>
    <cellStyle name="Percent 3 12 4 4" xfId="27642" xr:uid="{00000000-0005-0000-0000-00009D930000}"/>
    <cellStyle name="Percent 3 12 5" xfId="10809" xr:uid="{00000000-0005-0000-0000-00009E930000}"/>
    <cellStyle name="Percent 3 12 5 2" xfId="30729" xr:uid="{00000000-0005-0000-0000-00009F930000}"/>
    <cellStyle name="Percent 3 12 6" xfId="16961" xr:uid="{00000000-0005-0000-0000-0000A0930000}"/>
    <cellStyle name="Percent 3 12 6 2" xfId="36881" xr:uid="{00000000-0005-0000-0000-0000A1930000}"/>
    <cellStyle name="Percent 3 12 7" xfId="4233" xr:uid="{00000000-0005-0000-0000-0000A2930000}"/>
    <cellStyle name="Percent 3 12 7 2" xfId="24576" xr:uid="{00000000-0005-0000-0000-0000A3930000}"/>
    <cellStyle name="Percent 3 13" xfId="273" xr:uid="{00000000-0005-0000-0000-0000A4930000}"/>
    <cellStyle name="Percent 3 13 2" xfId="5275" xr:uid="{00000000-0005-0000-0000-0000A5930000}"/>
    <cellStyle name="Percent 3 13 2 2" xfId="6900" xr:uid="{00000000-0005-0000-0000-0000A6930000}"/>
    <cellStyle name="Percent 3 13 2 2 2" xfId="9986" xr:uid="{00000000-0005-0000-0000-0000A7930000}"/>
    <cellStyle name="Percent 3 13 2 2 2 2" xfId="16179" xr:uid="{00000000-0005-0000-0000-0000A8930000}"/>
    <cellStyle name="Percent 3 13 2 2 2 2 2" xfId="36099" xr:uid="{00000000-0005-0000-0000-0000A9930000}"/>
    <cellStyle name="Percent 3 13 2 2 2 3" xfId="22331" xr:uid="{00000000-0005-0000-0000-0000AA930000}"/>
    <cellStyle name="Percent 3 13 2 2 2 3 2" xfId="42251" xr:uid="{00000000-0005-0000-0000-0000AB930000}"/>
    <cellStyle name="Percent 3 13 2 2 2 4" xfId="29946" xr:uid="{00000000-0005-0000-0000-0000AC930000}"/>
    <cellStyle name="Percent 3 13 2 2 3" xfId="13113" xr:uid="{00000000-0005-0000-0000-0000AD930000}"/>
    <cellStyle name="Percent 3 13 2 2 3 2" xfId="33033" xr:uid="{00000000-0005-0000-0000-0000AE930000}"/>
    <cellStyle name="Percent 3 13 2 2 4" xfId="19265" xr:uid="{00000000-0005-0000-0000-0000AF930000}"/>
    <cellStyle name="Percent 3 13 2 2 4 2" xfId="39185" xr:uid="{00000000-0005-0000-0000-0000B0930000}"/>
    <cellStyle name="Percent 3 13 2 2 5" xfId="26880" xr:uid="{00000000-0005-0000-0000-0000B1930000}"/>
    <cellStyle name="Percent 3 13 2 3" xfId="8451" xr:uid="{00000000-0005-0000-0000-0000B2930000}"/>
    <cellStyle name="Percent 3 13 2 3 2" xfId="14645" xr:uid="{00000000-0005-0000-0000-0000B3930000}"/>
    <cellStyle name="Percent 3 13 2 3 2 2" xfId="34565" xr:uid="{00000000-0005-0000-0000-0000B4930000}"/>
    <cellStyle name="Percent 3 13 2 3 3" xfId="20797" xr:uid="{00000000-0005-0000-0000-0000B5930000}"/>
    <cellStyle name="Percent 3 13 2 3 3 2" xfId="40717" xr:uid="{00000000-0005-0000-0000-0000B6930000}"/>
    <cellStyle name="Percent 3 13 2 3 4" xfId="28412" xr:uid="{00000000-0005-0000-0000-0000B7930000}"/>
    <cellStyle name="Percent 3 13 2 4" xfId="11579" xr:uid="{00000000-0005-0000-0000-0000B8930000}"/>
    <cellStyle name="Percent 3 13 2 4 2" xfId="31499" xr:uid="{00000000-0005-0000-0000-0000B9930000}"/>
    <cellStyle name="Percent 3 13 2 5" xfId="17731" xr:uid="{00000000-0005-0000-0000-0000BA930000}"/>
    <cellStyle name="Percent 3 13 2 5 2" xfId="37651" xr:uid="{00000000-0005-0000-0000-0000BB930000}"/>
    <cellStyle name="Percent 3 13 2 6" xfId="25346" xr:uid="{00000000-0005-0000-0000-0000BC930000}"/>
    <cellStyle name="Percent 3 13 3" xfId="6125" xr:uid="{00000000-0005-0000-0000-0000BD930000}"/>
    <cellStyle name="Percent 3 13 3 2" xfId="9217" xr:uid="{00000000-0005-0000-0000-0000BE930000}"/>
    <cellStyle name="Percent 3 13 3 2 2" xfId="15410" xr:uid="{00000000-0005-0000-0000-0000BF930000}"/>
    <cellStyle name="Percent 3 13 3 2 2 2" xfId="35330" xr:uid="{00000000-0005-0000-0000-0000C0930000}"/>
    <cellStyle name="Percent 3 13 3 2 3" xfId="21562" xr:uid="{00000000-0005-0000-0000-0000C1930000}"/>
    <cellStyle name="Percent 3 13 3 2 3 2" xfId="41482" xr:uid="{00000000-0005-0000-0000-0000C2930000}"/>
    <cellStyle name="Percent 3 13 3 2 4" xfId="29177" xr:uid="{00000000-0005-0000-0000-0000C3930000}"/>
    <cellStyle name="Percent 3 13 3 3" xfId="12344" xr:uid="{00000000-0005-0000-0000-0000C4930000}"/>
    <cellStyle name="Percent 3 13 3 3 2" xfId="32264" xr:uid="{00000000-0005-0000-0000-0000C5930000}"/>
    <cellStyle name="Percent 3 13 3 4" xfId="18496" xr:uid="{00000000-0005-0000-0000-0000C6930000}"/>
    <cellStyle name="Percent 3 13 3 4 2" xfId="38416" xr:uid="{00000000-0005-0000-0000-0000C7930000}"/>
    <cellStyle name="Percent 3 13 3 5" xfId="26111" xr:uid="{00000000-0005-0000-0000-0000C8930000}"/>
    <cellStyle name="Percent 3 13 4" xfId="7682" xr:uid="{00000000-0005-0000-0000-0000C9930000}"/>
    <cellStyle name="Percent 3 13 4 2" xfId="13876" xr:uid="{00000000-0005-0000-0000-0000CA930000}"/>
    <cellStyle name="Percent 3 13 4 2 2" xfId="33796" xr:uid="{00000000-0005-0000-0000-0000CB930000}"/>
    <cellStyle name="Percent 3 13 4 3" xfId="20028" xr:uid="{00000000-0005-0000-0000-0000CC930000}"/>
    <cellStyle name="Percent 3 13 4 3 2" xfId="39948" xr:uid="{00000000-0005-0000-0000-0000CD930000}"/>
    <cellStyle name="Percent 3 13 4 4" xfId="27643" xr:uid="{00000000-0005-0000-0000-0000CE930000}"/>
    <cellStyle name="Percent 3 13 5" xfId="10810" xr:uid="{00000000-0005-0000-0000-0000CF930000}"/>
    <cellStyle name="Percent 3 13 5 2" xfId="30730" xr:uid="{00000000-0005-0000-0000-0000D0930000}"/>
    <cellStyle name="Percent 3 13 6" xfId="16962" xr:uid="{00000000-0005-0000-0000-0000D1930000}"/>
    <cellStyle name="Percent 3 13 6 2" xfId="36882" xr:uid="{00000000-0005-0000-0000-0000D2930000}"/>
    <cellStyle name="Percent 3 13 7" xfId="4234" xr:uid="{00000000-0005-0000-0000-0000D3930000}"/>
    <cellStyle name="Percent 3 13 7 2" xfId="24577" xr:uid="{00000000-0005-0000-0000-0000D4930000}"/>
    <cellStyle name="Percent 3 14" xfId="286" xr:uid="{00000000-0005-0000-0000-0000D5930000}"/>
    <cellStyle name="Percent 3 14 2" xfId="5276" xr:uid="{00000000-0005-0000-0000-0000D6930000}"/>
    <cellStyle name="Percent 3 14 2 2" xfId="6901" xr:uid="{00000000-0005-0000-0000-0000D7930000}"/>
    <cellStyle name="Percent 3 14 2 2 2" xfId="9987" xr:uid="{00000000-0005-0000-0000-0000D8930000}"/>
    <cellStyle name="Percent 3 14 2 2 2 2" xfId="16180" xr:uid="{00000000-0005-0000-0000-0000D9930000}"/>
    <cellStyle name="Percent 3 14 2 2 2 2 2" xfId="36100" xr:uid="{00000000-0005-0000-0000-0000DA930000}"/>
    <cellStyle name="Percent 3 14 2 2 2 3" xfId="22332" xr:uid="{00000000-0005-0000-0000-0000DB930000}"/>
    <cellStyle name="Percent 3 14 2 2 2 3 2" xfId="42252" xr:uid="{00000000-0005-0000-0000-0000DC930000}"/>
    <cellStyle name="Percent 3 14 2 2 2 4" xfId="29947" xr:uid="{00000000-0005-0000-0000-0000DD930000}"/>
    <cellStyle name="Percent 3 14 2 2 3" xfId="13114" xr:uid="{00000000-0005-0000-0000-0000DE930000}"/>
    <cellStyle name="Percent 3 14 2 2 3 2" xfId="33034" xr:uid="{00000000-0005-0000-0000-0000DF930000}"/>
    <cellStyle name="Percent 3 14 2 2 4" xfId="19266" xr:uid="{00000000-0005-0000-0000-0000E0930000}"/>
    <cellStyle name="Percent 3 14 2 2 4 2" xfId="39186" xr:uid="{00000000-0005-0000-0000-0000E1930000}"/>
    <cellStyle name="Percent 3 14 2 2 5" xfId="26881" xr:uid="{00000000-0005-0000-0000-0000E2930000}"/>
    <cellStyle name="Percent 3 14 2 3" xfId="8452" xr:uid="{00000000-0005-0000-0000-0000E3930000}"/>
    <cellStyle name="Percent 3 14 2 3 2" xfId="14646" xr:uid="{00000000-0005-0000-0000-0000E4930000}"/>
    <cellStyle name="Percent 3 14 2 3 2 2" xfId="34566" xr:uid="{00000000-0005-0000-0000-0000E5930000}"/>
    <cellStyle name="Percent 3 14 2 3 3" xfId="20798" xr:uid="{00000000-0005-0000-0000-0000E6930000}"/>
    <cellStyle name="Percent 3 14 2 3 3 2" xfId="40718" xr:uid="{00000000-0005-0000-0000-0000E7930000}"/>
    <cellStyle name="Percent 3 14 2 3 4" xfId="28413" xr:uid="{00000000-0005-0000-0000-0000E8930000}"/>
    <cellStyle name="Percent 3 14 2 4" xfId="11580" xr:uid="{00000000-0005-0000-0000-0000E9930000}"/>
    <cellStyle name="Percent 3 14 2 4 2" xfId="31500" xr:uid="{00000000-0005-0000-0000-0000EA930000}"/>
    <cellStyle name="Percent 3 14 2 5" xfId="17732" xr:uid="{00000000-0005-0000-0000-0000EB930000}"/>
    <cellStyle name="Percent 3 14 2 5 2" xfId="37652" xr:uid="{00000000-0005-0000-0000-0000EC930000}"/>
    <cellStyle name="Percent 3 14 2 6" xfId="25347" xr:uid="{00000000-0005-0000-0000-0000ED930000}"/>
    <cellStyle name="Percent 3 14 3" xfId="6126" xr:uid="{00000000-0005-0000-0000-0000EE930000}"/>
    <cellStyle name="Percent 3 14 3 2" xfId="9218" xr:uid="{00000000-0005-0000-0000-0000EF930000}"/>
    <cellStyle name="Percent 3 14 3 2 2" xfId="15411" xr:uid="{00000000-0005-0000-0000-0000F0930000}"/>
    <cellStyle name="Percent 3 14 3 2 2 2" xfId="35331" xr:uid="{00000000-0005-0000-0000-0000F1930000}"/>
    <cellStyle name="Percent 3 14 3 2 3" xfId="21563" xr:uid="{00000000-0005-0000-0000-0000F2930000}"/>
    <cellStyle name="Percent 3 14 3 2 3 2" xfId="41483" xr:uid="{00000000-0005-0000-0000-0000F3930000}"/>
    <cellStyle name="Percent 3 14 3 2 4" xfId="29178" xr:uid="{00000000-0005-0000-0000-0000F4930000}"/>
    <cellStyle name="Percent 3 14 3 3" xfId="12345" xr:uid="{00000000-0005-0000-0000-0000F5930000}"/>
    <cellStyle name="Percent 3 14 3 3 2" xfId="32265" xr:uid="{00000000-0005-0000-0000-0000F6930000}"/>
    <cellStyle name="Percent 3 14 3 4" xfId="18497" xr:uid="{00000000-0005-0000-0000-0000F7930000}"/>
    <cellStyle name="Percent 3 14 3 4 2" xfId="38417" xr:uid="{00000000-0005-0000-0000-0000F8930000}"/>
    <cellStyle name="Percent 3 14 3 5" xfId="26112" xr:uid="{00000000-0005-0000-0000-0000F9930000}"/>
    <cellStyle name="Percent 3 14 4" xfId="7683" xr:uid="{00000000-0005-0000-0000-0000FA930000}"/>
    <cellStyle name="Percent 3 14 4 2" xfId="13877" xr:uid="{00000000-0005-0000-0000-0000FB930000}"/>
    <cellStyle name="Percent 3 14 4 2 2" xfId="33797" xr:uid="{00000000-0005-0000-0000-0000FC930000}"/>
    <cellStyle name="Percent 3 14 4 3" xfId="20029" xr:uid="{00000000-0005-0000-0000-0000FD930000}"/>
    <cellStyle name="Percent 3 14 4 3 2" xfId="39949" xr:uid="{00000000-0005-0000-0000-0000FE930000}"/>
    <cellStyle name="Percent 3 14 4 4" xfId="27644" xr:uid="{00000000-0005-0000-0000-0000FF930000}"/>
    <cellStyle name="Percent 3 14 5" xfId="10811" xr:uid="{00000000-0005-0000-0000-000000940000}"/>
    <cellStyle name="Percent 3 14 5 2" xfId="30731" xr:uid="{00000000-0005-0000-0000-000001940000}"/>
    <cellStyle name="Percent 3 14 6" xfId="16963" xr:uid="{00000000-0005-0000-0000-000002940000}"/>
    <cellStyle name="Percent 3 14 6 2" xfId="36883" xr:uid="{00000000-0005-0000-0000-000003940000}"/>
    <cellStyle name="Percent 3 14 7" xfId="4235" xr:uid="{00000000-0005-0000-0000-000004940000}"/>
    <cellStyle name="Percent 3 14 7 2" xfId="24578" xr:uid="{00000000-0005-0000-0000-000005940000}"/>
    <cellStyle name="Percent 3 15" xfId="264" xr:uid="{00000000-0005-0000-0000-000006940000}"/>
    <cellStyle name="Percent 3 15 2" xfId="5277" xr:uid="{00000000-0005-0000-0000-000007940000}"/>
    <cellStyle name="Percent 3 15 2 2" xfId="6902" xr:uid="{00000000-0005-0000-0000-000008940000}"/>
    <cellStyle name="Percent 3 15 2 2 2" xfId="9988" xr:uid="{00000000-0005-0000-0000-000009940000}"/>
    <cellStyle name="Percent 3 15 2 2 2 2" xfId="16181" xr:uid="{00000000-0005-0000-0000-00000A940000}"/>
    <cellStyle name="Percent 3 15 2 2 2 2 2" xfId="36101" xr:uid="{00000000-0005-0000-0000-00000B940000}"/>
    <cellStyle name="Percent 3 15 2 2 2 3" xfId="22333" xr:uid="{00000000-0005-0000-0000-00000C940000}"/>
    <cellStyle name="Percent 3 15 2 2 2 3 2" xfId="42253" xr:uid="{00000000-0005-0000-0000-00000D940000}"/>
    <cellStyle name="Percent 3 15 2 2 2 4" xfId="29948" xr:uid="{00000000-0005-0000-0000-00000E940000}"/>
    <cellStyle name="Percent 3 15 2 2 3" xfId="13115" xr:uid="{00000000-0005-0000-0000-00000F940000}"/>
    <cellStyle name="Percent 3 15 2 2 3 2" xfId="33035" xr:uid="{00000000-0005-0000-0000-000010940000}"/>
    <cellStyle name="Percent 3 15 2 2 4" xfId="19267" xr:uid="{00000000-0005-0000-0000-000011940000}"/>
    <cellStyle name="Percent 3 15 2 2 4 2" xfId="39187" xr:uid="{00000000-0005-0000-0000-000012940000}"/>
    <cellStyle name="Percent 3 15 2 2 5" xfId="26882" xr:uid="{00000000-0005-0000-0000-000013940000}"/>
    <cellStyle name="Percent 3 15 2 3" xfId="8453" xr:uid="{00000000-0005-0000-0000-000014940000}"/>
    <cellStyle name="Percent 3 15 2 3 2" xfId="14647" xr:uid="{00000000-0005-0000-0000-000015940000}"/>
    <cellStyle name="Percent 3 15 2 3 2 2" xfId="34567" xr:uid="{00000000-0005-0000-0000-000016940000}"/>
    <cellStyle name="Percent 3 15 2 3 3" xfId="20799" xr:uid="{00000000-0005-0000-0000-000017940000}"/>
    <cellStyle name="Percent 3 15 2 3 3 2" xfId="40719" xr:uid="{00000000-0005-0000-0000-000018940000}"/>
    <cellStyle name="Percent 3 15 2 3 4" xfId="28414" xr:uid="{00000000-0005-0000-0000-000019940000}"/>
    <cellStyle name="Percent 3 15 2 4" xfId="11581" xr:uid="{00000000-0005-0000-0000-00001A940000}"/>
    <cellStyle name="Percent 3 15 2 4 2" xfId="31501" xr:uid="{00000000-0005-0000-0000-00001B940000}"/>
    <cellStyle name="Percent 3 15 2 5" xfId="17733" xr:uid="{00000000-0005-0000-0000-00001C940000}"/>
    <cellStyle name="Percent 3 15 2 5 2" xfId="37653" xr:uid="{00000000-0005-0000-0000-00001D940000}"/>
    <cellStyle name="Percent 3 15 2 6" xfId="25348" xr:uid="{00000000-0005-0000-0000-00001E940000}"/>
    <cellStyle name="Percent 3 15 3" xfId="6127" xr:uid="{00000000-0005-0000-0000-00001F940000}"/>
    <cellStyle name="Percent 3 15 3 2" xfId="9219" xr:uid="{00000000-0005-0000-0000-000020940000}"/>
    <cellStyle name="Percent 3 15 3 2 2" xfId="15412" xr:uid="{00000000-0005-0000-0000-000021940000}"/>
    <cellStyle name="Percent 3 15 3 2 2 2" xfId="35332" xr:uid="{00000000-0005-0000-0000-000022940000}"/>
    <cellStyle name="Percent 3 15 3 2 3" xfId="21564" xr:uid="{00000000-0005-0000-0000-000023940000}"/>
    <cellStyle name="Percent 3 15 3 2 3 2" xfId="41484" xr:uid="{00000000-0005-0000-0000-000024940000}"/>
    <cellStyle name="Percent 3 15 3 2 4" xfId="29179" xr:uid="{00000000-0005-0000-0000-000025940000}"/>
    <cellStyle name="Percent 3 15 3 3" xfId="12346" xr:uid="{00000000-0005-0000-0000-000026940000}"/>
    <cellStyle name="Percent 3 15 3 3 2" xfId="32266" xr:uid="{00000000-0005-0000-0000-000027940000}"/>
    <cellStyle name="Percent 3 15 3 4" xfId="18498" xr:uid="{00000000-0005-0000-0000-000028940000}"/>
    <cellStyle name="Percent 3 15 3 4 2" xfId="38418" xr:uid="{00000000-0005-0000-0000-000029940000}"/>
    <cellStyle name="Percent 3 15 3 5" xfId="26113" xr:uid="{00000000-0005-0000-0000-00002A940000}"/>
    <cellStyle name="Percent 3 15 4" xfId="7684" xr:uid="{00000000-0005-0000-0000-00002B940000}"/>
    <cellStyle name="Percent 3 15 4 2" xfId="13878" xr:uid="{00000000-0005-0000-0000-00002C940000}"/>
    <cellStyle name="Percent 3 15 4 2 2" xfId="33798" xr:uid="{00000000-0005-0000-0000-00002D940000}"/>
    <cellStyle name="Percent 3 15 4 3" xfId="20030" xr:uid="{00000000-0005-0000-0000-00002E940000}"/>
    <cellStyle name="Percent 3 15 4 3 2" xfId="39950" xr:uid="{00000000-0005-0000-0000-00002F940000}"/>
    <cellStyle name="Percent 3 15 4 4" xfId="27645" xr:uid="{00000000-0005-0000-0000-000030940000}"/>
    <cellStyle name="Percent 3 15 5" xfId="10812" xr:uid="{00000000-0005-0000-0000-000031940000}"/>
    <cellStyle name="Percent 3 15 5 2" xfId="30732" xr:uid="{00000000-0005-0000-0000-000032940000}"/>
    <cellStyle name="Percent 3 15 6" xfId="16964" xr:uid="{00000000-0005-0000-0000-000033940000}"/>
    <cellStyle name="Percent 3 15 6 2" xfId="36884" xr:uid="{00000000-0005-0000-0000-000034940000}"/>
    <cellStyle name="Percent 3 15 7" xfId="4236" xr:uid="{00000000-0005-0000-0000-000035940000}"/>
    <cellStyle name="Percent 3 15 7 2" xfId="24579" xr:uid="{00000000-0005-0000-0000-000036940000}"/>
    <cellStyle name="Percent 3 16" xfId="334" xr:uid="{00000000-0005-0000-0000-000037940000}"/>
    <cellStyle name="Percent 3 16 2" xfId="5278" xr:uid="{00000000-0005-0000-0000-000038940000}"/>
    <cellStyle name="Percent 3 16 2 2" xfId="6903" xr:uid="{00000000-0005-0000-0000-000039940000}"/>
    <cellStyle name="Percent 3 16 2 2 2" xfId="9989" xr:uid="{00000000-0005-0000-0000-00003A940000}"/>
    <cellStyle name="Percent 3 16 2 2 2 2" xfId="16182" xr:uid="{00000000-0005-0000-0000-00003B940000}"/>
    <cellStyle name="Percent 3 16 2 2 2 2 2" xfId="36102" xr:uid="{00000000-0005-0000-0000-00003C940000}"/>
    <cellStyle name="Percent 3 16 2 2 2 3" xfId="22334" xr:uid="{00000000-0005-0000-0000-00003D940000}"/>
    <cellStyle name="Percent 3 16 2 2 2 3 2" xfId="42254" xr:uid="{00000000-0005-0000-0000-00003E940000}"/>
    <cellStyle name="Percent 3 16 2 2 2 4" xfId="29949" xr:uid="{00000000-0005-0000-0000-00003F940000}"/>
    <cellStyle name="Percent 3 16 2 2 3" xfId="13116" xr:uid="{00000000-0005-0000-0000-000040940000}"/>
    <cellStyle name="Percent 3 16 2 2 3 2" xfId="33036" xr:uid="{00000000-0005-0000-0000-000041940000}"/>
    <cellStyle name="Percent 3 16 2 2 4" xfId="19268" xr:uid="{00000000-0005-0000-0000-000042940000}"/>
    <cellStyle name="Percent 3 16 2 2 4 2" xfId="39188" xr:uid="{00000000-0005-0000-0000-000043940000}"/>
    <cellStyle name="Percent 3 16 2 2 5" xfId="26883" xr:uid="{00000000-0005-0000-0000-000044940000}"/>
    <cellStyle name="Percent 3 16 2 3" xfId="8454" xr:uid="{00000000-0005-0000-0000-000045940000}"/>
    <cellStyle name="Percent 3 16 2 3 2" xfId="14648" xr:uid="{00000000-0005-0000-0000-000046940000}"/>
    <cellStyle name="Percent 3 16 2 3 2 2" xfId="34568" xr:uid="{00000000-0005-0000-0000-000047940000}"/>
    <cellStyle name="Percent 3 16 2 3 3" xfId="20800" xr:uid="{00000000-0005-0000-0000-000048940000}"/>
    <cellStyle name="Percent 3 16 2 3 3 2" xfId="40720" xr:uid="{00000000-0005-0000-0000-000049940000}"/>
    <cellStyle name="Percent 3 16 2 3 4" xfId="28415" xr:uid="{00000000-0005-0000-0000-00004A940000}"/>
    <cellStyle name="Percent 3 16 2 4" xfId="11582" xr:uid="{00000000-0005-0000-0000-00004B940000}"/>
    <cellStyle name="Percent 3 16 2 4 2" xfId="31502" xr:uid="{00000000-0005-0000-0000-00004C940000}"/>
    <cellStyle name="Percent 3 16 2 5" xfId="17734" xr:uid="{00000000-0005-0000-0000-00004D940000}"/>
    <cellStyle name="Percent 3 16 2 5 2" xfId="37654" xr:uid="{00000000-0005-0000-0000-00004E940000}"/>
    <cellStyle name="Percent 3 16 2 6" xfId="25349" xr:uid="{00000000-0005-0000-0000-00004F940000}"/>
    <cellStyle name="Percent 3 16 3" xfId="6128" xr:uid="{00000000-0005-0000-0000-000050940000}"/>
    <cellStyle name="Percent 3 16 3 2" xfId="9220" xr:uid="{00000000-0005-0000-0000-000051940000}"/>
    <cellStyle name="Percent 3 16 3 2 2" xfId="15413" xr:uid="{00000000-0005-0000-0000-000052940000}"/>
    <cellStyle name="Percent 3 16 3 2 2 2" xfId="35333" xr:uid="{00000000-0005-0000-0000-000053940000}"/>
    <cellStyle name="Percent 3 16 3 2 3" xfId="21565" xr:uid="{00000000-0005-0000-0000-000054940000}"/>
    <cellStyle name="Percent 3 16 3 2 3 2" xfId="41485" xr:uid="{00000000-0005-0000-0000-000055940000}"/>
    <cellStyle name="Percent 3 16 3 2 4" xfId="29180" xr:uid="{00000000-0005-0000-0000-000056940000}"/>
    <cellStyle name="Percent 3 16 3 3" xfId="12347" xr:uid="{00000000-0005-0000-0000-000057940000}"/>
    <cellStyle name="Percent 3 16 3 3 2" xfId="32267" xr:uid="{00000000-0005-0000-0000-000058940000}"/>
    <cellStyle name="Percent 3 16 3 4" xfId="18499" xr:uid="{00000000-0005-0000-0000-000059940000}"/>
    <cellStyle name="Percent 3 16 3 4 2" xfId="38419" xr:uid="{00000000-0005-0000-0000-00005A940000}"/>
    <cellStyle name="Percent 3 16 3 5" xfId="26114" xr:uid="{00000000-0005-0000-0000-00005B940000}"/>
    <cellStyle name="Percent 3 16 4" xfId="7685" xr:uid="{00000000-0005-0000-0000-00005C940000}"/>
    <cellStyle name="Percent 3 16 4 2" xfId="13879" xr:uid="{00000000-0005-0000-0000-00005D940000}"/>
    <cellStyle name="Percent 3 16 4 2 2" xfId="33799" xr:uid="{00000000-0005-0000-0000-00005E940000}"/>
    <cellStyle name="Percent 3 16 4 3" xfId="20031" xr:uid="{00000000-0005-0000-0000-00005F940000}"/>
    <cellStyle name="Percent 3 16 4 3 2" xfId="39951" xr:uid="{00000000-0005-0000-0000-000060940000}"/>
    <cellStyle name="Percent 3 16 4 4" xfId="27646" xr:uid="{00000000-0005-0000-0000-000061940000}"/>
    <cellStyle name="Percent 3 16 5" xfId="10813" xr:uid="{00000000-0005-0000-0000-000062940000}"/>
    <cellStyle name="Percent 3 16 5 2" xfId="30733" xr:uid="{00000000-0005-0000-0000-000063940000}"/>
    <cellStyle name="Percent 3 16 6" xfId="16965" xr:uid="{00000000-0005-0000-0000-000064940000}"/>
    <cellStyle name="Percent 3 16 6 2" xfId="36885" xr:uid="{00000000-0005-0000-0000-000065940000}"/>
    <cellStyle name="Percent 3 16 7" xfId="4237" xr:uid="{00000000-0005-0000-0000-000066940000}"/>
    <cellStyle name="Percent 3 16 7 2" xfId="24580" xr:uid="{00000000-0005-0000-0000-000067940000}"/>
    <cellStyle name="Percent 3 17" xfId="347" xr:uid="{00000000-0005-0000-0000-000068940000}"/>
    <cellStyle name="Percent 3 17 2" xfId="5279" xr:uid="{00000000-0005-0000-0000-000069940000}"/>
    <cellStyle name="Percent 3 17 2 2" xfId="6904" xr:uid="{00000000-0005-0000-0000-00006A940000}"/>
    <cellStyle name="Percent 3 17 2 2 2" xfId="9990" xr:uid="{00000000-0005-0000-0000-00006B940000}"/>
    <cellStyle name="Percent 3 17 2 2 2 2" xfId="16183" xr:uid="{00000000-0005-0000-0000-00006C940000}"/>
    <cellStyle name="Percent 3 17 2 2 2 2 2" xfId="36103" xr:uid="{00000000-0005-0000-0000-00006D940000}"/>
    <cellStyle name="Percent 3 17 2 2 2 3" xfId="22335" xr:uid="{00000000-0005-0000-0000-00006E940000}"/>
    <cellStyle name="Percent 3 17 2 2 2 3 2" xfId="42255" xr:uid="{00000000-0005-0000-0000-00006F940000}"/>
    <cellStyle name="Percent 3 17 2 2 2 4" xfId="29950" xr:uid="{00000000-0005-0000-0000-000070940000}"/>
    <cellStyle name="Percent 3 17 2 2 3" xfId="13117" xr:uid="{00000000-0005-0000-0000-000071940000}"/>
    <cellStyle name="Percent 3 17 2 2 3 2" xfId="33037" xr:uid="{00000000-0005-0000-0000-000072940000}"/>
    <cellStyle name="Percent 3 17 2 2 4" xfId="19269" xr:uid="{00000000-0005-0000-0000-000073940000}"/>
    <cellStyle name="Percent 3 17 2 2 4 2" xfId="39189" xr:uid="{00000000-0005-0000-0000-000074940000}"/>
    <cellStyle name="Percent 3 17 2 2 5" xfId="26884" xr:uid="{00000000-0005-0000-0000-000075940000}"/>
    <cellStyle name="Percent 3 17 2 3" xfId="8455" xr:uid="{00000000-0005-0000-0000-000076940000}"/>
    <cellStyle name="Percent 3 17 2 3 2" xfId="14649" xr:uid="{00000000-0005-0000-0000-000077940000}"/>
    <cellStyle name="Percent 3 17 2 3 2 2" xfId="34569" xr:uid="{00000000-0005-0000-0000-000078940000}"/>
    <cellStyle name="Percent 3 17 2 3 3" xfId="20801" xr:uid="{00000000-0005-0000-0000-000079940000}"/>
    <cellStyle name="Percent 3 17 2 3 3 2" xfId="40721" xr:uid="{00000000-0005-0000-0000-00007A940000}"/>
    <cellStyle name="Percent 3 17 2 3 4" xfId="28416" xr:uid="{00000000-0005-0000-0000-00007B940000}"/>
    <cellStyle name="Percent 3 17 2 4" xfId="11583" xr:uid="{00000000-0005-0000-0000-00007C940000}"/>
    <cellStyle name="Percent 3 17 2 4 2" xfId="31503" xr:uid="{00000000-0005-0000-0000-00007D940000}"/>
    <cellStyle name="Percent 3 17 2 5" xfId="17735" xr:uid="{00000000-0005-0000-0000-00007E940000}"/>
    <cellStyle name="Percent 3 17 2 5 2" xfId="37655" xr:uid="{00000000-0005-0000-0000-00007F940000}"/>
    <cellStyle name="Percent 3 17 2 6" xfId="25350" xr:uid="{00000000-0005-0000-0000-000080940000}"/>
    <cellStyle name="Percent 3 17 3" xfId="6129" xr:uid="{00000000-0005-0000-0000-000081940000}"/>
    <cellStyle name="Percent 3 17 3 2" xfId="9221" xr:uid="{00000000-0005-0000-0000-000082940000}"/>
    <cellStyle name="Percent 3 17 3 2 2" xfId="15414" xr:uid="{00000000-0005-0000-0000-000083940000}"/>
    <cellStyle name="Percent 3 17 3 2 2 2" xfId="35334" xr:uid="{00000000-0005-0000-0000-000084940000}"/>
    <cellStyle name="Percent 3 17 3 2 3" xfId="21566" xr:uid="{00000000-0005-0000-0000-000085940000}"/>
    <cellStyle name="Percent 3 17 3 2 3 2" xfId="41486" xr:uid="{00000000-0005-0000-0000-000086940000}"/>
    <cellStyle name="Percent 3 17 3 2 4" xfId="29181" xr:uid="{00000000-0005-0000-0000-000087940000}"/>
    <cellStyle name="Percent 3 17 3 3" xfId="12348" xr:uid="{00000000-0005-0000-0000-000088940000}"/>
    <cellStyle name="Percent 3 17 3 3 2" xfId="32268" xr:uid="{00000000-0005-0000-0000-000089940000}"/>
    <cellStyle name="Percent 3 17 3 4" xfId="18500" xr:uid="{00000000-0005-0000-0000-00008A940000}"/>
    <cellStyle name="Percent 3 17 3 4 2" xfId="38420" xr:uid="{00000000-0005-0000-0000-00008B940000}"/>
    <cellStyle name="Percent 3 17 3 5" xfId="26115" xr:uid="{00000000-0005-0000-0000-00008C940000}"/>
    <cellStyle name="Percent 3 17 4" xfId="7686" xr:uid="{00000000-0005-0000-0000-00008D940000}"/>
    <cellStyle name="Percent 3 17 4 2" xfId="13880" xr:uid="{00000000-0005-0000-0000-00008E940000}"/>
    <cellStyle name="Percent 3 17 4 2 2" xfId="33800" xr:uid="{00000000-0005-0000-0000-00008F940000}"/>
    <cellStyle name="Percent 3 17 4 3" xfId="20032" xr:uid="{00000000-0005-0000-0000-000090940000}"/>
    <cellStyle name="Percent 3 17 4 3 2" xfId="39952" xr:uid="{00000000-0005-0000-0000-000091940000}"/>
    <cellStyle name="Percent 3 17 4 4" xfId="27647" xr:uid="{00000000-0005-0000-0000-000092940000}"/>
    <cellStyle name="Percent 3 17 5" xfId="10814" xr:uid="{00000000-0005-0000-0000-000093940000}"/>
    <cellStyle name="Percent 3 17 5 2" xfId="30734" xr:uid="{00000000-0005-0000-0000-000094940000}"/>
    <cellStyle name="Percent 3 17 6" xfId="16966" xr:uid="{00000000-0005-0000-0000-000095940000}"/>
    <cellStyle name="Percent 3 17 6 2" xfId="36886" xr:uid="{00000000-0005-0000-0000-000096940000}"/>
    <cellStyle name="Percent 3 17 7" xfId="4238" xr:uid="{00000000-0005-0000-0000-000097940000}"/>
    <cellStyle name="Percent 3 17 7 2" xfId="24581" xr:uid="{00000000-0005-0000-0000-000098940000}"/>
    <cellStyle name="Percent 3 18" xfId="380" xr:uid="{00000000-0005-0000-0000-000099940000}"/>
    <cellStyle name="Percent 3 18 2" xfId="5280" xr:uid="{00000000-0005-0000-0000-00009A940000}"/>
    <cellStyle name="Percent 3 18 2 2" xfId="6905" xr:uid="{00000000-0005-0000-0000-00009B940000}"/>
    <cellStyle name="Percent 3 18 2 2 2" xfId="9991" xr:uid="{00000000-0005-0000-0000-00009C940000}"/>
    <cellStyle name="Percent 3 18 2 2 2 2" xfId="16184" xr:uid="{00000000-0005-0000-0000-00009D940000}"/>
    <cellStyle name="Percent 3 18 2 2 2 2 2" xfId="36104" xr:uid="{00000000-0005-0000-0000-00009E940000}"/>
    <cellStyle name="Percent 3 18 2 2 2 3" xfId="22336" xr:uid="{00000000-0005-0000-0000-00009F940000}"/>
    <cellStyle name="Percent 3 18 2 2 2 3 2" xfId="42256" xr:uid="{00000000-0005-0000-0000-0000A0940000}"/>
    <cellStyle name="Percent 3 18 2 2 2 4" xfId="29951" xr:uid="{00000000-0005-0000-0000-0000A1940000}"/>
    <cellStyle name="Percent 3 18 2 2 3" xfId="13118" xr:uid="{00000000-0005-0000-0000-0000A2940000}"/>
    <cellStyle name="Percent 3 18 2 2 3 2" xfId="33038" xr:uid="{00000000-0005-0000-0000-0000A3940000}"/>
    <cellStyle name="Percent 3 18 2 2 4" xfId="19270" xr:uid="{00000000-0005-0000-0000-0000A4940000}"/>
    <cellStyle name="Percent 3 18 2 2 4 2" xfId="39190" xr:uid="{00000000-0005-0000-0000-0000A5940000}"/>
    <cellStyle name="Percent 3 18 2 2 5" xfId="26885" xr:uid="{00000000-0005-0000-0000-0000A6940000}"/>
    <cellStyle name="Percent 3 18 2 3" xfId="8456" xr:uid="{00000000-0005-0000-0000-0000A7940000}"/>
    <cellStyle name="Percent 3 18 2 3 2" xfId="14650" xr:uid="{00000000-0005-0000-0000-0000A8940000}"/>
    <cellStyle name="Percent 3 18 2 3 2 2" xfId="34570" xr:uid="{00000000-0005-0000-0000-0000A9940000}"/>
    <cellStyle name="Percent 3 18 2 3 3" xfId="20802" xr:uid="{00000000-0005-0000-0000-0000AA940000}"/>
    <cellStyle name="Percent 3 18 2 3 3 2" xfId="40722" xr:uid="{00000000-0005-0000-0000-0000AB940000}"/>
    <cellStyle name="Percent 3 18 2 3 4" xfId="28417" xr:uid="{00000000-0005-0000-0000-0000AC940000}"/>
    <cellStyle name="Percent 3 18 2 4" xfId="11584" xr:uid="{00000000-0005-0000-0000-0000AD940000}"/>
    <cellStyle name="Percent 3 18 2 4 2" xfId="31504" xr:uid="{00000000-0005-0000-0000-0000AE940000}"/>
    <cellStyle name="Percent 3 18 2 5" xfId="17736" xr:uid="{00000000-0005-0000-0000-0000AF940000}"/>
    <cellStyle name="Percent 3 18 2 5 2" xfId="37656" xr:uid="{00000000-0005-0000-0000-0000B0940000}"/>
    <cellStyle name="Percent 3 18 2 6" xfId="25351" xr:uid="{00000000-0005-0000-0000-0000B1940000}"/>
    <cellStyle name="Percent 3 18 3" xfId="6130" xr:uid="{00000000-0005-0000-0000-0000B2940000}"/>
    <cellStyle name="Percent 3 18 3 2" xfId="9222" xr:uid="{00000000-0005-0000-0000-0000B3940000}"/>
    <cellStyle name="Percent 3 18 3 2 2" xfId="15415" xr:uid="{00000000-0005-0000-0000-0000B4940000}"/>
    <cellStyle name="Percent 3 18 3 2 2 2" xfId="35335" xr:uid="{00000000-0005-0000-0000-0000B5940000}"/>
    <cellStyle name="Percent 3 18 3 2 3" xfId="21567" xr:uid="{00000000-0005-0000-0000-0000B6940000}"/>
    <cellStyle name="Percent 3 18 3 2 3 2" xfId="41487" xr:uid="{00000000-0005-0000-0000-0000B7940000}"/>
    <cellStyle name="Percent 3 18 3 2 4" xfId="29182" xr:uid="{00000000-0005-0000-0000-0000B8940000}"/>
    <cellStyle name="Percent 3 18 3 3" xfId="12349" xr:uid="{00000000-0005-0000-0000-0000B9940000}"/>
    <cellStyle name="Percent 3 18 3 3 2" xfId="32269" xr:uid="{00000000-0005-0000-0000-0000BA940000}"/>
    <cellStyle name="Percent 3 18 3 4" xfId="18501" xr:uid="{00000000-0005-0000-0000-0000BB940000}"/>
    <cellStyle name="Percent 3 18 3 4 2" xfId="38421" xr:uid="{00000000-0005-0000-0000-0000BC940000}"/>
    <cellStyle name="Percent 3 18 3 5" xfId="26116" xr:uid="{00000000-0005-0000-0000-0000BD940000}"/>
    <cellStyle name="Percent 3 18 4" xfId="7687" xr:uid="{00000000-0005-0000-0000-0000BE940000}"/>
    <cellStyle name="Percent 3 18 4 2" xfId="13881" xr:uid="{00000000-0005-0000-0000-0000BF940000}"/>
    <cellStyle name="Percent 3 18 4 2 2" xfId="33801" xr:uid="{00000000-0005-0000-0000-0000C0940000}"/>
    <cellStyle name="Percent 3 18 4 3" xfId="20033" xr:uid="{00000000-0005-0000-0000-0000C1940000}"/>
    <cellStyle name="Percent 3 18 4 3 2" xfId="39953" xr:uid="{00000000-0005-0000-0000-0000C2940000}"/>
    <cellStyle name="Percent 3 18 4 4" xfId="27648" xr:uid="{00000000-0005-0000-0000-0000C3940000}"/>
    <cellStyle name="Percent 3 18 5" xfId="10815" xr:uid="{00000000-0005-0000-0000-0000C4940000}"/>
    <cellStyle name="Percent 3 18 5 2" xfId="30735" xr:uid="{00000000-0005-0000-0000-0000C5940000}"/>
    <cellStyle name="Percent 3 18 6" xfId="16967" xr:uid="{00000000-0005-0000-0000-0000C6940000}"/>
    <cellStyle name="Percent 3 18 6 2" xfId="36887" xr:uid="{00000000-0005-0000-0000-0000C7940000}"/>
    <cellStyle name="Percent 3 18 7" xfId="4239" xr:uid="{00000000-0005-0000-0000-0000C8940000}"/>
    <cellStyle name="Percent 3 18 7 2" xfId="24582" xr:uid="{00000000-0005-0000-0000-0000C9940000}"/>
    <cellStyle name="Percent 3 19" xfId="396" xr:uid="{00000000-0005-0000-0000-0000CA940000}"/>
    <cellStyle name="Percent 3 19 2" xfId="5281" xr:uid="{00000000-0005-0000-0000-0000CB940000}"/>
    <cellStyle name="Percent 3 19 2 2" xfId="6906" xr:uid="{00000000-0005-0000-0000-0000CC940000}"/>
    <cellStyle name="Percent 3 19 2 2 2" xfId="9992" xr:uid="{00000000-0005-0000-0000-0000CD940000}"/>
    <cellStyle name="Percent 3 19 2 2 2 2" xfId="16185" xr:uid="{00000000-0005-0000-0000-0000CE940000}"/>
    <cellStyle name="Percent 3 19 2 2 2 2 2" xfId="36105" xr:uid="{00000000-0005-0000-0000-0000CF940000}"/>
    <cellStyle name="Percent 3 19 2 2 2 3" xfId="22337" xr:uid="{00000000-0005-0000-0000-0000D0940000}"/>
    <cellStyle name="Percent 3 19 2 2 2 3 2" xfId="42257" xr:uid="{00000000-0005-0000-0000-0000D1940000}"/>
    <cellStyle name="Percent 3 19 2 2 2 4" xfId="29952" xr:uid="{00000000-0005-0000-0000-0000D2940000}"/>
    <cellStyle name="Percent 3 19 2 2 3" xfId="13119" xr:uid="{00000000-0005-0000-0000-0000D3940000}"/>
    <cellStyle name="Percent 3 19 2 2 3 2" xfId="33039" xr:uid="{00000000-0005-0000-0000-0000D4940000}"/>
    <cellStyle name="Percent 3 19 2 2 4" xfId="19271" xr:uid="{00000000-0005-0000-0000-0000D5940000}"/>
    <cellStyle name="Percent 3 19 2 2 4 2" xfId="39191" xr:uid="{00000000-0005-0000-0000-0000D6940000}"/>
    <cellStyle name="Percent 3 19 2 2 5" xfId="26886" xr:uid="{00000000-0005-0000-0000-0000D7940000}"/>
    <cellStyle name="Percent 3 19 2 3" xfId="8457" xr:uid="{00000000-0005-0000-0000-0000D8940000}"/>
    <cellStyle name="Percent 3 19 2 3 2" xfId="14651" xr:uid="{00000000-0005-0000-0000-0000D9940000}"/>
    <cellStyle name="Percent 3 19 2 3 2 2" xfId="34571" xr:uid="{00000000-0005-0000-0000-0000DA940000}"/>
    <cellStyle name="Percent 3 19 2 3 3" xfId="20803" xr:uid="{00000000-0005-0000-0000-0000DB940000}"/>
    <cellStyle name="Percent 3 19 2 3 3 2" xfId="40723" xr:uid="{00000000-0005-0000-0000-0000DC940000}"/>
    <cellStyle name="Percent 3 19 2 3 4" xfId="28418" xr:uid="{00000000-0005-0000-0000-0000DD940000}"/>
    <cellStyle name="Percent 3 19 2 4" xfId="11585" xr:uid="{00000000-0005-0000-0000-0000DE940000}"/>
    <cellStyle name="Percent 3 19 2 4 2" xfId="31505" xr:uid="{00000000-0005-0000-0000-0000DF940000}"/>
    <cellStyle name="Percent 3 19 2 5" xfId="17737" xr:uid="{00000000-0005-0000-0000-0000E0940000}"/>
    <cellStyle name="Percent 3 19 2 5 2" xfId="37657" xr:uid="{00000000-0005-0000-0000-0000E1940000}"/>
    <cellStyle name="Percent 3 19 2 6" xfId="25352" xr:uid="{00000000-0005-0000-0000-0000E2940000}"/>
    <cellStyle name="Percent 3 19 3" xfId="6131" xr:uid="{00000000-0005-0000-0000-0000E3940000}"/>
    <cellStyle name="Percent 3 19 3 2" xfId="9223" xr:uid="{00000000-0005-0000-0000-0000E4940000}"/>
    <cellStyle name="Percent 3 19 3 2 2" xfId="15416" xr:uid="{00000000-0005-0000-0000-0000E5940000}"/>
    <cellStyle name="Percent 3 19 3 2 2 2" xfId="35336" xr:uid="{00000000-0005-0000-0000-0000E6940000}"/>
    <cellStyle name="Percent 3 19 3 2 3" xfId="21568" xr:uid="{00000000-0005-0000-0000-0000E7940000}"/>
    <cellStyle name="Percent 3 19 3 2 3 2" xfId="41488" xr:uid="{00000000-0005-0000-0000-0000E8940000}"/>
    <cellStyle name="Percent 3 19 3 2 4" xfId="29183" xr:uid="{00000000-0005-0000-0000-0000E9940000}"/>
    <cellStyle name="Percent 3 19 3 3" xfId="12350" xr:uid="{00000000-0005-0000-0000-0000EA940000}"/>
    <cellStyle name="Percent 3 19 3 3 2" xfId="32270" xr:uid="{00000000-0005-0000-0000-0000EB940000}"/>
    <cellStyle name="Percent 3 19 3 4" xfId="18502" xr:uid="{00000000-0005-0000-0000-0000EC940000}"/>
    <cellStyle name="Percent 3 19 3 4 2" xfId="38422" xr:uid="{00000000-0005-0000-0000-0000ED940000}"/>
    <cellStyle name="Percent 3 19 3 5" xfId="26117" xr:uid="{00000000-0005-0000-0000-0000EE940000}"/>
    <cellStyle name="Percent 3 19 4" xfId="7688" xr:uid="{00000000-0005-0000-0000-0000EF940000}"/>
    <cellStyle name="Percent 3 19 4 2" xfId="13882" xr:uid="{00000000-0005-0000-0000-0000F0940000}"/>
    <cellStyle name="Percent 3 19 4 2 2" xfId="33802" xr:uid="{00000000-0005-0000-0000-0000F1940000}"/>
    <cellStyle name="Percent 3 19 4 3" xfId="20034" xr:uid="{00000000-0005-0000-0000-0000F2940000}"/>
    <cellStyle name="Percent 3 19 4 3 2" xfId="39954" xr:uid="{00000000-0005-0000-0000-0000F3940000}"/>
    <cellStyle name="Percent 3 19 4 4" xfId="27649" xr:uid="{00000000-0005-0000-0000-0000F4940000}"/>
    <cellStyle name="Percent 3 19 5" xfId="10816" xr:uid="{00000000-0005-0000-0000-0000F5940000}"/>
    <cellStyle name="Percent 3 19 5 2" xfId="30736" xr:uid="{00000000-0005-0000-0000-0000F6940000}"/>
    <cellStyle name="Percent 3 19 6" xfId="16968" xr:uid="{00000000-0005-0000-0000-0000F7940000}"/>
    <cellStyle name="Percent 3 19 6 2" xfId="36888" xr:uid="{00000000-0005-0000-0000-0000F8940000}"/>
    <cellStyle name="Percent 3 19 7" xfId="4240" xr:uid="{00000000-0005-0000-0000-0000F9940000}"/>
    <cellStyle name="Percent 3 19 7 2" xfId="24583" xr:uid="{00000000-0005-0000-0000-0000FA940000}"/>
    <cellStyle name="Percent 3 2" xfId="33" xr:uid="{00000000-0005-0000-0000-0000FB940000}"/>
    <cellStyle name="Percent 3 2 10" xfId="4242" xr:uid="{00000000-0005-0000-0000-0000FC940000}"/>
    <cellStyle name="Percent 3 2 10 2" xfId="5283" xr:uid="{00000000-0005-0000-0000-0000FD940000}"/>
    <cellStyle name="Percent 3 2 10 2 2" xfId="6908" xr:uid="{00000000-0005-0000-0000-0000FE940000}"/>
    <cellStyle name="Percent 3 2 10 2 2 2" xfId="9994" xr:uid="{00000000-0005-0000-0000-0000FF940000}"/>
    <cellStyle name="Percent 3 2 10 2 2 2 2" xfId="16187" xr:uid="{00000000-0005-0000-0000-000000950000}"/>
    <cellStyle name="Percent 3 2 10 2 2 2 2 2" xfId="36107" xr:uid="{00000000-0005-0000-0000-000001950000}"/>
    <cellStyle name="Percent 3 2 10 2 2 2 3" xfId="22339" xr:uid="{00000000-0005-0000-0000-000002950000}"/>
    <cellStyle name="Percent 3 2 10 2 2 2 3 2" xfId="42259" xr:uid="{00000000-0005-0000-0000-000003950000}"/>
    <cellStyle name="Percent 3 2 10 2 2 2 4" xfId="29954" xr:uid="{00000000-0005-0000-0000-000004950000}"/>
    <cellStyle name="Percent 3 2 10 2 2 3" xfId="13121" xr:uid="{00000000-0005-0000-0000-000005950000}"/>
    <cellStyle name="Percent 3 2 10 2 2 3 2" xfId="33041" xr:uid="{00000000-0005-0000-0000-000006950000}"/>
    <cellStyle name="Percent 3 2 10 2 2 4" xfId="19273" xr:uid="{00000000-0005-0000-0000-000007950000}"/>
    <cellStyle name="Percent 3 2 10 2 2 4 2" xfId="39193" xr:uid="{00000000-0005-0000-0000-000008950000}"/>
    <cellStyle name="Percent 3 2 10 2 2 5" xfId="26888" xr:uid="{00000000-0005-0000-0000-000009950000}"/>
    <cellStyle name="Percent 3 2 10 2 3" xfId="8459" xr:uid="{00000000-0005-0000-0000-00000A950000}"/>
    <cellStyle name="Percent 3 2 10 2 3 2" xfId="14653" xr:uid="{00000000-0005-0000-0000-00000B950000}"/>
    <cellStyle name="Percent 3 2 10 2 3 2 2" xfId="34573" xr:uid="{00000000-0005-0000-0000-00000C950000}"/>
    <cellStyle name="Percent 3 2 10 2 3 3" xfId="20805" xr:uid="{00000000-0005-0000-0000-00000D950000}"/>
    <cellStyle name="Percent 3 2 10 2 3 3 2" xfId="40725" xr:uid="{00000000-0005-0000-0000-00000E950000}"/>
    <cellStyle name="Percent 3 2 10 2 3 4" xfId="28420" xr:uid="{00000000-0005-0000-0000-00000F950000}"/>
    <cellStyle name="Percent 3 2 10 2 4" xfId="11587" xr:uid="{00000000-0005-0000-0000-000010950000}"/>
    <cellStyle name="Percent 3 2 10 2 4 2" xfId="31507" xr:uid="{00000000-0005-0000-0000-000011950000}"/>
    <cellStyle name="Percent 3 2 10 2 5" xfId="17739" xr:uid="{00000000-0005-0000-0000-000012950000}"/>
    <cellStyle name="Percent 3 2 10 2 5 2" xfId="37659" xr:uid="{00000000-0005-0000-0000-000013950000}"/>
    <cellStyle name="Percent 3 2 10 2 6" xfId="25354" xr:uid="{00000000-0005-0000-0000-000014950000}"/>
    <cellStyle name="Percent 3 2 10 3" xfId="6133" xr:uid="{00000000-0005-0000-0000-000015950000}"/>
    <cellStyle name="Percent 3 2 10 3 2" xfId="9225" xr:uid="{00000000-0005-0000-0000-000016950000}"/>
    <cellStyle name="Percent 3 2 10 3 2 2" xfId="15418" xr:uid="{00000000-0005-0000-0000-000017950000}"/>
    <cellStyle name="Percent 3 2 10 3 2 2 2" xfId="35338" xr:uid="{00000000-0005-0000-0000-000018950000}"/>
    <cellStyle name="Percent 3 2 10 3 2 3" xfId="21570" xr:uid="{00000000-0005-0000-0000-000019950000}"/>
    <cellStyle name="Percent 3 2 10 3 2 3 2" xfId="41490" xr:uid="{00000000-0005-0000-0000-00001A950000}"/>
    <cellStyle name="Percent 3 2 10 3 2 4" xfId="29185" xr:uid="{00000000-0005-0000-0000-00001B950000}"/>
    <cellStyle name="Percent 3 2 10 3 3" xfId="12352" xr:uid="{00000000-0005-0000-0000-00001C950000}"/>
    <cellStyle name="Percent 3 2 10 3 3 2" xfId="32272" xr:uid="{00000000-0005-0000-0000-00001D950000}"/>
    <cellStyle name="Percent 3 2 10 3 4" xfId="18504" xr:uid="{00000000-0005-0000-0000-00001E950000}"/>
    <cellStyle name="Percent 3 2 10 3 4 2" xfId="38424" xr:uid="{00000000-0005-0000-0000-00001F950000}"/>
    <cellStyle name="Percent 3 2 10 3 5" xfId="26119" xr:uid="{00000000-0005-0000-0000-000020950000}"/>
    <cellStyle name="Percent 3 2 10 4" xfId="7690" xr:uid="{00000000-0005-0000-0000-000021950000}"/>
    <cellStyle name="Percent 3 2 10 4 2" xfId="13884" xr:uid="{00000000-0005-0000-0000-000022950000}"/>
    <cellStyle name="Percent 3 2 10 4 2 2" xfId="33804" xr:uid="{00000000-0005-0000-0000-000023950000}"/>
    <cellStyle name="Percent 3 2 10 4 3" xfId="20036" xr:uid="{00000000-0005-0000-0000-000024950000}"/>
    <cellStyle name="Percent 3 2 10 4 3 2" xfId="39956" xr:uid="{00000000-0005-0000-0000-000025950000}"/>
    <cellStyle name="Percent 3 2 10 4 4" xfId="27651" xr:uid="{00000000-0005-0000-0000-000026950000}"/>
    <cellStyle name="Percent 3 2 10 5" xfId="10818" xr:uid="{00000000-0005-0000-0000-000027950000}"/>
    <cellStyle name="Percent 3 2 10 5 2" xfId="30738" xr:uid="{00000000-0005-0000-0000-000028950000}"/>
    <cellStyle name="Percent 3 2 10 6" xfId="16970" xr:uid="{00000000-0005-0000-0000-000029950000}"/>
    <cellStyle name="Percent 3 2 10 6 2" xfId="36890" xr:uid="{00000000-0005-0000-0000-00002A950000}"/>
    <cellStyle name="Percent 3 2 10 7" xfId="24585" xr:uid="{00000000-0005-0000-0000-00002B950000}"/>
    <cellStyle name="Percent 3 2 11" xfId="4243" xr:uid="{00000000-0005-0000-0000-00002C950000}"/>
    <cellStyle name="Percent 3 2 11 2" xfId="5284" xr:uid="{00000000-0005-0000-0000-00002D950000}"/>
    <cellStyle name="Percent 3 2 11 2 2" xfId="6909" xr:uid="{00000000-0005-0000-0000-00002E950000}"/>
    <cellStyle name="Percent 3 2 11 2 2 2" xfId="9995" xr:uid="{00000000-0005-0000-0000-00002F950000}"/>
    <cellStyle name="Percent 3 2 11 2 2 2 2" xfId="16188" xr:uid="{00000000-0005-0000-0000-000030950000}"/>
    <cellStyle name="Percent 3 2 11 2 2 2 2 2" xfId="36108" xr:uid="{00000000-0005-0000-0000-000031950000}"/>
    <cellStyle name="Percent 3 2 11 2 2 2 3" xfId="22340" xr:uid="{00000000-0005-0000-0000-000032950000}"/>
    <cellStyle name="Percent 3 2 11 2 2 2 3 2" xfId="42260" xr:uid="{00000000-0005-0000-0000-000033950000}"/>
    <cellStyle name="Percent 3 2 11 2 2 2 4" xfId="29955" xr:uid="{00000000-0005-0000-0000-000034950000}"/>
    <cellStyle name="Percent 3 2 11 2 2 3" xfId="13122" xr:uid="{00000000-0005-0000-0000-000035950000}"/>
    <cellStyle name="Percent 3 2 11 2 2 3 2" xfId="33042" xr:uid="{00000000-0005-0000-0000-000036950000}"/>
    <cellStyle name="Percent 3 2 11 2 2 4" xfId="19274" xr:uid="{00000000-0005-0000-0000-000037950000}"/>
    <cellStyle name="Percent 3 2 11 2 2 4 2" xfId="39194" xr:uid="{00000000-0005-0000-0000-000038950000}"/>
    <cellStyle name="Percent 3 2 11 2 2 5" xfId="26889" xr:uid="{00000000-0005-0000-0000-000039950000}"/>
    <cellStyle name="Percent 3 2 11 2 3" xfId="8460" xr:uid="{00000000-0005-0000-0000-00003A950000}"/>
    <cellStyle name="Percent 3 2 11 2 3 2" xfId="14654" xr:uid="{00000000-0005-0000-0000-00003B950000}"/>
    <cellStyle name="Percent 3 2 11 2 3 2 2" xfId="34574" xr:uid="{00000000-0005-0000-0000-00003C950000}"/>
    <cellStyle name="Percent 3 2 11 2 3 3" xfId="20806" xr:uid="{00000000-0005-0000-0000-00003D950000}"/>
    <cellStyle name="Percent 3 2 11 2 3 3 2" xfId="40726" xr:uid="{00000000-0005-0000-0000-00003E950000}"/>
    <cellStyle name="Percent 3 2 11 2 3 4" xfId="28421" xr:uid="{00000000-0005-0000-0000-00003F950000}"/>
    <cellStyle name="Percent 3 2 11 2 4" xfId="11588" xr:uid="{00000000-0005-0000-0000-000040950000}"/>
    <cellStyle name="Percent 3 2 11 2 4 2" xfId="31508" xr:uid="{00000000-0005-0000-0000-000041950000}"/>
    <cellStyle name="Percent 3 2 11 2 5" xfId="17740" xr:uid="{00000000-0005-0000-0000-000042950000}"/>
    <cellStyle name="Percent 3 2 11 2 5 2" xfId="37660" xr:uid="{00000000-0005-0000-0000-000043950000}"/>
    <cellStyle name="Percent 3 2 11 2 6" xfId="25355" xr:uid="{00000000-0005-0000-0000-000044950000}"/>
    <cellStyle name="Percent 3 2 11 3" xfId="6134" xr:uid="{00000000-0005-0000-0000-000045950000}"/>
    <cellStyle name="Percent 3 2 11 3 2" xfId="9226" xr:uid="{00000000-0005-0000-0000-000046950000}"/>
    <cellStyle name="Percent 3 2 11 3 2 2" xfId="15419" xr:uid="{00000000-0005-0000-0000-000047950000}"/>
    <cellStyle name="Percent 3 2 11 3 2 2 2" xfId="35339" xr:uid="{00000000-0005-0000-0000-000048950000}"/>
    <cellStyle name="Percent 3 2 11 3 2 3" xfId="21571" xr:uid="{00000000-0005-0000-0000-000049950000}"/>
    <cellStyle name="Percent 3 2 11 3 2 3 2" xfId="41491" xr:uid="{00000000-0005-0000-0000-00004A950000}"/>
    <cellStyle name="Percent 3 2 11 3 2 4" xfId="29186" xr:uid="{00000000-0005-0000-0000-00004B950000}"/>
    <cellStyle name="Percent 3 2 11 3 3" xfId="12353" xr:uid="{00000000-0005-0000-0000-00004C950000}"/>
    <cellStyle name="Percent 3 2 11 3 3 2" xfId="32273" xr:uid="{00000000-0005-0000-0000-00004D950000}"/>
    <cellStyle name="Percent 3 2 11 3 4" xfId="18505" xr:uid="{00000000-0005-0000-0000-00004E950000}"/>
    <cellStyle name="Percent 3 2 11 3 4 2" xfId="38425" xr:uid="{00000000-0005-0000-0000-00004F950000}"/>
    <cellStyle name="Percent 3 2 11 3 5" xfId="26120" xr:uid="{00000000-0005-0000-0000-000050950000}"/>
    <cellStyle name="Percent 3 2 11 4" xfId="7691" xr:uid="{00000000-0005-0000-0000-000051950000}"/>
    <cellStyle name="Percent 3 2 11 4 2" xfId="13885" xr:uid="{00000000-0005-0000-0000-000052950000}"/>
    <cellStyle name="Percent 3 2 11 4 2 2" xfId="33805" xr:uid="{00000000-0005-0000-0000-000053950000}"/>
    <cellStyle name="Percent 3 2 11 4 3" xfId="20037" xr:uid="{00000000-0005-0000-0000-000054950000}"/>
    <cellStyle name="Percent 3 2 11 4 3 2" xfId="39957" xr:uid="{00000000-0005-0000-0000-000055950000}"/>
    <cellStyle name="Percent 3 2 11 4 4" xfId="27652" xr:uid="{00000000-0005-0000-0000-000056950000}"/>
    <cellStyle name="Percent 3 2 11 5" xfId="10819" xr:uid="{00000000-0005-0000-0000-000057950000}"/>
    <cellStyle name="Percent 3 2 11 5 2" xfId="30739" xr:uid="{00000000-0005-0000-0000-000058950000}"/>
    <cellStyle name="Percent 3 2 11 6" xfId="16971" xr:uid="{00000000-0005-0000-0000-000059950000}"/>
    <cellStyle name="Percent 3 2 11 6 2" xfId="36891" xr:uid="{00000000-0005-0000-0000-00005A950000}"/>
    <cellStyle name="Percent 3 2 11 7" xfId="24586" xr:uid="{00000000-0005-0000-0000-00005B950000}"/>
    <cellStyle name="Percent 3 2 12" xfId="4244" xr:uid="{00000000-0005-0000-0000-00005C950000}"/>
    <cellStyle name="Percent 3 2 12 2" xfId="5285" xr:uid="{00000000-0005-0000-0000-00005D950000}"/>
    <cellStyle name="Percent 3 2 12 2 2" xfId="6910" xr:uid="{00000000-0005-0000-0000-00005E950000}"/>
    <cellStyle name="Percent 3 2 12 2 2 2" xfId="9996" xr:uid="{00000000-0005-0000-0000-00005F950000}"/>
    <cellStyle name="Percent 3 2 12 2 2 2 2" xfId="16189" xr:uid="{00000000-0005-0000-0000-000060950000}"/>
    <cellStyle name="Percent 3 2 12 2 2 2 2 2" xfId="36109" xr:uid="{00000000-0005-0000-0000-000061950000}"/>
    <cellStyle name="Percent 3 2 12 2 2 2 3" xfId="22341" xr:uid="{00000000-0005-0000-0000-000062950000}"/>
    <cellStyle name="Percent 3 2 12 2 2 2 3 2" xfId="42261" xr:uid="{00000000-0005-0000-0000-000063950000}"/>
    <cellStyle name="Percent 3 2 12 2 2 2 4" xfId="29956" xr:uid="{00000000-0005-0000-0000-000064950000}"/>
    <cellStyle name="Percent 3 2 12 2 2 3" xfId="13123" xr:uid="{00000000-0005-0000-0000-000065950000}"/>
    <cellStyle name="Percent 3 2 12 2 2 3 2" xfId="33043" xr:uid="{00000000-0005-0000-0000-000066950000}"/>
    <cellStyle name="Percent 3 2 12 2 2 4" xfId="19275" xr:uid="{00000000-0005-0000-0000-000067950000}"/>
    <cellStyle name="Percent 3 2 12 2 2 4 2" xfId="39195" xr:uid="{00000000-0005-0000-0000-000068950000}"/>
    <cellStyle name="Percent 3 2 12 2 2 5" xfId="26890" xr:uid="{00000000-0005-0000-0000-000069950000}"/>
    <cellStyle name="Percent 3 2 12 2 3" xfId="8461" xr:uid="{00000000-0005-0000-0000-00006A950000}"/>
    <cellStyle name="Percent 3 2 12 2 3 2" xfId="14655" xr:uid="{00000000-0005-0000-0000-00006B950000}"/>
    <cellStyle name="Percent 3 2 12 2 3 2 2" xfId="34575" xr:uid="{00000000-0005-0000-0000-00006C950000}"/>
    <cellStyle name="Percent 3 2 12 2 3 3" xfId="20807" xr:uid="{00000000-0005-0000-0000-00006D950000}"/>
    <cellStyle name="Percent 3 2 12 2 3 3 2" xfId="40727" xr:uid="{00000000-0005-0000-0000-00006E950000}"/>
    <cellStyle name="Percent 3 2 12 2 3 4" xfId="28422" xr:uid="{00000000-0005-0000-0000-00006F950000}"/>
    <cellStyle name="Percent 3 2 12 2 4" xfId="11589" xr:uid="{00000000-0005-0000-0000-000070950000}"/>
    <cellStyle name="Percent 3 2 12 2 4 2" xfId="31509" xr:uid="{00000000-0005-0000-0000-000071950000}"/>
    <cellStyle name="Percent 3 2 12 2 5" xfId="17741" xr:uid="{00000000-0005-0000-0000-000072950000}"/>
    <cellStyle name="Percent 3 2 12 2 5 2" xfId="37661" xr:uid="{00000000-0005-0000-0000-000073950000}"/>
    <cellStyle name="Percent 3 2 12 2 6" xfId="25356" xr:uid="{00000000-0005-0000-0000-000074950000}"/>
    <cellStyle name="Percent 3 2 12 3" xfId="6135" xr:uid="{00000000-0005-0000-0000-000075950000}"/>
    <cellStyle name="Percent 3 2 12 3 2" xfId="9227" xr:uid="{00000000-0005-0000-0000-000076950000}"/>
    <cellStyle name="Percent 3 2 12 3 2 2" xfId="15420" xr:uid="{00000000-0005-0000-0000-000077950000}"/>
    <cellStyle name="Percent 3 2 12 3 2 2 2" xfId="35340" xr:uid="{00000000-0005-0000-0000-000078950000}"/>
    <cellStyle name="Percent 3 2 12 3 2 3" xfId="21572" xr:uid="{00000000-0005-0000-0000-000079950000}"/>
    <cellStyle name="Percent 3 2 12 3 2 3 2" xfId="41492" xr:uid="{00000000-0005-0000-0000-00007A950000}"/>
    <cellStyle name="Percent 3 2 12 3 2 4" xfId="29187" xr:uid="{00000000-0005-0000-0000-00007B950000}"/>
    <cellStyle name="Percent 3 2 12 3 3" xfId="12354" xr:uid="{00000000-0005-0000-0000-00007C950000}"/>
    <cellStyle name="Percent 3 2 12 3 3 2" xfId="32274" xr:uid="{00000000-0005-0000-0000-00007D950000}"/>
    <cellStyle name="Percent 3 2 12 3 4" xfId="18506" xr:uid="{00000000-0005-0000-0000-00007E950000}"/>
    <cellStyle name="Percent 3 2 12 3 4 2" xfId="38426" xr:uid="{00000000-0005-0000-0000-00007F950000}"/>
    <cellStyle name="Percent 3 2 12 3 5" xfId="26121" xr:uid="{00000000-0005-0000-0000-000080950000}"/>
    <cellStyle name="Percent 3 2 12 4" xfId="7692" xr:uid="{00000000-0005-0000-0000-000081950000}"/>
    <cellStyle name="Percent 3 2 12 4 2" xfId="13886" xr:uid="{00000000-0005-0000-0000-000082950000}"/>
    <cellStyle name="Percent 3 2 12 4 2 2" xfId="33806" xr:uid="{00000000-0005-0000-0000-000083950000}"/>
    <cellStyle name="Percent 3 2 12 4 3" xfId="20038" xr:uid="{00000000-0005-0000-0000-000084950000}"/>
    <cellStyle name="Percent 3 2 12 4 3 2" xfId="39958" xr:uid="{00000000-0005-0000-0000-000085950000}"/>
    <cellStyle name="Percent 3 2 12 4 4" xfId="27653" xr:uid="{00000000-0005-0000-0000-000086950000}"/>
    <cellStyle name="Percent 3 2 12 5" xfId="10820" xr:uid="{00000000-0005-0000-0000-000087950000}"/>
    <cellStyle name="Percent 3 2 12 5 2" xfId="30740" xr:uid="{00000000-0005-0000-0000-000088950000}"/>
    <cellStyle name="Percent 3 2 12 6" xfId="16972" xr:uid="{00000000-0005-0000-0000-000089950000}"/>
    <cellStyle name="Percent 3 2 12 6 2" xfId="36892" xr:uid="{00000000-0005-0000-0000-00008A950000}"/>
    <cellStyle name="Percent 3 2 12 7" xfId="24587" xr:uid="{00000000-0005-0000-0000-00008B950000}"/>
    <cellStyle name="Percent 3 2 13" xfId="4245" xr:uid="{00000000-0005-0000-0000-00008C950000}"/>
    <cellStyle name="Percent 3 2 13 2" xfId="5286" xr:uid="{00000000-0005-0000-0000-00008D950000}"/>
    <cellStyle name="Percent 3 2 13 2 2" xfId="6911" xr:uid="{00000000-0005-0000-0000-00008E950000}"/>
    <cellStyle name="Percent 3 2 13 2 2 2" xfId="9997" xr:uid="{00000000-0005-0000-0000-00008F950000}"/>
    <cellStyle name="Percent 3 2 13 2 2 2 2" xfId="16190" xr:uid="{00000000-0005-0000-0000-000090950000}"/>
    <cellStyle name="Percent 3 2 13 2 2 2 2 2" xfId="36110" xr:uid="{00000000-0005-0000-0000-000091950000}"/>
    <cellStyle name="Percent 3 2 13 2 2 2 3" xfId="22342" xr:uid="{00000000-0005-0000-0000-000092950000}"/>
    <cellStyle name="Percent 3 2 13 2 2 2 3 2" xfId="42262" xr:uid="{00000000-0005-0000-0000-000093950000}"/>
    <cellStyle name="Percent 3 2 13 2 2 2 4" xfId="29957" xr:uid="{00000000-0005-0000-0000-000094950000}"/>
    <cellStyle name="Percent 3 2 13 2 2 3" xfId="13124" xr:uid="{00000000-0005-0000-0000-000095950000}"/>
    <cellStyle name="Percent 3 2 13 2 2 3 2" xfId="33044" xr:uid="{00000000-0005-0000-0000-000096950000}"/>
    <cellStyle name="Percent 3 2 13 2 2 4" xfId="19276" xr:uid="{00000000-0005-0000-0000-000097950000}"/>
    <cellStyle name="Percent 3 2 13 2 2 4 2" xfId="39196" xr:uid="{00000000-0005-0000-0000-000098950000}"/>
    <cellStyle name="Percent 3 2 13 2 2 5" xfId="26891" xr:uid="{00000000-0005-0000-0000-000099950000}"/>
    <cellStyle name="Percent 3 2 13 2 3" xfId="8462" xr:uid="{00000000-0005-0000-0000-00009A950000}"/>
    <cellStyle name="Percent 3 2 13 2 3 2" xfId="14656" xr:uid="{00000000-0005-0000-0000-00009B950000}"/>
    <cellStyle name="Percent 3 2 13 2 3 2 2" xfId="34576" xr:uid="{00000000-0005-0000-0000-00009C950000}"/>
    <cellStyle name="Percent 3 2 13 2 3 3" xfId="20808" xr:uid="{00000000-0005-0000-0000-00009D950000}"/>
    <cellStyle name="Percent 3 2 13 2 3 3 2" xfId="40728" xr:uid="{00000000-0005-0000-0000-00009E950000}"/>
    <cellStyle name="Percent 3 2 13 2 3 4" xfId="28423" xr:uid="{00000000-0005-0000-0000-00009F950000}"/>
    <cellStyle name="Percent 3 2 13 2 4" xfId="11590" xr:uid="{00000000-0005-0000-0000-0000A0950000}"/>
    <cellStyle name="Percent 3 2 13 2 4 2" xfId="31510" xr:uid="{00000000-0005-0000-0000-0000A1950000}"/>
    <cellStyle name="Percent 3 2 13 2 5" xfId="17742" xr:uid="{00000000-0005-0000-0000-0000A2950000}"/>
    <cellStyle name="Percent 3 2 13 2 5 2" xfId="37662" xr:uid="{00000000-0005-0000-0000-0000A3950000}"/>
    <cellStyle name="Percent 3 2 13 2 6" xfId="25357" xr:uid="{00000000-0005-0000-0000-0000A4950000}"/>
    <cellStyle name="Percent 3 2 13 3" xfId="6136" xr:uid="{00000000-0005-0000-0000-0000A5950000}"/>
    <cellStyle name="Percent 3 2 13 3 2" xfId="9228" xr:uid="{00000000-0005-0000-0000-0000A6950000}"/>
    <cellStyle name="Percent 3 2 13 3 2 2" xfId="15421" xr:uid="{00000000-0005-0000-0000-0000A7950000}"/>
    <cellStyle name="Percent 3 2 13 3 2 2 2" xfId="35341" xr:uid="{00000000-0005-0000-0000-0000A8950000}"/>
    <cellStyle name="Percent 3 2 13 3 2 3" xfId="21573" xr:uid="{00000000-0005-0000-0000-0000A9950000}"/>
    <cellStyle name="Percent 3 2 13 3 2 3 2" xfId="41493" xr:uid="{00000000-0005-0000-0000-0000AA950000}"/>
    <cellStyle name="Percent 3 2 13 3 2 4" xfId="29188" xr:uid="{00000000-0005-0000-0000-0000AB950000}"/>
    <cellStyle name="Percent 3 2 13 3 3" xfId="12355" xr:uid="{00000000-0005-0000-0000-0000AC950000}"/>
    <cellStyle name="Percent 3 2 13 3 3 2" xfId="32275" xr:uid="{00000000-0005-0000-0000-0000AD950000}"/>
    <cellStyle name="Percent 3 2 13 3 4" xfId="18507" xr:uid="{00000000-0005-0000-0000-0000AE950000}"/>
    <cellStyle name="Percent 3 2 13 3 4 2" xfId="38427" xr:uid="{00000000-0005-0000-0000-0000AF950000}"/>
    <cellStyle name="Percent 3 2 13 3 5" xfId="26122" xr:uid="{00000000-0005-0000-0000-0000B0950000}"/>
    <cellStyle name="Percent 3 2 13 4" xfId="7693" xr:uid="{00000000-0005-0000-0000-0000B1950000}"/>
    <cellStyle name="Percent 3 2 13 4 2" xfId="13887" xr:uid="{00000000-0005-0000-0000-0000B2950000}"/>
    <cellStyle name="Percent 3 2 13 4 2 2" xfId="33807" xr:uid="{00000000-0005-0000-0000-0000B3950000}"/>
    <cellStyle name="Percent 3 2 13 4 3" xfId="20039" xr:uid="{00000000-0005-0000-0000-0000B4950000}"/>
    <cellStyle name="Percent 3 2 13 4 3 2" xfId="39959" xr:uid="{00000000-0005-0000-0000-0000B5950000}"/>
    <cellStyle name="Percent 3 2 13 4 4" xfId="27654" xr:uid="{00000000-0005-0000-0000-0000B6950000}"/>
    <cellStyle name="Percent 3 2 13 5" xfId="10821" xr:uid="{00000000-0005-0000-0000-0000B7950000}"/>
    <cellStyle name="Percent 3 2 13 5 2" xfId="30741" xr:uid="{00000000-0005-0000-0000-0000B8950000}"/>
    <cellStyle name="Percent 3 2 13 6" xfId="16973" xr:uid="{00000000-0005-0000-0000-0000B9950000}"/>
    <cellStyle name="Percent 3 2 13 6 2" xfId="36893" xr:uid="{00000000-0005-0000-0000-0000BA950000}"/>
    <cellStyle name="Percent 3 2 13 7" xfId="24588" xr:uid="{00000000-0005-0000-0000-0000BB950000}"/>
    <cellStyle name="Percent 3 2 14" xfId="4246" xr:uid="{00000000-0005-0000-0000-0000BC950000}"/>
    <cellStyle name="Percent 3 2 14 2" xfId="5287" xr:uid="{00000000-0005-0000-0000-0000BD950000}"/>
    <cellStyle name="Percent 3 2 14 2 2" xfId="6912" xr:uid="{00000000-0005-0000-0000-0000BE950000}"/>
    <cellStyle name="Percent 3 2 14 2 2 2" xfId="9998" xr:uid="{00000000-0005-0000-0000-0000BF950000}"/>
    <cellStyle name="Percent 3 2 14 2 2 2 2" xfId="16191" xr:uid="{00000000-0005-0000-0000-0000C0950000}"/>
    <cellStyle name="Percent 3 2 14 2 2 2 2 2" xfId="36111" xr:uid="{00000000-0005-0000-0000-0000C1950000}"/>
    <cellStyle name="Percent 3 2 14 2 2 2 3" xfId="22343" xr:uid="{00000000-0005-0000-0000-0000C2950000}"/>
    <cellStyle name="Percent 3 2 14 2 2 2 3 2" xfId="42263" xr:uid="{00000000-0005-0000-0000-0000C3950000}"/>
    <cellStyle name="Percent 3 2 14 2 2 2 4" xfId="29958" xr:uid="{00000000-0005-0000-0000-0000C4950000}"/>
    <cellStyle name="Percent 3 2 14 2 2 3" xfId="13125" xr:uid="{00000000-0005-0000-0000-0000C5950000}"/>
    <cellStyle name="Percent 3 2 14 2 2 3 2" xfId="33045" xr:uid="{00000000-0005-0000-0000-0000C6950000}"/>
    <cellStyle name="Percent 3 2 14 2 2 4" xfId="19277" xr:uid="{00000000-0005-0000-0000-0000C7950000}"/>
    <cellStyle name="Percent 3 2 14 2 2 4 2" xfId="39197" xr:uid="{00000000-0005-0000-0000-0000C8950000}"/>
    <cellStyle name="Percent 3 2 14 2 2 5" xfId="26892" xr:uid="{00000000-0005-0000-0000-0000C9950000}"/>
    <cellStyle name="Percent 3 2 14 2 3" xfId="8463" xr:uid="{00000000-0005-0000-0000-0000CA950000}"/>
    <cellStyle name="Percent 3 2 14 2 3 2" xfId="14657" xr:uid="{00000000-0005-0000-0000-0000CB950000}"/>
    <cellStyle name="Percent 3 2 14 2 3 2 2" xfId="34577" xr:uid="{00000000-0005-0000-0000-0000CC950000}"/>
    <cellStyle name="Percent 3 2 14 2 3 3" xfId="20809" xr:uid="{00000000-0005-0000-0000-0000CD950000}"/>
    <cellStyle name="Percent 3 2 14 2 3 3 2" xfId="40729" xr:uid="{00000000-0005-0000-0000-0000CE950000}"/>
    <cellStyle name="Percent 3 2 14 2 3 4" xfId="28424" xr:uid="{00000000-0005-0000-0000-0000CF950000}"/>
    <cellStyle name="Percent 3 2 14 2 4" xfId="11591" xr:uid="{00000000-0005-0000-0000-0000D0950000}"/>
    <cellStyle name="Percent 3 2 14 2 4 2" xfId="31511" xr:uid="{00000000-0005-0000-0000-0000D1950000}"/>
    <cellStyle name="Percent 3 2 14 2 5" xfId="17743" xr:uid="{00000000-0005-0000-0000-0000D2950000}"/>
    <cellStyle name="Percent 3 2 14 2 5 2" xfId="37663" xr:uid="{00000000-0005-0000-0000-0000D3950000}"/>
    <cellStyle name="Percent 3 2 14 2 6" xfId="25358" xr:uid="{00000000-0005-0000-0000-0000D4950000}"/>
    <cellStyle name="Percent 3 2 14 3" xfId="6137" xr:uid="{00000000-0005-0000-0000-0000D5950000}"/>
    <cellStyle name="Percent 3 2 14 3 2" xfId="9229" xr:uid="{00000000-0005-0000-0000-0000D6950000}"/>
    <cellStyle name="Percent 3 2 14 3 2 2" xfId="15422" xr:uid="{00000000-0005-0000-0000-0000D7950000}"/>
    <cellStyle name="Percent 3 2 14 3 2 2 2" xfId="35342" xr:uid="{00000000-0005-0000-0000-0000D8950000}"/>
    <cellStyle name="Percent 3 2 14 3 2 3" xfId="21574" xr:uid="{00000000-0005-0000-0000-0000D9950000}"/>
    <cellStyle name="Percent 3 2 14 3 2 3 2" xfId="41494" xr:uid="{00000000-0005-0000-0000-0000DA950000}"/>
    <cellStyle name="Percent 3 2 14 3 2 4" xfId="29189" xr:uid="{00000000-0005-0000-0000-0000DB950000}"/>
    <cellStyle name="Percent 3 2 14 3 3" xfId="12356" xr:uid="{00000000-0005-0000-0000-0000DC950000}"/>
    <cellStyle name="Percent 3 2 14 3 3 2" xfId="32276" xr:uid="{00000000-0005-0000-0000-0000DD950000}"/>
    <cellStyle name="Percent 3 2 14 3 4" xfId="18508" xr:uid="{00000000-0005-0000-0000-0000DE950000}"/>
    <cellStyle name="Percent 3 2 14 3 4 2" xfId="38428" xr:uid="{00000000-0005-0000-0000-0000DF950000}"/>
    <cellStyle name="Percent 3 2 14 3 5" xfId="26123" xr:uid="{00000000-0005-0000-0000-0000E0950000}"/>
    <cellStyle name="Percent 3 2 14 4" xfId="7694" xr:uid="{00000000-0005-0000-0000-0000E1950000}"/>
    <cellStyle name="Percent 3 2 14 4 2" xfId="13888" xr:uid="{00000000-0005-0000-0000-0000E2950000}"/>
    <cellStyle name="Percent 3 2 14 4 2 2" xfId="33808" xr:uid="{00000000-0005-0000-0000-0000E3950000}"/>
    <cellStyle name="Percent 3 2 14 4 3" xfId="20040" xr:uid="{00000000-0005-0000-0000-0000E4950000}"/>
    <cellStyle name="Percent 3 2 14 4 3 2" xfId="39960" xr:uid="{00000000-0005-0000-0000-0000E5950000}"/>
    <cellStyle name="Percent 3 2 14 4 4" xfId="27655" xr:uid="{00000000-0005-0000-0000-0000E6950000}"/>
    <cellStyle name="Percent 3 2 14 5" xfId="10822" xr:uid="{00000000-0005-0000-0000-0000E7950000}"/>
    <cellStyle name="Percent 3 2 14 5 2" xfId="30742" xr:uid="{00000000-0005-0000-0000-0000E8950000}"/>
    <cellStyle name="Percent 3 2 14 6" xfId="16974" xr:uid="{00000000-0005-0000-0000-0000E9950000}"/>
    <cellStyle name="Percent 3 2 14 6 2" xfId="36894" xr:uid="{00000000-0005-0000-0000-0000EA950000}"/>
    <cellStyle name="Percent 3 2 14 7" xfId="24589" xr:uid="{00000000-0005-0000-0000-0000EB950000}"/>
    <cellStyle name="Percent 3 2 15" xfId="4247" xr:uid="{00000000-0005-0000-0000-0000EC950000}"/>
    <cellStyle name="Percent 3 2 15 2" xfId="5288" xr:uid="{00000000-0005-0000-0000-0000ED950000}"/>
    <cellStyle name="Percent 3 2 15 2 2" xfId="6913" xr:uid="{00000000-0005-0000-0000-0000EE950000}"/>
    <cellStyle name="Percent 3 2 15 2 2 2" xfId="9999" xr:uid="{00000000-0005-0000-0000-0000EF950000}"/>
    <cellStyle name="Percent 3 2 15 2 2 2 2" xfId="16192" xr:uid="{00000000-0005-0000-0000-0000F0950000}"/>
    <cellStyle name="Percent 3 2 15 2 2 2 2 2" xfId="36112" xr:uid="{00000000-0005-0000-0000-0000F1950000}"/>
    <cellStyle name="Percent 3 2 15 2 2 2 3" xfId="22344" xr:uid="{00000000-0005-0000-0000-0000F2950000}"/>
    <cellStyle name="Percent 3 2 15 2 2 2 3 2" xfId="42264" xr:uid="{00000000-0005-0000-0000-0000F3950000}"/>
    <cellStyle name="Percent 3 2 15 2 2 2 4" xfId="29959" xr:uid="{00000000-0005-0000-0000-0000F4950000}"/>
    <cellStyle name="Percent 3 2 15 2 2 3" xfId="13126" xr:uid="{00000000-0005-0000-0000-0000F5950000}"/>
    <cellStyle name="Percent 3 2 15 2 2 3 2" xfId="33046" xr:uid="{00000000-0005-0000-0000-0000F6950000}"/>
    <cellStyle name="Percent 3 2 15 2 2 4" xfId="19278" xr:uid="{00000000-0005-0000-0000-0000F7950000}"/>
    <cellStyle name="Percent 3 2 15 2 2 4 2" xfId="39198" xr:uid="{00000000-0005-0000-0000-0000F8950000}"/>
    <cellStyle name="Percent 3 2 15 2 2 5" xfId="26893" xr:uid="{00000000-0005-0000-0000-0000F9950000}"/>
    <cellStyle name="Percent 3 2 15 2 3" xfId="8464" xr:uid="{00000000-0005-0000-0000-0000FA950000}"/>
    <cellStyle name="Percent 3 2 15 2 3 2" xfId="14658" xr:uid="{00000000-0005-0000-0000-0000FB950000}"/>
    <cellStyle name="Percent 3 2 15 2 3 2 2" xfId="34578" xr:uid="{00000000-0005-0000-0000-0000FC950000}"/>
    <cellStyle name="Percent 3 2 15 2 3 3" xfId="20810" xr:uid="{00000000-0005-0000-0000-0000FD950000}"/>
    <cellStyle name="Percent 3 2 15 2 3 3 2" xfId="40730" xr:uid="{00000000-0005-0000-0000-0000FE950000}"/>
    <cellStyle name="Percent 3 2 15 2 3 4" xfId="28425" xr:uid="{00000000-0005-0000-0000-0000FF950000}"/>
    <cellStyle name="Percent 3 2 15 2 4" xfId="11592" xr:uid="{00000000-0005-0000-0000-000000960000}"/>
    <cellStyle name="Percent 3 2 15 2 4 2" xfId="31512" xr:uid="{00000000-0005-0000-0000-000001960000}"/>
    <cellStyle name="Percent 3 2 15 2 5" xfId="17744" xr:uid="{00000000-0005-0000-0000-000002960000}"/>
    <cellStyle name="Percent 3 2 15 2 5 2" xfId="37664" xr:uid="{00000000-0005-0000-0000-000003960000}"/>
    <cellStyle name="Percent 3 2 15 2 6" xfId="25359" xr:uid="{00000000-0005-0000-0000-000004960000}"/>
    <cellStyle name="Percent 3 2 15 3" xfId="6138" xr:uid="{00000000-0005-0000-0000-000005960000}"/>
    <cellStyle name="Percent 3 2 15 3 2" xfId="9230" xr:uid="{00000000-0005-0000-0000-000006960000}"/>
    <cellStyle name="Percent 3 2 15 3 2 2" xfId="15423" xr:uid="{00000000-0005-0000-0000-000007960000}"/>
    <cellStyle name="Percent 3 2 15 3 2 2 2" xfId="35343" xr:uid="{00000000-0005-0000-0000-000008960000}"/>
    <cellStyle name="Percent 3 2 15 3 2 3" xfId="21575" xr:uid="{00000000-0005-0000-0000-000009960000}"/>
    <cellStyle name="Percent 3 2 15 3 2 3 2" xfId="41495" xr:uid="{00000000-0005-0000-0000-00000A960000}"/>
    <cellStyle name="Percent 3 2 15 3 2 4" xfId="29190" xr:uid="{00000000-0005-0000-0000-00000B960000}"/>
    <cellStyle name="Percent 3 2 15 3 3" xfId="12357" xr:uid="{00000000-0005-0000-0000-00000C960000}"/>
    <cellStyle name="Percent 3 2 15 3 3 2" xfId="32277" xr:uid="{00000000-0005-0000-0000-00000D960000}"/>
    <cellStyle name="Percent 3 2 15 3 4" xfId="18509" xr:uid="{00000000-0005-0000-0000-00000E960000}"/>
    <cellStyle name="Percent 3 2 15 3 4 2" xfId="38429" xr:uid="{00000000-0005-0000-0000-00000F960000}"/>
    <cellStyle name="Percent 3 2 15 3 5" xfId="26124" xr:uid="{00000000-0005-0000-0000-000010960000}"/>
    <cellStyle name="Percent 3 2 15 4" xfId="7695" xr:uid="{00000000-0005-0000-0000-000011960000}"/>
    <cellStyle name="Percent 3 2 15 4 2" xfId="13889" xr:uid="{00000000-0005-0000-0000-000012960000}"/>
    <cellStyle name="Percent 3 2 15 4 2 2" xfId="33809" xr:uid="{00000000-0005-0000-0000-000013960000}"/>
    <cellStyle name="Percent 3 2 15 4 3" xfId="20041" xr:uid="{00000000-0005-0000-0000-000014960000}"/>
    <cellStyle name="Percent 3 2 15 4 3 2" xfId="39961" xr:uid="{00000000-0005-0000-0000-000015960000}"/>
    <cellStyle name="Percent 3 2 15 4 4" xfId="27656" xr:uid="{00000000-0005-0000-0000-000016960000}"/>
    <cellStyle name="Percent 3 2 15 5" xfId="10823" xr:uid="{00000000-0005-0000-0000-000017960000}"/>
    <cellStyle name="Percent 3 2 15 5 2" xfId="30743" xr:uid="{00000000-0005-0000-0000-000018960000}"/>
    <cellStyle name="Percent 3 2 15 6" xfId="16975" xr:uid="{00000000-0005-0000-0000-000019960000}"/>
    <cellStyle name="Percent 3 2 15 6 2" xfId="36895" xr:uid="{00000000-0005-0000-0000-00001A960000}"/>
    <cellStyle name="Percent 3 2 15 7" xfId="24590" xr:uid="{00000000-0005-0000-0000-00001B960000}"/>
    <cellStyle name="Percent 3 2 16" xfId="4248" xr:uid="{00000000-0005-0000-0000-00001C960000}"/>
    <cellStyle name="Percent 3 2 16 2" xfId="5289" xr:uid="{00000000-0005-0000-0000-00001D960000}"/>
    <cellStyle name="Percent 3 2 16 2 2" xfId="6914" xr:uid="{00000000-0005-0000-0000-00001E960000}"/>
    <cellStyle name="Percent 3 2 16 2 2 2" xfId="10000" xr:uid="{00000000-0005-0000-0000-00001F960000}"/>
    <cellStyle name="Percent 3 2 16 2 2 2 2" xfId="16193" xr:uid="{00000000-0005-0000-0000-000020960000}"/>
    <cellStyle name="Percent 3 2 16 2 2 2 2 2" xfId="36113" xr:uid="{00000000-0005-0000-0000-000021960000}"/>
    <cellStyle name="Percent 3 2 16 2 2 2 3" xfId="22345" xr:uid="{00000000-0005-0000-0000-000022960000}"/>
    <cellStyle name="Percent 3 2 16 2 2 2 3 2" xfId="42265" xr:uid="{00000000-0005-0000-0000-000023960000}"/>
    <cellStyle name="Percent 3 2 16 2 2 2 4" xfId="29960" xr:uid="{00000000-0005-0000-0000-000024960000}"/>
    <cellStyle name="Percent 3 2 16 2 2 3" xfId="13127" xr:uid="{00000000-0005-0000-0000-000025960000}"/>
    <cellStyle name="Percent 3 2 16 2 2 3 2" xfId="33047" xr:uid="{00000000-0005-0000-0000-000026960000}"/>
    <cellStyle name="Percent 3 2 16 2 2 4" xfId="19279" xr:uid="{00000000-0005-0000-0000-000027960000}"/>
    <cellStyle name="Percent 3 2 16 2 2 4 2" xfId="39199" xr:uid="{00000000-0005-0000-0000-000028960000}"/>
    <cellStyle name="Percent 3 2 16 2 2 5" xfId="26894" xr:uid="{00000000-0005-0000-0000-000029960000}"/>
    <cellStyle name="Percent 3 2 16 2 3" xfId="8465" xr:uid="{00000000-0005-0000-0000-00002A960000}"/>
    <cellStyle name="Percent 3 2 16 2 3 2" xfId="14659" xr:uid="{00000000-0005-0000-0000-00002B960000}"/>
    <cellStyle name="Percent 3 2 16 2 3 2 2" xfId="34579" xr:uid="{00000000-0005-0000-0000-00002C960000}"/>
    <cellStyle name="Percent 3 2 16 2 3 3" xfId="20811" xr:uid="{00000000-0005-0000-0000-00002D960000}"/>
    <cellStyle name="Percent 3 2 16 2 3 3 2" xfId="40731" xr:uid="{00000000-0005-0000-0000-00002E960000}"/>
    <cellStyle name="Percent 3 2 16 2 3 4" xfId="28426" xr:uid="{00000000-0005-0000-0000-00002F960000}"/>
    <cellStyle name="Percent 3 2 16 2 4" xfId="11593" xr:uid="{00000000-0005-0000-0000-000030960000}"/>
    <cellStyle name="Percent 3 2 16 2 4 2" xfId="31513" xr:uid="{00000000-0005-0000-0000-000031960000}"/>
    <cellStyle name="Percent 3 2 16 2 5" xfId="17745" xr:uid="{00000000-0005-0000-0000-000032960000}"/>
    <cellStyle name="Percent 3 2 16 2 5 2" xfId="37665" xr:uid="{00000000-0005-0000-0000-000033960000}"/>
    <cellStyle name="Percent 3 2 16 2 6" xfId="25360" xr:uid="{00000000-0005-0000-0000-000034960000}"/>
    <cellStyle name="Percent 3 2 16 3" xfId="6139" xr:uid="{00000000-0005-0000-0000-000035960000}"/>
    <cellStyle name="Percent 3 2 16 3 2" xfId="9231" xr:uid="{00000000-0005-0000-0000-000036960000}"/>
    <cellStyle name="Percent 3 2 16 3 2 2" xfId="15424" xr:uid="{00000000-0005-0000-0000-000037960000}"/>
    <cellStyle name="Percent 3 2 16 3 2 2 2" xfId="35344" xr:uid="{00000000-0005-0000-0000-000038960000}"/>
    <cellStyle name="Percent 3 2 16 3 2 3" xfId="21576" xr:uid="{00000000-0005-0000-0000-000039960000}"/>
    <cellStyle name="Percent 3 2 16 3 2 3 2" xfId="41496" xr:uid="{00000000-0005-0000-0000-00003A960000}"/>
    <cellStyle name="Percent 3 2 16 3 2 4" xfId="29191" xr:uid="{00000000-0005-0000-0000-00003B960000}"/>
    <cellStyle name="Percent 3 2 16 3 3" xfId="12358" xr:uid="{00000000-0005-0000-0000-00003C960000}"/>
    <cellStyle name="Percent 3 2 16 3 3 2" xfId="32278" xr:uid="{00000000-0005-0000-0000-00003D960000}"/>
    <cellStyle name="Percent 3 2 16 3 4" xfId="18510" xr:uid="{00000000-0005-0000-0000-00003E960000}"/>
    <cellStyle name="Percent 3 2 16 3 4 2" xfId="38430" xr:uid="{00000000-0005-0000-0000-00003F960000}"/>
    <cellStyle name="Percent 3 2 16 3 5" xfId="26125" xr:uid="{00000000-0005-0000-0000-000040960000}"/>
    <cellStyle name="Percent 3 2 16 4" xfId="7696" xr:uid="{00000000-0005-0000-0000-000041960000}"/>
    <cellStyle name="Percent 3 2 16 4 2" xfId="13890" xr:uid="{00000000-0005-0000-0000-000042960000}"/>
    <cellStyle name="Percent 3 2 16 4 2 2" xfId="33810" xr:uid="{00000000-0005-0000-0000-000043960000}"/>
    <cellStyle name="Percent 3 2 16 4 3" xfId="20042" xr:uid="{00000000-0005-0000-0000-000044960000}"/>
    <cellStyle name="Percent 3 2 16 4 3 2" xfId="39962" xr:uid="{00000000-0005-0000-0000-000045960000}"/>
    <cellStyle name="Percent 3 2 16 4 4" xfId="27657" xr:uid="{00000000-0005-0000-0000-000046960000}"/>
    <cellStyle name="Percent 3 2 16 5" xfId="10824" xr:uid="{00000000-0005-0000-0000-000047960000}"/>
    <cellStyle name="Percent 3 2 16 5 2" xfId="30744" xr:uid="{00000000-0005-0000-0000-000048960000}"/>
    <cellStyle name="Percent 3 2 16 6" xfId="16976" xr:uid="{00000000-0005-0000-0000-000049960000}"/>
    <cellStyle name="Percent 3 2 16 6 2" xfId="36896" xr:uid="{00000000-0005-0000-0000-00004A960000}"/>
    <cellStyle name="Percent 3 2 16 7" xfId="24591" xr:uid="{00000000-0005-0000-0000-00004B960000}"/>
    <cellStyle name="Percent 3 2 17" xfId="4249" xr:uid="{00000000-0005-0000-0000-00004C960000}"/>
    <cellStyle name="Percent 3 2 17 2" xfId="5290" xr:uid="{00000000-0005-0000-0000-00004D960000}"/>
    <cellStyle name="Percent 3 2 17 2 2" xfId="6915" xr:uid="{00000000-0005-0000-0000-00004E960000}"/>
    <cellStyle name="Percent 3 2 17 2 2 2" xfId="10001" xr:uid="{00000000-0005-0000-0000-00004F960000}"/>
    <cellStyle name="Percent 3 2 17 2 2 2 2" xfId="16194" xr:uid="{00000000-0005-0000-0000-000050960000}"/>
    <cellStyle name="Percent 3 2 17 2 2 2 2 2" xfId="36114" xr:uid="{00000000-0005-0000-0000-000051960000}"/>
    <cellStyle name="Percent 3 2 17 2 2 2 3" xfId="22346" xr:uid="{00000000-0005-0000-0000-000052960000}"/>
    <cellStyle name="Percent 3 2 17 2 2 2 3 2" xfId="42266" xr:uid="{00000000-0005-0000-0000-000053960000}"/>
    <cellStyle name="Percent 3 2 17 2 2 2 4" xfId="29961" xr:uid="{00000000-0005-0000-0000-000054960000}"/>
    <cellStyle name="Percent 3 2 17 2 2 3" xfId="13128" xr:uid="{00000000-0005-0000-0000-000055960000}"/>
    <cellStyle name="Percent 3 2 17 2 2 3 2" xfId="33048" xr:uid="{00000000-0005-0000-0000-000056960000}"/>
    <cellStyle name="Percent 3 2 17 2 2 4" xfId="19280" xr:uid="{00000000-0005-0000-0000-000057960000}"/>
    <cellStyle name="Percent 3 2 17 2 2 4 2" xfId="39200" xr:uid="{00000000-0005-0000-0000-000058960000}"/>
    <cellStyle name="Percent 3 2 17 2 2 5" xfId="26895" xr:uid="{00000000-0005-0000-0000-000059960000}"/>
    <cellStyle name="Percent 3 2 17 2 3" xfId="8466" xr:uid="{00000000-0005-0000-0000-00005A960000}"/>
    <cellStyle name="Percent 3 2 17 2 3 2" xfId="14660" xr:uid="{00000000-0005-0000-0000-00005B960000}"/>
    <cellStyle name="Percent 3 2 17 2 3 2 2" xfId="34580" xr:uid="{00000000-0005-0000-0000-00005C960000}"/>
    <cellStyle name="Percent 3 2 17 2 3 3" xfId="20812" xr:uid="{00000000-0005-0000-0000-00005D960000}"/>
    <cellStyle name="Percent 3 2 17 2 3 3 2" xfId="40732" xr:uid="{00000000-0005-0000-0000-00005E960000}"/>
    <cellStyle name="Percent 3 2 17 2 3 4" xfId="28427" xr:uid="{00000000-0005-0000-0000-00005F960000}"/>
    <cellStyle name="Percent 3 2 17 2 4" xfId="11594" xr:uid="{00000000-0005-0000-0000-000060960000}"/>
    <cellStyle name="Percent 3 2 17 2 4 2" xfId="31514" xr:uid="{00000000-0005-0000-0000-000061960000}"/>
    <cellStyle name="Percent 3 2 17 2 5" xfId="17746" xr:uid="{00000000-0005-0000-0000-000062960000}"/>
    <cellStyle name="Percent 3 2 17 2 5 2" xfId="37666" xr:uid="{00000000-0005-0000-0000-000063960000}"/>
    <cellStyle name="Percent 3 2 17 2 6" xfId="25361" xr:uid="{00000000-0005-0000-0000-000064960000}"/>
    <cellStyle name="Percent 3 2 17 3" xfId="6140" xr:uid="{00000000-0005-0000-0000-000065960000}"/>
    <cellStyle name="Percent 3 2 17 3 2" xfId="9232" xr:uid="{00000000-0005-0000-0000-000066960000}"/>
    <cellStyle name="Percent 3 2 17 3 2 2" xfId="15425" xr:uid="{00000000-0005-0000-0000-000067960000}"/>
    <cellStyle name="Percent 3 2 17 3 2 2 2" xfId="35345" xr:uid="{00000000-0005-0000-0000-000068960000}"/>
    <cellStyle name="Percent 3 2 17 3 2 3" xfId="21577" xr:uid="{00000000-0005-0000-0000-000069960000}"/>
    <cellStyle name="Percent 3 2 17 3 2 3 2" xfId="41497" xr:uid="{00000000-0005-0000-0000-00006A960000}"/>
    <cellStyle name="Percent 3 2 17 3 2 4" xfId="29192" xr:uid="{00000000-0005-0000-0000-00006B960000}"/>
    <cellStyle name="Percent 3 2 17 3 3" xfId="12359" xr:uid="{00000000-0005-0000-0000-00006C960000}"/>
    <cellStyle name="Percent 3 2 17 3 3 2" xfId="32279" xr:uid="{00000000-0005-0000-0000-00006D960000}"/>
    <cellStyle name="Percent 3 2 17 3 4" xfId="18511" xr:uid="{00000000-0005-0000-0000-00006E960000}"/>
    <cellStyle name="Percent 3 2 17 3 4 2" xfId="38431" xr:uid="{00000000-0005-0000-0000-00006F960000}"/>
    <cellStyle name="Percent 3 2 17 3 5" xfId="26126" xr:uid="{00000000-0005-0000-0000-000070960000}"/>
    <cellStyle name="Percent 3 2 17 4" xfId="7697" xr:uid="{00000000-0005-0000-0000-000071960000}"/>
    <cellStyle name="Percent 3 2 17 4 2" xfId="13891" xr:uid="{00000000-0005-0000-0000-000072960000}"/>
    <cellStyle name="Percent 3 2 17 4 2 2" xfId="33811" xr:uid="{00000000-0005-0000-0000-000073960000}"/>
    <cellStyle name="Percent 3 2 17 4 3" xfId="20043" xr:uid="{00000000-0005-0000-0000-000074960000}"/>
    <cellStyle name="Percent 3 2 17 4 3 2" xfId="39963" xr:uid="{00000000-0005-0000-0000-000075960000}"/>
    <cellStyle name="Percent 3 2 17 4 4" xfId="27658" xr:uid="{00000000-0005-0000-0000-000076960000}"/>
    <cellStyle name="Percent 3 2 17 5" xfId="10825" xr:uid="{00000000-0005-0000-0000-000077960000}"/>
    <cellStyle name="Percent 3 2 17 5 2" xfId="30745" xr:uid="{00000000-0005-0000-0000-000078960000}"/>
    <cellStyle name="Percent 3 2 17 6" xfId="16977" xr:uid="{00000000-0005-0000-0000-000079960000}"/>
    <cellStyle name="Percent 3 2 17 6 2" xfId="36897" xr:uid="{00000000-0005-0000-0000-00007A960000}"/>
    <cellStyle name="Percent 3 2 17 7" xfId="24592" xr:uid="{00000000-0005-0000-0000-00007B960000}"/>
    <cellStyle name="Percent 3 2 18" xfId="4250" xr:uid="{00000000-0005-0000-0000-00007C960000}"/>
    <cellStyle name="Percent 3 2 18 2" xfId="5291" xr:uid="{00000000-0005-0000-0000-00007D960000}"/>
    <cellStyle name="Percent 3 2 18 2 2" xfId="6916" xr:uid="{00000000-0005-0000-0000-00007E960000}"/>
    <cellStyle name="Percent 3 2 18 2 2 2" xfId="10002" xr:uid="{00000000-0005-0000-0000-00007F960000}"/>
    <cellStyle name="Percent 3 2 18 2 2 2 2" xfId="16195" xr:uid="{00000000-0005-0000-0000-000080960000}"/>
    <cellStyle name="Percent 3 2 18 2 2 2 2 2" xfId="36115" xr:uid="{00000000-0005-0000-0000-000081960000}"/>
    <cellStyle name="Percent 3 2 18 2 2 2 3" xfId="22347" xr:uid="{00000000-0005-0000-0000-000082960000}"/>
    <cellStyle name="Percent 3 2 18 2 2 2 3 2" xfId="42267" xr:uid="{00000000-0005-0000-0000-000083960000}"/>
    <cellStyle name="Percent 3 2 18 2 2 2 4" xfId="29962" xr:uid="{00000000-0005-0000-0000-000084960000}"/>
    <cellStyle name="Percent 3 2 18 2 2 3" xfId="13129" xr:uid="{00000000-0005-0000-0000-000085960000}"/>
    <cellStyle name="Percent 3 2 18 2 2 3 2" xfId="33049" xr:uid="{00000000-0005-0000-0000-000086960000}"/>
    <cellStyle name="Percent 3 2 18 2 2 4" xfId="19281" xr:uid="{00000000-0005-0000-0000-000087960000}"/>
    <cellStyle name="Percent 3 2 18 2 2 4 2" xfId="39201" xr:uid="{00000000-0005-0000-0000-000088960000}"/>
    <cellStyle name="Percent 3 2 18 2 2 5" xfId="26896" xr:uid="{00000000-0005-0000-0000-000089960000}"/>
    <cellStyle name="Percent 3 2 18 2 3" xfId="8467" xr:uid="{00000000-0005-0000-0000-00008A960000}"/>
    <cellStyle name="Percent 3 2 18 2 3 2" xfId="14661" xr:uid="{00000000-0005-0000-0000-00008B960000}"/>
    <cellStyle name="Percent 3 2 18 2 3 2 2" xfId="34581" xr:uid="{00000000-0005-0000-0000-00008C960000}"/>
    <cellStyle name="Percent 3 2 18 2 3 3" xfId="20813" xr:uid="{00000000-0005-0000-0000-00008D960000}"/>
    <cellStyle name="Percent 3 2 18 2 3 3 2" xfId="40733" xr:uid="{00000000-0005-0000-0000-00008E960000}"/>
    <cellStyle name="Percent 3 2 18 2 3 4" xfId="28428" xr:uid="{00000000-0005-0000-0000-00008F960000}"/>
    <cellStyle name="Percent 3 2 18 2 4" xfId="11595" xr:uid="{00000000-0005-0000-0000-000090960000}"/>
    <cellStyle name="Percent 3 2 18 2 4 2" xfId="31515" xr:uid="{00000000-0005-0000-0000-000091960000}"/>
    <cellStyle name="Percent 3 2 18 2 5" xfId="17747" xr:uid="{00000000-0005-0000-0000-000092960000}"/>
    <cellStyle name="Percent 3 2 18 2 5 2" xfId="37667" xr:uid="{00000000-0005-0000-0000-000093960000}"/>
    <cellStyle name="Percent 3 2 18 2 6" xfId="25362" xr:uid="{00000000-0005-0000-0000-000094960000}"/>
    <cellStyle name="Percent 3 2 18 3" xfId="6141" xr:uid="{00000000-0005-0000-0000-000095960000}"/>
    <cellStyle name="Percent 3 2 18 3 2" xfId="9233" xr:uid="{00000000-0005-0000-0000-000096960000}"/>
    <cellStyle name="Percent 3 2 18 3 2 2" xfId="15426" xr:uid="{00000000-0005-0000-0000-000097960000}"/>
    <cellStyle name="Percent 3 2 18 3 2 2 2" xfId="35346" xr:uid="{00000000-0005-0000-0000-000098960000}"/>
    <cellStyle name="Percent 3 2 18 3 2 3" xfId="21578" xr:uid="{00000000-0005-0000-0000-000099960000}"/>
    <cellStyle name="Percent 3 2 18 3 2 3 2" xfId="41498" xr:uid="{00000000-0005-0000-0000-00009A960000}"/>
    <cellStyle name="Percent 3 2 18 3 2 4" xfId="29193" xr:uid="{00000000-0005-0000-0000-00009B960000}"/>
    <cellStyle name="Percent 3 2 18 3 3" xfId="12360" xr:uid="{00000000-0005-0000-0000-00009C960000}"/>
    <cellStyle name="Percent 3 2 18 3 3 2" xfId="32280" xr:uid="{00000000-0005-0000-0000-00009D960000}"/>
    <cellStyle name="Percent 3 2 18 3 4" xfId="18512" xr:uid="{00000000-0005-0000-0000-00009E960000}"/>
    <cellStyle name="Percent 3 2 18 3 4 2" xfId="38432" xr:uid="{00000000-0005-0000-0000-00009F960000}"/>
    <cellStyle name="Percent 3 2 18 3 5" xfId="26127" xr:uid="{00000000-0005-0000-0000-0000A0960000}"/>
    <cellStyle name="Percent 3 2 18 4" xfId="7698" xr:uid="{00000000-0005-0000-0000-0000A1960000}"/>
    <cellStyle name="Percent 3 2 18 4 2" xfId="13892" xr:uid="{00000000-0005-0000-0000-0000A2960000}"/>
    <cellStyle name="Percent 3 2 18 4 2 2" xfId="33812" xr:uid="{00000000-0005-0000-0000-0000A3960000}"/>
    <cellStyle name="Percent 3 2 18 4 3" xfId="20044" xr:uid="{00000000-0005-0000-0000-0000A4960000}"/>
    <cellStyle name="Percent 3 2 18 4 3 2" xfId="39964" xr:uid="{00000000-0005-0000-0000-0000A5960000}"/>
    <cellStyle name="Percent 3 2 18 4 4" xfId="27659" xr:uid="{00000000-0005-0000-0000-0000A6960000}"/>
    <cellStyle name="Percent 3 2 18 5" xfId="10826" xr:uid="{00000000-0005-0000-0000-0000A7960000}"/>
    <cellStyle name="Percent 3 2 18 5 2" xfId="30746" xr:uid="{00000000-0005-0000-0000-0000A8960000}"/>
    <cellStyle name="Percent 3 2 18 6" xfId="16978" xr:uid="{00000000-0005-0000-0000-0000A9960000}"/>
    <cellStyle name="Percent 3 2 18 6 2" xfId="36898" xr:uid="{00000000-0005-0000-0000-0000AA960000}"/>
    <cellStyle name="Percent 3 2 18 7" xfId="24593" xr:uid="{00000000-0005-0000-0000-0000AB960000}"/>
    <cellStyle name="Percent 3 2 19" xfId="4251" xr:uid="{00000000-0005-0000-0000-0000AC960000}"/>
    <cellStyle name="Percent 3 2 19 2" xfId="5292" xr:uid="{00000000-0005-0000-0000-0000AD960000}"/>
    <cellStyle name="Percent 3 2 19 2 2" xfId="6917" xr:uid="{00000000-0005-0000-0000-0000AE960000}"/>
    <cellStyle name="Percent 3 2 19 2 2 2" xfId="10003" xr:uid="{00000000-0005-0000-0000-0000AF960000}"/>
    <cellStyle name="Percent 3 2 19 2 2 2 2" xfId="16196" xr:uid="{00000000-0005-0000-0000-0000B0960000}"/>
    <cellStyle name="Percent 3 2 19 2 2 2 2 2" xfId="36116" xr:uid="{00000000-0005-0000-0000-0000B1960000}"/>
    <cellStyle name="Percent 3 2 19 2 2 2 3" xfId="22348" xr:uid="{00000000-0005-0000-0000-0000B2960000}"/>
    <cellStyle name="Percent 3 2 19 2 2 2 3 2" xfId="42268" xr:uid="{00000000-0005-0000-0000-0000B3960000}"/>
    <cellStyle name="Percent 3 2 19 2 2 2 4" xfId="29963" xr:uid="{00000000-0005-0000-0000-0000B4960000}"/>
    <cellStyle name="Percent 3 2 19 2 2 3" xfId="13130" xr:uid="{00000000-0005-0000-0000-0000B5960000}"/>
    <cellStyle name="Percent 3 2 19 2 2 3 2" xfId="33050" xr:uid="{00000000-0005-0000-0000-0000B6960000}"/>
    <cellStyle name="Percent 3 2 19 2 2 4" xfId="19282" xr:uid="{00000000-0005-0000-0000-0000B7960000}"/>
    <cellStyle name="Percent 3 2 19 2 2 4 2" xfId="39202" xr:uid="{00000000-0005-0000-0000-0000B8960000}"/>
    <cellStyle name="Percent 3 2 19 2 2 5" xfId="26897" xr:uid="{00000000-0005-0000-0000-0000B9960000}"/>
    <cellStyle name="Percent 3 2 19 2 3" xfId="8468" xr:uid="{00000000-0005-0000-0000-0000BA960000}"/>
    <cellStyle name="Percent 3 2 19 2 3 2" xfId="14662" xr:uid="{00000000-0005-0000-0000-0000BB960000}"/>
    <cellStyle name="Percent 3 2 19 2 3 2 2" xfId="34582" xr:uid="{00000000-0005-0000-0000-0000BC960000}"/>
    <cellStyle name="Percent 3 2 19 2 3 3" xfId="20814" xr:uid="{00000000-0005-0000-0000-0000BD960000}"/>
    <cellStyle name="Percent 3 2 19 2 3 3 2" xfId="40734" xr:uid="{00000000-0005-0000-0000-0000BE960000}"/>
    <cellStyle name="Percent 3 2 19 2 3 4" xfId="28429" xr:uid="{00000000-0005-0000-0000-0000BF960000}"/>
    <cellStyle name="Percent 3 2 19 2 4" xfId="11596" xr:uid="{00000000-0005-0000-0000-0000C0960000}"/>
    <cellStyle name="Percent 3 2 19 2 4 2" xfId="31516" xr:uid="{00000000-0005-0000-0000-0000C1960000}"/>
    <cellStyle name="Percent 3 2 19 2 5" xfId="17748" xr:uid="{00000000-0005-0000-0000-0000C2960000}"/>
    <cellStyle name="Percent 3 2 19 2 5 2" xfId="37668" xr:uid="{00000000-0005-0000-0000-0000C3960000}"/>
    <cellStyle name="Percent 3 2 19 2 6" xfId="25363" xr:uid="{00000000-0005-0000-0000-0000C4960000}"/>
    <cellStyle name="Percent 3 2 19 3" xfId="6142" xr:uid="{00000000-0005-0000-0000-0000C5960000}"/>
    <cellStyle name="Percent 3 2 19 3 2" xfId="9234" xr:uid="{00000000-0005-0000-0000-0000C6960000}"/>
    <cellStyle name="Percent 3 2 19 3 2 2" xfId="15427" xr:uid="{00000000-0005-0000-0000-0000C7960000}"/>
    <cellStyle name="Percent 3 2 19 3 2 2 2" xfId="35347" xr:uid="{00000000-0005-0000-0000-0000C8960000}"/>
    <cellStyle name="Percent 3 2 19 3 2 3" xfId="21579" xr:uid="{00000000-0005-0000-0000-0000C9960000}"/>
    <cellStyle name="Percent 3 2 19 3 2 3 2" xfId="41499" xr:uid="{00000000-0005-0000-0000-0000CA960000}"/>
    <cellStyle name="Percent 3 2 19 3 2 4" xfId="29194" xr:uid="{00000000-0005-0000-0000-0000CB960000}"/>
    <cellStyle name="Percent 3 2 19 3 3" xfId="12361" xr:uid="{00000000-0005-0000-0000-0000CC960000}"/>
    <cellStyle name="Percent 3 2 19 3 3 2" xfId="32281" xr:uid="{00000000-0005-0000-0000-0000CD960000}"/>
    <cellStyle name="Percent 3 2 19 3 4" xfId="18513" xr:uid="{00000000-0005-0000-0000-0000CE960000}"/>
    <cellStyle name="Percent 3 2 19 3 4 2" xfId="38433" xr:uid="{00000000-0005-0000-0000-0000CF960000}"/>
    <cellStyle name="Percent 3 2 19 3 5" xfId="26128" xr:uid="{00000000-0005-0000-0000-0000D0960000}"/>
    <cellStyle name="Percent 3 2 19 4" xfId="7699" xr:uid="{00000000-0005-0000-0000-0000D1960000}"/>
    <cellStyle name="Percent 3 2 19 4 2" xfId="13893" xr:uid="{00000000-0005-0000-0000-0000D2960000}"/>
    <cellStyle name="Percent 3 2 19 4 2 2" xfId="33813" xr:uid="{00000000-0005-0000-0000-0000D3960000}"/>
    <cellStyle name="Percent 3 2 19 4 3" xfId="20045" xr:uid="{00000000-0005-0000-0000-0000D4960000}"/>
    <cellStyle name="Percent 3 2 19 4 3 2" xfId="39965" xr:uid="{00000000-0005-0000-0000-0000D5960000}"/>
    <cellStyle name="Percent 3 2 19 4 4" xfId="27660" xr:uid="{00000000-0005-0000-0000-0000D6960000}"/>
    <cellStyle name="Percent 3 2 19 5" xfId="10827" xr:uid="{00000000-0005-0000-0000-0000D7960000}"/>
    <cellStyle name="Percent 3 2 19 5 2" xfId="30747" xr:uid="{00000000-0005-0000-0000-0000D8960000}"/>
    <cellStyle name="Percent 3 2 19 6" xfId="16979" xr:uid="{00000000-0005-0000-0000-0000D9960000}"/>
    <cellStyle name="Percent 3 2 19 6 2" xfId="36899" xr:uid="{00000000-0005-0000-0000-0000DA960000}"/>
    <cellStyle name="Percent 3 2 19 7" xfId="24594" xr:uid="{00000000-0005-0000-0000-0000DB960000}"/>
    <cellStyle name="Percent 3 2 2" xfId="4252" xr:uid="{00000000-0005-0000-0000-0000DC960000}"/>
    <cellStyle name="Percent 3 2 2 2" xfId="4253" xr:uid="{00000000-0005-0000-0000-0000DD960000}"/>
    <cellStyle name="Percent 3 2 2 2 2" xfId="5293" xr:uid="{00000000-0005-0000-0000-0000DE960000}"/>
    <cellStyle name="Percent 3 2 2 2 2 2" xfId="6918" xr:uid="{00000000-0005-0000-0000-0000DF960000}"/>
    <cellStyle name="Percent 3 2 2 2 2 2 2" xfId="10004" xr:uid="{00000000-0005-0000-0000-0000E0960000}"/>
    <cellStyle name="Percent 3 2 2 2 2 2 2 2" xfId="16197" xr:uid="{00000000-0005-0000-0000-0000E1960000}"/>
    <cellStyle name="Percent 3 2 2 2 2 2 2 2 2" xfId="36117" xr:uid="{00000000-0005-0000-0000-0000E2960000}"/>
    <cellStyle name="Percent 3 2 2 2 2 2 2 3" xfId="22349" xr:uid="{00000000-0005-0000-0000-0000E3960000}"/>
    <cellStyle name="Percent 3 2 2 2 2 2 2 3 2" xfId="42269" xr:uid="{00000000-0005-0000-0000-0000E4960000}"/>
    <cellStyle name="Percent 3 2 2 2 2 2 2 4" xfId="29964" xr:uid="{00000000-0005-0000-0000-0000E5960000}"/>
    <cellStyle name="Percent 3 2 2 2 2 2 3" xfId="13131" xr:uid="{00000000-0005-0000-0000-0000E6960000}"/>
    <cellStyle name="Percent 3 2 2 2 2 2 3 2" xfId="33051" xr:uid="{00000000-0005-0000-0000-0000E7960000}"/>
    <cellStyle name="Percent 3 2 2 2 2 2 4" xfId="19283" xr:uid="{00000000-0005-0000-0000-0000E8960000}"/>
    <cellStyle name="Percent 3 2 2 2 2 2 4 2" xfId="39203" xr:uid="{00000000-0005-0000-0000-0000E9960000}"/>
    <cellStyle name="Percent 3 2 2 2 2 2 5" xfId="26898" xr:uid="{00000000-0005-0000-0000-0000EA960000}"/>
    <cellStyle name="Percent 3 2 2 2 2 3" xfId="8469" xr:uid="{00000000-0005-0000-0000-0000EB960000}"/>
    <cellStyle name="Percent 3 2 2 2 2 3 2" xfId="14663" xr:uid="{00000000-0005-0000-0000-0000EC960000}"/>
    <cellStyle name="Percent 3 2 2 2 2 3 2 2" xfId="34583" xr:uid="{00000000-0005-0000-0000-0000ED960000}"/>
    <cellStyle name="Percent 3 2 2 2 2 3 3" xfId="20815" xr:uid="{00000000-0005-0000-0000-0000EE960000}"/>
    <cellStyle name="Percent 3 2 2 2 2 3 3 2" xfId="40735" xr:uid="{00000000-0005-0000-0000-0000EF960000}"/>
    <cellStyle name="Percent 3 2 2 2 2 3 4" xfId="28430" xr:uid="{00000000-0005-0000-0000-0000F0960000}"/>
    <cellStyle name="Percent 3 2 2 2 2 4" xfId="11597" xr:uid="{00000000-0005-0000-0000-0000F1960000}"/>
    <cellStyle name="Percent 3 2 2 2 2 4 2" xfId="31517" xr:uid="{00000000-0005-0000-0000-0000F2960000}"/>
    <cellStyle name="Percent 3 2 2 2 2 5" xfId="17749" xr:uid="{00000000-0005-0000-0000-0000F3960000}"/>
    <cellStyle name="Percent 3 2 2 2 2 5 2" xfId="37669" xr:uid="{00000000-0005-0000-0000-0000F4960000}"/>
    <cellStyle name="Percent 3 2 2 2 2 6" xfId="25364" xr:uid="{00000000-0005-0000-0000-0000F5960000}"/>
    <cellStyle name="Percent 3 2 2 2 3" xfId="6143" xr:uid="{00000000-0005-0000-0000-0000F6960000}"/>
    <cellStyle name="Percent 3 2 2 2 3 2" xfId="9235" xr:uid="{00000000-0005-0000-0000-0000F7960000}"/>
    <cellStyle name="Percent 3 2 2 2 3 2 2" xfId="15428" xr:uid="{00000000-0005-0000-0000-0000F8960000}"/>
    <cellStyle name="Percent 3 2 2 2 3 2 2 2" xfId="35348" xr:uid="{00000000-0005-0000-0000-0000F9960000}"/>
    <cellStyle name="Percent 3 2 2 2 3 2 3" xfId="21580" xr:uid="{00000000-0005-0000-0000-0000FA960000}"/>
    <cellStyle name="Percent 3 2 2 2 3 2 3 2" xfId="41500" xr:uid="{00000000-0005-0000-0000-0000FB960000}"/>
    <cellStyle name="Percent 3 2 2 2 3 2 4" xfId="29195" xr:uid="{00000000-0005-0000-0000-0000FC960000}"/>
    <cellStyle name="Percent 3 2 2 2 3 3" xfId="12362" xr:uid="{00000000-0005-0000-0000-0000FD960000}"/>
    <cellStyle name="Percent 3 2 2 2 3 3 2" xfId="32282" xr:uid="{00000000-0005-0000-0000-0000FE960000}"/>
    <cellStyle name="Percent 3 2 2 2 3 4" xfId="18514" xr:uid="{00000000-0005-0000-0000-0000FF960000}"/>
    <cellStyle name="Percent 3 2 2 2 3 4 2" xfId="38434" xr:uid="{00000000-0005-0000-0000-000000970000}"/>
    <cellStyle name="Percent 3 2 2 2 3 5" xfId="26129" xr:uid="{00000000-0005-0000-0000-000001970000}"/>
    <cellStyle name="Percent 3 2 2 2 4" xfId="7700" xr:uid="{00000000-0005-0000-0000-000002970000}"/>
    <cellStyle name="Percent 3 2 2 2 4 2" xfId="13894" xr:uid="{00000000-0005-0000-0000-000003970000}"/>
    <cellStyle name="Percent 3 2 2 2 4 2 2" xfId="33814" xr:uid="{00000000-0005-0000-0000-000004970000}"/>
    <cellStyle name="Percent 3 2 2 2 4 3" xfId="20046" xr:uid="{00000000-0005-0000-0000-000005970000}"/>
    <cellStyle name="Percent 3 2 2 2 4 3 2" xfId="39966" xr:uid="{00000000-0005-0000-0000-000006970000}"/>
    <cellStyle name="Percent 3 2 2 2 4 4" xfId="27661" xr:uid="{00000000-0005-0000-0000-000007970000}"/>
    <cellStyle name="Percent 3 2 2 2 5" xfId="10828" xr:uid="{00000000-0005-0000-0000-000008970000}"/>
    <cellStyle name="Percent 3 2 2 2 5 2" xfId="30748" xr:uid="{00000000-0005-0000-0000-000009970000}"/>
    <cellStyle name="Percent 3 2 2 2 6" xfId="16980" xr:uid="{00000000-0005-0000-0000-00000A970000}"/>
    <cellStyle name="Percent 3 2 2 2 6 2" xfId="36900" xr:uid="{00000000-0005-0000-0000-00000B970000}"/>
    <cellStyle name="Percent 3 2 2 2 7" xfId="24595" xr:uid="{00000000-0005-0000-0000-00000C970000}"/>
    <cellStyle name="Percent 3 2 2 3" xfId="4254" xr:uid="{00000000-0005-0000-0000-00000D970000}"/>
    <cellStyle name="Percent 3 2 2 3 2" xfId="5294" xr:uid="{00000000-0005-0000-0000-00000E970000}"/>
    <cellStyle name="Percent 3 2 2 3 2 2" xfId="6919" xr:uid="{00000000-0005-0000-0000-00000F970000}"/>
    <cellStyle name="Percent 3 2 2 3 2 2 2" xfId="10005" xr:uid="{00000000-0005-0000-0000-000010970000}"/>
    <cellStyle name="Percent 3 2 2 3 2 2 2 2" xfId="16198" xr:uid="{00000000-0005-0000-0000-000011970000}"/>
    <cellStyle name="Percent 3 2 2 3 2 2 2 2 2" xfId="36118" xr:uid="{00000000-0005-0000-0000-000012970000}"/>
    <cellStyle name="Percent 3 2 2 3 2 2 2 3" xfId="22350" xr:uid="{00000000-0005-0000-0000-000013970000}"/>
    <cellStyle name="Percent 3 2 2 3 2 2 2 3 2" xfId="42270" xr:uid="{00000000-0005-0000-0000-000014970000}"/>
    <cellStyle name="Percent 3 2 2 3 2 2 2 4" xfId="29965" xr:uid="{00000000-0005-0000-0000-000015970000}"/>
    <cellStyle name="Percent 3 2 2 3 2 2 3" xfId="13132" xr:uid="{00000000-0005-0000-0000-000016970000}"/>
    <cellStyle name="Percent 3 2 2 3 2 2 3 2" xfId="33052" xr:uid="{00000000-0005-0000-0000-000017970000}"/>
    <cellStyle name="Percent 3 2 2 3 2 2 4" xfId="19284" xr:uid="{00000000-0005-0000-0000-000018970000}"/>
    <cellStyle name="Percent 3 2 2 3 2 2 4 2" xfId="39204" xr:uid="{00000000-0005-0000-0000-000019970000}"/>
    <cellStyle name="Percent 3 2 2 3 2 2 5" xfId="26899" xr:uid="{00000000-0005-0000-0000-00001A970000}"/>
    <cellStyle name="Percent 3 2 2 3 2 3" xfId="8470" xr:uid="{00000000-0005-0000-0000-00001B970000}"/>
    <cellStyle name="Percent 3 2 2 3 2 3 2" xfId="14664" xr:uid="{00000000-0005-0000-0000-00001C970000}"/>
    <cellStyle name="Percent 3 2 2 3 2 3 2 2" xfId="34584" xr:uid="{00000000-0005-0000-0000-00001D970000}"/>
    <cellStyle name="Percent 3 2 2 3 2 3 3" xfId="20816" xr:uid="{00000000-0005-0000-0000-00001E970000}"/>
    <cellStyle name="Percent 3 2 2 3 2 3 3 2" xfId="40736" xr:uid="{00000000-0005-0000-0000-00001F970000}"/>
    <cellStyle name="Percent 3 2 2 3 2 3 4" xfId="28431" xr:uid="{00000000-0005-0000-0000-000020970000}"/>
    <cellStyle name="Percent 3 2 2 3 2 4" xfId="11598" xr:uid="{00000000-0005-0000-0000-000021970000}"/>
    <cellStyle name="Percent 3 2 2 3 2 4 2" xfId="31518" xr:uid="{00000000-0005-0000-0000-000022970000}"/>
    <cellStyle name="Percent 3 2 2 3 2 5" xfId="17750" xr:uid="{00000000-0005-0000-0000-000023970000}"/>
    <cellStyle name="Percent 3 2 2 3 2 5 2" xfId="37670" xr:uid="{00000000-0005-0000-0000-000024970000}"/>
    <cellStyle name="Percent 3 2 2 3 2 6" xfId="25365" xr:uid="{00000000-0005-0000-0000-000025970000}"/>
    <cellStyle name="Percent 3 2 2 3 3" xfId="6144" xr:uid="{00000000-0005-0000-0000-000026970000}"/>
    <cellStyle name="Percent 3 2 2 3 3 2" xfId="9236" xr:uid="{00000000-0005-0000-0000-000027970000}"/>
    <cellStyle name="Percent 3 2 2 3 3 2 2" xfId="15429" xr:uid="{00000000-0005-0000-0000-000028970000}"/>
    <cellStyle name="Percent 3 2 2 3 3 2 2 2" xfId="35349" xr:uid="{00000000-0005-0000-0000-000029970000}"/>
    <cellStyle name="Percent 3 2 2 3 3 2 3" xfId="21581" xr:uid="{00000000-0005-0000-0000-00002A970000}"/>
    <cellStyle name="Percent 3 2 2 3 3 2 3 2" xfId="41501" xr:uid="{00000000-0005-0000-0000-00002B970000}"/>
    <cellStyle name="Percent 3 2 2 3 3 2 4" xfId="29196" xr:uid="{00000000-0005-0000-0000-00002C970000}"/>
    <cellStyle name="Percent 3 2 2 3 3 3" xfId="12363" xr:uid="{00000000-0005-0000-0000-00002D970000}"/>
    <cellStyle name="Percent 3 2 2 3 3 3 2" xfId="32283" xr:uid="{00000000-0005-0000-0000-00002E970000}"/>
    <cellStyle name="Percent 3 2 2 3 3 4" xfId="18515" xr:uid="{00000000-0005-0000-0000-00002F970000}"/>
    <cellStyle name="Percent 3 2 2 3 3 4 2" xfId="38435" xr:uid="{00000000-0005-0000-0000-000030970000}"/>
    <cellStyle name="Percent 3 2 2 3 3 5" xfId="26130" xr:uid="{00000000-0005-0000-0000-000031970000}"/>
    <cellStyle name="Percent 3 2 2 3 4" xfId="7701" xr:uid="{00000000-0005-0000-0000-000032970000}"/>
    <cellStyle name="Percent 3 2 2 3 4 2" xfId="13895" xr:uid="{00000000-0005-0000-0000-000033970000}"/>
    <cellStyle name="Percent 3 2 2 3 4 2 2" xfId="33815" xr:uid="{00000000-0005-0000-0000-000034970000}"/>
    <cellStyle name="Percent 3 2 2 3 4 3" xfId="20047" xr:uid="{00000000-0005-0000-0000-000035970000}"/>
    <cellStyle name="Percent 3 2 2 3 4 3 2" xfId="39967" xr:uid="{00000000-0005-0000-0000-000036970000}"/>
    <cellStyle name="Percent 3 2 2 3 4 4" xfId="27662" xr:uid="{00000000-0005-0000-0000-000037970000}"/>
    <cellStyle name="Percent 3 2 2 3 5" xfId="10829" xr:uid="{00000000-0005-0000-0000-000038970000}"/>
    <cellStyle name="Percent 3 2 2 3 5 2" xfId="30749" xr:uid="{00000000-0005-0000-0000-000039970000}"/>
    <cellStyle name="Percent 3 2 2 3 6" xfId="16981" xr:uid="{00000000-0005-0000-0000-00003A970000}"/>
    <cellStyle name="Percent 3 2 2 3 6 2" xfId="36901" xr:uid="{00000000-0005-0000-0000-00003B970000}"/>
    <cellStyle name="Percent 3 2 2 3 7" xfId="24596" xr:uid="{00000000-0005-0000-0000-00003C970000}"/>
    <cellStyle name="Percent 3 2 2 4" xfId="4255" xr:uid="{00000000-0005-0000-0000-00003D970000}"/>
    <cellStyle name="Percent 3 2 2 4 2" xfId="5295" xr:uid="{00000000-0005-0000-0000-00003E970000}"/>
    <cellStyle name="Percent 3 2 2 4 2 2" xfId="6920" xr:uid="{00000000-0005-0000-0000-00003F970000}"/>
    <cellStyle name="Percent 3 2 2 4 2 2 2" xfId="10006" xr:uid="{00000000-0005-0000-0000-000040970000}"/>
    <cellStyle name="Percent 3 2 2 4 2 2 2 2" xfId="16199" xr:uid="{00000000-0005-0000-0000-000041970000}"/>
    <cellStyle name="Percent 3 2 2 4 2 2 2 2 2" xfId="36119" xr:uid="{00000000-0005-0000-0000-000042970000}"/>
    <cellStyle name="Percent 3 2 2 4 2 2 2 3" xfId="22351" xr:uid="{00000000-0005-0000-0000-000043970000}"/>
    <cellStyle name="Percent 3 2 2 4 2 2 2 3 2" xfId="42271" xr:uid="{00000000-0005-0000-0000-000044970000}"/>
    <cellStyle name="Percent 3 2 2 4 2 2 2 4" xfId="29966" xr:uid="{00000000-0005-0000-0000-000045970000}"/>
    <cellStyle name="Percent 3 2 2 4 2 2 3" xfId="13133" xr:uid="{00000000-0005-0000-0000-000046970000}"/>
    <cellStyle name="Percent 3 2 2 4 2 2 3 2" xfId="33053" xr:uid="{00000000-0005-0000-0000-000047970000}"/>
    <cellStyle name="Percent 3 2 2 4 2 2 4" xfId="19285" xr:uid="{00000000-0005-0000-0000-000048970000}"/>
    <cellStyle name="Percent 3 2 2 4 2 2 4 2" xfId="39205" xr:uid="{00000000-0005-0000-0000-000049970000}"/>
    <cellStyle name="Percent 3 2 2 4 2 2 5" xfId="26900" xr:uid="{00000000-0005-0000-0000-00004A970000}"/>
    <cellStyle name="Percent 3 2 2 4 2 3" xfId="8471" xr:uid="{00000000-0005-0000-0000-00004B970000}"/>
    <cellStyle name="Percent 3 2 2 4 2 3 2" xfId="14665" xr:uid="{00000000-0005-0000-0000-00004C970000}"/>
    <cellStyle name="Percent 3 2 2 4 2 3 2 2" xfId="34585" xr:uid="{00000000-0005-0000-0000-00004D970000}"/>
    <cellStyle name="Percent 3 2 2 4 2 3 3" xfId="20817" xr:uid="{00000000-0005-0000-0000-00004E970000}"/>
    <cellStyle name="Percent 3 2 2 4 2 3 3 2" xfId="40737" xr:uid="{00000000-0005-0000-0000-00004F970000}"/>
    <cellStyle name="Percent 3 2 2 4 2 3 4" xfId="28432" xr:uid="{00000000-0005-0000-0000-000050970000}"/>
    <cellStyle name="Percent 3 2 2 4 2 4" xfId="11599" xr:uid="{00000000-0005-0000-0000-000051970000}"/>
    <cellStyle name="Percent 3 2 2 4 2 4 2" xfId="31519" xr:uid="{00000000-0005-0000-0000-000052970000}"/>
    <cellStyle name="Percent 3 2 2 4 2 5" xfId="17751" xr:uid="{00000000-0005-0000-0000-000053970000}"/>
    <cellStyle name="Percent 3 2 2 4 2 5 2" xfId="37671" xr:uid="{00000000-0005-0000-0000-000054970000}"/>
    <cellStyle name="Percent 3 2 2 4 2 6" xfId="25366" xr:uid="{00000000-0005-0000-0000-000055970000}"/>
    <cellStyle name="Percent 3 2 2 4 3" xfId="6145" xr:uid="{00000000-0005-0000-0000-000056970000}"/>
    <cellStyle name="Percent 3 2 2 4 3 2" xfId="9237" xr:uid="{00000000-0005-0000-0000-000057970000}"/>
    <cellStyle name="Percent 3 2 2 4 3 2 2" xfId="15430" xr:uid="{00000000-0005-0000-0000-000058970000}"/>
    <cellStyle name="Percent 3 2 2 4 3 2 2 2" xfId="35350" xr:uid="{00000000-0005-0000-0000-000059970000}"/>
    <cellStyle name="Percent 3 2 2 4 3 2 3" xfId="21582" xr:uid="{00000000-0005-0000-0000-00005A970000}"/>
    <cellStyle name="Percent 3 2 2 4 3 2 3 2" xfId="41502" xr:uid="{00000000-0005-0000-0000-00005B970000}"/>
    <cellStyle name="Percent 3 2 2 4 3 2 4" xfId="29197" xr:uid="{00000000-0005-0000-0000-00005C970000}"/>
    <cellStyle name="Percent 3 2 2 4 3 3" xfId="12364" xr:uid="{00000000-0005-0000-0000-00005D970000}"/>
    <cellStyle name="Percent 3 2 2 4 3 3 2" xfId="32284" xr:uid="{00000000-0005-0000-0000-00005E970000}"/>
    <cellStyle name="Percent 3 2 2 4 3 4" xfId="18516" xr:uid="{00000000-0005-0000-0000-00005F970000}"/>
    <cellStyle name="Percent 3 2 2 4 3 4 2" xfId="38436" xr:uid="{00000000-0005-0000-0000-000060970000}"/>
    <cellStyle name="Percent 3 2 2 4 3 5" xfId="26131" xr:uid="{00000000-0005-0000-0000-000061970000}"/>
    <cellStyle name="Percent 3 2 2 4 4" xfId="7702" xr:uid="{00000000-0005-0000-0000-000062970000}"/>
    <cellStyle name="Percent 3 2 2 4 4 2" xfId="13896" xr:uid="{00000000-0005-0000-0000-000063970000}"/>
    <cellStyle name="Percent 3 2 2 4 4 2 2" xfId="33816" xr:uid="{00000000-0005-0000-0000-000064970000}"/>
    <cellStyle name="Percent 3 2 2 4 4 3" xfId="20048" xr:uid="{00000000-0005-0000-0000-000065970000}"/>
    <cellStyle name="Percent 3 2 2 4 4 3 2" xfId="39968" xr:uid="{00000000-0005-0000-0000-000066970000}"/>
    <cellStyle name="Percent 3 2 2 4 4 4" xfId="27663" xr:uid="{00000000-0005-0000-0000-000067970000}"/>
    <cellStyle name="Percent 3 2 2 4 5" xfId="10830" xr:uid="{00000000-0005-0000-0000-000068970000}"/>
    <cellStyle name="Percent 3 2 2 4 5 2" xfId="30750" xr:uid="{00000000-0005-0000-0000-000069970000}"/>
    <cellStyle name="Percent 3 2 2 4 6" xfId="16982" xr:uid="{00000000-0005-0000-0000-00006A970000}"/>
    <cellStyle name="Percent 3 2 2 4 6 2" xfId="36902" xr:uid="{00000000-0005-0000-0000-00006B970000}"/>
    <cellStyle name="Percent 3 2 2 4 7" xfId="24597" xr:uid="{00000000-0005-0000-0000-00006C970000}"/>
    <cellStyle name="Percent 3 2 2 5" xfId="4256" xr:uid="{00000000-0005-0000-0000-00006D970000}"/>
    <cellStyle name="Percent 3 2 2 5 2" xfId="5296" xr:uid="{00000000-0005-0000-0000-00006E970000}"/>
    <cellStyle name="Percent 3 2 2 5 2 2" xfId="6921" xr:uid="{00000000-0005-0000-0000-00006F970000}"/>
    <cellStyle name="Percent 3 2 2 5 2 2 2" xfId="10007" xr:uid="{00000000-0005-0000-0000-000070970000}"/>
    <cellStyle name="Percent 3 2 2 5 2 2 2 2" xfId="16200" xr:uid="{00000000-0005-0000-0000-000071970000}"/>
    <cellStyle name="Percent 3 2 2 5 2 2 2 2 2" xfId="36120" xr:uid="{00000000-0005-0000-0000-000072970000}"/>
    <cellStyle name="Percent 3 2 2 5 2 2 2 3" xfId="22352" xr:uid="{00000000-0005-0000-0000-000073970000}"/>
    <cellStyle name="Percent 3 2 2 5 2 2 2 3 2" xfId="42272" xr:uid="{00000000-0005-0000-0000-000074970000}"/>
    <cellStyle name="Percent 3 2 2 5 2 2 2 4" xfId="29967" xr:uid="{00000000-0005-0000-0000-000075970000}"/>
    <cellStyle name="Percent 3 2 2 5 2 2 3" xfId="13134" xr:uid="{00000000-0005-0000-0000-000076970000}"/>
    <cellStyle name="Percent 3 2 2 5 2 2 3 2" xfId="33054" xr:uid="{00000000-0005-0000-0000-000077970000}"/>
    <cellStyle name="Percent 3 2 2 5 2 2 4" xfId="19286" xr:uid="{00000000-0005-0000-0000-000078970000}"/>
    <cellStyle name="Percent 3 2 2 5 2 2 4 2" xfId="39206" xr:uid="{00000000-0005-0000-0000-000079970000}"/>
    <cellStyle name="Percent 3 2 2 5 2 2 5" xfId="26901" xr:uid="{00000000-0005-0000-0000-00007A970000}"/>
    <cellStyle name="Percent 3 2 2 5 2 3" xfId="8472" xr:uid="{00000000-0005-0000-0000-00007B970000}"/>
    <cellStyle name="Percent 3 2 2 5 2 3 2" xfId="14666" xr:uid="{00000000-0005-0000-0000-00007C970000}"/>
    <cellStyle name="Percent 3 2 2 5 2 3 2 2" xfId="34586" xr:uid="{00000000-0005-0000-0000-00007D970000}"/>
    <cellStyle name="Percent 3 2 2 5 2 3 3" xfId="20818" xr:uid="{00000000-0005-0000-0000-00007E970000}"/>
    <cellStyle name="Percent 3 2 2 5 2 3 3 2" xfId="40738" xr:uid="{00000000-0005-0000-0000-00007F970000}"/>
    <cellStyle name="Percent 3 2 2 5 2 3 4" xfId="28433" xr:uid="{00000000-0005-0000-0000-000080970000}"/>
    <cellStyle name="Percent 3 2 2 5 2 4" xfId="11600" xr:uid="{00000000-0005-0000-0000-000081970000}"/>
    <cellStyle name="Percent 3 2 2 5 2 4 2" xfId="31520" xr:uid="{00000000-0005-0000-0000-000082970000}"/>
    <cellStyle name="Percent 3 2 2 5 2 5" xfId="17752" xr:uid="{00000000-0005-0000-0000-000083970000}"/>
    <cellStyle name="Percent 3 2 2 5 2 5 2" xfId="37672" xr:uid="{00000000-0005-0000-0000-000084970000}"/>
    <cellStyle name="Percent 3 2 2 5 2 6" xfId="25367" xr:uid="{00000000-0005-0000-0000-000085970000}"/>
    <cellStyle name="Percent 3 2 2 5 3" xfId="6146" xr:uid="{00000000-0005-0000-0000-000086970000}"/>
    <cellStyle name="Percent 3 2 2 5 3 2" xfId="9238" xr:uid="{00000000-0005-0000-0000-000087970000}"/>
    <cellStyle name="Percent 3 2 2 5 3 2 2" xfId="15431" xr:uid="{00000000-0005-0000-0000-000088970000}"/>
    <cellStyle name="Percent 3 2 2 5 3 2 2 2" xfId="35351" xr:uid="{00000000-0005-0000-0000-000089970000}"/>
    <cellStyle name="Percent 3 2 2 5 3 2 3" xfId="21583" xr:uid="{00000000-0005-0000-0000-00008A970000}"/>
    <cellStyle name="Percent 3 2 2 5 3 2 3 2" xfId="41503" xr:uid="{00000000-0005-0000-0000-00008B970000}"/>
    <cellStyle name="Percent 3 2 2 5 3 2 4" xfId="29198" xr:uid="{00000000-0005-0000-0000-00008C970000}"/>
    <cellStyle name="Percent 3 2 2 5 3 3" xfId="12365" xr:uid="{00000000-0005-0000-0000-00008D970000}"/>
    <cellStyle name="Percent 3 2 2 5 3 3 2" xfId="32285" xr:uid="{00000000-0005-0000-0000-00008E970000}"/>
    <cellStyle name="Percent 3 2 2 5 3 4" xfId="18517" xr:uid="{00000000-0005-0000-0000-00008F970000}"/>
    <cellStyle name="Percent 3 2 2 5 3 4 2" xfId="38437" xr:uid="{00000000-0005-0000-0000-000090970000}"/>
    <cellStyle name="Percent 3 2 2 5 3 5" xfId="26132" xr:uid="{00000000-0005-0000-0000-000091970000}"/>
    <cellStyle name="Percent 3 2 2 5 4" xfId="7703" xr:uid="{00000000-0005-0000-0000-000092970000}"/>
    <cellStyle name="Percent 3 2 2 5 4 2" xfId="13897" xr:uid="{00000000-0005-0000-0000-000093970000}"/>
    <cellStyle name="Percent 3 2 2 5 4 2 2" xfId="33817" xr:uid="{00000000-0005-0000-0000-000094970000}"/>
    <cellStyle name="Percent 3 2 2 5 4 3" xfId="20049" xr:uid="{00000000-0005-0000-0000-000095970000}"/>
    <cellStyle name="Percent 3 2 2 5 4 3 2" xfId="39969" xr:uid="{00000000-0005-0000-0000-000096970000}"/>
    <cellStyle name="Percent 3 2 2 5 4 4" xfId="27664" xr:uid="{00000000-0005-0000-0000-000097970000}"/>
    <cellStyle name="Percent 3 2 2 5 5" xfId="10831" xr:uid="{00000000-0005-0000-0000-000098970000}"/>
    <cellStyle name="Percent 3 2 2 5 5 2" xfId="30751" xr:uid="{00000000-0005-0000-0000-000099970000}"/>
    <cellStyle name="Percent 3 2 2 5 6" xfId="16983" xr:uid="{00000000-0005-0000-0000-00009A970000}"/>
    <cellStyle name="Percent 3 2 2 5 6 2" xfId="36903" xr:uid="{00000000-0005-0000-0000-00009B970000}"/>
    <cellStyle name="Percent 3 2 2 5 7" xfId="24598" xr:uid="{00000000-0005-0000-0000-00009C970000}"/>
    <cellStyle name="Percent 3 2 20" xfId="4257" xr:uid="{00000000-0005-0000-0000-00009D970000}"/>
    <cellStyle name="Percent 3 2 20 2" xfId="5297" xr:uid="{00000000-0005-0000-0000-00009E970000}"/>
    <cellStyle name="Percent 3 2 20 2 2" xfId="6922" xr:uid="{00000000-0005-0000-0000-00009F970000}"/>
    <cellStyle name="Percent 3 2 20 2 2 2" xfId="10008" xr:uid="{00000000-0005-0000-0000-0000A0970000}"/>
    <cellStyle name="Percent 3 2 20 2 2 2 2" xfId="16201" xr:uid="{00000000-0005-0000-0000-0000A1970000}"/>
    <cellStyle name="Percent 3 2 20 2 2 2 2 2" xfId="36121" xr:uid="{00000000-0005-0000-0000-0000A2970000}"/>
    <cellStyle name="Percent 3 2 20 2 2 2 3" xfId="22353" xr:uid="{00000000-0005-0000-0000-0000A3970000}"/>
    <cellStyle name="Percent 3 2 20 2 2 2 3 2" xfId="42273" xr:uid="{00000000-0005-0000-0000-0000A4970000}"/>
    <cellStyle name="Percent 3 2 20 2 2 2 4" xfId="29968" xr:uid="{00000000-0005-0000-0000-0000A5970000}"/>
    <cellStyle name="Percent 3 2 20 2 2 3" xfId="13135" xr:uid="{00000000-0005-0000-0000-0000A6970000}"/>
    <cellStyle name="Percent 3 2 20 2 2 3 2" xfId="33055" xr:uid="{00000000-0005-0000-0000-0000A7970000}"/>
    <cellStyle name="Percent 3 2 20 2 2 4" xfId="19287" xr:uid="{00000000-0005-0000-0000-0000A8970000}"/>
    <cellStyle name="Percent 3 2 20 2 2 4 2" xfId="39207" xr:uid="{00000000-0005-0000-0000-0000A9970000}"/>
    <cellStyle name="Percent 3 2 20 2 2 5" xfId="26902" xr:uid="{00000000-0005-0000-0000-0000AA970000}"/>
    <cellStyle name="Percent 3 2 20 2 3" xfId="8473" xr:uid="{00000000-0005-0000-0000-0000AB970000}"/>
    <cellStyle name="Percent 3 2 20 2 3 2" xfId="14667" xr:uid="{00000000-0005-0000-0000-0000AC970000}"/>
    <cellStyle name="Percent 3 2 20 2 3 2 2" xfId="34587" xr:uid="{00000000-0005-0000-0000-0000AD970000}"/>
    <cellStyle name="Percent 3 2 20 2 3 3" xfId="20819" xr:uid="{00000000-0005-0000-0000-0000AE970000}"/>
    <cellStyle name="Percent 3 2 20 2 3 3 2" xfId="40739" xr:uid="{00000000-0005-0000-0000-0000AF970000}"/>
    <cellStyle name="Percent 3 2 20 2 3 4" xfId="28434" xr:uid="{00000000-0005-0000-0000-0000B0970000}"/>
    <cellStyle name="Percent 3 2 20 2 4" xfId="11601" xr:uid="{00000000-0005-0000-0000-0000B1970000}"/>
    <cellStyle name="Percent 3 2 20 2 4 2" xfId="31521" xr:uid="{00000000-0005-0000-0000-0000B2970000}"/>
    <cellStyle name="Percent 3 2 20 2 5" xfId="17753" xr:uid="{00000000-0005-0000-0000-0000B3970000}"/>
    <cellStyle name="Percent 3 2 20 2 5 2" xfId="37673" xr:uid="{00000000-0005-0000-0000-0000B4970000}"/>
    <cellStyle name="Percent 3 2 20 2 6" xfId="25368" xr:uid="{00000000-0005-0000-0000-0000B5970000}"/>
    <cellStyle name="Percent 3 2 20 3" xfId="6147" xr:uid="{00000000-0005-0000-0000-0000B6970000}"/>
    <cellStyle name="Percent 3 2 20 3 2" xfId="9239" xr:uid="{00000000-0005-0000-0000-0000B7970000}"/>
    <cellStyle name="Percent 3 2 20 3 2 2" xfId="15432" xr:uid="{00000000-0005-0000-0000-0000B8970000}"/>
    <cellStyle name="Percent 3 2 20 3 2 2 2" xfId="35352" xr:uid="{00000000-0005-0000-0000-0000B9970000}"/>
    <cellStyle name="Percent 3 2 20 3 2 3" xfId="21584" xr:uid="{00000000-0005-0000-0000-0000BA970000}"/>
    <cellStyle name="Percent 3 2 20 3 2 3 2" xfId="41504" xr:uid="{00000000-0005-0000-0000-0000BB970000}"/>
    <cellStyle name="Percent 3 2 20 3 2 4" xfId="29199" xr:uid="{00000000-0005-0000-0000-0000BC970000}"/>
    <cellStyle name="Percent 3 2 20 3 3" xfId="12366" xr:uid="{00000000-0005-0000-0000-0000BD970000}"/>
    <cellStyle name="Percent 3 2 20 3 3 2" xfId="32286" xr:uid="{00000000-0005-0000-0000-0000BE970000}"/>
    <cellStyle name="Percent 3 2 20 3 4" xfId="18518" xr:uid="{00000000-0005-0000-0000-0000BF970000}"/>
    <cellStyle name="Percent 3 2 20 3 4 2" xfId="38438" xr:uid="{00000000-0005-0000-0000-0000C0970000}"/>
    <cellStyle name="Percent 3 2 20 3 5" xfId="26133" xr:uid="{00000000-0005-0000-0000-0000C1970000}"/>
    <cellStyle name="Percent 3 2 20 4" xfId="7704" xr:uid="{00000000-0005-0000-0000-0000C2970000}"/>
    <cellStyle name="Percent 3 2 20 4 2" xfId="13898" xr:uid="{00000000-0005-0000-0000-0000C3970000}"/>
    <cellStyle name="Percent 3 2 20 4 2 2" xfId="33818" xr:uid="{00000000-0005-0000-0000-0000C4970000}"/>
    <cellStyle name="Percent 3 2 20 4 3" xfId="20050" xr:uid="{00000000-0005-0000-0000-0000C5970000}"/>
    <cellStyle name="Percent 3 2 20 4 3 2" xfId="39970" xr:uid="{00000000-0005-0000-0000-0000C6970000}"/>
    <cellStyle name="Percent 3 2 20 4 4" xfId="27665" xr:uid="{00000000-0005-0000-0000-0000C7970000}"/>
    <cellStyle name="Percent 3 2 20 5" xfId="10832" xr:uid="{00000000-0005-0000-0000-0000C8970000}"/>
    <cellStyle name="Percent 3 2 20 5 2" xfId="30752" xr:uid="{00000000-0005-0000-0000-0000C9970000}"/>
    <cellStyle name="Percent 3 2 20 6" xfId="16984" xr:uid="{00000000-0005-0000-0000-0000CA970000}"/>
    <cellStyle name="Percent 3 2 20 6 2" xfId="36904" xr:uid="{00000000-0005-0000-0000-0000CB970000}"/>
    <cellStyle name="Percent 3 2 20 7" xfId="24599" xr:uid="{00000000-0005-0000-0000-0000CC970000}"/>
    <cellStyle name="Percent 3 2 21" xfId="4258" xr:uid="{00000000-0005-0000-0000-0000CD970000}"/>
    <cellStyle name="Percent 3 2 21 2" xfId="4259" xr:uid="{00000000-0005-0000-0000-0000CE970000}"/>
    <cellStyle name="Percent 3 2 21 2 2" xfId="5298" xr:uid="{00000000-0005-0000-0000-0000CF970000}"/>
    <cellStyle name="Percent 3 2 21 2 2 2" xfId="6923" xr:uid="{00000000-0005-0000-0000-0000D0970000}"/>
    <cellStyle name="Percent 3 2 21 2 2 2 2" xfId="10009" xr:uid="{00000000-0005-0000-0000-0000D1970000}"/>
    <cellStyle name="Percent 3 2 21 2 2 2 2 2" xfId="16202" xr:uid="{00000000-0005-0000-0000-0000D2970000}"/>
    <cellStyle name="Percent 3 2 21 2 2 2 2 2 2" xfId="36122" xr:uid="{00000000-0005-0000-0000-0000D3970000}"/>
    <cellStyle name="Percent 3 2 21 2 2 2 2 3" xfId="22354" xr:uid="{00000000-0005-0000-0000-0000D4970000}"/>
    <cellStyle name="Percent 3 2 21 2 2 2 2 3 2" xfId="42274" xr:uid="{00000000-0005-0000-0000-0000D5970000}"/>
    <cellStyle name="Percent 3 2 21 2 2 2 2 4" xfId="29969" xr:uid="{00000000-0005-0000-0000-0000D6970000}"/>
    <cellStyle name="Percent 3 2 21 2 2 2 3" xfId="13136" xr:uid="{00000000-0005-0000-0000-0000D7970000}"/>
    <cellStyle name="Percent 3 2 21 2 2 2 3 2" xfId="33056" xr:uid="{00000000-0005-0000-0000-0000D8970000}"/>
    <cellStyle name="Percent 3 2 21 2 2 2 4" xfId="19288" xr:uid="{00000000-0005-0000-0000-0000D9970000}"/>
    <cellStyle name="Percent 3 2 21 2 2 2 4 2" xfId="39208" xr:uid="{00000000-0005-0000-0000-0000DA970000}"/>
    <cellStyle name="Percent 3 2 21 2 2 2 5" xfId="26903" xr:uid="{00000000-0005-0000-0000-0000DB970000}"/>
    <cellStyle name="Percent 3 2 21 2 2 3" xfId="8474" xr:uid="{00000000-0005-0000-0000-0000DC970000}"/>
    <cellStyle name="Percent 3 2 21 2 2 3 2" xfId="14668" xr:uid="{00000000-0005-0000-0000-0000DD970000}"/>
    <cellStyle name="Percent 3 2 21 2 2 3 2 2" xfId="34588" xr:uid="{00000000-0005-0000-0000-0000DE970000}"/>
    <cellStyle name="Percent 3 2 21 2 2 3 3" xfId="20820" xr:uid="{00000000-0005-0000-0000-0000DF970000}"/>
    <cellStyle name="Percent 3 2 21 2 2 3 3 2" xfId="40740" xr:uid="{00000000-0005-0000-0000-0000E0970000}"/>
    <cellStyle name="Percent 3 2 21 2 2 3 4" xfId="28435" xr:uid="{00000000-0005-0000-0000-0000E1970000}"/>
    <cellStyle name="Percent 3 2 21 2 2 4" xfId="11602" xr:uid="{00000000-0005-0000-0000-0000E2970000}"/>
    <cellStyle name="Percent 3 2 21 2 2 4 2" xfId="31522" xr:uid="{00000000-0005-0000-0000-0000E3970000}"/>
    <cellStyle name="Percent 3 2 21 2 2 5" xfId="17754" xr:uid="{00000000-0005-0000-0000-0000E4970000}"/>
    <cellStyle name="Percent 3 2 21 2 2 5 2" xfId="37674" xr:uid="{00000000-0005-0000-0000-0000E5970000}"/>
    <cellStyle name="Percent 3 2 21 2 2 6" xfId="25369" xr:uid="{00000000-0005-0000-0000-0000E6970000}"/>
    <cellStyle name="Percent 3 2 21 2 3" xfId="6148" xr:uid="{00000000-0005-0000-0000-0000E7970000}"/>
    <cellStyle name="Percent 3 2 21 2 3 2" xfId="9240" xr:uid="{00000000-0005-0000-0000-0000E8970000}"/>
    <cellStyle name="Percent 3 2 21 2 3 2 2" xfId="15433" xr:uid="{00000000-0005-0000-0000-0000E9970000}"/>
    <cellStyle name="Percent 3 2 21 2 3 2 2 2" xfId="35353" xr:uid="{00000000-0005-0000-0000-0000EA970000}"/>
    <cellStyle name="Percent 3 2 21 2 3 2 3" xfId="21585" xr:uid="{00000000-0005-0000-0000-0000EB970000}"/>
    <cellStyle name="Percent 3 2 21 2 3 2 3 2" xfId="41505" xr:uid="{00000000-0005-0000-0000-0000EC970000}"/>
    <cellStyle name="Percent 3 2 21 2 3 2 4" xfId="29200" xr:uid="{00000000-0005-0000-0000-0000ED970000}"/>
    <cellStyle name="Percent 3 2 21 2 3 3" xfId="12367" xr:uid="{00000000-0005-0000-0000-0000EE970000}"/>
    <cellStyle name="Percent 3 2 21 2 3 3 2" xfId="32287" xr:uid="{00000000-0005-0000-0000-0000EF970000}"/>
    <cellStyle name="Percent 3 2 21 2 3 4" xfId="18519" xr:uid="{00000000-0005-0000-0000-0000F0970000}"/>
    <cellStyle name="Percent 3 2 21 2 3 4 2" xfId="38439" xr:uid="{00000000-0005-0000-0000-0000F1970000}"/>
    <cellStyle name="Percent 3 2 21 2 3 5" xfId="26134" xr:uid="{00000000-0005-0000-0000-0000F2970000}"/>
    <cellStyle name="Percent 3 2 21 2 4" xfId="7705" xr:uid="{00000000-0005-0000-0000-0000F3970000}"/>
    <cellStyle name="Percent 3 2 21 2 4 2" xfId="13899" xr:uid="{00000000-0005-0000-0000-0000F4970000}"/>
    <cellStyle name="Percent 3 2 21 2 4 2 2" xfId="33819" xr:uid="{00000000-0005-0000-0000-0000F5970000}"/>
    <cellStyle name="Percent 3 2 21 2 4 3" xfId="20051" xr:uid="{00000000-0005-0000-0000-0000F6970000}"/>
    <cellStyle name="Percent 3 2 21 2 4 3 2" xfId="39971" xr:uid="{00000000-0005-0000-0000-0000F7970000}"/>
    <cellStyle name="Percent 3 2 21 2 4 4" xfId="27666" xr:uid="{00000000-0005-0000-0000-0000F8970000}"/>
    <cellStyle name="Percent 3 2 21 2 5" xfId="10833" xr:uid="{00000000-0005-0000-0000-0000F9970000}"/>
    <cellStyle name="Percent 3 2 21 2 5 2" xfId="30753" xr:uid="{00000000-0005-0000-0000-0000FA970000}"/>
    <cellStyle name="Percent 3 2 21 2 6" xfId="16985" xr:uid="{00000000-0005-0000-0000-0000FB970000}"/>
    <cellStyle name="Percent 3 2 21 2 6 2" xfId="36905" xr:uid="{00000000-0005-0000-0000-0000FC970000}"/>
    <cellStyle name="Percent 3 2 21 2 7" xfId="24600" xr:uid="{00000000-0005-0000-0000-0000FD970000}"/>
    <cellStyle name="Percent 3 2 21 3" xfId="4260" xr:uid="{00000000-0005-0000-0000-0000FE970000}"/>
    <cellStyle name="Percent 3 2 21 4" xfId="4261" xr:uid="{00000000-0005-0000-0000-0000FF970000}"/>
    <cellStyle name="Percent 3 2 22" xfId="4262" xr:uid="{00000000-0005-0000-0000-000000980000}"/>
    <cellStyle name="Percent 3 2 23" xfId="5282" xr:uid="{00000000-0005-0000-0000-000001980000}"/>
    <cellStyle name="Percent 3 2 23 2" xfId="6907" xr:uid="{00000000-0005-0000-0000-000002980000}"/>
    <cellStyle name="Percent 3 2 23 2 2" xfId="9993" xr:uid="{00000000-0005-0000-0000-000003980000}"/>
    <cellStyle name="Percent 3 2 23 2 2 2" xfId="16186" xr:uid="{00000000-0005-0000-0000-000004980000}"/>
    <cellStyle name="Percent 3 2 23 2 2 2 2" xfId="36106" xr:uid="{00000000-0005-0000-0000-000005980000}"/>
    <cellStyle name="Percent 3 2 23 2 2 3" xfId="22338" xr:uid="{00000000-0005-0000-0000-000006980000}"/>
    <cellStyle name="Percent 3 2 23 2 2 3 2" xfId="42258" xr:uid="{00000000-0005-0000-0000-000007980000}"/>
    <cellStyle name="Percent 3 2 23 2 2 4" xfId="29953" xr:uid="{00000000-0005-0000-0000-000008980000}"/>
    <cellStyle name="Percent 3 2 23 2 3" xfId="13120" xr:uid="{00000000-0005-0000-0000-000009980000}"/>
    <cellStyle name="Percent 3 2 23 2 3 2" xfId="33040" xr:uid="{00000000-0005-0000-0000-00000A980000}"/>
    <cellStyle name="Percent 3 2 23 2 4" xfId="19272" xr:uid="{00000000-0005-0000-0000-00000B980000}"/>
    <cellStyle name="Percent 3 2 23 2 4 2" xfId="39192" xr:uid="{00000000-0005-0000-0000-00000C980000}"/>
    <cellStyle name="Percent 3 2 23 2 5" xfId="26887" xr:uid="{00000000-0005-0000-0000-00000D980000}"/>
    <cellStyle name="Percent 3 2 23 3" xfId="8458" xr:uid="{00000000-0005-0000-0000-00000E980000}"/>
    <cellStyle name="Percent 3 2 23 3 2" xfId="14652" xr:uid="{00000000-0005-0000-0000-00000F980000}"/>
    <cellStyle name="Percent 3 2 23 3 2 2" xfId="34572" xr:uid="{00000000-0005-0000-0000-000010980000}"/>
    <cellStyle name="Percent 3 2 23 3 3" xfId="20804" xr:uid="{00000000-0005-0000-0000-000011980000}"/>
    <cellStyle name="Percent 3 2 23 3 3 2" xfId="40724" xr:uid="{00000000-0005-0000-0000-000012980000}"/>
    <cellStyle name="Percent 3 2 23 3 4" xfId="28419" xr:uid="{00000000-0005-0000-0000-000013980000}"/>
    <cellStyle name="Percent 3 2 23 4" xfId="11586" xr:uid="{00000000-0005-0000-0000-000014980000}"/>
    <cellStyle name="Percent 3 2 23 4 2" xfId="31506" xr:uid="{00000000-0005-0000-0000-000015980000}"/>
    <cellStyle name="Percent 3 2 23 5" xfId="17738" xr:uid="{00000000-0005-0000-0000-000016980000}"/>
    <cellStyle name="Percent 3 2 23 5 2" xfId="37658" xr:uid="{00000000-0005-0000-0000-000017980000}"/>
    <cellStyle name="Percent 3 2 23 6" xfId="25353" xr:uid="{00000000-0005-0000-0000-000018980000}"/>
    <cellStyle name="Percent 3 2 24" xfId="6132" xr:uid="{00000000-0005-0000-0000-000019980000}"/>
    <cellStyle name="Percent 3 2 24 2" xfId="9224" xr:uid="{00000000-0005-0000-0000-00001A980000}"/>
    <cellStyle name="Percent 3 2 24 2 2" xfId="15417" xr:uid="{00000000-0005-0000-0000-00001B980000}"/>
    <cellStyle name="Percent 3 2 24 2 2 2" xfId="35337" xr:uid="{00000000-0005-0000-0000-00001C980000}"/>
    <cellStyle name="Percent 3 2 24 2 3" xfId="21569" xr:uid="{00000000-0005-0000-0000-00001D980000}"/>
    <cellStyle name="Percent 3 2 24 2 3 2" xfId="41489" xr:uid="{00000000-0005-0000-0000-00001E980000}"/>
    <cellStyle name="Percent 3 2 24 2 4" xfId="29184" xr:uid="{00000000-0005-0000-0000-00001F980000}"/>
    <cellStyle name="Percent 3 2 24 3" xfId="12351" xr:uid="{00000000-0005-0000-0000-000020980000}"/>
    <cellStyle name="Percent 3 2 24 3 2" xfId="32271" xr:uid="{00000000-0005-0000-0000-000021980000}"/>
    <cellStyle name="Percent 3 2 24 4" xfId="18503" xr:uid="{00000000-0005-0000-0000-000022980000}"/>
    <cellStyle name="Percent 3 2 24 4 2" xfId="38423" xr:uid="{00000000-0005-0000-0000-000023980000}"/>
    <cellStyle name="Percent 3 2 24 5" xfId="26118" xr:uid="{00000000-0005-0000-0000-000024980000}"/>
    <cellStyle name="Percent 3 2 25" xfId="7689" xr:uid="{00000000-0005-0000-0000-000025980000}"/>
    <cellStyle name="Percent 3 2 25 2" xfId="13883" xr:uid="{00000000-0005-0000-0000-000026980000}"/>
    <cellStyle name="Percent 3 2 25 2 2" xfId="33803" xr:uid="{00000000-0005-0000-0000-000027980000}"/>
    <cellStyle name="Percent 3 2 25 3" xfId="20035" xr:uid="{00000000-0005-0000-0000-000028980000}"/>
    <cellStyle name="Percent 3 2 25 3 2" xfId="39955" xr:uid="{00000000-0005-0000-0000-000029980000}"/>
    <cellStyle name="Percent 3 2 25 4" xfId="27650" xr:uid="{00000000-0005-0000-0000-00002A980000}"/>
    <cellStyle name="Percent 3 2 26" xfId="10817" xr:uid="{00000000-0005-0000-0000-00002B980000}"/>
    <cellStyle name="Percent 3 2 26 2" xfId="30737" xr:uid="{00000000-0005-0000-0000-00002C980000}"/>
    <cellStyle name="Percent 3 2 27" xfId="16969" xr:uid="{00000000-0005-0000-0000-00002D980000}"/>
    <cellStyle name="Percent 3 2 27 2" xfId="36889" xr:uid="{00000000-0005-0000-0000-00002E980000}"/>
    <cellStyle name="Percent 3 2 28" xfId="4241" xr:uid="{00000000-0005-0000-0000-00002F980000}"/>
    <cellStyle name="Percent 3 2 28 2" xfId="24584" xr:uid="{00000000-0005-0000-0000-000030980000}"/>
    <cellStyle name="Percent 3 2 3" xfId="4263" xr:uid="{00000000-0005-0000-0000-000031980000}"/>
    <cellStyle name="Percent 3 2 3 10" xfId="16986" xr:uid="{00000000-0005-0000-0000-000032980000}"/>
    <cellStyle name="Percent 3 2 3 10 2" xfId="36906" xr:uid="{00000000-0005-0000-0000-000033980000}"/>
    <cellStyle name="Percent 3 2 3 11" xfId="24601" xr:uid="{00000000-0005-0000-0000-000034980000}"/>
    <cellStyle name="Percent 3 2 3 2" xfId="4264" xr:uid="{00000000-0005-0000-0000-000035980000}"/>
    <cellStyle name="Percent 3 2 3 2 2" xfId="5300" xr:uid="{00000000-0005-0000-0000-000036980000}"/>
    <cellStyle name="Percent 3 2 3 2 2 2" xfId="6925" xr:uid="{00000000-0005-0000-0000-000037980000}"/>
    <cellStyle name="Percent 3 2 3 2 2 2 2" xfId="10011" xr:uid="{00000000-0005-0000-0000-000038980000}"/>
    <cellStyle name="Percent 3 2 3 2 2 2 2 2" xfId="16204" xr:uid="{00000000-0005-0000-0000-000039980000}"/>
    <cellStyle name="Percent 3 2 3 2 2 2 2 2 2" xfId="36124" xr:uid="{00000000-0005-0000-0000-00003A980000}"/>
    <cellStyle name="Percent 3 2 3 2 2 2 2 3" xfId="22356" xr:uid="{00000000-0005-0000-0000-00003B980000}"/>
    <cellStyle name="Percent 3 2 3 2 2 2 2 3 2" xfId="42276" xr:uid="{00000000-0005-0000-0000-00003C980000}"/>
    <cellStyle name="Percent 3 2 3 2 2 2 2 4" xfId="29971" xr:uid="{00000000-0005-0000-0000-00003D980000}"/>
    <cellStyle name="Percent 3 2 3 2 2 2 3" xfId="13138" xr:uid="{00000000-0005-0000-0000-00003E980000}"/>
    <cellStyle name="Percent 3 2 3 2 2 2 3 2" xfId="33058" xr:uid="{00000000-0005-0000-0000-00003F980000}"/>
    <cellStyle name="Percent 3 2 3 2 2 2 4" xfId="19290" xr:uid="{00000000-0005-0000-0000-000040980000}"/>
    <cellStyle name="Percent 3 2 3 2 2 2 4 2" xfId="39210" xr:uid="{00000000-0005-0000-0000-000041980000}"/>
    <cellStyle name="Percent 3 2 3 2 2 2 5" xfId="26905" xr:uid="{00000000-0005-0000-0000-000042980000}"/>
    <cellStyle name="Percent 3 2 3 2 2 3" xfId="8476" xr:uid="{00000000-0005-0000-0000-000043980000}"/>
    <cellStyle name="Percent 3 2 3 2 2 3 2" xfId="14670" xr:uid="{00000000-0005-0000-0000-000044980000}"/>
    <cellStyle name="Percent 3 2 3 2 2 3 2 2" xfId="34590" xr:uid="{00000000-0005-0000-0000-000045980000}"/>
    <cellStyle name="Percent 3 2 3 2 2 3 3" xfId="20822" xr:uid="{00000000-0005-0000-0000-000046980000}"/>
    <cellStyle name="Percent 3 2 3 2 2 3 3 2" xfId="40742" xr:uid="{00000000-0005-0000-0000-000047980000}"/>
    <cellStyle name="Percent 3 2 3 2 2 3 4" xfId="28437" xr:uid="{00000000-0005-0000-0000-000048980000}"/>
    <cellStyle name="Percent 3 2 3 2 2 4" xfId="11604" xr:uid="{00000000-0005-0000-0000-000049980000}"/>
    <cellStyle name="Percent 3 2 3 2 2 4 2" xfId="31524" xr:uid="{00000000-0005-0000-0000-00004A980000}"/>
    <cellStyle name="Percent 3 2 3 2 2 5" xfId="17756" xr:uid="{00000000-0005-0000-0000-00004B980000}"/>
    <cellStyle name="Percent 3 2 3 2 2 5 2" xfId="37676" xr:uid="{00000000-0005-0000-0000-00004C980000}"/>
    <cellStyle name="Percent 3 2 3 2 2 6" xfId="25371" xr:uid="{00000000-0005-0000-0000-00004D980000}"/>
    <cellStyle name="Percent 3 2 3 2 3" xfId="6152" xr:uid="{00000000-0005-0000-0000-00004E980000}"/>
    <cellStyle name="Percent 3 2 3 2 3 2" xfId="9242" xr:uid="{00000000-0005-0000-0000-00004F980000}"/>
    <cellStyle name="Percent 3 2 3 2 3 2 2" xfId="15435" xr:uid="{00000000-0005-0000-0000-000050980000}"/>
    <cellStyle name="Percent 3 2 3 2 3 2 2 2" xfId="35355" xr:uid="{00000000-0005-0000-0000-000051980000}"/>
    <cellStyle name="Percent 3 2 3 2 3 2 3" xfId="21587" xr:uid="{00000000-0005-0000-0000-000052980000}"/>
    <cellStyle name="Percent 3 2 3 2 3 2 3 2" xfId="41507" xr:uid="{00000000-0005-0000-0000-000053980000}"/>
    <cellStyle name="Percent 3 2 3 2 3 2 4" xfId="29202" xr:uid="{00000000-0005-0000-0000-000054980000}"/>
    <cellStyle name="Percent 3 2 3 2 3 3" xfId="12369" xr:uid="{00000000-0005-0000-0000-000055980000}"/>
    <cellStyle name="Percent 3 2 3 2 3 3 2" xfId="32289" xr:uid="{00000000-0005-0000-0000-000056980000}"/>
    <cellStyle name="Percent 3 2 3 2 3 4" xfId="18521" xr:uid="{00000000-0005-0000-0000-000057980000}"/>
    <cellStyle name="Percent 3 2 3 2 3 4 2" xfId="38441" xr:uid="{00000000-0005-0000-0000-000058980000}"/>
    <cellStyle name="Percent 3 2 3 2 3 5" xfId="26136" xr:uid="{00000000-0005-0000-0000-000059980000}"/>
    <cellStyle name="Percent 3 2 3 2 4" xfId="7707" xr:uid="{00000000-0005-0000-0000-00005A980000}"/>
    <cellStyle name="Percent 3 2 3 2 4 2" xfId="13901" xr:uid="{00000000-0005-0000-0000-00005B980000}"/>
    <cellStyle name="Percent 3 2 3 2 4 2 2" xfId="33821" xr:uid="{00000000-0005-0000-0000-00005C980000}"/>
    <cellStyle name="Percent 3 2 3 2 4 3" xfId="20053" xr:uid="{00000000-0005-0000-0000-00005D980000}"/>
    <cellStyle name="Percent 3 2 3 2 4 3 2" xfId="39973" xr:uid="{00000000-0005-0000-0000-00005E980000}"/>
    <cellStyle name="Percent 3 2 3 2 4 4" xfId="27668" xr:uid="{00000000-0005-0000-0000-00005F980000}"/>
    <cellStyle name="Percent 3 2 3 2 5" xfId="10835" xr:uid="{00000000-0005-0000-0000-000060980000}"/>
    <cellStyle name="Percent 3 2 3 2 5 2" xfId="30755" xr:uid="{00000000-0005-0000-0000-000061980000}"/>
    <cellStyle name="Percent 3 2 3 2 6" xfId="16987" xr:uid="{00000000-0005-0000-0000-000062980000}"/>
    <cellStyle name="Percent 3 2 3 2 6 2" xfId="36907" xr:uid="{00000000-0005-0000-0000-000063980000}"/>
    <cellStyle name="Percent 3 2 3 2 7" xfId="24602" xr:uid="{00000000-0005-0000-0000-000064980000}"/>
    <cellStyle name="Percent 3 2 3 3" xfId="4265" xr:uid="{00000000-0005-0000-0000-000065980000}"/>
    <cellStyle name="Percent 3 2 3 3 2" xfId="5301" xr:uid="{00000000-0005-0000-0000-000066980000}"/>
    <cellStyle name="Percent 3 2 3 3 2 2" xfId="6926" xr:uid="{00000000-0005-0000-0000-000067980000}"/>
    <cellStyle name="Percent 3 2 3 3 2 2 2" xfId="10012" xr:uid="{00000000-0005-0000-0000-000068980000}"/>
    <cellStyle name="Percent 3 2 3 3 2 2 2 2" xfId="16205" xr:uid="{00000000-0005-0000-0000-000069980000}"/>
    <cellStyle name="Percent 3 2 3 3 2 2 2 2 2" xfId="36125" xr:uid="{00000000-0005-0000-0000-00006A980000}"/>
    <cellStyle name="Percent 3 2 3 3 2 2 2 3" xfId="22357" xr:uid="{00000000-0005-0000-0000-00006B980000}"/>
    <cellStyle name="Percent 3 2 3 3 2 2 2 3 2" xfId="42277" xr:uid="{00000000-0005-0000-0000-00006C980000}"/>
    <cellStyle name="Percent 3 2 3 3 2 2 2 4" xfId="29972" xr:uid="{00000000-0005-0000-0000-00006D980000}"/>
    <cellStyle name="Percent 3 2 3 3 2 2 3" xfId="13139" xr:uid="{00000000-0005-0000-0000-00006E980000}"/>
    <cellStyle name="Percent 3 2 3 3 2 2 3 2" xfId="33059" xr:uid="{00000000-0005-0000-0000-00006F980000}"/>
    <cellStyle name="Percent 3 2 3 3 2 2 4" xfId="19291" xr:uid="{00000000-0005-0000-0000-000070980000}"/>
    <cellStyle name="Percent 3 2 3 3 2 2 4 2" xfId="39211" xr:uid="{00000000-0005-0000-0000-000071980000}"/>
    <cellStyle name="Percent 3 2 3 3 2 2 5" xfId="26906" xr:uid="{00000000-0005-0000-0000-000072980000}"/>
    <cellStyle name="Percent 3 2 3 3 2 3" xfId="8477" xr:uid="{00000000-0005-0000-0000-000073980000}"/>
    <cellStyle name="Percent 3 2 3 3 2 3 2" xfId="14671" xr:uid="{00000000-0005-0000-0000-000074980000}"/>
    <cellStyle name="Percent 3 2 3 3 2 3 2 2" xfId="34591" xr:uid="{00000000-0005-0000-0000-000075980000}"/>
    <cellStyle name="Percent 3 2 3 3 2 3 3" xfId="20823" xr:uid="{00000000-0005-0000-0000-000076980000}"/>
    <cellStyle name="Percent 3 2 3 3 2 3 3 2" xfId="40743" xr:uid="{00000000-0005-0000-0000-000077980000}"/>
    <cellStyle name="Percent 3 2 3 3 2 3 4" xfId="28438" xr:uid="{00000000-0005-0000-0000-000078980000}"/>
    <cellStyle name="Percent 3 2 3 3 2 4" xfId="11605" xr:uid="{00000000-0005-0000-0000-000079980000}"/>
    <cellStyle name="Percent 3 2 3 3 2 4 2" xfId="31525" xr:uid="{00000000-0005-0000-0000-00007A980000}"/>
    <cellStyle name="Percent 3 2 3 3 2 5" xfId="17757" xr:uid="{00000000-0005-0000-0000-00007B980000}"/>
    <cellStyle name="Percent 3 2 3 3 2 5 2" xfId="37677" xr:uid="{00000000-0005-0000-0000-00007C980000}"/>
    <cellStyle name="Percent 3 2 3 3 2 6" xfId="25372" xr:uid="{00000000-0005-0000-0000-00007D980000}"/>
    <cellStyle name="Percent 3 2 3 3 3" xfId="6153" xr:uid="{00000000-0005-0000-0000-00007E980000}"/>
    <cellStyle name="Percent 3 2 3 3 3 2" xfId="9243" xr:uid="{00000000-0005-0000-0000-00007F980000}"/>
    <cellStyle name="Percent 3 2 3 3 3 2 2" xfId="15436" xr:uid="{00000000-0005-0000-0000-000080980000}"/>
    <cellStyle name="Percent 3 2 3 3 3 2 2 2" xfId="35356" xr:uid="{00000000-0005-0000-0000-000081980000}"/>
    <cellStyle name="Percent 3 2 3 3 3 2 3" xfId="21588" xr:uid="{00000000-0005-0000-0000-000082980000}"/>
    <cellStyle name="Percent 3 2 3 3 3 2 3 2" xfId="41508" xr:uid="{00000000-0005-0000-0000-000083980000}"/>
    <cellStyle name="Percent 3 2 3 3 3 2 4" xfId="29203" xr:uid="{00000000-0005-0000-0000-000084980000}"/>
    <cellStyle name="Percent 3 2 3 3 3 3" xfId="12370" xr:uid="{00000000-0005-0000-0000-000085980000}"/>
    <cellStyle name="Percent 3 2 3 3 3 3 2" xfId="32290" xr:uid="{00000000-0005-0000-0000-000086980000}"/>
    <cellStyle name="Percent 3 2 3 3 3 4" xfId="18522" xr:uid="{00000000-0005-0000-0000-000087980000}"/>
    <cellStyle name="Percent 3 2 3 3 3 4 2" xfId="38442" xr:uid="{00000000-0005-0000-0000-000088980000}"/>
    <cellStyle name="Percent 3 2 3 3 3 5" xfId="26137" xr:uid="{00000000-0005-0000-0000-000089980000}"/>
    <cellStyle name="Percent 3 2 3 3 4" xfId="7708" xr:uid="{00000000-0005-0000-0000-00008A980000}"/>
    <cellStyle name="Percent 3 2 3 3 4 2" xfId="13902" xr:uid="{00000000-0005-0000-0000-00008B980000}"/>
    <cellStyle name="Percent 3 2 3 3 4 2 2" xfId="33822" xr:uid="{00000000-0005-0000-0000-00008C980000}"/>
    <cellStyle name="Percent 3 2 3 3 4 3" xfId="20054" xr:uid="{00000000-0005-0000-0000-00008D980000}"/>
    <cellStyle name="Percent 3 2 3 3 4 3 2" xfId="39974" xr:uid="{00000000-0005-0000-0000-00008E980000}"/>
    <cellStyle name="Percent 3 2 3 3 4 4" xfId="27669" xr:uid="{00000000-0005-0000-0000-00008F980000}"/>
    <cellStyle name="Percent 3 2 3 3 5" xfId="10836" xr:uid="{00000000-0005-0000-0000-000090980000}"/>
    <cellStyle name="Percent 3 2 3 3 5 2" xfId="30756" xr:uid="{00000000-0005-0000-0000-000091980000}"/>
    <cellStyle name="Percent 3 2 3 3 6" xfId="16988" xr:uid="{00000000-0005-0000-0000-000092980000}"/>
    <cellStyle name="Percent 3 2 3 3 6 2" xfId="36908" xr:uid="{00000000-0005-0000-0000-000093980000}"/>
    <cellStyle name="Percent 3 2 3 3 7" xfId="24603" xr:uid="{00000000-0005-0000-0000-000094980000}"/>
    <cellStyle name="Percent 3 2 3 4" xfId="4266" xr:uid="{00000000-0005-0000-0000-000095980000}"/>
    <cellStyle name="Percent 3 2 3 4 2" xfId="5302" xr:uid="{00000000-0005-0000-0000-000096980000}"/>
    <cellStyle name="Percent 3 2 3 4 2 2" xfId="6927" xr:uid="{00000000-0005-0000-0000-000097980000}"/>
    <cellStyle name="Percent 3 2 3 4 2 2 2" xfId="10013" xr:uid="{00000000-0005-0000-0000-000098980000}"/>
    <cellStyle name="Percent 3 2 3 4 2 2 2 2" xfId="16206" xr:uid="{00000000-0005-0000-0000-000099980000}"/>
    <cellStyle name="Percent 3 2 3 4 2 2 2 2 2" xfId="36126" xr:uid="{00000000-0005-0000-0000-00009A980000}"/>
    <cellStyle name="Percent 3 2 3 4 2 2 2 3" xfId="22358" xr:uid="{00000000-0005-0000-0000-00009B980000}"/>
    <cellStyle name="Percent 3 2 3 4 2 2 2 3 2" xfId="42278" xr:uid="{00000000-0005-0000-0000-00009C980000}"/>
    <cellStyle name="Percent 3 2 3 4 2 2 2 4" xfId="29973" xr:uid="{00000000-0005-0000-0000-00009D980000}"/>
    <cellStyle name="Percent 3 2 3 4 2 2 3" xfId="13140" xr:uid="{00000000-0005-0000-0000-00009E980000}"/>
    <cellStyle name="Percent 3 2 3 4 2 2 3 2" xfId="33060" xr:uid="{00000000-0005-0000-0000-00009F980000}"/>
    <cellStyle name="Percent 3 2 3 4 2 2 4" xfId="19292" xr:uid="{00000000-0005-0000-0000-0000A0980000}"/>
    <cellStyle name="Percent 3 2 3 4 2 2 4 2" xfId="39212" xr:uid="{00000000-0005-0000-0000-0000A1980000}"/>
    <cellStyle name="Percent 3 2 3 4 2 2 5" xfId="26907" xr:uid="{00000000-0005-0000-0000-0000A2980000}"/>
    <cellStyle name="Percent 3 2 3 4 2 3" xfId="8478" xr:uid="{00000000-0005-0000-0000-0000A3980000}"/>
    <cellStyle name="Percent 3 2 3 4 2 3 2" xfId="14672" xr:uid="{00000000-0005-0000-0000-0000A4980000}"/>
    <cellStyle name="Percent 3 2 3 4 2 3 2 2" xfId="34592" xr:uid="{00000000-0005-0000-0000-0000A5980000}"/>
    <cellStyle name="Percent 3 2 3 4 2 3 3" xfId="20824" xr:uid="{00000000-0005-0000-0000-0000A6980000}"/>
    <cellStyle name="Percent 3 2 3 4 2 3 3 2" xfId="40744" xr:uid="{00000000-0005-0000-0000-0000A7980000}"/>
    <cellStyle name="Percent 3 2 3 4 2 3 4" xfId="28439" xr:uid="{00000000-0005-0000-0000-0000A8980000}"/>
    <cellStyle name="Percent 3 2 3 4 2 4" xfId="11606" xr:uid="{00000000-0005-0000-0000-0000A9980000}"/>
    <cellStyle name="Percent 3 2 3 4 2 4 2" xfId="31526" xr:uid="{00000000-0005-0000-0000-0000AA980000}"/>
    <cellStyle name="Percent 3 2 3 4 2 5" xfId="17758" xr:uid="{00000000-0005-0000-0000-0000AB980000}"/>
    <cellStyle name="Percent 3 2 3 4 2 5 2" xfId="37678" xr:uid="{00000000-0005-0000-0000-0000AC980000}"/>
    <cellStyle name="Percent 3 2 3 4 2 6" xfId="25373" xr:uid="{00000000-0005-0000-0000-0000AD980000}"/>
    <cellStyle name="Percent 3 2 3 4 3" xfId="6154" xr:uid="{00000000-0005-0000-0000-0000AE980000}"/>
    <cellStyle name="Percent 3 2 3 4 3 2" xfId="9244" xr:uid="{00000000-0005-0000-0000-0000AF980000}"/>
    <cellStyle name="Percent 3 2 3 4 3 2 2" xfId="15437" xr:uid="{00000000-0005-0000-0000-0000B0980000}"/>
    <cellStyle name="Percent 3 2 3 4 3 2 2 2" xfId="35357" xr:uid="{00000000-0005-0000-0000-0000B1980000}"/>
    <cellStyle name="Percent 3 2 3 4 3 2 3" xfId="21589" xr:uid="{00000000-0005-0000-0000-0000B2980000}"/>
    <cellStyle name="Percent 3 2 3 4 3 2 3 2" xfId="41509" xr:uid="{00000000-0005-0000-0000-0000B3980000}"/>
    <cellStyle name="Percent 3 2 3 4 3 2 4" xfId="29204" xr:uid="{00000000-0005-0000-0000-0000B4980000}"/>
    <cellStyle name="Percent 3 2 3 4 3 3" xfId="12371" xr:uid="{00000000-0005-0000-0000-0000B5980000}"/>
    <cellStyle name="Percent 3 2 3 4 3 3 2" xfId="32291" xr:uid="{00000000-0005-0000-0000-0000B6980000}"/>
    <cellStyle name="Percent 3 2 3 4 3 4" xfId="18523" xr:uid="{00000000-0005-0000-0000-0000B7980000}"/>
    <cellStyle name="Percent 3 2 3 4 3 4 2" xfId="38443" xr:uid="{00000000-0005-0000-0000-0000B8980000}"/>
    <cellStyle name="Percent 3 2 3 4 3 5" xfId="26138" xr:uid="{00000000-0005-0000-0000-0000B9980000}"/>
    <cellStyle name="Percent 3 2 3 4 4" xfId="7709" xr:uid="{00000000-0005-0000-0000-0000BA980000}"/>
    <cellStyle name="Percent 3 2 3 4 4 2" xfId="13903" xr:uid="{00000000-0005-0000-0000-0000BB980000}"/>
    <cellStyle name="Percent 3 2 3 4 4 2 2" xfId="33823" xr:uid="{00000000-0005-0000-0000-0000BC980000}"/>
    <cellStyle name="Percent 3 2 3 4 4 3" xfId="20055" xr:uid="{00000000-0005-0000-0000-0000BD980000}"/>
    <cellStyle name="Percent 3 2 3 4 4 3 2" xfId="39975" xr:uid="{00000000-0005-0000-0000-0000BE980000}"/>
    <cellStyle name="Percent 3 2 3 4 4 4" xfId="27670" xr:uid="{00000000-0005-0000-0000-0000BF980000}"/>
    <cellStyle name="Percent 3 2 3 4 5" xfId="10837" xr:uid="{00000000-0005-0000-0000-0000C0980000}"/>
    <cellStyle name="Percent 3 2 3 4 5 2" xfId="30757" xr:uid="{00000000-0005-0000-0000-0000C1980000}"/>
    <cellStyle name="Percent 3 2 3 4 6" xfId="16989" xr:uid="{00000000-0005-0000-0000-0000C2980000}"/>
    <cellStyle name="Percent 3 2 3 4 6 2" xfId="36909" xr:uid="{00000000-0005-0000-0000-0000C3980000}"/>
    <cellStyle name="Percent 3 2 3 4 7" xfId="24604" xr:uid="{00000000-0005-0000-0000-0000C4980000}"/>
    <cellStyle name="Percent 3 2 3 5" xfId="4267" xr:uid="{00000000-0005-0000-0000-0000C5980000}"/>
    <cellStyle name="Percent 3 2 3 5 2" xfId="5303" xr:uid="{00000000-0005-0000-0000-0000C6980000}"/>
    <cellStyle name="Percent 3 2 3 5 2 2" xfId="6928" xr:uid="{00000000-0005-0000-0000-0000C7980000}"/>
    <cellStyle name="Percent 3 2 3 5 2 2 2" xfId="10014" xr:uid="{00000000-0005-0000-0000-0000C8980000}"/>
    <cellStyle name="Percent 3 2 3 5 2 2 2 2" xfId="16207" xr:uid="{00000000-0005-0000-0000-0000C9980000}"/>
    <cellStyle name="Percent 3 2 3 5 2 2 2 2 2" xfId="36127" xr:uid="{00000000-0005-0000-0000-0000CA980000}"/>
    <cellStyle name="Percent 3 2 3 5 2 2 2 3" xfId="22359" xr:uid="{00000000-0005-0000-0000-0000CB980000}"/>
    <cellStyle name="Percent 3 2 3 5 2 2 2 3 2" xfId="42279" xr:uid="{00000000-0005-0000-0000-0000CC980000}"/>
    <cellStyle name="Percent 3 2 3 5 2 2 2 4" xfId="29974" xr:uid="{00000000-0005-0000-0000-0000CD980000}"/>
    <cellStyle name="Percent 3 2 3 5 2 2 3" xfId="13141" xr:uid="{00000000-0005-0000-0000-0000CE980000}"/>
    <cellStyle name="Percent 3 2 3 5 2 2 3 2" xfId="33061" xr:uid="{00000000-0005-0000-0000-0000CF980000}"/>
    <cellStyle name="Percent 3 2 3 5 2 2 4" xfId="19293" xr:uid="{00000000-0005-0000-0000-0000D0980000}"/>
    <cellStyle name="Percent 3 2 3 5 2 2 4 2" xfId="39213" xr:uid="{00000000-0005-0000-0000-0000D1980000}"/>
    <cellStyle name="Percent 3 2 3 5 2 2 5" xfId="26908" xr:uid="{00000000-0005-0000-0000-0000D2980000}"/>
    <cellStyle name="Percent 3 2 3 5 2 3" xfId="8479" xr:uid="{00000000-0005-0000-0000-0000D3980000}"/>
    <cellStyle name="Percent 3 2 3 5 2 3 2" xfId="14673" xr:uid="{00000000-0005-0000-0000-0000D4980000}"/>
    <cellStyle name="Percent 3 2 3 5 2 3 2 2" xfId="34593" xr:uid="{00000000-0005-0000-0000-0000D5980000}"/>
    <cellStyle name="Percent 3 2 3 5 2 3 3" xfId="20825" xr:uid="{00000000-0005-0000-0000-0000D6980000}"/>
    <cellStyle name="Percent 3 2 3 5 2 3 3 2" xfId="40745" xr:uid="{00000000-0005-0000-0000-0000D7980000}"/>
    <cellStyle name="Percent 3 2 3 5 2 3 4" xfId="28440" xr:uid="{00000000-0005-0000-0000-0000D8980000}"/>
    <cellStyle name="Percent 3 2 3 5 2 4" xfId="11607" xr:uid="{00000000-0005-0000-0000-0000D9980000}"/>
    <cellStyle name="Percent 3 2 3 5 2 4 2" xfId="31527" xr:uid="{00000000-0005-0000-0000-0000DA980000}"/>
    <cellStyle name="Percent 3 2 3 5 2 5" xfId="17759" xr:uid="{00000000-0005-0000-0000-0000DB980000}"/>
    <cellStyle name="Percent 3 2 3 5 2 5 2" xfId="37679" xr:uid="{00000000-0005-0000-0000-0000DC980000}"/>
    <cellStyle name="Percent 3 2 3 5 2 6" xfId="25374" xr:uid="{00000000-0005-0000-0000-0000DD980000}"/>
    <cellStyle name="Percent 3 2 3 5 3" xfId="6155" xr:uid="{00000000-0005-0000-0000-0000DE980000}"/>
    <cellStyle name="Percent 3 2 3 5 3 2" xfId="9245" xr:uid="{00000000-0005-0000-0000-0000DF980000}"/>
    <cellStyle name="Percent 3 2 3 5 3 2 2" xfId="15438" xr:uid="{00000000-0005-0000-0000-0000E0980000}"/>
    <cellStyle name="Percent 3 2 3 5 3 2 2 2" xfId="35358" xr:uid="{00000000-0005-0000-0000-0000E1980000}"/>
    <cellStyle name="Percent 3 2 3 5 3 2 3" xfId="21590" xr:uid="{00000000-0005-0000-0000-0000E2980000}"/>
    <cellStyle name="Percent 3 2 3 5 3 2 3 2" xfId="41510" xr:uid="{00000000-0005-0000-0000-0000E3980000}"/>
    <cellStyle name="Percent 3 2 3 5 3 2 4" xfId="29205" xr:uid="{00000000-0005-0000-0000-0000E4980000}"/>
    <cellStyle name="Percent 3 2 3 5 3 3" xfId="12372" xr:uid="{00000000-0005-0000-0000-0000E5980000}"/>
    <cellStyle name="Percent 3 2 3 5 3 3 2" xfId="32292" xr:uid="{00000000-0005-0000-0000-0000E6980000}"/>
    <cellStyle name="Percent 3 2 3 5 3 4" xfId="18524" xr:uid="{00000000-0005-0000-0000-0000E7980000}"/>
    <cellStyle name="Percent 3 2 3 5 3 4 2" xfId="38444" xr:uid="{00000000-0005-0000-0000-0000E8980000}"/>
    <cellStyle name="Percent 3 2 3 5 3 5" xfId="26139" xr:uid="{00000000-0005-0000-0000-0000E9980000}"/>
    <cellStyle name="Percent 3 2 3 5 4" xfId="7710" xr:uid="{00000000-0005-0000-0000-0000EA980000}"/>
    <cellStyle name="Percent 3 2 3 5 4 2" xfId="13904" xr:uid="{00000000-0005-0000-0000-0000EB980000}"/>
    <cellStyle name="Percent 3 2 3 5 4 2 2" xfId="33824" xr:uid="{00000000-0005-0000-0000-0000EC980000}"/>
    <cellStyle name="Percent 3 2 3 5 4 3" xfId="20056" xr:uid="{00000000-0005-0000-0000-0000ED980000}"/>
    <cellStyle name="Percent 3 2 3 5 4 3 2" xfId="39976" xr:uid="{00000000-0005-0000-0000-0000EE980000}"/>
    <cellStyle name="Percent 3 2 3 5 4 4" xfId="27671" xr:uid="{00000000-0005-0000-0000-0000EF980000}"/>
    <cellStyle name="Percent 3 2 3 5 5" xfId="10838" xr:uid="{00000000-0005-0000-0000-0000F0980000}"/>
    <cellStyle name="Percent 3 2 3 5 5 2" xfId="30758" xr:uid="{00000000-0005-0000-0000-0000F1980000}"/>
    <cellStyle name="Percent 3 2 3 5 6" xfId="16990" xr:uid="{00000000-0005-0000-0000-0000F2980000}"/>
    <cellStyle name="Percent 3 2 3 5 6 2" xfId="36910" xr:uid="{00000000-0005-0000-0000-0000F3980000}"/>
    <cellStyle name="Percent 3 2 3 5 7" xfId="24605" xr:uid="{00000000-0005-0000-0000-0000F4980000}"/>
    <cellStyle name="Percent 3 2 3 6" xfId="5299" xr:uid="{00000000-0005-0000-0000-0000F5980000}"/>
    <cellStyle name="Percent 3 2 3 6 2" xfId="6924" xr:uid="{00000000-0005-0000-0000-0000F6980000}"/>
    <cellStyle name="Percent 3 2 3 6 2 2" xfId="10010" xr:uid="{00000000-0005-0000-0000-0000F7980000}"/>
    <cellStyle name="Percent 3 2 3 6 2 2 2" xfId="16203" xr:uid="{00000000-0005-0000-0000-0000F8980000}"/>
    <cellStyle name="Percent 3 2 3 6 2 2 2 2" xfId="36123" xr:uid="{00000000-0005-0000-0000-0000F9980000}"/>
    <cellStyle name="Percent 3 2 3 6 2 2 3" xfId="22355" xr:uid="{00000000-0005-0000-0000-0000FA980000}"/>
    <cellStyle name="Percent 3 2 3 6 2 2 3 2" xfId="42275" xr:uid="{00000000-0005-0000-0000-0000FB980000}"/>
    <cellStyle name="Percent 3 2 3 6 2 2 4" xfId="29970" xr:uid="{00000000-0005-0000-0000-0000FC980000}"/>
    <cellStyle name="Percent 3 2 3 6 2 3" xfId="13137" xr:uid="{00000000-0005-0000-0000-0000FD980000}"/>
    <cellStyle name="Percent 3 2 3 6 2 3 2" xfId="33057" xr:uid="{00000000-0005-0000-0000-0000FE980000}"/>
    <cellStyle name="Percent 3 2 3 6 2 4" xfId="19289" xr:uid="{00000000-0005-0000-0000-0000FF980000}"/>
    <cellStyle name="Percent 3 2 3 6 2 4 2" xfId="39209" xr:uid="{00000000-0005-0000-0000-000000990000}"/>
    <cellStyle name="Percent 3 2 3 6 2 5" xfId="26904" xr:uid="{00000000-0005-0000-0000-000001990000}"/>
    <cellStyle name="Percent 3 2 3 6 3" xfId="8475" xr:uid="{00000000-0005-0000-0000-000002990000}"/>
    <cellStyle name="Percent 3 2 3 6 3 2" xfId="14669" xr:uid="{00000000-0005-0000-0000-000003990000}"/>
    <cellStyle name="Percent 3 2 3 6 3 2 2" xfId="34589" xr:uid="{00000000-0005-0000-0000-000004990000}"/>
    <cellStyle name="Percent 3 2 3 6 3 3" xfId="20821" xr:uid="{00000000-0005-0000-0000-000005990000}"/>
    <cellStyle name="Percent 3 2 3 6 3 3 2" xfId="40741" xr:uid="{00000000-0005-0000-0000-000006990000}"/>
    <cellStyle name="Percent 3 2 3 6 3 4" xfId="28436" xr:uid="{00000000-0005-0000-0000-000007990000}"/>
    <cellStyle name="Percent 3 2 3 6 4" xfId="11603" xr:uid="{00000000-0005-0000-0000-000008990000}"/>
    <cellStyle name="Percent 3 2 3 6 4 2" xfId="31523" xr:uid="{00000000-0005-0000-0000-000009990000}"/>
    <cellStyle name="Percent 3 2 3 6 5" xfId="17755" xr:uid="{00000000-0005-0000-0000-00000A990000}"/>
    <cellStyle name="Percent 3 2 3 6 5 2" xfId="37675" xr:uid="{00000000-0005-0000-0000-00000B990000}"/>
    <cellStyle name="Percent 3 2 3 6 6" xfId="25370" xr:uid="{00000000-0005-0000-0000-00000C990000}"/>
    <cellStyle name="Percent 3 2 3 7" xfId="6151" xr:uid="{00000000-0005-0000-0000-00000D990000}"/>
    <cellStyle name="Percent 3 2 3 7 2" xfId="9241" xr:uid="{00000000-0005-0000-0000-00000E990000}"/>
    <cellStyle name="Percent 3 2 3 7 2 2" xfId="15434" xr:uid="{00000000-0005-0000-0000-00000F990000}"/>
    <cellStyle name="Percent 3 2 3 7 2 2 2" xfId="35354" xr:uid="{00000000-0005-0000-0000-000010990000}"/>
    <cellStyle name="Percent 3 2 3 7 2 3" xfId="21586" xr:uid="{00000000-0005-0000-0000-000011990000}"/>
    <cellStyle name="Percent 3 2 3 7 2 3 2" xfId="41506" xr:uid="{00000000-0005-0000-0000-000012990000}"/>
    <cellStyle name="Percent 3 2 3 7 2 4" xfId="29201" xr:uid="{00000000-0005-0000-0000-000013990000}"/>
    <cellStyle name="Percent 3 2 3 7 3" xfId="12368" xr:uid="{00000000-0005-0000-0000-000014990000}"/>
    <cellStyle name="Percent 3 2 3 7 3 2" xfId="32288" xr:uid="{00000000-0005-0000-0000-000015990000}"/>
    <cellStyle name="Percent 3 2 3 7 4" xfId="18520" xr:uid="{00000000-0005-0000-0000-000016990000}"/>
    <cellStyle name="Percent 3 2 3 7 4 2" xfId="38440" xr:uid="{00000000-0005-0000-0000-000017990000}"/>
    <cellStyle name="Percent 3 2 3 7 5" xfId="26135" xr:uid="{00000000-0005-0000-0000-000018990000}"/>
    <cellStyle name="Percent 3 2 3 8" xfId="7706" xr:uid="{00000000-0005-0000-0000-000019990000}"/>
    <cellStyle name="Percent 3 2 3 8 2" xfId="13900" xr:uid="{00000000-0005-0000-0000-00001A990000}"/>
    <cellStyle name="Percent 3 2 3 8 2 2" xfId="33820" xr:uid="{00000000-0005-0000-0000-00001B990000}"/>
    <cellStyle name="Percent 3 2 3 8 3" xfId="20052" xr:uid="{00000000-0005-0000-0000-00001C990000}"/>
    <cellStyle name="Percent 3 2 3 8 3 2" xfId="39972" xr:uid="{00000000-0005-0000-0000-00001D990000}"/>
    <cellStyle name="Percent 3 2 3 8 4" xfId="27667" xr:uid="{00000000-0005-0000-0000-00001E990000}"/>
    <cellStyle name="Percent 3 2 3 9" xfId="10834" xr:uid="{00000000-0005-0000-0000-00001F990000}"/>
    <cellStyle name="Percent 3 2 3 9 2" xfId="30754" xr:uid="{00000000-0005-0000-0000-000020990000}"/>
    <cellStyle name="Percent 3 2 4" xfId="4268" xr:uid="{00000000-0005-0000-0000-000021990000}"/>
    <cellStyle name="Percent 3 2 4 2" xfId="4269" xr:uid="{00000000-0005-0000-0000-000022990000}"/>
    <cellStyle name="Percent 3 2 4 2 2" xfId="5305" xr:uid="{00000000-0005-0000-0000-000023990000}"/>
    <cellStyle name="Percent 3 2 4 2 2 2" xfId="6930" xr:uid="{00000000-0005-0000-0000-000024990000}"/>
    <cellStyle name="Percent 3 2 4 2 2 2 2" xfId="10016" xr:uid="{00000000-0005-0000-0000-000025990000}"/>
    <cellStyle name="Percent 3 2 4 2 2 2 2 2" xfId="16209" xr:uid="{00000000-0005-0000-0000-000026990000}"/>
    <cellStyle name="Percent 3 2 4 2 2 2 2 2 2" xfId="36129" xr:uid="{00000000-0005-0000-0000-000027990000}"/>
    <cellStyle name="Percent 3 2 4 2 2 2 2 3" xfId="22361" xr:uid="{00000000-0005-0000-0000-000028990000}"/>
    <cellStyle name="Percent 3 2 4 2 2 2 2 3 2" xfId="42281" xr:uid="{00000000-0005-0000-0000-000029990000}"/>
    <cellStyle name="Percent 3 2 4 2 2 2 2 4" xfId="29976" xr:uid="{00000000-0005-0000-0000-00002A990000}"/>
    <cellStyle name="Percent 3 2 4 2 2 2 3" xfId="13143" xr:uid="{00000000-0005-0000-0000-00002B990000}"/>
    <cellStyle name="Percent 3 2 4 2 2 2 3 2" xfId="33063" xr:uid="{00000000-0005-0000-0000-00002C990000}"/>
    <cellStyle name="Percent 3 2 4 2 2 2 4" xfId="19295" xr:uid="{00000000-0005-0000-0000-00002D990000}"/>
    <cellStyle name="Percent 3 2 4 2 2 2 4 2" xfId="39215" xr:uid="{00000000-0005-0000-0000-00002E990000}"/>
    <cellStyle name="Percent 3 2 4 2 2 2 5" xfId="26910" xr:uid="{00000000-0005-0000-0000-00002F990000}"/>
    <cellStyle name="Percent 3 2 4 2 2 3" xfId="8481" xr:uid="{00000000-0005-0000-0000-000030990000}"/>
    <cellStyle name="Percent 3 2 4 2 2 3 2" xfId="14675" xr:uid="{00000000-0005-0000-0000-000031990000}"/>
    <cellStyle name="Percent 3 2 4 2 2 3 2 2" xfId="34595" xr:uid="{00000000-0005-0000-0000-000032990000}"/>
    <cellStyle name="Percent 3 2 4 2 2 3 3" xfId="20827" xr:uid="{00000000-0005-0000-0000-000033990000}"/>
    <cellStyle name="Percent 3 2 4 2 2 3 3 2" xfId="40747" xr:uid="{00000000-0005-0000-0000-000034990000}"/>
    <cellStyle name="Percent 3 2 4 2 2 3 4" xfId="28442" xr:uid="{00000000-0005-0000-0000-000035990000}"/>
    <cellStyle name="Percent 3 2 4 2 2 4" xfId="11609" xr:uid="{00000000-0005-0000-0000-000036990000}"/>
    <cellStyle name="Percent 3 2 4 2 2 4 2" xfId="31529" xr:uid="{00000000-0005-0000-0000-000037990000}"/>
    <cellStyle name="Percent 3 2 4 2 2 5" xfId="17761" xr:uid="{00000000-0005-0000-0000-000038990000}"/>
    <cellStyle name="Percent 3 2 4 2 2 5 2" xfId="37681" xr:uid="{00000000-0005-0000-0000-000039990000}"/>
    <cellStyle name="Percent 3 2 4 2 2 6" xfId="25376" xr:uid="{00000000-0005-0000-0000-00003A990000}"/>
    <cellStyle name="Percent 3 2 4 2 3" xfId="6157" xr:uid="{00000000-0005-0000-0000-00003B990000}"/>
    <cellStyle name="Percent 3 2 4 2 3 2" xfId="9247" xr:uid="{00000000-0005-0000-0000-00003C990000}"/>
    <cellStyle name="Percent 3 2 4 2 3 2 2" xfId="15440" xr:uid="{00000000-0005-0000-0000-00003D990000}"/>
    <cellStyle name="Percent 3 2 4 2 3 2 2 2" xfId="35360" xr:uid="{00000000-0005-0000-0000-00003E990000}"/>
    <cellStyle name="Percent 3 2 4 2 3 2 3" xfId="21592" xr:uid="{00000000-0005-0000-0000-00003F990000}"/>
    <cellStyle name="Percent 3 2 4 2 3 2 3 2" xfId="41512" xr:uid="{00000000-0005-0000-0000-000040990000}"/>
    <cellStyle name="Percent 3 2 4 2 3 2 4" xfId="29207" xr:uid="{00000000-0005-0000-0000-000041990000}"/>
    <cellStyle name="Percent 3 2 4 2 3 3" xfId="12374" xr:uid="{00000000-0005-0000-0000-000042990000}"/>
    <cellStyle name="Percent 3 2 4 2 3 3 2" xfId="32294" xr:uid="{00000000-0005-0000-0000-000043990000}"/>
    <cellStyle name="Percent 3 2 4 2 3 4" xfId="18526" xr:uid="{00000000-0005-0000-0000-000044990000}"/>
    <cellStyle name="Percent 3 2 4 2 3 4 2" xfId="38446" xr:uid="{00000000-0005-0000-0000-000045990000}"/>
    <cellStyle name="Percent 3 2 4 2 3 5" xfId="26141" xr:uid="{00000000-0005-0000-0000-000046990000}"/>
    <cellStyle name="Percent 3 2 4 2 4" xfId="7712" xr:uid="{00000000-0005-0000-0000-000047990000}"/>
    <cellStyle name="Percent 3 2 4 2 4 2" xfId="13906" xr:uid="{00000000-0005-0000-0000-000048990000}"/>
    <cellStyle name="Percent 3 2 4 2 4 2 2" xfId="33826" xr:uid="{00000000-0005-0000-0000-000049990000}"/>
    <cellStyle name="Percent 3 2 4 2 4 3" xfId="20058" xr:uid="{00000000-0005-0000-0000-00004A990000}"/>
    <cellStyle name="Percent 3 2 4 2 4 3 2" xfId="39978" xr:uid="{00000000-0005-0000-0000-00004B990000}"/>
    <cellStyle name="Percent 3 2 4 2 4 4" xfId="27673" xr:uid="{00000000-0005-0000-0000-00004C990000}"/>
    <cellStyle name="Percent 3 2 4 2 5" xfId="10840" xr:uid="{00000000-0005-0000-0000-00004D990000}"/>
    <cellStyle name="Percent 3 2 4 2 5 2" xfId="30760" xr:uid="{00000000-0005-0000-0000-00004E990000}"/>
    <cellStyle name="Percent 3 2 4 2 6" xfId="16992" xr:uid="{00000000-0005-0000-0000-00004F990000}"/>
    <cellStyle name="Percent 3 2 4 2 6 2" xfId="36912" xr:uid="{00000000-0005-0000-0000-000050990000}"/>
    <cellStyle name="Percent 3 2 4 2 7" xfId="24607" xr:uid="{00000000-0005-0000-0000-000051990000}"/>
    <cellStyle name="Percent 3 2 4 3" xfId="5304" xr:uid="{00000000-0005-0000-0000-000052990000}"/>
    <cellStyle name="Percent 3 2 4 3 2" xfId="6929" xr:uid="{00000000-0005-0000-0000-000053990000}"/>
    <cellStyle name="Percent 3 2 4 3 2 2" xfId="10015" xr:uid="{00000000-0005-0000-0000-000054990000}"/>
    <cellStyle name="Percent 3 2 4 3 2 2 2" xfId="16208" xr:uid="{00000000-0005-0000-0000-000055990000}"/>
    <cellStyle name="Percent 3 2 4 3 2 2 2 2" xfId="36128" xr:uid="{00000000-0005-0000-0000-000056990000}"/>
    <cellStyle name="Percent 3 2 4 3 2 2 3" xfId="22360" xr:uid="{00000000-0005-0000-0000-000057990000}"/>
    <cellStyle name="Percent 3 2 4 3 2 2 3 2" xfId="42280" xr:uid="{00000000-0005-0000-0000-000058990000}"/>
    <cellStyle name="Percent 3 2 4 3 2 2 4" xfId="29975" xr:uid="{00000000-0005-0000-0000-000059990000}"/>
    <cellStyle name="Percent 3 2 4 3 2 3" xfId="13142" xr:uid="{00000000-0005-0000-0000-00005A990000}"/>
    <cellStyle name="Percent 3 2 4 3 2 3 2" xfId="33062" xr:uid="{00000000-0005-0000-0000-00005B990000}"/>
    <cellStyle name="Percent 3 2 4 3 2 4" xfId="19294" xr:uid="{00000000-0005-0000-0000-00005C990000}"/>
    <cellStyle name="Percent 3 2 4 3 2 4 2" xfId="39214" xr:uid="{00000000-0005-0000-0000-00005D990000}"/>
    <cellStyle name="Percent 3 2 4 3 2 5" xfId="26909" xr:uid="{00000000-0005-0000-0000-00005E990000}"/>
    <cellStyle name="Percent 3 2 4 3 3" xfId="8480" xr:uid="{00000000-0005-0000-0000-00005F990000}"/>
    <cellStyle name="Percent 3 2 4 3 3 2" xfId="14674" xr:uid="{00000000-0005-0000-0000-000060990000}"/>
    <cellStyle name="Percent 3 2 4 3 3 2 2" xfId="34594" xr:uid="{00000000-0005-0000-0000-000061990000}"/>
    <cellStyle name="Percent 3 2 4 3 3 3" xfId="20826" xr:uid="{00000000-0005-0000-0000-000062990000}"/>
    <cellStyle name="Percent 3 2 4 3 3 3 2" xfId="40746" xr:uid="{00000000-0005-0000-0000-000063990000}"/>
    <cellStyle name="Percent 3 2 4 3 3 4" xfId="28441" xr:uid="{00000000-0005-0000-0000-000064990000}"/>
    <cellStyle name="Percent 3 2 4 3 4" xfId="11608" xr:uid="{00000000-0005-0000-0000-000065990000}"/>
    <cellStyle name="Percent 3 2 4 3 4 2" xfId="31528" xr:uid="{00000000-0005-0000-0000-000066990000}"/>
    <cellStyle name="Percent 3 2 4 3 5" xfId="17760" xr:uid="{00000000-0005-0000-0000-000067990000}"/>
    <cellStyle name="Percent 3 2 4 3 5 2" xfId="37680" xr:uid="{00000000-0005-0000-0000-000068990000}"/>
    <cellStyle name="Percent 3 2 4 3 6" xfId="25375" xr:uid="{00000000-0005-0000-0000-000069990000}"/>
    <cellStyle name="Percent 3 2 4 4" xfId="6156" xr:uid="{00000000-0005-0000-0000-00006A990000}"/>
    <cellStyle name="Percent 3 2 4 4 2" xfId="9246" xr:uid="{00000000-0005-0000-0000-00006B990000}"/>
    <cellStyle name="Percent 3 2 4 4 2 2" xfId="15439" xr:uid="{00000000-0005-0000-0000-00006C990000}"/>
    <cellStyle name="Percent 3 2 4 4 2 2 2" xfId="35359" xr:uid="{00000000-0005-0000-0000-00006D990000}"/>
    <cellStyle name="Percent 3 2 4 4 2 3" xfId="21591" xr:uid="{00000000-0005-0000-0000-00006E990000}"/>
    <cellStyle name="Percent 3 2 4 4 2 3 2" xfId="41511" xr:uid="{00000000-0005-0000-0000-00006F990000}"/>
    <cellStyle name="Percent 3 2 4 4 2 4" xfId="29206" xr:uid="{00000000-0005-0000-0000-000070990000}"/>
    <cellStyle name="Percent 3 2 4 4 3" xfId="12373" xr:uid="{00000000-0005-0000-0000-000071990000}"/>
    <cellStyle name="Percent 3 2 4 4 3 2" xfId="32293" xr:uid="{00000000-0005-0000-0000-000072990000}"/>
    <cellStyle name="Percent 3 2 4 4 4" xfId="18525" xr:uid="{00000000-0005-0000-0000-000073990000}"/>
    <cellStyle name="Percent 3 2 4 4 4 2" xfId="38445" xr:uid="{00000000-0005-0000-0000-000074990000}"/>
    <cellStyle name="Percent 3 2 4 4 5" xfId="26140" xr:uid="{00000000-0005-0000-0000-000075990000}"/>
    <cellStyle name="Percent 3 2 4 5" xfId="7711" xr:uid="{00000000-0005-0000-0000-000076990000}"/>
    <cellStyle name="Percent 3 2 4 5 2" xfId="13905" xr:uid="{00000000-0005-0000-0000-000077990000}"/>
    <cellStyle name="Percent 3 2 4 5 2 2" xfId="33825" xr:uid="{00000000-0005-0000-0000-000078990000}"/>
    <cellStyle name="Percent 3 2 4 5 3" xfId="20057" xr:uid="{00000000-0005-0000-0000-000079990000}"/>
    <cellStyle name="Percent 3 2 4 5 3 2" xfId="39977" xr:uid="{00000000-0005-0000-0000-00007A990000}"/>
    <cellStyle name="Percent 3 2 4 5 4" xfId="27672" xr:uid="{00000000-0005-0000-0000-00007B990000}"/>
    <cellStyle name="Percent 3 2 4 6" xfId="10839" xr:uid="{00000000-0005-0000-0000-00007C990000}"/>
    <cellStyle name="Percent 3 2 4 6 2" xfId="30759" xr:uid="{00000000-0005-0000-0000-00007D990000}"/>
    <cellStyle name="Percent 3 2 4 7" xfId="16991" xr:uid="{00000000-0005-0000-0000-00007E990000}"/>
    <cellStyle name="Percent 3 2 4 7 2" xfId="36911" xr:uid="{00000000-0005-0000-0000-00007F990000}"/>
    <cellStyle name="Percent 3 2 4 8" xfId="24606" xr:uid="{00000000-0005-0000-0000-000080990000}"/>
    <cellStyle name="Percent 3 2 5" xfId="4270" xr:uid="{00000000-0005-0000-0000-000081990000}"/>
    <cellStyle name="Percent 3 2 5 2" xfId="4271" xr:uid="{00000000-0005-0000-0000-000082990000}"/>
    <cellStyle name="Percent 3 2 5 2 2" xfId="5307" xr:uid="{00000000-0005-0000-0000-000083990000}"/>
    <cellStyle name="Percent 3 2 5 2 2 2" xfId="6932" xr:uid="{00000000-0005-0000-0000-000084990000}"/>
    <cellStyle name="Percent 3 2 5 2 2 2 2" xfId="10018" xr:uid="{00000000-0005-0000-0000-000085990000}"/>
    <cellStyle name="Percent 3 2 5 2 2 2 2 2" xfId="16211" xr:uid="{00000000-0005-0000-0000-000086990000}"/>
    <cellStyle name="Percent 3 2 5 2 2 2 2 2 2" xfId="36131" xr:uid="{00000000-0005-0000-0000-000087990000}"/>
    <cellStyle name="Percent 3 2 5 2 2 2 2 3" xfId="22363" xr:uid="{00000000-0005-0000-0000-000088990000}"/>
    <cellStyle name="Percent 3 2 5 2 2 2 2 3 2" xfId="42283" xr:uid="{00000000-0005-0000-0000-000089990000}"/>
    <cellStyle name="Percent 3 2 5 2 2 2 2 4" xfId="29978" xr:uid="{00000000-0005-0000-0000-00008A990000}"/>
    <cellStyle name="Percent 3 2 5 2 2 2 3" xfId="13145" xr:uid="{00000000-0005-0000-0000-00008B990000}"/>
    <cellStyle name="Percent 3 2 5 2 2 2 3 2" xfId="33065" xr:uid="{00000000-0005-0000-0000-00008C990000}"/>
    <cellStyle name="Percent 3 2 5 2 2 2 4" xfId="19297" xr:uid="{00000000-0005-0000-0000-00008D990000}"/>
    <cellStyle name="Percent 3 2 5 2 2 2 4 2" xfId="39217" xr:uid="{00000000-0005-0000-0000-00008E990000}"/>
    <cellStyle name="Percent 3 2 5 2 2 2 5" xfId="26912" xr:uid="{00000000-0005-0000-0000-00008F990000}"/>
    <cellStyle name="Percent 3 2 5 2 2 3" xfId="8483" xr:uid="{00000000-0005-0000-0000-000090990000}"/>
    <cellStyle name="Percent 3 2 5 2 2 3 2" xfId="14677" xr:uid="{00000000-0005-0000-0000-000091990000}"/>
    <cellStyle name="Percent 3 2 5 2 2 3 2 2" xfId="34597" xr:uid="{00000000-0005-0000-0000-000092990000}"/>
    <cellStyle name="Percent 3 2 5 2 2 3 3" xfId="20829" xr:uid="{00000000-0005-0000-0000-000093990000}"/>
    <cellStyle name="Percent 3 2 5 2 2 3 3 2" xfId="40749" xr:uid="{00000000-0005-0000-0000-000094990000}"/>
    <cellStyle name="Percent 3 2 5 2 2 3 4" xfId="28444" xr:uid="{00000000-0005-0000-0000-000095990000}"/>
    <cellStyle name="Percent 3 2 5 2 2 4" xfId="11611" xr:uid="{00000000-0005-0000-0000-000096990000}"/>
    <cellStyle name="Percent 3 2 5 2 2 4 2" xfId="31531" xr:uid="{00000000-0005-0000-0000-000097990000}"/>
    <cellStyle name="Percent 3 2 5 2 2 5" xfId="17763" xr:uid="{00000000-0005-0000-0000-000098990000}"/>
    <cellStyle name="Percent 3 2 5 2 2 5 2" xfId="37683" xr:uid="{00000000-0005-0000-0000-000099990000}"/>
    <cellStyle name="Percent 3 2 5 2 2 6" xfId="25378" xr:uid="{00000000-0005-0000-0000-00009A990000}"/>
    <cellStyle name="Percent 3 2 5 2 3" xfId="6159" xr:uid="{00000000-0005-0000-0000-00009B990000}"/>
    <cellStyle name="Percent 3 2 5 2 3 2" xfId="9249" xr:uid="{00000000-0005-0000-0000-00009C990000}"/>
    <cellStyle name="Percent 3 2 5 2 3 2 2" xfId="15442" xr:uid="{00000000-0005-0000-0000-00009D990000}"/>
    <cellStyle name="Percent 3 2 5 2 3 2 2 2" xfId="35362" xr:uid="{00000000-0005-0000-0000-00009E990000}"/>
    <cellStyle name="Percent 3 2 5 2 3 2 3" xfId="21594" xr:uid="{00000000-0005-0000-0000-00009F990000}"/>
    <cellStyle name="Percent 3 2 5 2 3 2 3 2" xfId="41514" xr:uid="{00000000-0005-0000-0000-0000A0990000}"/>
    <cellStyle name="Percent 3 2 5 2 3 2 4" xfId="29209" xr:uid="{00000000-0005-0000-0000-0000A1990000}"/>
    <cellStyle name="Percent 3 2 5 2 3 3" xfId="12376" xr:uid="{00000000-0005-0000-0000-0000A2990000}"/>
    <cellStyle name="Percent 3 2 5 2 3 3 2" xfId="32296" xr:uid="{00000000-0005-0000-0000-0000A3990000}"/>
    <cellStyle name="Percent 3 2 5 2 3 4" xfId="18528" xr:uid="{00000000-0005-0000-0000-0000A4990000}"/>
    <cellStyle name="Percent 3 2 5 2 3 4 2" xfId="38448" xr:uid="{00000000-0005-0000-0000-0000A5990000}"/>
    <cellStyle name="Percent 3 2 5 2 3 5" xfId="26143" xr:uid="{00000000-0005-0000-0000-0000A6990000}"/>
    <cellStyle name="Percent 3 2 5 2 4" xfId="7714" xr:uid="{00000000-0005-0000-0000-0000A7990000}"/>
    <cellStyle name="Percent 3 2 5 2 4 2" xfId="13908" xr:uid="{00000000-0005-0000-0000-0000A8990000}"/>
    <cellStyle name="Percent 3 2 5 2 4 2 2" xfId="33828" xr:uid="{00000000-0005-0000-0000-0000A9990000}"/>
    <cellStyle name="Percent 3 2 5 2 4 3" xfId="20060" xr:uid="{00000000-0005-0000-0000-0000AA990000}"/>
    <cellStyle name="Percent 3 2 5 2 4 3 2" xfId="39980" xr:uid="{00000000-0005-0000-0000-0000AB990000}"/>
    <cellStyle name="Percent 3 2 5 2 4 4" xfId="27675" xr:uid="{00000000-0005-0000-0000-0000AC990000}"/>
    <cellStyle name="Percent 3 2 5 2 5" xfId="10842" xr:uid="{00000000-0005-0000-0000-0000AD990000}"/>
    <cellStyle name="Percent 3 2 5 2 5 2" xfId="30762" xr:uid="{00000000-0005-0000-0000-0000AE990000}"/>
    <cellStyle name="Percent 3 2 5 2 6" xfId="16994" xr:uid="{00000000-0005-0000-0000-0000AF990000}"/>
    <cellStyle name="Percent 3 2 5 2 6 2" xfId="36914" xr:uid="{00000000-0005-0000-0000-0000B0990000}"/>
    <cellStyle name="Percent 3 2 5 2 7" xfId="24609" xr:uid="{00000000-0005-0000-0000-0000B1990000}"/>
    <cellStyle name="Percent 3 2 5 3" xfId="5306" xr:uid="{00000000-0005-0000-0000-0000B2990000}"/>
    <cellStyle name="Percent 3 2 5 3 2" xfId="6931" xr:uid="{00000000-0005-0000-0000-0000B3990000}"/>
    <cellStyle name="Percent 3 2 5 3 2 2" xfId="10017" xr:uid="{00000000-0005-0000-0000-0000B4990000}"/>
    <cellStyle name="Percent 3 2 5 3 2 2 2" xfId="16210" xr:uid="{00000000-0005-0000-0000-0000B5990000}"/>
    <cellStyle name="Percent 3 2 5 3 2 2 2 2" xfId="36130" xr:uid="{00000000-0005-0000-0000-0000B6990000}"/>
    <cellStyle name="Percent 3 2 5 3 2 2 3" xfId="22362" xr:uid="{00000000-0005-0000-0000-0000B7990000}"/>
    <cellStyle name="Percent 3 2 5 3 2 2 3 2" xfId="42282" xr:uid="{00000000-0005-0000-0000-0000B8990000}"/>
    <cellStyle name="Percent 3 2 5 3 2 2 4" xfId="29977" xr:uid="{00000000-0005-0000-0000-0000B9990000}"/>
    <cellStyle name="Percent 3 2 5 3 2 3" xfId="13144" xr:uid="{00000000-0005-0000-0000-0000BA990000}"/>
    <cellStyle name="Percent 3 2 5 3 2 3 2" xfId="33064" xr:uid="{00000000-0005-0000-0000-0000BB990000}"/>
    <cellStyle name="Percent 3 2 5 3 2 4" xfId="19296" xr:uid="{00000000-0005-0000-0000-0000BC990000}"/>
    <cellStyle name="Percent 3 2 5 3 2 4 2" xfId="39216" xr:uid="{00000000-0005-0000-0000-0000BD990000}"/>
    <cellStyle name="Percent 3 2 5 3 2 5" xfId="26911" xr:uid="{00000000-0005-0000-0000-0000BE990000}"/>
    <cellStyle name="Percent 3 2 5 3 3" xfId="8482" xr:uid="{00000000-0005-0000-0000-0000BF990000}"/>
    <cellStyle name="Percent 3 2 5 3 3 2" xfId="14676" xr:uid="{00000000-0005-0000-0000-0000C0990000}"/>
    <cellStyle name="Percent 3 2 5 3 3 2 2" xfId="34596" xr:uid="{00000000-0005-0000-0000-0000C1990000}"/>
    <cellStyle name="Percent 3 2 5 3 3 3" xfId="20828" xr:uid="{00000000-0005-0000-0000-0000C2990000}"/>
    <cellStyle name="Percent 3 2 5 3 3 3 2" xfId="40748" xr:uid="{00000000-0005-0000-0000-0000C3990000}"/>
    <cellStyle name="Percent 3 2 5 3 3 4" xfId="28443" xr:uid="{00000000-0005-0000-0000-0000C4990000}"/>
    <cellStyle name="Percent 3 2 5 3 4" xfId="11610" xr:uid="{00000000-0005-0000-0000-0000C5990000}"/>
    <cellStyle name="Percent 3 2 5 3 4 2" xfId="31530" xr:uid="{00000000-0005-0000-0000-0000C6990000}"/>
    <cellStyle name="Percent 3 2 5 3 5" xfId="17762" xr:uid="{00000000-0005-0000-0000-0000C7990000}"/>
    <cellStyle name="Percent 3 2 5 3 5 2" xfId="37682" xr:uid="{00000000-0005-0000-0000-0000C8990000}"/>
    <cellStyle name="Percent 3 2 5 3 6" xfId="25377" xr:uid="{00000000-0005-0000-0000-0000C9990000}"/>
    <cellStyle name="Percent 3 2 5 4" xfId="6158" xr:uid="{00000000-0005-0000-0000-0000CA990000}"/>
    <cellStyle name="Percent 3 2 5 4 2" xfId="9248" xr:uid="{00000000-0005-0000-0000-0000CB990000}"/>
    <cellStyle name="Percent 3 2 5 4 2 2" xfId="15441" xr:uid="{00000000-0005-0000-0000-0000CC990000}"/>
    <cellStyle name="Percent 3 2 5 4 2 2 2" xfId="35361" xr:uid="{00000000-0005-0000-0000-0000CD990000}"/>
    <cellStyle name="Percent 3 2 5 4 2 3" xfId="21593" xr:uid="{00000000-0005-0000-0000-0000CE990000}"/>
    <cellStyle name="Percent 3 2 5 4 2 3 2" xfId="41513" xr:uid="{00000000-0005-0000-0000-0000CF990000}"/>
    <cellStyle name="Percent 3 2 5 4 2 4" xfId="29208" xr:uid="{00000000-0005-0000-0000-0000D0990000}"/>
    <cellStyle name="Percent 3 2 5 4 3" xfId="12375" xr:uid="{00000000-0005-0000-0000-0000D1990000}"/>
    <cellStyle name="Percent 3 2 5 4 3 2" xfId="32295" xr:uid="{00000000-0005-0000-0000-0000D2990000}"/>
    <cellStyle name="Percent 3 2 5 4 4" xfId="18527" xr:uid="{00000000-0005-0000-0000-0000D3990000}"/>
    <cellStyle name="Percent 3 2 5 4 4 2" xfId="38447" xr:uid="{00000000-0005-0000-0000-0000D4990000}"/>
    <cellStyle name="Percent 3 2 5 4 5" xfId="26142" xr:uid="{00000000-0005-0000-0000-0000D5990000}"/>
    <cellStyle name="Percent 3 2 5 5" xfId="7713" xr:uid="{00000000-0005-0000-0000-0000D6990000}"/>
    <cellStyle name="Percent 3 2 5 5 2" xfId="13907" xr:uid="{00000000-0005-0000-0000-0000D7990000}"/>
    <cellStyle name="Percent 3 2 5 5 2 2" xfId="33827" xr:uid="{00000000-0005-0000-0000-0000D8990000}"/>
    <cellStyle name="Percent 3 2 5 5 3" xfId="20059" xr:uid="{00000000-0005-0000-0000-0000D9990000}"/>
    <cellStyle name="Percent 3 2 5 5 3 2" xfId="39979" xr:uid="{00000000-0005-0000-0000-0000DA990000}"/>
    <cellStyle name="Percent 3 2 5 5 4" xfId="27674" xr:uid="{00000000-0005-0000-0000-0000DB990000}"/>
    <cellStyle name="Percent 3 2 5 6" xfId="10841" xr:uid="{00000000-0005-0000-0000-0000DC990000}"/>
    <cellStyle name="Percent 3 2 5 6 2" xfId="30761" xr:uid="{00000000-0005-0000-0000-0000DD990000}"/>
    <cellStyle name="Percent 3 2 5 7" xfId="16993" xr:uid="{00000000-0005-0000-0000-0000DE990000}"/>
    <cellStyle name="Percent 3 2 5 7 2" xfId="36913" xr:uid="{00000000-0005-0000-0000-0000DF990000}"/>
    <cellStyle name="Percent 3 2 5 8" xfId="24608" xr:uid="{00000000-0005-0000-0000-0000E0990000}"/>
    <cellStyle name="Percent 3 2 6" xfId="4272" xr:uid="{00000000-0005-0000-0000-0000E1990000}"/>
    <cellStyle name="Percent 3 2 6 2" xfId="4273" xr:uid="{00000000-0005-0000-0000-0000E2990000}"/>
    <cellStyle name="Percent 3 2 6 2 2" xfId="5309" xr:uid="{00000000-0005-0000-0000-0000E3990000}"/>
    <cellStyle name="Percent 3 2 6 2 2 2" xfId="6934" xr:uid="{00000000-0005-0000-0000-0000E4990000}"/>
    <cellStyle name="Percent 3 2 6 2 2 2 2" xfId="10020" xr:uid="{00000000-0005-0000-0000-0000E5990000}"/>
    <cellStyle name="Percent 3 2 6 2 2 2 2 2" xfId="16213" xr:uid="{00000000-0005-0000-0000-0000E6990000}"/>
    <cellStyle name="Percent 3 2 6 2 2 2 2 2 2" xfId="36133" xr:uid="{00000000-0005-0000-0000-0000E7990000}"/>
    <cellStyle name="Percent 3 2 6 2 2 2 2 3" xfId="22365" xr:uid="{00000000-0005-0000-0000-0000E8990000}"/>
    <cellStyle name="Percent 3 2 6 2 2 2 2 3 2" xfId="42285" xr:uid="{00000000-0005-0000-0000-0000E9990000}"/>
    <cellStyle name="Percent 3 2 6 2 2 2 2 4" xfId="29980" xr:uid="{00000000-0005-0000-0000-0000EA990000}"/>
    <cellStyle name="Percent 3 2 6 2 2 2 3" xfId="13147" xr:uid="{00000000-0005-0000-0000-0000EB990000}"/>
    <cellStyle name="Percent 3 2 6 2 2 2 3 2" xfId="33067" xr:uid="{00000000-0005-0000-0000-0000EC990000}"/>
    <cellStyle name="Percent 3 2 6 2 2 2 4" xfId="19299" xr:uid="{00000000-0005-0000-0000-0000ED990000}"/>
    <cellStyle name="Percent 3 2 6 2 2 2 4 2" xfId="39219" xr:uid="{00000000-0005-0000-0000-0000EE990000}"/>
    <cellStyle name="Percent 3 2 6 2 2 2 5" xfId="26914" xr:uid="{00000000-0005-0000-0000-0000EF990000}"/>
    <cellStyle name="Percent 3 2 6 2 2 3" xfId="8485" xr:uid="{00000000-0005-0000-0000-0000F0990000}"/>
    <cellStyle name="Percent 3 2 6 2 2 3 2" xfId="14679" xr:uid="{00000000-0005-0000-0000-0000F1990000}"/>
    <cellStyle name="Percent 3 2 6 2 2 3 2 2" xfId="34599" xr:uid="{00000000-0005-0000-0000-0000F2990000}"/>
    <cellStyle name="Percent 3 2 6 2 2 3 3" xfId="20831" xr:uid="{00000000-0005-0000-0000-0000F3990000}"/>
    <cellStyle name="Percent 3 2 6 2 2 3 3 2" xfId="40751" xr:uid="{00000000-0005-0000-0000-0000F4990000}"/>
    <cellStyle name="Percent 3 2 6 2 2 3 4" xfId="28446" xr:uid="{00000000-0005-0000-0000-0000F5990000}"/>
    <cellStyle name="Percent 3 2 6 2 2 4" xfId="11613" xr:uid="{00000000-0005-0000-0000-0000F6990000}"/>
    <cellStyle name="Percent 3 2 6 2 2 4 2" xfId="31533" xr:uid="{00000000-0005-0000-0000-0000F7990000}"/>
    <cellStyle name="Percent 3 2 6 2 2 5" xfId="17765" xr:uid="{00000000-0005-0000-0000-0000F8990000}"/>
    <cellStyle name="Percent 3 2 6 2 2 5 2" xfId="37685" xr:uid="{00000000-0005-0000-0000-0000F9990000}"/>
    <cellStyle name="Percent 3 2 6 2 2 6" xfId="25380" xr:uid="{00000000-0005-0000-0000-0000FA990000}"/>
    <cellStyle name="Percent 3 2 6 2 3" xfId="6161" xr:uid="{00000000-0005-0000-0000-0000FB990000}"/>
    <cellStyle name="Percent 3 2 6 2 3 2" xfId="9251" xr:uid="{00000000-0005-0000-0000-0000FC990000}"/>
    <cellStyle name="Percent 3 2 6 2 3 2 2" xfId="15444" xr:uid="{00000000-0005-0000-0000-0000FD990000}"/>
    <cellStyle name="Percent 3 2 6 2 3 2 2 2" xfId="35364" xr:uid="{00000000-0005-0000-0000-0000FE990000}"/>
    <cellStyle name="Percent 3 2 6 2 3 2 3" xfId="21596" xr:uid="{00000000-0005-0000-0000-0000FF990000}"/>
    <cellStyle name="Percent 3 2 6 2 3 2 3 2" xfId="41516" xr:uid="{00000000-0005-0000-0000-0000009A0000}"/>
    <cellStyle name="Percent 3 2 6 2 3 2 4" xfId="29211" xr:uid="{00000000-0005-0000-0000-0000019A0000}"/>
    <cellStyle name="Percent 3 2 6 2 3 3" xfId="12378" xr:uid="{00000000-0005-0000-0000-0000029A0000}"/>
    <cellStyle name="Percent 3 2 6 2 3 3 2" xfId="32298" xr:uid="{00000000-0005-0000-0000-0000039A0000}"/>
    <cellStyle name="Percent 3 2 6 2 3 4" xfId="18530" xr:uid="{00000000-0005-0000-0000-0000049A0000}"/>
    <cellStyle name="Percent 3 2 6 2 3 4 2" xfId="38450" xr:uid="{00000000-0005-0000-0000-0000059A0000}"/>
    <cellStyle name="Percent 3 2 6 2 3 5" xfId="26145" xr:uid="{00000000-0005-0000-0000-0000069A0000}"/>
    <cellStyle name="Percent 3 2 6 2 4" xfId="7716" xr:uid="{00000000-0005-0000-0000-0000079A0000}"/>
    <cellStyle name="Percent 3 2 6 2 4 2" xfId="13910" xr:uid="{00000000-0005-0000-0000-0000089A0000}"/>
    <cellStyle name="Percent 3 2 6 2 4 2 2" xfId="33830" xr:uid="{00000000-0005-0000-0000-0000099A0000}"/>
    <cellStyle name="Percent 3 2 6 2 4 3" xfId="20062" xr:uid="{00000000-0005-0000-0000-00000A9A0000}"/>
    <cellStyle name="Percent 3 2 6 2 4 3 2" xfId="39982" xr:uid="{00000000-0005-0000-0000-00000B9A0000}"/>
    <cellStyle name="Percent 3 2 6 2 4 4" xfId="27677" xr:uid="{00000000-0005-0000-0000-00000C9A0000}"/>
    <cellStyle name="Percent 3 2 6 2 5" xfId="10844" xr:uid="{00000000-0005-0000-0000-00000D9A0000}"/>
    <cellStyle name="Percent 3 2 6 2 5 2" xfId="30764" xr:uid="{00000000-0005-0000-0000-00000E9A0000}"/>
    <cellStyle name="Percent 3 2 6 2 6" xfId="16996" xr:uid="{00000000-0005-0000-0000-00000F9A0000}"/>
    <cellStyle name="Percent 3 2 6 2 6 2" xfId="36916" xr:uid="{00000000-0005-0000-0000-0000109A0000}"/>
    <cellStyle name="Percent 3 2 6 2 7" xfId="24611" xr:uid="{00000000-0005-0000-0000-0000119A0000}"/>
    <cellStyle name="Percent 3 2 6 3" xfId="5308" xr:uid="{00000000-0005-0000-0000-0000129A0000}"/>
    <cellStyle name="Percent 3 2 6 3 2" xfId="6933" xr:uid="{00000000-0005-0000-0000-0000139A0000}"/>
    <cellStyle name="Percent 3 2 6 3 2 2" xfId="10019" xr:uid="{00000000-0005-0000-0000-0000149A0000}"/>
    <cellStyle name="Percent 3 2 6 3 2 2 2" xfId="16212" xr:uid="{00000000-0005-0000-0000-0000159A0000}"/>
    <cellStyle name="Percent 3 2 6 3 2 2 2 2" xfId="36132" xr:uid="{00000000-0005-0000-0000-0000169A0000}"/>
    <cellStyle name="Percent 3 2 6 3 2 2 3" xfId="22364" xr:uid="{00000000-0005-0000-0000-0000179A0000}"/>
    <cellStyle name="Percent 3 2 6 3 2 2 3 2" xfId="42284" xr:uid="{00000000-0005-0000-0000-0000189A0000}"/>
    <cellStyle name="Percent 3 2 6 3 2 2 4" xfId="29979" xr:uid="{00000000-0005-0000-0000-0000199A0000}"/>
    <cellStyle name="Percent 3 2 6 3 2 3" xfId="13146" xr:uid="{00000000-0005-0000-0000-00001A9A0000}"/>
    <cellStyle name="Percent 3 2 6 3 2 3 2" xfId="33066" xr:uid="{00000000-0005-0000-0000-00001B9A0000}"/>
    <cellStyle name="Percent 3 2 6 3 2 4" xfId="19298" xr:uid="{00000000-0005-0000-0000-00001C9A0000}"/>
    <cellStyle name="Percent 3 2 6 3 2 4 2" xfId="39218" xr:uid="{00000000-0005-0000-0000-00001D9A0000}"/>
    <cellStyle name="Percent 3 2 6 3 2 5" xfId="26913" xr:uid="{00000000-0005-0000-0000-00001E9A0000}"/>
    <cellStyle name="Percent 3 2 6 3 3" xfId="8484" xr:uid="{00000000-0005-0000-0000-00001F9A0000}"/>
    <cellStyle name="Percent 3 2 6 3 3 2" xfId="14678" xr:uid="{00000000-0005-0000-0000-0000209A0000}"/>
    <cellStyle name="Percent 3 2 6 3 3 2 2" xfId="34598" xr:uid="{00000000-0005-0000-0000-0000219A0000}"/>
    <cellStyle name="Percent 3 2 6 3 3 3" xfId="20830" xr:uid="{00000000-0005-0000-0000-0000229A0000}"/>
    <cellStyle name="Percent 3 2 6 3 3 3 2" xfId="40750" xr:uid="{00000000-0005-0000-0000-0000239A0000}"/>
    <cellStyle name="Percent 3 2 6 3 3 4" xfId="28445" xr:uid="{00000000-0005-0000-0000-0000249A0000}"/>
    <cellStyle name="Percent 3 2 6 3 4" xfId="11612" xr:uid="{00000000-0005-0000-0000-0000259A0000}"/>
    <cellStyle name="Percent 3 2 6 3 4 2" xfId="31532" xr:uid="{00000000-0005-0000-0000-0000269A0000}"/>
    <cellStyle name="Percent 3 2 6 3 5" xfId="17764" xr:uid="{00000000-0005-0000-0000-0000279A0000}"/>
    <cellStyle name="Percent 3 2 6 3 5 2" xfId="37684" xr:uid="{00000000-0005-0000-0000-0000289A0000}"/>
    <cellStyle name="Percent 3 2 6 3 6" xfId="25379" xr:uid="{00000000-0005-0000-0000-0000299A0000}"/>
    <cellStyle name="Percent 3 2 6 4" xfId="6160" xr:uid="{00000000-0005-0000-0000-00002A9A0000}"/>
    <cellStyle name="Percent 3 2 6 4 2" xfId="9250" xr:uid="{00000000-0005-0000-0000-00002B9A0000}"/>
    <cellStyle name="Percent 3 2 6 4 2 2" xfId="15443" xr:uid="{00000000-0005-0000-0000-00002C9A0000}"/>
    <cellStyle name="Percent 3 2 6 4 2 2 2" xfId="35363" xr:uid="{00000000-0005-0000-0000-00002D9A0000}"/>
    <cellStyle name="Percent 3 2 6 4 2 3" xfId="21595" xr:uid="{00000000-0005-0000-0000-00002E9A0000}"/>
    <cellStyle name="Percent 3 2 6 4 2 3 2" xfId="41515" xr:uid="{00000000-0005-0000-0000-00002F9A0000}"/>
    <cellStyle name="Percent 3 2 6 4 2 4" xfId="29210" xr:uid="{00000000-0005-0000-0000-0000309A0000}"/>
    <cellStyle name="Percent 3 2 6 4 3" xfId="12377" xr:uid="{00000000-0005-0000-0000-0000319A0000}"/>
    <cellStyle name="Percent 3 2 6 4 3 2" xfId="32297" xr:uid="{00000000-0005-0000-0000-0000329A0000}"/>
    <cellStyle name="Percent 3 2 6 4 4" xfId="18529" xr:uid="{00000000-0005-0000-0000-0000339A0000}"/>
    <cellStyle name="Percent 3 2 6 4 4 2" xfId="38449" xr:uid="{00000000-0005-0000-0000-0000349A0000}"/>
    <cellStyle name="Percent 3 2 6 4 5" xfId="26144" xr:uid="{00000000-0005-0000-0000-0000359A0000}"/>
    <cellStyle name="Percent 3 2 6 5" xfId="7715" xr:uid="{00000000-0005-0000-0000-0000369A0000}"/>
    <cellStyle name="Percent 3 2 6 5 2" xfId="13909" xr:uid="{00000000-0005-0000-0000-0000379A0000}"/>
    <cellStyle name="Percent 3 2 6 5 2 2" xfId="33829" xr:uid="{00000000-0005-0000-0000-0000389A0000}"/>
    <cellStyle name="Percent 3 2 6 5 3" xfId="20061" xr:uid="{00000000-0005-0000-0000-0000399A0000}"/>
    <cellStyle name="Percent 3 2 6 5 3 2" xfId="39981" xr:uid="{00000000-0005-0000-0000-00003A9A0000}"/>
    <cellStyle name="Percent 3 2 6 5 4" xfId="27676" xr:uid="{00000000-0005-0000-0000-00003B9A0000}"/>
    <cellStyle name="Percent 3 2 6 6" xfId="10843" xr:uid="{00000000-0005-0000-0000-00003C9A0000}"/>
    <cellStyle name="Percent 3 2 6 6 2" xfId="30763" xr:uid="{00000000-0005-0000-0000-00003D9A0000}"/>
    <cellStyle name="Percent 3 2 6 7" xfId="16995" xr:uid="{00000000-0005-0000-0000-00003E9A0000}"/>
    <cellStyle name="Percent 3 2 6 7 2" xfId="36915" xr:uid="{00000000-0005-0000-0000-00003F9A0000}"/>
    <cellStyle name="Percent 3 2 6 8" xfId="24610" xr:uid="{00000000-0005-0000-0000-0000409A0000}"/>
    <cellStyle name="Percent 3 2 7" xfId="4274" xr:uid="{00000000-0005-0000-0000-0000419A0000}"/>
    <cellStyle name="Percent 3 2 7 2" xfId="5310" xr:uid="{00000000-0005-0000-0000-0000429A0000}"/>
    <cellStyle name="Percent 3 2 7 2 2" xfId="6935" xr:uid="{00000000-0005-0000-0000-0000439A0000}"/>
    <cellStyle name="Percent 3 2 7 2 2 2" xfId="10021" xr:uid="{00000000-0005-0000-0000-0000449A0000}"/>
    <cellStyle name="Percent 3 2 7 2 2 2 2" xfId="16214" xr:uid="{00000000-0005-0000-0000-0000459A0000}"/>
    <cellStyle name="Percent 3 2 7 2 2 2 2 2" xfId="36134" xr:uid="{00000000-0005-0000-0000-0000469A0000}"/>
    <cellStyle name="Percent 3 2 7 2 2 2 3" xfId="22366" xr:uid="{00000000-0005-0000-0000-0000479A0000}"/>
    <cellStyle name="Percent 3 2 7 2 2 2 3 2" xfId="42286" xr:uid="{00000000-0005-0000-0000-0000489A0000}"/>
    <cellStyle name="Percent 3 2 7 2 2 2 4" xfId="29981" xr:uid="{00000000-0005-0000-0000-0000499A0000}"/>
    <cellStyle name="Percent 3 2 7 2 2 3" xfId="13148" xr:uid="{00000000-0005-0000-0000-00004A9A0000}"/>
    <cellStyle name="Percent 3 2 7 2 2 3 2" xfId="33068" xr:uid="{00000000-0005-0000-0000-00004B9A0000}"/>
    <cellStyle name="Percent 3 2 7 2 2 4" xfId="19300" xr:uid="{00000000-0005-0000-0000-00004C9A0000}"/>
    <cellStyle name="Percent 3 2 7 2 2 4 2" xfId="39220" xr:uid="{00000000-0005-0000-0000-00004D9A0000}"/>
    <cellStyle name="Percent 3 2 7 2 2 5" xfId="26915" xr:uid="{00000000-0005-0000-0000-00004E9A0000}"/>
    <cellStyle name="Percent 3 2 7 2 3" xfId="8486" xr:uid="{00000000-0005-0000-0000-00004F9A0000}"/>
    <cellStyle name="Percent 3 2 7 2 3 2" xfId="14680" xr:uid="{00000000-0005-0000-0000-0000509A0000}"/>
    <cellStyle name="Percent 3 2 7 2 3 2 2" xfId="34600" xr:uid="{00000000-0005-0000-0000-0000519A0000}"/>
    <cellStyle name="Percent 3 2 7 2 3 3" xfId="20832" xr:uid="{00000000-0005-0000-0000-0000529A0000}"/>
    <cellStyle name="Percent 3 2 7 2 3 3 2" xfId="40752" xr:uid="{00000000-0005-0000-0000-0000539A0000}"/>
    <cellStyle name="Percent 3 2 7 2 3 4" xfId="28447" xr:uid="{00000000-0005-0000-0000-0000549A0000}"/>
    <cellStyle name="Percent 3 2 7 2 4" xfId="11614" xr:uid="{00000000-0005-0000-0000-0000559A0000}"/>
    <cellStyle name="Percent 3 2 7 2 4 2" xfId="31534" xr:uid="{00000000-0005-0000-0000-0000569A0000}"/>
    <cellStyle name="Percent 3 2 7 2 5" xfId="17766" xr:uid="{00000000-0005-0000-0000-0000579A0000}"/>
    <cellStyle name="Percent 3 2 7 2 5 2" xfId="37686" xr:uid="{00000000-0005-0000-0000-0000589A0000}"/>
    <cellStyle name="Percent 3 2 7 2 6" xfId="25381" xr:uid="{00000000-0005-0000-0000-0000599A0000}"/>
    <cellStyle name="Percent 3 2 7 3" xfId="6162" xr:uid="{00000000-0005-0000-0000-00005A9A0000}"/>
    <cellStyle name="Percent 3 2 7 3 2" xfId="9252" xr:uid="{00000000-0005-0000-0000-00005B9A0000}"/>
    <cellStyle name="Percent 3 2 7 3 2 2" xfId="15445" xr:uid="{00000000-0005-0000-0000-00005C9A0000}"/>
    <cellStyle name="Percent 3 2 7 3 2 2 2" xfId="35365" xr:uid="{00000000-0005-0000-0000-00005D9A0000}"/>
    <cellStyle name="Percent 3 2 7 3 2 3" xfId="21597" xr:uid="{00000000-0005-0000-0000-00005E9A0000}"/>
    <cellStyle name="Percent 3 2 7 3 2 3 2" xfId="41517" xr:uid="{00000000-0005-0000-0000-00005F9A0000}"/>
    <cellStyle name="Percent 3 2 7 3 2 4" xfId="29212" xr:uid="{00000000-0005-0000-0000-0000609A0000}"/>
    <cellStyle name="Percent 3 2 7 3 3" xfId="12379" xr:uid="{00000000-0005-0000-0000-0000619A0000}"/>
    <cellStyle name="Percent 3 2 7 3 3 2" xfId="32299" xr:uid="{00000000-0005-0000-0000-0000629A0000}"/>
    <cellStyle name="Percent 3 2 7 3 4" xfId="18531" xr:uid="{00000000-0005-0000-0000-0000639A0000}"/>
    <cellStyle name="Percent 3 2 7 3 4 2" xfId="38451" xr:uid="{00000000-0005-0000-0000-0000649A0000}"/>
    <cellStyle name="Percent 3 2 7 3 5" xfId="26146" xr:uid="{00000000-0005-0000-0000-0000659A0000}"/>
    <cellStyle name="Percent 3 2 7 4" xfId="7717" xr:uid="{00000000-0005-0000-0000-0000669A0000}"/>
    <cellStyle name="Percent 3 2 7 4 2" xfId="13911" xr:uid="{00000000-0005-0000-0000-0000679A0000}"/>
    <cellStyle name="Percent 3 2 7 4 2 2" xfId="33831" xr:uid="{00000000-0005-0000-0000-0000689A0000}"/>
    <cellStyle name="Percent 3 2 7 4 3" xfId="20063" xr:uid="{00000000-0005-0000-0000-0000699A0000}"/>
    <cellStyle name="Percent 3 2 7 4 3 2" xfId="39983" xr:uid="{00000000-0005-0000-0000-00006A9A0000}"/>
    <cellStyle name="Percent 3 2 7 4 4" xfId="27678" xr:uid="{00000000-0005-0000-0000-00006B9A0000}"/>
    <cellStyle name="Percent 3 2 7 5" xfId="10845" xr:uid="{00000000-0005-0000-0000-00006C9A0000}"/>
    <cellStyle name="Percent 3 2 7 5 2" xfId="30765" xr:uid="{00000000-0005-0000-0000-00006D9A0000}"/>
    <cellStyle name="Percent 3 2 7 6" xfId="16997" xr:uid="{00000000-0005-0000-0000-00006E9A0000}"/>
    <cellStyle name="Percent 3 2 7 6 2" xfId="36917" xr:uid="{00000000-0005-0000-0000-00006F9A0000}"/>
    <cellStyle name="Percent 3 2 7 7" xfId="24612" xr:uid="{00000000-0005-0000-0000-0000709A0000}"/>
    <cellStyle name="Percent 3 2 8" xfId="4275" xr:uid="{00000000-0005-0000-0000-0000719A0000}"/>
    <cellStyle name="Percent 3 2 8 2" xfId="5311" xr:uid="{00000000-0005-0000-0000-0000729A0000}"/>
    <cellStyle name="Percent 3 2 8 2 2" xfId="6936" xr:uid="{00000000-0005-0000-0000-0000739A0000}"/>
    <cellStyle name="Percent 3 2 8 2 2 2" xfId="10022" xr:uid="{00000000-0005-0000-0000-0000749A0000}"/>
    <cellStyle name="Percent 3 2 8 2 2 2 2" xfId="16215" xr:uid="{00000000-0005-0000-0000-0000759A0000}"/>
    <cellStyle name="Percent 3 2 8 2 2 2 2 2" xfId="36135" xr:uid="{00000000-0005-0000-0000-0000769A0000}"/>
    <cellStyle name="Percent 3 2 8 2 2 2 3" xfId="22367" xr:uid="{00000000-0005-0000-0000-0000779A0000}"/>
    <cellStyle name="Percent 3 2 8 2 2 2 3 2" xfId="42287" xr:uid="{00000000-0005-0000-0000-0000789A0000}"/>
    <cellStyle name="Percent 3 2 8 2 2 2 4" xfId="29982" xr:uid="{00000000-0005-0000-0000-0000799A0000}"/>
    <cellStyle name="Percent 3 2 8 2 2 3" xfId="13149" xr:uid="{00000000-0005-0000-0000-00007A9A0000}"/>
    <cellStyle name="Percent 3 2 8 2 2 3 2" xfId="33069" xr:uid="{00000000-0005-0000-0000-00007B9A0000}"/>
    <cellStyle name="Percent 3 2 8 2 2 4" xfId="19301" xr:uid="{00000000-0005-0000-0000-00007C9A0000}"/>
    <cellStyle name="Percent 3 2 8 2 2 4 2" xfId="39221" xr:uid="{00000000-0005-0000-0000-00007D9A0000}"/>
    <cellStyle name="Percent 3 2 8 2 2 5" xfId="26916" xr:uid="{00000000-0005-0000-0000-00007E9A0000}"/>
    <cellStyle name="Percent 3 2 8 2 3" xfId="8487" xr:uid="{00000000-0005-0000-0000-00007F9A0000}"/>
    <cellStyle name="Percent 3 2 8 2 3 2" xfId="14681" xr:uid="{00000000-0005-0000-0000-0000809A0000}"/>
    <cellStyle name="Percent 3 2 8 2 3 2 2" xfId="34601" xr:uid="{00000000-0005-0000-0000-0000819A0000}"/>
    <cellStyle name="Percent 3 2 8 2 3 3" xfId="20833" xr:uid="{00000000-0005-0000-0000-0000829A0000}"/>
    <cellStyle name="Percent 3 2 8 2 3 3 2" xfId="40753" xr:uid="{00000000-0005-0000-0000-0000839A0000}"/>
    <cellStyle name="Percent 3 2 8 2 3 4" xfId="28448" xr:uid="{00000000-0005-0000-0000-0000849A0000}"/>
    <cellStyle name="Percent 3 2 8 2 4" xfId="11615" xr:uid="{00000000-0005-0000-0000-0000859A0000}"/>
    <cellStyle name="Percent 3 2 8 2 4 2" xfId="31535" xr:uid="{00000000-0005-0000-0000-0000869A0000}"/>
    <cellStyle name="Percent 3 2 8 2 5" xfId="17767" xr:uid="{00000000-0005-0000-0000-0000879A0000}"/>
    <cellStyle name="Percent 3 2 8 2 5 2" xfId="37687" xr:uid="{00000000-0005-0000-0000-0000889A0000}"/>
    <cellStyle name="Percent 3 2 8 2 6" xfId="25382" xr:uid="{00000000-0005-0000-0000-0000899A0000}"/>
    <cellStyle name="Percent 3 2 8 3" xfId="6163" xr:uid="{00000000-0005-0000-0000-00008A9A0000}"/>
    <cellStyle name="Percent 3 2 8 3 2" xfId="9253" xr:uid="{00000000-0005-0000-0000-00008B9A0000}"/>
    <cellStyle name="Percent 3 2 8 3 2 2" xfId="15446" xr:uid="{00000000-0005-0000-0000-00008C9A0000}"/>
    <cellStyle name="Percent 3 2 8 3 2 2 2" xfId="35366" xr:uid="{00000000-0005-0000-0000-00008D9A0000}"/>
    <cellStyle name="Percent 3 2 8 3 2 3" xfId="21598" xr:uid="{00000000-0005-0000-0000-00008E9A0000}"/>
    <cellStyle name="Percent 3 2 8 3 2 3 2" xfId="41518" xr:uid="{00000000-0005-0000-0000-00008F9A0000}"/>
    <cellStyle name="Percent 3 2 8 3 2 4" xfId="29213" xr:uid="{00000000-0005-0000-0000-0000909A0000}"/>
    <cellStyle name="Percent 3 2 8 3 3" xfId="12380" xr:uid="{00000000-0005-0000-0000-0000919A0000}"/>
    <cellStyle name="Percent 3 2 8 3 3 2" xfId="32300" xr:uid="{00000000-0005-0000-0000-0000929A0000}"/>
    <cellStyle name="Percent 3 2 8 3 4" xfId="18532" xr:uid="{00000000-0005-0000-0000-0000939A0000}"/>
    <cellStyle name="Percent 3 2 8 3 4 2" xfId="38452" xr:uid="{00000000-0005-0000-0000-0000949A0000}"/>
    <cellStyle name="Percent 3 2 8 3 5" xfId="26147" xr:uid="{00000000-0005-0000-0000-0000959A0000}"/>
    <cellStyle name="Percent 3 2 8 4" xfId="7718" xr:uid="{00000000-0005-0000-0000-0000969A0000}"/>
    <cellStyle name="Percent 3 2 8 4 2" xfId="13912" xr:uid="{00000000-0005-0000-0000-0000979A0000}"/>
    <cellStyle name="Percent 3 2 8 4 2 2" xfId="33832" xr:uid="{00000000-0005-0000-0000-0000989A0000}"/>
    <cellStyle name="Percent 3 2 8 4 3" xfId="20064" xr:uid="{00000000-0005-0000-0000-0000999A0000}"/>
    <cellStyle name="Percent 3 2 8 4 3 2" xfId="39984" xr:uid="{00000000-0005-0000-0000-00009A9A0000}"/>
    <cellStyle name="Percent 3 2 8 4 4" xfId="27679" xr:uid="{00000000-0005-0000-0000-00009B9A0000}"/>
    <cellStyle name="Percent 3 2 8 5" xfId="10846" xr:uid="{00000000-0005-0000-0000-00009C9A0000}"/>
    <cellStyle name="Percent 3 2 8 5 2" xfId="30766" xr:uid="{00000000-0005-0000-0000-00009D9A0000}"/>
    <cellStyle name="Percent 3 2 8 6" xfId="16998" xr:uid="{00000000-0005-0000-0000-00009E9A0000}"/>
    <cellStyle name="Percent 3 2 8 6 2" xfId="36918" xr:uid="{00000000-0005-0000-0000-00009F9A0000}"/>
    <cellStyle name="Percent 3 2 8 7" xfId="24613" xr:uid="{00000000-0005-0000-0000-0000A09A0000}"/>
    <cellStyle name="Percent 3 2 9" xfId="4276" xr:uid="{00000000-0005-0000-0000-0000A19A0000}"/>
    <cellStyle name="Percent 3 2 9 2" xfId="5312" xr:uid="{00000000-0005-0000-0000-0000A29A0000}"/>
    <cellStyle name="Percent 3 2 9 2 2" xfId="6937" xr:uid="{00000000-0005-0000-0000-0000A39A0000}"/>
    <cellStyle name="Percent 3 2 9 2 2 2" xfId="10023" xr:uid="{00000000-0005-0000-0000-0000A49A0000}"/>
    <cellStyle name="Percent 3 2 9 2 2 2 2" xfId="16216" xr:uid="{00000000-0005-0000-0000-0000A59A0000}"/>
    <cellStyle name="Percent 3 2 9 2 2 2 2 2" xfId="36136" xr:uid="{00000000-0005-0000-0000-0000A69A0000}"/>
    <cellStyle name="Percent 3 2 9 2 2 2 3" xfId="22368" xr:uid="{00000000-0005-0000-0000-0000A79A0000}"/>
    <cellStyle name="Percent 3 2 9 2 2 2 3 2" xfId="42288" xr:uid="{00000000-0005-0000-0000-0000A89A0000}"/>
    <cellStyle name="Percent 3 2 9 2 2 2 4" xfId="29983" xr:uid="{00000000-0005-0000-0000-0000A99A0000}"/>
    <cellStyle name="Percent 3 2 9 2 2 3" xfId="13150" xr:uid="{00000000-0005-0000-0000-0000AA9A0000}"/>
    <cellStyle name="Percent 3 2 9 2 2 3 2" xfId="33070" xr:uid="{00000000-0005-0000-0000-0000AB9A0000}"/>
    <cellStyle name="Percent 3 2 9 2 2 4" xfId="19302" xr:uid="{00000000-0005-0000-0000-0000AC9A0000}"/>
    <cellStyle name="Percent 3 2 9 2 2 4 2" xfId="39222" xr:uid="{00000000-0005-0000-0000-0000AD9A0000}"/>
    <cellStyle name="Percent 3 2 9 2 2 5" xfId="26917" xr:uid="{00000000-0005-0000-0000-0000AE9A0000}"/>
    <cellStyle name="Percent 3 2 9 2 3" xfId="8488" xr:uid="{00000000-0005-0000-0000-0000AF9A0000}"/>
    <cellStyle name="Percent 3 2 9 2 3 2" xfId="14682" xr:uid="{00000000-0005-0000-0000-0000B09A0000}"/>
    <cellStyle name="Percent 3 2 9 2 3 2 2" xfId="34602" xr:uid="{00000000-0005-0000-0000-0000B19A0000}"/>
    <cellStyle name="Percent 3 2 9 2 3 3" xfId="20834" xr:uid="{00000000-0005-0000-0000-0000B29A0000}"/>
    <cellStyle name="Percent 3 2 9 2 3 3 2" xfId="40754" xr:uid="{00000000-0005-0000-0000-0000B39A0000}"/>
    <cellStyle name="Percent 3 2 9 2 3 4" xfId="28449" xr:uid="{00000000-0005-0000-0000-0000B49A0000}"/>
    <cellStyle name="Percent 3 2 9 2 4" xfId="11616" xr:uid="{00000000-0005-0000-0000-0000B59A0000}"/>
    <cellStyle name="Percent 3 2 9 2 4 2" xfId="31536" xr:uid="{00000000-0005-0000-0000-0000B69A0000}"/>
    <cellStyle name="Percent 3 2 9 2 5" xfId="17768" xr:uid="{00000000-0005-0000-0000-0000B79A0000}"/>
    <cellStyle name="Percent 3 2 9 2 5 2" xfId="37688" xr:uid="{00000000-0005-0000-0000-0000B89A0000}"/>
    <cellStyle name="Percent 3 2 9 2 6" xfId="25383" xr:uid="{00000000-0005-0000-0000-0000B99A0000}"/>
    <cellStyle name="Percent 3 2 9 3" xfId="6164" xr:uid="{00000000-0005-0000-0000-0000BA9A0000}"/>
    <cellStyle name="Percent 3 2 9 3 2" xfId="9254" xr:uid="{00000000-0005-0000-0000-0000BB9A0000}"/>
    <cellStyle name="Percent 3 2 9 3 2 2" xfId="15447" xr:uid="{00000000-0005-0000-0000-0000BC9A0000}"/>
    <cellStyle name="Percent 3 2 9 3 2 2 2" xfId="35367" xr:uid="{00000000-0005-0000-0000-0000BD9A0000}"/>
    <cellStyle name="Percent 3 2 9 3 2 3" xfId="21599" xr:uid="{00000000-0005-0000-0000-0000BE9A0000}"/>
    <cellStyle name="Percent 3 2 9 3 2 3 2" xfId="41519" xr:uid="{00000000-0005-0000-0000-0000BF9A0000}"/>
    <cellStyle name="Percent 3 2 9 3 2 4" xfId="29214" xr:uid="{00000000-0005-0000-0000-0000C09A0000}"/>
    <cellStyle name="Percent 3 2 9 3 3" xfId="12381" xr:uid="{00000000-0005-0000-0000-0000C19A0000}"/>
    <cellStyle name="Percent 3 2 9 3 3 2" xfId="32301" xr:uid="{00000000-0005-0000-0000-0000C29A0000}"/>
    <cellStyle name="Percent 3 2 9 3 4" xfId="18533" xr:uid="{00000000-0005-0000-0000-0000C39A0000}"/>
    <cellStyle name="Percent 3 2 9 3 4 2" xfId="38453" xr:uid="{00000000-0005-0000-0000-0000C49A0000}"/>
    <cellStyle name="Percent 3 2 9 3 5" xfId="26148" xr:uid="{00000000-0005-0000-0000-0000C59A0000}"/>
    <cellStyle name="Percent 3 2 9 4" xfId="7719" xr:uid="{00000000-0005-0000-0000-0000C69A0000}"/>
    <cellStyle name="Percent 3 2 9 4 2" xfId="13913" xr:uid="{00000000-0005-0000-0000-0000C79A0000}"/>
    <cellStyle name="Percent 3 2 9 4 2 2" xfId="33833" xr:uid="{00000000-0005-0000-0000-0000C89A0000}"/>
    <cellStyle name="Percent 3 2 9 4 3" xfId="20065" xr:uid="{00000000-0005-0000-0000-0000C99A0000}"/>
    <cellStyle name="Percent 3 2 9 4 3 2" xfId="39985" xr:uid="{00000000-0005-0000-0000-0000CA9A0000}"/>
    <cellStyle name="Percent 3 2 9 4 4" xfId="27680" xr:uid="{00000000-0005-0000-0000-0000CB9A0000}"/>
    <cellStyle name="Percent 3 2 9 5" xfId="10847" xr:uid="{00000000-0005-0000-0000-0000CC9A0000}"/>
    <cellStyle name="Percent 3 2 9 5 2" xfId="30767" xr:uid="{00000000-0005-0000-0000-0000CD9A0000}"/>
    <cellStyle name="Percent 3 2 9 6" xfId="16999" xr:uid="{00000000-0005-0000-0000-0000CE9A0000}"/>
    <cellStyle name="Percent 3 2 9 6 2" xfId="36919" xr:uid="{00000000-0005-0000-0000-0000CF9A0000}"/>
    <cellStyle name="Percent 3 2 9 7" xfId="24614" xr:uid="{00000000-0005-0000-0000-0000D09A0000}"/>
    <cellStyle name="Percent 3 20" xfId="424" xr:uid="{00000000-0005-0000-0000-0000D19A0000}"/>
    <cellStyle name="Percent 3 20 2" xfId="5313" xr:uid="{00000000-0005-0000-0000-0000D29A0000}"/>
    <cellStyle name="Percent 3 20 2 2" xfId="6938" xr:uid="{00000000-0005-0000-0000-0000D39A0000}"/>
    <cellStyle name="Percent 3 20 2 2 2" xfId="10024" xr:uid="{00000000-0005-0000-0000-0000D49A0000}"/>
    <cellStyle name="Percent 3 20 2 2 2 2" xfId="16217" xr:uid="{00000000-0005-0000-0000-0000D59A0000}"/>
    <cellStyle name="Percent 3 20 2 2 2 2 2" xfId="36137" xr:uid="{00000000-0005-0000-0000-0000D69A0000}"/>
    <cellStyle name="Percent 3 20 2 2 2 3" xfId="22369" xr:uid="{00000000-0005-0000-0000-0000D79A0000}"/>
    <cellStyle name="Percent 3 20 2 2 2 3 2" xfId="42289" xr:uid="{00000000-0005-0000-0000-0000D89A0000}"/>
    <cellStyle name="Percent 3 20 2 2 2 4" xfId="29984" xr:uid="{00000000-0005-0000-0000-0000D99A0000}"/>
    <cellStyle name="Percent 3 20 2 2 3" xfId="13151" xr:uid="{00000000-0005-0000-0000-0000DA9A0000}"/>
    <cellStyle name="Percent 3 20 2 2 3 2" xfId="33071" xr:uid="{00000000-0005-0000-0000-0000DB9A0000}"/>
    <cellStyle name="Percent 3 20 2 2 4" xfId="19303" xr:uid="{00000000-0005-0000-0000-0000DC9A0000}"/>
    <cellStyle name="Percent 3 20 2 2 4 2" xfId="39223" xr:uid="{00000000-0005-0000-0000-0000DD9A0000}"/>
    <cellStyle name="Percent 3 20 2 2 5" xfId="26918" xr:uid="{00000000-0005-0000-0000-0000DE9A0000}"/>
    <cellStyle name="Percent 3 20 2 3" xfId="8489" xr:uid="{00000000-0005-0000-0000-0000DF9A0000}"/>
    <cellStyle name="Percent 3 20 2 3 2" xfId="14683" xr:uid="{00000000-0005-0000-0000-0000E09A0000}"/>
    <cellStyle name="Percent 3 20 2 3 2 2" xfId="34603" xr:uid="{00000000-0005-0000-0000-0000E19A0000}"/>
    <cellStyle name="Percent 3 20 2 3 3" xfId="20835" xr:uid="{00000000-0005-0000-0000-0000E29A0000}"/>
    <cellStyle name="Percent 3 20 2 3 3 2" xfId="40755" xr:uid="{00000000-0005-0000-0000-0000E39A0000}"/>
    <cellStyle name="Percent 3 20 2 3 4" xfId="28450" xr:uid="{00000000-0005-0000-0000-0000E49A0000}"/>
    <cellStyle name="Percent 3 20 2 4" xfId="11617" xr:uid="{00000000-0005-0000-0000-0000E59A0000}"/>
    <cellStyle name="Percent 3 20 2 4 2" xfId="31537" xr:uid="{00000000-0005-0000-0000-0000E69A0000}"/>
    <cellStyle name="Percent 3 20 2 5" xfId="17769" xr:uid="{00000000-0005-0000-0000-0000E79A0000}"/>
    <cellStyle name="Percent 3 20 2 5 2" xfId="37689" xr:uid="{00000000-0005-0000-0000-0000E89A0000}"/>
    <cellStyle name="Percent 3 20 2 6" xfId="25384" xr:uid="{00000000-0005-0000-0000-0000E99A0000}"/>
    <cellStyle name="Percent 3 20 3" xfId="6165" xr:uid="{00000000-0005-0000-0000-0000EA9A0000}"/>
    <cellStyle name="Percent 3 20 3 2" xfId="9255" xr:uid="{00000000-0005-0000-0000-0000EB9A0000}"/>
    <cellStyle name="Percent 3 20 3 2 2" xfId="15448" xr:uid="{00000000-0005-0000-0000-0000EC9A0000}"/>
    <cellStyle name="Percent 3 20 3 2 2 2" xfId="35368" xr:uid="{00000000-0005-0000-0000-0000ED9A0000}"/>
    <cellStyle name="Percent 3 20 3 2 3" xfId="21600" xr:uid="{00000000-0005-0000-0000-0000EE9A0000}"/>
    <cellStyle name="Percent 3 20 3 2 3 2" xfId="41520" xr:uid="{00000000-0005-0000-0000-0000EF9A0000}"/>
    <cellStyle name="Percent 3 20 3 2 4" xfId="29215" xr:uid="{00000000-0005-0000-0000-0000F09A0000}"/>
    <cellStyle name="Percent 3 20 3 3" xfId="12382" xr:uid="{00000000-0005-0000-0000-0000F19A0000}"/>
    <cellStyle name="Percent 3 20 3 3 2" xfId="32302" xr:uid="{00000000-0005-0000-0000-0000F29A0000}"/>
    <cellStyle name="Percent 3 20 3 4" xfId="18534" xr:uid="{00000000-0005-0000-0000-0000F39A0000}"/>
    <cellStyle name="Percent 3 20 3 4 2" xfId="38454" xr:uid="{00000000-0005-0000-0000-0000F49A0000}"/>
    <cellStyle name="Percent 3 20 3 5" xfId="26149" xr:uid="{00000000-0005-0000-0000-0000F59A0000}"/>
    <cellStyle name="Percent 3 20 4" xfId="7720" xr:uid="{00000000-0005-0000-0000-0000F69A0000}"/>
    <cellStyle name="Percent 3 20 4 2" xfId="13914" xr:uid="{00000000-0005-0000-0000-0000F79A0000}"/>
    <cellStyle name="Percent 3 20 4 2 2" xfId="33834" xr:uid="{00000000-0005-0000-0000-0000F89A0000}"/>
    <cellStyle name="Percent 3 20 4 3" xfId="20066" xr:uid="{00000000-0005-0000-0000-0000F99A0000}"/>
    <cellStyle name="Percent 3 20 4 3 2" xfId="39986" xr:uid="{00000000-0005-0000-0000-0000FA9A0000}"/>
    <cellStyle name="Percent 3 20 4 4" xfId="27681" xr:uid="{00000000-0005-0000-0000-0000FB9A0000}"/>
    <cellStyle name="Percent 3 20 5" xfId="10848" xr:uid="{00000000-0005-0000-0000-0000FC9A0000}"/>
    <cellStyle name="Percent 3 20 5 2" xfId="30768" xr:uid="{00000000-0005-0000-0000-0000FD9A0000}"/>
    <cellStyle name="Percent 3 20 6" xfId="17000" xr:uid="{00000000-0005-0000-0000-0000FE9A0000}"/>
    <cellStyle name="Percent 3 20 6 2" xfId="36920" xr:uid="{00000000-0005-0000-0000-0000FF9A0000}"/>
    <cellStyle name="Percent 3 20 7" xfId="4277" xr:uid="{00000000-0005-0000-0000-0000009B0000}"/>
    <cellStyle name="Percent 3 20 7 2" xfId="24615" xr:uid="{00000000-0005-0000-0000-0000019B0000}"/>
    <cellStyle name="Percent 3 21" xfId="451" xr:uid="{00000000-0005-0000-0000-0000029B0000}"/>
    <cellStyle name="Percent 3 21 2" xfId="5314" xr:uid="{00000000-0005-0000-0000-0000039B0000}"/>
    <cellStyle name="Percent 3 21 2 2" xfId="6939" xr:uid="{00000000-0005-0000-0000-0000049B0000}"/>
    <cellStyle name="Percent 3 21 2 2 2" xfId="10025" xr:uid="{00000000-0005-0000-0000-0000059B0000}"/>
    <cellStyle name="Percent 3 21 2 2 2 2" xfId="16218" xr:uid="{00000000-0005-0000-0000-0000069B0000}"/>
    <cellStyle name="Percent 3 21 2 2 2 2 2" xfId="36138" xr:uid="{00000000-0005-0000-0000-0000079B0000}"/>
    <cellStyle name="Percent 3 21 2 2 2 3" xfId="22370" xr:uid="{00000000-0005-0000-0000-0000089B0000}"/>
    <cellStyle name="Percent 3 21 2 2 2 3 2" xfId="42290" xr:uid="{00000000-0005-0000-0000-0000099B0000}"/>
    <cellStyle name="Percent 3 21 2 2 2 4" xfId="29985" xr:uid="{00000000-0005-0000-0000-00000A9B0000}"/>
    <cellStyle name="Percent 3 21 2 2 3" xfId="13152" xr:uid="{00000000-0005-0000-0000-00000B9B0000}"/>
    <cellStyle name="Percent 3 21 2 2 3 2" xfId="33072" xr:uid="{00000000-0005-0000-0000-00000C9B0000}"/>
    <cellStyle name="Percent 3 21 2 2 4" xfId="19304" xr:uid="{00000000-0005-0000-0000-00000D9B0000}"/>
    <cellStyle name="Percent 3 21 2 2 4 2" xfId="39224" xr:uid="{00000000-0005-0000-0000-00000E9B0000}"/>
    <cellStyle name="Percent 3 21 2 2 5" xfId="26919" xr:uid="{00000000-0005-0000-0000-00000F9B0000}"/>
    <cellStyle name="Percent 3 21 2 3" xfId="8490" xr:uid="{00000000-0005-0000-0000-0000109B0000}"/>
    <cellStyle name="Percent 3 21 2 3 2" xfId="14684" xr:uid="{00000000-0005-0000-0000-0000119B0000}"/>
    <cellStyle name="Percent 3 21 2 3 2 2" xfId="34604" xr:uid="{00000000-0005-0000-0000-0000129B0000}"/>
    <cellStyle name="Percent 3 21 2 3 3" xfId="20836" xr:uid="{00000000-0005-0000-0000-0000139B0000}"/>
    <cellStyle name="Percent 3 21 2 3 3 2" xfId="40756" xr:uid="{00000000-0005-0000-0000-0000149B0000}"/>
    <cellStyle name="Percent 3 21 2 3 4" xfId="28451" xr:uid="{00000000-0005-0000-0000-0000159B0000}"/>
    <cellStyle name="Percent 3 21 2 4" xfId="11618" xr:uid="{00000000-0005-0000-0000-0000169B0000}"/>
    <cellStyle name="Percent 3 21 2 4 2" xfId="31538" xr:uid="{00000000-0005-0000-0000-0000179B0000}"/>
    <cellStyle name="Percent 3 21 2 5" xfId="17770" xr:uid="{00000000-0005-0000-0000-0000189B0000}"/>
    <cellStyle name="Percent 3 21 2 5 2" xfId="37690" xr:uid="{00000000-0005-0000-0000-0000199B0000}"/>
    <cellStyle name="Percent 3 21 2 6" xfId="25385" xr:uid="{00000000-0005-0000-0000-00001A9B0000}"/>
    <cellStyle name="Percent 3 21 3" xfId="6166" xr:uid="{00000000-0005-0000-0000-00001B9B0000}"/>
    <cellStyle name="Percent 3 21 3 2" xfId="9256" xr:uid="{00000000-0005-0000-0000-00001C9B0000}"/>
    <cellStyle name="Percent 3 21 3 2 2" xfId="15449" xr:uid="{00000000-0005-0000-0000-00001D9B0000}"/>
    <cellStyle name="Percent 3 21 3 2 2 2" xfId="35369" xr:uid="{00000000-0005-0000-0000-00001E9B0000}"/>
    <cellStyle name="Percent 3 21 3 2 3" xfId="21601" xr:uid="{00000000-0005-0000-0000-00001F9B0000}"/>
    <cellStyle name="Percent 3 21 3 2 3 2" xfId="41521" xr:uid="{00000000-0005-0000-0000-0000209B0000}"/>
    <cellStyle name="Percent 3 21 3 2 4" xfId="29216" xr:uid="{00000000-0005-0000-0000-0000219B0000}"/>
    <cellStyle name="Percent 3 21 3 3" xfId="12383" xr:uid="{00000000-0005-0000-0000-0000229B0000}"/>
    <cellStyle name="Percent 3 21 3 3 2" xfId="32303" xr:uid="{00000000-0005-0000-0000-0000239B0000}"/>
    <cellStyle name="Percent 3 21 3 4" xfId="18535" xr:uid="{00000000-0005-0000-0000-0000249B0000}"/>
    <cellStyle name="Percent 3 21 3 4 2" xfId="38455" xr:uid="{00000000-0005-0000-0000-0000259B0000}"/>
    <cellStyle name="Percent 3 21 3 5" xfId="26150" xr:uid="{00000000-0005-0000-0000-0000269B0000}"/>
    <cellStyle name="Percent 3 21 4" xfId="7721" xr:uid="{00000000-0005-0000-0000-0000279B0000}"/>
    <cellStyle name="Percent 3 21 4 2" xfId="13915" xr:uid="{00000000-0005-0000-0000-0000289B0000}"/>
    <cellStyle name="Percent 3 21 4 2 2" xfId="33835" xr:uid="{00000000-0005-0000-0000-0000299B0000}"/>
    <cellStyle name="Percent 3 21 4 3" xfId="20067" xr:uid="{00000000-0005-0000-0000-00002A9B0000}"/>
    <cellStyle name="Percent 3 21 4 3 2" xfId="39987" xr:uid="{00000000-0005-0000-0000-00002B9B0000}"/>
    <cellStyle name="Percent 3 21 4 4" xfId="27682" xr:uid="{00000000-0005-0000-0000-00002C9B0000}"/>
    <cellStyle name="Percent 3 21 5" xfId="10849" xr:uid="{00000000-0005-0000-0000-00002D9B0000}"/>
    <cellStyle name="Percent 3 21 5 2" xfId="30769" xr:uid="{00000000-0005-0000-0000-00002E9B0000}"/>
    <cellStyle name="Percent 3 21 6" xfId="17001" xr:uid="{00000000-0005-0000-0000-00002F9B0000}"/>
    <cellStyle name="Percent 3 21 6 2" xfId="36921" xr:uid="{00000000-0005-0000-0000-0000309B0000}"/>
    <cellStyle name="Percent 3 21 7" xfId="4278" xr:uid="{00000000-0005-0000-0000-0000319B0000}"/>
    <cellStyle name="Percent 3 21 7 2" xfId="24616" xr:uid="{00000000-0005-0000-0000-0000329B0000}"/>
    <cellStyle name="Percent 3 22" xfId="441" xr:uid="{00000000-0005-0000-0000-0000339B0000}"/>
    <cellStyle name="Percent 3 22 2" xfId="10118" xr:uid="{00000000-0005-0000-0000-0000349B0000}"/>
    <cellStyle name="Percent 3 23" xfId="349" xr:uid="{00000000-0005-0000-0000-0000359B0000}"/>
    <cellStyle name="Percent 3 24" xfId="561" xr:uid="{00000000-0005-0000-0000-0000369B0000}"/>
    <cellStyle name="Percent 3 25" xfId="587" xr:uid="{00000000-0005-0000-0000-0000379B0000}"/>
    <cellStyle name="Percent 3 26" xfId="593" xr:uid="{00000000-0005-0000-0000-0000389B0000}"/>
    <cellStyle name="Percent 3 27" xfId="621" xr:uid="{00000000-0005-0000-0000-0000399B0000}"/>
    <cellStyle name="Percent 3 28" xfId="647" xr:uid="{00000000-0005-0000-0000-00003A9B0000}"/>
    <cellStyle name="Percent 3 29" xfId="672" xr:uid="{00000000-0005-0000-0000-00003B9B0000}"/>
    <cellStyle name="Percent 3 3" xfId="32" xr:uid="{00000000-0005-0000-0000-00003C9B0000}"/>
    <cellStyle name="Percent 3 3 2" xfId="125" xr:uid="{00000000-0005-0000-0000-00003D9B0000}"/>
    <cellStyle name="Percent 3 3 2 2" xfId="5315" xr:uid="{00000000-0005-0000-0000-00003E9B0000}"/>
    <cellStyle name="Percent 3 3 2 2 2" xfId="6940" xr:uid="{00000000-0005-0000-0000-00003F9B0000}"/>
    <cellStyle name="Percent 3 3 2 2 2 2" xfId="10026" xr:uid="{00000000-0005-0000-0000-0000409B0000}"/>
    <cellStyle name="Percent 3 3 2 2 2 2 2" xfId="16219" xr:uid="{00000000-0005-0000-0000-0000419B0000}"/>
    <cellStyle name="Percent 3 3 2 2 2 2 2 2" xfId="36139" xr:uid="{00000000-0005-0000-0000-0000429B0000}"/>
    <cellStyle name="Percent 3 3 2 2 2 2 3" xfId="22371" xr:uid="{00000000-0005-0000-0000-0000439B0000}"/>
    <cellStyle name="Percent 3 3 2 2 2 2 3 2" xfId="42291" xr:uid="{00000000-0005-0000-0000-0000449B0000}"/>
    <cellStyle name="Percent 3 3 2 2 2 2 4" xfId="29986" xr:uid="{00000000-0005-0000-0000-0000459B0000}"/>
    <cellStyle name="Percent 3 3 2 2 2 3" xfId="13153" xr:uid="{00000000-0005-0000-0000-0000469B0000}"/>
    <cellStyle name="Percent 3 3 2 2 2 3 2" xfId="33073" xr:uid="{00000000-0005-0000-0000-0000479B0000}"/>
    <cellStyle name="Percent 3 3 2 2 2 4" xfId="19305" xr:uid="{00000000-0005-0000-0000-0000489B0000}"/>
    <cellStyle name="Percent 3 3 2 2 2 4 2" xfId="39225" xr:uid="{00000000-0005-0000-0000-0000499B0000}"/>
    <cellStyle name="Percent 3 3 2 2 2 5" xfId="26920" xr:uid="{00000000-0005-0000-0000-00004A9B0000}"/>
    <cellStyle name="Percent 3 3 2 2 3" xfId="8491" xr:uid="{00000000-0005-0000-0000-00004B9B0000}"/>
    <cellStyle name="Percent 3 3 2 2 3 2" xfId="14685" xr:uid="{00000000-0005-0000-0000-00004C9B0000}"/>
    <cellStyle name="Percent 3 3 2 2 3 2 2" xfId="34605" xr:uid="{00000000-0005-0000-0000-00004D9B0000}"/>
    <cellStyle name="Percent 3 3 2 2 3 3" xfId="20837" xr:uid="{00000000-0005-0000-0000-00004E9B0000}"/>
    <cellStyle name="Percent 3 3 2 2 3 3 2" xfId="40757" xr:uid="{00000000-0005-0000-0000-00004F9B0000}"/>
    <cellStyle name="Percent 3 3 2 2 3 4" xfId="28452" xr:uid="{00000000-0005-0000-0000-0000509B0000}"/>
    <cellStyle name="Percent 3 3 2 2 4" xfId="11619" xr:uid="{00000000-0005-0000-0000-0000519B0000}"/>
    <cellStyle name="Percent 3 3 2 2 4 2" xfId="31539" xr:uid="{00000000-0005-0000-0000-0000529B0000}"/>
    <cellStyle name="Percent 3 3 2 2 5" xfId="17771" xr:uid="{00000000-0005-0000-0000-0000539B0000}"/>
    <cellStyle name="Percent 3 3 2 2 5 2" xfId="37691" xr:uid="{00000000-0005-0000-0000-0000549B0000}"/>
    <cellStyle name="Percent 3 3 2 2 6" xfId="25386" xr:uid="{00000000-0005-0000-0000-0000559B0000}"/>
    <cellStyle name="Percent 3 3 2 3" xfId="6167" xr:uid="{00000000-0005-0000-0000-0000569B0000}"/>
    <cellStyle name="Percent 3 3 2 3 2" xfId="9257" xr:uid="{00000000-0005-0000-0000-0000579B0000}"/>
    <cellStyle name="Percent 3 3 2 3 2 2" xfId="15450" xr:uid="{00000000-0005-0000-0000-0000589B0000}"/>
    <cellStyle name="Percent 3 3 2 3 2 2 2" xfId="35370" xr:uid="{00000000-0005-0000-0000-0000599B0000}"/>
    <cellStyle name="Percent 3 3 2 3 2 3" xfId="21602" xr:uid="{00000000-0005-0000-0000-00005A9B0000}"/>
    <cellStyle name="Percent 3 3 2 3 2 3 2" xfId="41522" xr:uid="{00000000-0005-0000-0000-00005B9B0000}"/>
    <cellStyle name="Percent 3 3 2 3 2 4" xfId="29217" xr:uid="{00000000-0005-0000-0000-00005C9B0000}"/>
    <cellStyle name="Percent 3 3 2 3 3" xfId="12384" xr:uid="{00000000-0005-0000-0000-00005D9B0000}"/>
    <cellStyle name="Percent 3 3 2 3 3 2" xfId="32304" xr:uid="{00000000-0005-0000-0000-00005E9B0000}"/>
    <cellStyle name="Percent 3 3 2 3 4" xfId="18536" xr:uid="{00000000-0005-0000-0000-00005F9B0000}"/>
    <cellStyle name="Percent 3 3 2 3 4 2" xfId="38456" xr:uid="{00000000-0005-0000-0000-0000609B0000}"/>
    <cellStyle name="Percent 3 3 2 3 5" xfId="26151" xr:uid="{00000000-0005-0000-0000-0000619B0000}"/>
    <cellStyle name="Percent 3 3 2 4" xfId="7722" xr:uid="{00000000-0005-0000-0000-0000629B0000}"/>
    <cellStyle name="Percent 3 3 2 4 2" xfId="13916" xr:uid="{00000000-0005-0000-0000-0000639B0000}"/>
    <cellStyle name="Percent 3 3 2 4 2 2" xfId="33836" xr:uid="{00000000-0005-0000-0000-0000649B0000}"/>
    <cellStyle name="Percent 3 3 2 4 3" xfId="20068" xr:uid="{00000000-0005-0000-0000-0000659B0000}"/>
    <cellStyle name="Percent 3 3 2 4 3 2" xfId="39988" xr:uid="{00000000-0005-0000-0000-0000669B0000}"/>
    <cellStyle name="Percent 3 3 2 4 4" xfId="27683" xr:uid="{00000000-0005-0000-0000-0000679B0000}"/>
    <cellStyle name="Percent 3 3 2 5" xfId="10850" xr:uid="{00000000-0005-0000-0000-0000689B0000}"/>
    <cellStyle name="Percent 3 3 2 5 2" xfId="30770" xr:uid="{00000000-0005-0000-0000-0000699B0000}"/>
    <cellStyle name="Percent 3 3 2 6" xfId="17002" xr:uid="{00000000-0005-0000-0000-00006A9B0000}"/>
    <cellStyle name="Percent 3 3 2 6 2" xfId="36922" xr:uid="{00000000-0005-0000-0000-00006B9B0000}"/>
    <cellStyle name="Percent 3 3 2 7" xfId="4280" xr:uid="{00000000-0005-0000-0000-00006C9B0000}"/>
    <cellStyle name="Percent 3 3 2 7 2" xfId="24617" xr:uid="{00000000-0005-0000-0000-00006D9B0000}"/>
    <cellStyle name="Percent 3 3 3" xfId="4281" xr:uid="{00000000-0005-0000-0000-00006E9B0000}"/>
    <cellStyle name="Percent 3 3 3 2" xfId="5316" xr:uid="{00000000-0005-0000-0000-00006F9B0000}"/>
    <cellStyle name="Percent 3 3 3 2 2" xfId="6941" xr:uid="{00000000-0005-0000-0000-0000709B0000}"/>
    <cellStyle name="Percent 3 3 3 2 2 2" xfId="10027" xr:uid="{00000000-0005-0000-0000-0000719B0000}"/>
    <cellStyle name="Percent 3 3 3 2 2 2 2" xfId="16220" xr:uid="{00000000-0005-0000-0000-0000729B0000}"/>
    <cellStyle name="Percent 3 3 3 2 2 2 2 2" xfId="36140" xr:uid="{00000000-0005-0000-0000-0000739B0000}"/>
    <cellStyle name="Percent 3 3 3 2 2 2 3" xfId="22372" xr:uid="{00000000-0005-0000-0000-0000749B0000}"/>
    <cellStyle name="Percent 3 3 3 2 2 2 3 2" xfId="42292" xr:uid="{00000000-0005-0000-0000-0000759B0000}"/>
    <cellStyle name="Percent 3 3 3 2 2 2 4" xfId="29987" xr:uid="{00000000-0005-0000-0000-0000769B0000}"/>
    <cellStyle name="Percent 3 3 3 2 2 3" xfId="13154" xr:uid="{00000000-0005-0000-0000-0000779B0000}"/>
    <cellStyle name="Percent 3 3 3 2 2 3 2" xfId="33074" xr:uid="{00000000-0005-0000-0000-0000789B0000}"/>
    <cellStyle name="Percent 3 3 3 2 2 4" xfId="19306" xr:uid="{00000000-0005-0000-0000-0000799B0000}"/>
    <cellStyle name="Percent 3 3 3 2 2 4 2" xfId="39226" xr:uid="{00000000-0005-0000-0000-00007A9B0000}"/>
    <cellStyle name="Percent 3 3 3 2 2 5" xfId="26921" xr:uid="{00000000-0005-0000-0000-00007B9B0000}"/>
    <cellStyle name="Percent 3 3 3 2 3" xfId="8492" xr:uid="{00000000-0005-0000-0000-00007C9B0000}"/>
    <cellStyle name="Percent 3 3 3 2 3 2" xfId="14686" xr:uid="{00000000-0005-0000-0000-00007D9B0000}"/>
    <cellStyle name="Percent 3 3 3 2 3 2 2" xfId="34606" xr:uid="{00000000-0005-0000-0000-00007E9B0000}"/>
    <cellStyle name="Percent 3 3 3 2 3 3" xfId="20838" xr:uid="{00000000-0005-0000-0000-00007F9B0000}"/>
    <cellStyle name="Percent 3 3 3 2 3 3 2" xfId="40758" xr:uid="{00000000-0005-0000-0000-0000809B0000}"/>
    <cellStyle name="Percent 3 3 3 2 3 4" xfId="28453" xr:uid="{00000000-0005-0000-0000-0000819B0000}"/>
    <cellStyle name="Percent 3 3 3 2 4" xfId="11620" xr:uid="{00000000-0005-0000-0000-0000829B0000}"/>
    <cellStyle name="Percent 3 3 3 2 4 2" xfId="31540" xr:uid="{00000000-0005-0000-0000-0000839B0000}"/>
    <cellStyle name="Percent 3 3 3 2 5" xfId="17772" xr:uid="{00000000-0005-0000-0000-0000849B0000}"/>
    <cellStyle name="Percent 3 3 3 2 5 2" xfId="37692" xr:uid="{00000000-0005-0000-0000-0000859B0000}"/>
    <cellStyle name="Percent 3 3 3 2 6" xfId="25387" xr:uid="{00000000-0005-0000-0000-0000869B0000}"/>
    <cellStyle name="Percent 3 3 3 3" xfId="6168" xr:uid="{00000000-0005-0000-0000-0000879B0000}"/>
    <cellStyle name="Percent 3 3 3 3 2" xfId="9258" xr:uid="{00000000-0005-0000-0000-0000889B0000}"/>
    <cellStyle name="Percent 3 3 3 3 2 2" xfId="15451" xr:uid="{00000000-0005-0000-0000-0000899B0000}"/>
    <cellStyle name="Percent 3 3 3 3 2 2 2" xfId="35371" xr:uid="{00000000-0005-0000-0000-00008A9B0000}"/>
    <cellStyle name="Percent 3 3 3 3 2 3" xfId="21603" xr:uid="{00000000-0005-0000-0000-00008B9B0000}"/>
    <cellStyle name="Percent 3 3 3 3 2 3 2" xfId="41523" xr:uid="{00000000-0005-0000-0000-00008C9B0000}"/>
    <cellStyle name="Percent 3 3 3 3 2 4" xfId="29218" xr:uid="{00000000-0005-0000-0000-00008D9B0000}"/>
    <cellStyle name="Percent 3 3 3 3 3" xfId="12385" xr:uid="{00000000-0005-0000-0000-00008E9B0000}"/>
    <cellStyle name="Percent 3 3 3 3 3 2" xfId="32305" xr:uid="{00000000-0005-0000-0000-00008F9B0000}"/>
    <cellStyle name="Percent 3 3 3 3 4" xfId="18537" xr:uid="{00000000-0005-0000-0000-0000909B0000}"/>
    <cellStyle name="Percent 3 3 3 3 4 2" xfId="38457" xr:uid="{00000000-0005-0000-0000-0000919B0000}"/>
    <cellStyle name="Percent 3 3 3 3 5" xfId="26152" xr:uid="{00000000-0005-0000-0000-0000929B0000}"/>
    <cellStyle name="Percent 3 3 3 4" xfId="7723" xr:uid="{00000000-0005-0000-0000-0000939B0000}"/>
    <cellStyle name="Percent 3 3 3 4 2" xfId="13917" xr:uid="{00000000-0005-0000-0000-0000949B0000}"/>
    <cellStyle name="Percent 3 3 3 4 2 2" xfId="33837" xr:uid="{00000000-0005-0000-0000-0000959B0000}"/>
    <cellStyle name="Percent 3 3 3 4 3" xfId="20069" xr:uid="{00000000-0005-0000-0000-0000969B0000}"/>
    <cellStyle name="Percent 3 3 3 4 3 2" xfId="39989" xr:uid="{00000000-0005-0000-0000-0000979B0000}"/>
    <cellStyle name="Percent 3 3 3 4 4" xfId="27684" xr:uid="{00000000-0005-0000-0000-0000989B0000}"/>
    <cellStyle name="Percent 3 3 3 5" xfId="10851" xr:uid="{00000000-0005-0000-0000-0000999B0000}"/>
    <cellStyle name="Percent 3 3 3 5 2" xfId="30771" xr:uid="{00000000-0005-0000-0000-00009A9B0000}"/>
    <cellStyle name="Percent 3 3 3 6" xfId="17003" xr:uid="{00000000-0005-0000-0000-00009B9B0000}"/>
    <cellStyle name="Percent 3 3 3 6 2" xfId="36923" xr:uid="{00000000-0005-0000-0000-00009C9B0000}"/>
    <cellStyle name="Percent 3 3 3 7" xfId="24618" xr:uid="{00000000-0005-0000-0000-00009D9B0000}"/>
    <cellStyle name="Percent 3 3 4" xfId="4282" xr:uid="{00000000-0005-0000-0000-00009E9B0000}"/>
    <cellStyle name="Percent 3 3 4 2" xfId="5317" xr:uid="{00000000-0005-0000-0000-00009F9B0000}"/>
    <cellStyle name="Percent 3 3 4 2 2" xfId="6942" xr:uid="{00000000-0005-0000-0000-0000A09B0000}"/>
    <cellStyle name="Percent 3 3 4 2 2 2" xfId="10028" xr:uid="{00000000-0005-0000-0000-0000A19B0000}"/>
    <cellStyle name="Percent 3 3 4 2 2 2 2" xfId="16221" xr:uid="{00000000-0005-0000-0000-0000A29B0000}"/>
    <cellStyle name="Percent 3 3 4 2 2 2 2 2" xfId="36141" xr:uid="{00000000-0005-0000-0000-0000A39B0000}"/>
    <cellStyle name="Percent 3 3 4 2 2 2 3" xfId="22373" xr:uid="{00000000-0005-0000-0000-0000A49B0000}"/>
    <cellStyle name="Percent 3 3 4 2 2 2 3 2" xfId="42293" xr:uid="{00000000-0005-0000-0000-0000A59B0000}"/>
    <cellStyle name="Percent 3 3 4 2 2 2 4" xfId="29988" xr:uid="{00000000-0005-0000-0000-0000A69B0000}"/>
    <cellStyle name="Percent 3 3 4 2 2 3" xfId="13155" xr:uid="{00000000-0005-0000-0000-0000A79B0000}"/>
    <cellStyle name="Percent 3 3 4 2 2 3 2" xfId="33075" xr:uid="{00000000-0005-0000-0000-0000A89B0000}"/>
    <cellStyle name="Percent 3 3 4 2 2 4" xfId="19307" xr:uid="{00000000-0005-0000-0000-0000A99B0000}"/>
    <cellStyle name="Percent 3 3 4 2 2 4 2" xfId="39227" xr:uid="{00000000-0005-0000-0000-0000AA9B0000}"/>
    <cellStyle name="Percent 3 3 4 2 2 5" xfId="26922" xr:uid="{00000000-0005-0000-0000-0000AB9B0000}"/>
    <cellStyle name="Percent 3 3 4 2 3" xfId="8493" xr:uid="{00000000-0005-0000-0000-0000AC9B0000}"/>
    <cellStyle name="Percent 3 3 4 2 3 2" xfId="14687" xr:uid="{00000000-0005-0000-0000-0000AD9B0000}"/>
    <cellStyle name="Percent 3 3 4 2 3 2 2" xfId="34607" xr:uid="{00000000-0005-0000-0000-0000AE9B0000}"/>
    <cellStyle name="Percent 3 3 4 2 3 3" xfId="20839" xr:uid="{00000000-0005-0000-0000-0000AF9B0000}"/>
    <cellStyle name="Percent 3 3 4 2 3 3 2" xfId="40759" xr:uid="{00000000-0005-0000-0000-0000B09B0000}"/>
    <cellStyle name="Percent 3 3 4 2 3 4" xfId="28454" xr:uid="{00000000-0005-0000-0000-0000B19B0000}"/>
    <cellStyle name="Percent 3 3 4 2 4" xfId="11621" xr:uid="{00000000-0005-0000-0000-0000B29B0000}"/>
    <cellStyle name="Percent 3 3 4 2 4 2" xfId="31541" xr:uid="{00000000-0005-0000-0000-0000B39B0000}"/>
    <cellStyle name="Percent 3 3 4 2 5" xfId="17773" xr:uid="{00000000-0005-0000-0000-0000B49B0000}"/>
    <cellStyle name="Percent 3 3 4 2 5 2" xfId="37693" xr:uid="{00000000-0005-0000-0000-0000B59B0000}"/>
    <cellStyle name="Percent 3 3 4 2 6" xfId="25388" xr:uid="{00000000-0005-0000-0000-0000B69B0000}"/>
    <cellStyle name="Percent 3 3 4 3" xfId="6169" xr:uid="{00000000-0005-0000-0000-0000B79B0000}"/>
    <cellStyle name="Percent 3 3 4 3 2" xfId="9259" xr:uid="{00000000-0005-0000-0000-0000B89B0000}"/>
    <cellStyle name="Percent 3 3 4 3 2 2" xfId="15452" xr:uid="{00000000-0005-0000-0000-0000B99B0000}"/>
    <cellStyle name="Percent 3 3 4 3 2 2 2" xfId="35372" xr:uid="{00000000-0005-0000-0000-0000BA9B0000}"/>
    <cellStyle name="Percent 3 3 4 3 2 3" xfId="21604" xr:uid="{00000000-0005-0000-0000-0000BB9B0000}"/>
    <cellStyle name="Percent 3 3 4 3 2 3 2" xfId="41524" xr:uid="{00000000-0005-0000-0000-0000BC9B0000}"/>
    <cellStyle name="Percent 3 3 4 3 2 4" xfId="29219" xr:uid="{00000000-0005-0000-0000-0000BD9B0000}"/>
    <cellStyle name="Percent 3 3 4 3 3" xfId="12386" xr:uid="{00000000-0005-0000-0000-0000BE9B0000}"/>
    <cellStyle name="Percent 3 3 4 3 3 2" xfId="32306" xr:uid="{00000000-0005-0000-0000-0000BF9B0000}"/>
    <cellStyle name="Percent 3 3 4 3 4" xfId="18538" xr:uid="{00000000-0005-0000-0000-0000C09B0000}"/>
    <cellStyle name="Percent 3 3 4 3 4 2" xfId="38458" xr:uid="{00000000-0005-0000-0000-0000C19B0000}"/>
    <cellStyle name="Percent 3 3 4 3 5" xfId="26153" xr:uid="{00000000-0005-0000-0000-0000C29B0000}"/>
    <cellStyle name="Percent 3 3 4 4" xfId="7724" xr:uid="{00000000-0005-0000-0000-0000C39B0000}"/>
    <cellStyle name="Percent 3 3 4 4 2" xfId="13918" xr:uid="{00000000-0005-0000-0000-0000C49B0000}"/>
    <cellStyle name="Percent 3 3 4 4 2 2" xfId="33838" xr:uid="{00000000-0005-0000-0000-0000C59B0000}"/>
    <cellStyle name="Percent 3 3 4 4 3" xfId="20070" xr:uid="{00000000-0005-0000-0000-0000C69B0000}"/>
    <cellStyle name="Percent 3 3 4 4 3 2" xfId="39990" xr:uid="{00000000-0005-0000-0000-0000C79B0000}"/>
    <cellStyle name="Percent 3 3 4 4 4" xfId="27685" xr:uid="{00000000-0005-0000-0000-0000C89B0000}"/>
    <cellStyle name="Percent 3 3 4 5" xfId="10852" xr:uid="{00000000-0005-0000-0000-0000C99B0000}"/>
    <cellStyle name="Percent 3 3 4 5 2" xfId="30772" xr:uid="{00000000-0005-0000-0000-0000CA9B0000}"/>
    <cellStyle name="Percent 3 3 4 6" xfId="17004" xr:uid="{00000000-0005-0000-0000-0000CB9B0000}"/>
    <cellStyle name="Percent 3 3 4 6 2" xfId="36924" xr:uid="{00000000-0005-0000-0000-0000CC9B0000}"/>
    <cellStyle name="Percent 3 3 4 7" xfId="24619" xr:uid="{00000000-0005-0000-0000-0000CD9B0000}"/>
    <cellStyle name="Percent 3 3 5" xfId="4283" xr:uid="{00000000-0005-0000-0000-0000CE9B0000}"/>
    <cellStyle name="Percent 3 3 5 2" xfId="5318" xr:uid="{00000000-0005-0000-0000-0000CF9B0000}"/>
    <cellStyle name="Percent 3 3 5 2 2" xfId="6943" xr:uid="{00000000-0005-0000-0000-0000D09B0000}"/>
    <cellStyle name="Percent 3 3 5 2 2 2" xfId="10029" xr:uid="{00000000-0005-0000-0000-0000D19B0000}"/>
    <cellStyle name="Percent 3 3 5 2 2 2 2" xfId="16222" xr:uid="{00000000-0005-0000-0000-0000D29B0000}"/>
    <cellStyle name="Percent 3 3 5 2 2 2 2 2" xfId="36142" xr:uid="{00000000-0005-0000-0000-0000D39B0000}"/>
    <cellStyle name="Percent 3 3 5 2 2 2 3" xfId="22374" xr:uid="{00000000-0005-0000-0000-0000D49B0000}"/>
    <cellStyle name="Percent 3 3 5 2 2 2 3 2" xfId="42294" xr:uid="{00000000-0005-0000-0000-0000D59B0000}"/>
    <cellStyle name="Percent 3 3 5 2 2 2 4" xfId="29989" xr:uid="{00000000-0005-0000-0000-0000D69B0000}"/>
    <cellStyle name="Percent 3 3 5 2 2 3" xfId="13156" xr:uid="{00000000-0005-0000-0000-0000D79B0000}"/>
    <cellStyle name="Percent 3 3 5 2 2 3 2" xfId="33076" xr:uid="{00000000-0005-0000-0000-0000D89B0000}"/>
    <cellStyle name="Percent 3 3 5 2 2 4" xfId="19308" xr:uid="{00000000-0005-0000-0000-0000D99B0000}"/>
    <cellStyle name="Percent 3 3 5 2 2 4 2" xfId="39228" xr:uid="{00000000-0005-0000-0000-0000DA9B0000}"/>
    <cellStyle name="Percent 3 3 5 2 2 5" xfId="26923" xr:uid="{00000000-0005-0000-0000-0000DB9B0000}"/>
    <cellStyle name="Percent 3 3 5 2 3" xfId="8494" xr:uid="{00000000-0005-0000-0000-0000DC9B0000}"/>
    <cellStyle name="Percent 3 3 5 2 3 2" xfId="14688" xr:uid="{00000000-0005-0000-0000-0000DD9B0000}"/>
    <cellStyle name="Percent 3 3 5 2 3 2 2" xfId="34608" xr:uid="{00000000-0005-0000-0000-0000DE9B0000}"/>
    <cellStyle name="Percent 3 3 5 2 3 3" xfId="20840" xr:uid="{00000000-0005-0000-0000-0000DF9B0000}"/>
    <cellStyle name="Percent 3 3 5 2 3 3 2" xfId="40760" xr:uid="{00000000-0005-0000-0000-0000E09B0000}"/>
    <cellStyle name="Percent 3 3 5 2 3 4" xfId="28455" xr:uid="{00000000-0005-0000-0000-0000E19B0000}"/>
    <cellStyle name="Percent 3 3 5 2 4" xfId="11622" xr:uid="{00000000-0005-0000-0000-0000E29B0000}"/>
    <cellStyle name="Percent 3 3 5 2 4 2" xfId="31542" xr:uid="{00000000-0005-0000-0000-0000E39B0000}"/>
    <cellStyle name="Percent 3 3 5 2 5" xfId="17774" xr:uid="{00000000-0005-0000-0000-0000E49B0000}"/>
    <cellStyle name="Percent 3 3 5 2 5 2" xfId="37694" xr:uid="{00000000-0005-0000-0000-0000E59B0000}"/>
    <cellStyle name="Percent 3 3 5 2 6" xfId="25389" xr:uid="{00000000-0005-0000-0000-0000E69B0000}"/>
    <cellStyle name="Percent 3 3 5 3" xfId="6170" xr:uid="{00000000-0005-0000-0000-0000E79B0000}"/>
    <cellStyle name="Percent 3 3 5 3 2" xfId="9260" xr:uid="{00000000-0005-0000-0000-0000E89B0000}"/>
    <cellStyle name="Percent 3 3 5 3 2 2" xfId="15453" xr:uid="{00000000-0005-0000-0000-0000E99B0000}"/>
    <cellStyle name="Percent 3 3 5 3 2 2 2" xfId="35373" xr:uid="{00000000-0005-0000-0000-0000EA9B0000}"/>
    <cellStyle name="Percent 3 3 5 3 2 3" xfId="21605" xr:uid="{00000000-0005-0000-0000-0000EB9B0000}"/>
    <cellStyle name="Percent 3 3 5 3 2 3 2" xfId="41525" xr:uid="{00000000-0005-0000-0000-0000EC9B0000}"/>
    <cellStyle name="Percent 3 3 5 3 2 4" xfId="29220" xr:uid="{00000000-0005-0000-0000-0000ED9B0000}"/>
    <cellStyle name="Percent 3 3 5 3 3" xfId="12387" xr:uid="{00000000-0005-0000-0000-0000EE9B0000}"/>
    <cellStyle name="Percent 3 3 5 3 3 2" xfId="32307" xr:uid="{00000000-0005-0000-0000-0000EF9B0000}"/>
    <cellStyle name="Percent 3 3 5 3 4" xfId="18539" xr:uid="{00000000-0005-0000-0000-0000F09B0000}"/>
    <cellStyle name="Percent 3 3 5 3 4 2" xfId="38459" xr:uid="{00000000-0005-0000-0000-0000F19B0000}"/>
    <cellStyle name="Percent 3 3 5 3 5" xfId="26154" xr:uid="{00000000-0005-0000-0000-0000F29B0000}"/>
    <cellStyle name="Percent 3 3 5 4" xfId="7725" xr:uid="{00000000-0005-0000-0000-0000F39B0000}"/>
    <cellStyle name="Percent 3 3 5 4 2" xfId="13919" xr:uid="{00000000-0005-0000-0000-0000F49B0000}"/>
    <cellStyle name="Percent 3 3 5 4 2 2" xfId="33839" xr:uid="{00000000-0005-0000-0000-0000F59B0000}"/>
    <cellStyle name="Percent 3 3 5 4 3" xfId="20071" xr:uid="{00000000-0005-0000-0000-0000F69B0000}"/>
    <cellStyle name="Percent 3 3 5 4 3 2" xfId="39991" xr:uid="{00000000-0005-0000-0000-0000F79B0000}"/>
    <cellStyle name="Percent 3 3 5 4 4" xfId="27686" xr:uid="{00000000-0005-0000-0000-0000F89B0000}"/>
    <cellStyle name="Percent 3 3 5 5" xfId="10853" xr:uid="{00000000-0005-0000-0000-0000F99B0000}"/>
    <cellStyle name="Percent 3 3 5 5 2" xfId="30773" xr:uid="{00000000-0005-0000-0000-0000FA9B0000}"/>
    <cellStyle name="Percent 3 3 5 6" xfId="17005" xr:uid="{00000000-0005-0000-0000-0000FB9B0000}"/>
    <cellStyle name="Percent 3 3 5 6 2" xfId="36925" xr:uid="{00000000-0005-0000-0000-0000FC9B0000}"/>
    <cellStyle name="Percent 3 3 5 7" xfId="24620" xr:uid="{00000000-0005-0000-0000-0000FD9B0000}"/>
    <cellStyle name="Percent 3 3 6" xfId="10141" xr:uid="{00000000-0005-0000-0000-0000FE9B0000}"/>
    <cellStyle name="Percent 3 3 7" xfId="4279" xr:uid="{00000000-0005-0000-0000-0000FF9B0000}"/>
    <cellStyle name="Percent 3 30" xfId="731" xr:uid="{00000000-0005-0000-0000-0000009C0000}"/>
    <cellStyle name="Percent 3 31" xfId="733" xr:uid="{00000000-0005-0000-0000-0000019C0000}"/>
    <cellStyle name="Percent 3 31 2" xfId="23615" xr:uid="{00000000-0005-0000-0000-0000029C0000}"/>
    <cellStyle name="Percent 3 32" xfId="22698" xr:uid="{00000000-0005-0000-0000-0000039C0000}"/>
    <cellStyle name="Percent 3 32 2" xfId="42609" xr:uid="{00000000-0005-0000-0000-0000049C0000}"/>
    <cellStyle name="Percent 3 33" xfId="23001" xr:uid="{00000000-0005-0000-0000-0000059C0000}"/>
    <cellStyle name="Percent 3 33 2" xfId="42912" xr:uid="{00000000-0005-0000-0000-0000069C0000}"/>
    <cellStyle name="Percent 3 34" xfId="23324" xr:uid="{00000000-0005-0000-0000-0000079C0000}"/>
    <cellStyle name="Percent 3 4" xfId="92" xr:uid="{00000000-0005-0000-0000-0000089C0000}"/>
    <cellStyle name="Percent 3 4 10" xfId="17006" xr:uid="{00000000-0005-0000-0000-0000099C0000}"/>
    <cellStyle name="Percent 3 4 10 2" xfId="36926" xr:uid="{00000000-0005-0000-0000-00000A9C0000}"/>
    <cellStyle name="Percent 3 4 11" xfId="4284" xr:uid="{00000000-0005-0000-0000-00000B9C0000}"/>
    <cellStyle name="Percent 3 4 11 2" xfId="24621" xr:uid="{00000000-0005-0000-0000-00000C9C0000}"/>
    <cellStyle name="Percent 3 4 2" xfId="149" xr:uid="{00000000-0005-0000-0000-00000D9C0000}"/>
    <cellStyle name="Percent 3 4 2 2" xfId="5320" xr:uid="{00000000-0005-0000-0000-00000E9C0000}"/>
    <cellStyle name="Percent 3 4 2 2 2" xfId="6945" xr:uid="{00000000-0005-0000-0000-00000F9C0000}"/>
    <cellStyle name="Percent 3 4 2 2 2 2" xfId="10031" xr:uid="{00000000-0005-0000-0000-0000109C0000}"/>
    <cellStyle name="Percent 3 4 2 2 2 2 2" xfId="16224" xr:uid="{00000000-0005-0000-0000-0000119C0000}"/>
    <cellStyle name="Percent 3 4 2 2 2 2 2 2" xfId="36144" xr:uid="{00000000-0005-0000-0000-0000129C0000}"/>
    <cellStyle name="Percent 3 4 2 2 2 2 3" xfId="22376" xr:uid="{00000000-0005-0000-0000-0000139C0000}"/>
    <cellStyle name="Percent 3 4 2 2 2 2 3 2" xfId="42296" xr:uid="{00000000-0005-0000-0000-0000149C0000}"/>
    <cellStyle name="Percent 3 4 2 2 2 2 4" xfId="29991" xr:uid="{00000000-0005-0000-0000-0000159C0000}"/>
    <cellStyle name="Percent 3 4 2 2 2 3" xfId="13158" xr:uid="{00000000-0005-0000-0000-0000169C0000}"/>
    <cellStyle name="Percent 3 4 2 2 2 3 2" xfId="33078" xr:uid="{00000000-0005-0000-0000-0000179C0000}"/>
    <cellStyle name="Percent 3 4 2 2 2 4" xfId="19310" xr:uid="{00000000-0005-0000-0000-0000189C0000}"/>
    <cellStyle name="Percent 3 4 2 2 2 4 2" xfId="39230" xr:uid="{00000000-0005-0000-0000-0000199C0000}"/>
    <cellStyle name="Percent 3 4 2 2 2 5" xfId="26925" xr:uid="{00000000-0005-0000-0000-00001A9C0000}"/>
    <cellStyle name="Percent 3 4 2 2 3" xfId="8496" xr:uid="{00000000-0005-0000-0000-00001B9C0000}"/>
    <cellStyle name="Percent 3 4 2 2 3 2" xfId="14690" xr:uid="{00000000-0005-0000-0000-00001C9C0000}"/>
    <cellStyle name="Percent 3 4 2 2 3 2 2" xfId="34610" xr:uid="{00000000-0005-0000-0000-00001D9C0000}"/>
    <cellStyle name="Percent 3 4 2 2 3 3" xfId="20842" xr:uid="{00000000-0005-0000-0000-00001E9C0000}"/>
    <cellStyle name="Percent 3 4 2 2 3 3 2" xfId="40762" xr:uid="{00000000-0005-0000-0000-00001F9C0000}"/>
    <cellStyle name="Percent 3 4 2 2 3 4" xfId="28457" xr:uid="{00000000-0005-0000-0000-0000209C0000}"/>
    <cellStyle name="Percent 3 4 2 2 4" xfId="11624" xr:uid="{00000000-0005-0000-0000-0000219C0000}"/>
    <cellStyle name="Percent 3 4 2 2 4 2" xfId="31544" xr:uid="{00000000-0005-0000-0000-0000229C0000}"/>
    <cellStyle name="Percent 3 4 2 2 5" xfId="17776" xr:uid="{00000000-0005-0000-0000-0000239C0000}"/>
    <cellStyle name="Percent 3 4 2 2 5 2" xfId="37696" xr:uid="{00000000-0005-0000-0000-0000249C0000}"/>
    <cellStyle name="Percent 3 4 2 2 6" xfId="25391" xr:uid="{00000000-0005-0000-0000-0000259C0000}"/>
    <cellStyle name="Percent 3 4 2 3" xfId="6172" xr:uid="{00000000-0005-0000-0000-0000269C0000}"/>
    <cellStyle name="Percent 3 4 2 3 2" xfId="9262" xr:uid="{00000000-0005-0000-0000-0000279C0000}"/>
    <cellStyle name="Percent 3 4 2 3 2 2" xfId="15455" xr:uid="{00000000-0005-0000-0000-0000289C0000}"/>
    <cellStyle name="Percent 3 4 2 3 2 2 2" xfId="35375" xr:uid="{00000000-0005-0000-0000-0000299C0000}"/>
    <cellStyle name="Percent 3 4 2 3 2 3" xfId="21607" xr:uid="{00000000-0005-0000-0000-00002A9C0000}"/>
    <cellStyle name="Percent 3 4 2 3 2 3 2" xfId="41527" xr:uid="{00000000-0005-0000-0000-00002B9C0000}"/>
    <cellStyle name="Percent 3 4 2 3 2 4" xfId="29222" xr:uid="{00000000-0005-0000-0000-00002C9C0000}"/>
    <cellStyle name="Percent 3 4 2 3 3" xfId="12389" xr:uid="{00000000-0005-0000-0000-00002D9C0000}"/>
    <cellStyle name="Percent 3 4 2 3 3 2" xfId="32309" xr:uid="{00000000-0005-0000-0000-00002E9C0000}"/>
    <cellStyle name="Percent 3 4 2 3 4" xfId="18541" xr:uid="{00000000-0005-0000-0000-00002F9C0000}"/>
    <cellStyle name="Percent 3 4 2 3 4 2" xfId="38461" xr:uid="{00000000-0005-0000-0000-0000309C0000}"/>
    <cellStyle name="Percent 3 4 2 3 5" xfId="26156" xr:uid="{00000000-0005-0000-0000-0000319C0000}"/>
    <cellStyle name="Percent 3 4 2 4" xfId="7727" xr:uid="{00000000-0005-0000-0000-0000329C0000}"/>
    <cellStyle name="Percent 3 4 2 4 2" xfId="13921" xr:uid="{00000000-0005-0000-0000-0000339C0000}"/>
    <cellStyle name="Percent 3 4 2 4 2 2" xfId="33841" xr:uid="{00000000-0005-0000-0000-0000349C0000}"/>
    <cellStyle name="Percent 3 4 2 4 3" xfId="20073" xr:uid="{00000000-0005-0000-0000-0000359C0000}"/>
    <cellStyle name="Percent 3 4 2 4 3 2" xfId="39993" xr:uid="{00000000-0005-0000-0000-0000369C0000}"/>
    <cellStyle name="Percent 3 4 2 4 4" xfId="27688" xr:uid="{00000000-0005-0000-0000-0000379C0000}"/>
    <cellStyle name="Percent 3 4 2 5" xfId="10855" xr:uid="{00000000-0005-0000-0000-0000389C0000}"/>
    <cellStyle name="Percent 3 4 2 5 2" xfId="30775" xr:uid="{00000000-0005-0000-0000-0000399C0000}"/>
    <cellStyle name="Percent 3 4 2 6" xfId="17007" xr:uid="{00000000-0005-0000-0000-00003A9C0000}"/>
    <cellStyle name="Percent 3 4 2 6 2" xfId="36927" xr:uid="{00000000-0005-0000-0000-00003B9C0000}"/>
    <cellStyle name="Percent 3 4 2 7" xfId="4285" xr:uid="{00000000-0005-0000-0000-00003C9C0000}"/>
    <cellStyle name="Percent 3 4 2 7 2" xfId="24622" xr:uid="{00000000-0005-0000-0000-00003D9C0000}"/>
    <cellStyle name="Percent 3 4 3" xfId="4286" xr:uid="{00000000-0005-0000-0000-00003E9C0000}"/>
    <cellStyle name="Percent 3 4 3 2" xfId="5321" xr:uid="{00000000-0005-0000-0000-00003F9C0000}"/>
    <cellStyle name="Percent 3 4 3 2 2" xfId="6946" xr:uid="{00000000-0005-0000-0000-0000409C0000}"/>
    <cellStyle name="Percent 3 4 3 2 2 2" xfId="10032" xr:uid="{00000000-0005-0000-0000-0000419C0000}"/>
    <cellStyle name="Percent 3 4 3 2 2 2 2" xfId="16225" xr:uid="{00000000-0005-0000-0000-0000429C0000}"/>
    <cellStyle name="Percent 3 4 3 2 2 2 2 2" xfId="36145" xr:uid="{00000000-0005-0000-0000-0000439C0000}"/>
    <cellStyle name="Percent 3 4 3 2 2 2 3" xfId="22377" xr:uid="{00000000-0005-0000-0000-0000449C0000}"/>
    <cellStyle name="Percent 3 4 3 2 2 2 3 2" xfId="42297" xr:uid="{00000000-0005-0000-0000-0000459C0000}"/>
    <cellStyle name="Percent 3 4 3 2 2 2 4" xfId="29992" xr:uid="{00000000-0005-0000-0000-0000469C0000}"/>
    <cellStyle name="Percent 3 4 3 2 2 3" xfId="13159" xr:uid="{00000000-0005-0000-0000-0000479C0000}"/>
    <cellStyle name="Percent 3 4 3 2 2 3 2" xfId="33079" xr:uid="{00000000-0005-0000-0000-0000489C0000}"/>
    <cellStyle name="Percent 3 4 3 2 2 4" xfId="19311" xr:uid="{00000000-0005-0000-0000-0000499C0000}"/>
    <cellStyle name="Percent 3 4 3 2 2 4 2" xfId="39231" xr:uid="{00000000-0005-0000-0000-00004A9C0000}"/>
    <cellStyle name="Percent 3 4 3 2 2 5" xfId="26926" xr:uid="{00000000-0005-0000-0000-00004B9C0000}"/>
    <cellStyle name="Percent 3 4 3 2 3" xfId="8497" xr:uid="{00000000-0005-0000-0000-00004C9C0000}"/>
    <cellStyle name="Percent 3 4 3 2 3 2" xfId="14691" xr:uid="{00000000-0005-0000-0000-00004D9C0000}"/>
    <cellStyle name="Percent 3 4 3 2 3 2 2" xfId="34611" xr:uid="{00000000-0005-0000-0000-00004E9C0000}"/>
    <cellStyle name="Percent 3 4 3 2 3 3" xfId="20843" xr:uid="{00000000-0005-0000-0000-00004F9C0000}"/>
    <cellStyle name="Percent 3 4 3 2 3 3 2" xfId="40763" xr:uid="{00000000-0005-0000-0000-0000509C0000}"/>
    <cellStyle name="Percent 3 4 3 2 3 4" xfId="28458" xr:uid="{00000000-0005-0000-0000-0000519C0000}"/>
    <cellStyle name="Percent 3 4 3 2 4" xfId="11625" xr:uid="{00000000-0005-0000-0000-0000529C0000}"/>
    <cellStyle name="Percent 3 4 3 2 4 2" xfId="31545" xr:uid="{00000000-0005-0000-0000-0000539C0000}"/>
    <cellStyle name="Percent 3 4 3 2 5" xfId="17777" xr:uid="{00000000-0005-0000-0000-0000549C0000}"/>
    <cellStyle name="Percent 3 4 3 2 5 2" xfId="37697" xr:uid="{00000000-0005-0000-0000-0000559C0000}"/>
    <cellStyle name="Percent 3 4 3 2 6" xfId="25392" xr:uid="{00000000-0005-0000-0000-0000569C0000}"/>
    <cellStyle name="Percent 3 4 3 3" xfId="6173" xr:uid="{00000000-0005-0000-0000-0000579C0000}"/>
    <cellStyle name="Percent 3 4 3 3 2" xfId="9263" xr:uid="{00000000-0005-0000-0000-0000589C0000}"/>
    <cellStyle name="Percent 3 4 3 3 2 2" xfId="15456" xr:uid="{00000000-0005-0000-0000-0000599C0000}"/>
    <cellStyle name="Percent 3 4 3 3 2 2 2" xfId="35376" xr:uid="{00000000-0005-0000-0000-00005A9C0000}"/>
    <cellStyle name="Percent 3 4 3 3 2 3" xfId="21608" xr:uid="{00000000-0005-0000-0000-00005B9C0000}"/>
    <cellStyle name="Percent 3 4 3 3 2 3 2" xfId="41528" xr:uid="{00000000-0005-0000-0000-00005C9C0000}"/>
    <cellStyle name="Percent 3 4 3 3 2 4" xfId="29223" xr:uid="{00000000-0005-0000-0000-00005D9C0000}"/>
    <cellStyle name="Percent 3 4 3 3 3" xfId="12390" xr:uid="{00000000-0005-0000-0000-00005E9C0000}"/>
    <cellStyle name="Percent 3 4 3 3 3 2" xfId="32310" xr:uid="{00000000-0005-0000-0000-00005F9C0000}"/>
    <cellStyle name="Percent 3 4 3 3 4" xfId="18542" xr:uid="{00000000-0005-0000-0000-0000609C0000}"/>
    <cellStyle name="Percent 3 4 3 3 4 2" xfId="38462" xr:uid="{00000000-0005-0000-0000-0000619C0000}"/>
    <cellStyle name="Percent 3 4 3 3 5" xfId="26157" xr:uid="{00000000-0005-0000-0000-0000629C0000}"/>
    <cellStyle name="Percent 3 4 3 4" xfId="7728" xr:uid="{00000000-0005-0000-0000-0000639C0000}"/>
    <cellStyle name="Percent 3 4 3 4 2" xfId="13922" xr:uid="{00000000-0005-0000-0000-0000649C0000}"/>
    <cellStyle name="Percent 3 4 3 4 2 2" xfId="33842" xr:uid="{00000000-0005-0000-0000-0000659C0000}"/>
    <cellStyle name="Percent 3 4 3 4 3" xfId="20074" xr:uid="{00000000-0005-0000-0000-0000669C0000}"/>
    <cellStyle name="Percent 3 4 3 4 3 2" xfId="39994" xr:uid="{00000000-0005-0000-0000-0000679C0000}"/>
    <cellStyle name="Percent 3 4 3 4 4" xfId="27689" xr:uid="{00000000-0005-0000-0000-0000689C0000}"/>
    <cellStyle name="Percent 3 4 3 5" xfId="10856" xr:uid="{00000000-0005-0000-0000-0000699C0000}"/>
    <cellStyle name="Percent 3 4 3 5 2" xfId="30776" xr:uid="{00000000-0005-0000-0000-00006A9C0000}"/>
    <cellStyle name="Percent 3 4 3 6" xfId="17008" xr:uid="{00000000-0005-0000-0000-00006B9C0000}"/>
    <cellStyle name="Percent 3 4 3 6 2" xfId="36928" xr:uid="{00000000-0005-0000-0000-00006C9C0000}"/>
    <cellStyle name="Percent 3 4 3 7" xfId="24623" xr:uid="{00000000-0005-0000-0000-00006D9C0000}"/>
    <cellStyle name="Percent 3 4 4" xfId="4287" xr:uid="{00000000-0005-0000-0000-00006E9C0000}"/>
    <cellStyle name="Percent 3 4 4 2" xfId="5322" xr:uid="{00000000-0005-0000-0000-00006F9C0000}"/>
    <cellStyle name="Percent 3 4 4 2 2" xfId="6947" xr:uid="{00000000-0005-0000-0000-0000709C0000}"/>
    <cellStyle name="Percent 3 4 4 2 2 2" xfId="10033" xr:uid="{00000000-0005-0000-0000-0000719C0000}"/>
    <cellStyle name="Percent 3 4 4 2 2 2 2" xfId="16226" xr:uid="{00000000-0005-0000-0000-0000729C0000}"/>
    <cellStyle name="Percent 3 4 4 2 2 2 2 2" xfId="36146" xr:uid="{00000000-0005-0000-0000-0000739C0000}"/>
    <cellStyle name="Percent 3 4 4 2 2 2 3" xfId="22378" xr:uid="{00000000-0005-0000-0000-0000749C0000}"/>
    <cellStyle name="Percent 3 4 4 2 2 2 3 2" xfId="42298" xr:uid="{00000000-0005-0000-0000-0000759C0000}"/>
    <cellStyle name="Percent 3 4 4 2 2 2 4" xfId="29993" xr:uid="{00000000-0005-0000-0000-0000769C0000}"/>
    <cellStyle name="Percent 3 4 4 2 2 3" xfId="13160" xr:uid="{00000000-0005-0000-0000-0000779C0000}"/>
    <cellStyle name="Percent 3 4 4 2 2 3 2" xfId="33080" xr:uid="{00000000-0005-0000-0000-0000789C0000}"/>
    <cellStyle name="Percent 3 4 4 2 2 4" xfId="19312" xr:uid="{00000000-0005-0000-0000-0000799C0000}"/>
    <cellStyle name="Percent 3 4 4 2 2 4 2" xfId="39232" xr:uid="{00000000-0005-0000-0000-00007A9C0000}"/>
    <cellStyle name="Percent 3 4 4 2 2 5" xfId="26927" xr:uid="{00000000-0005-0000-0000-00007B9C0000}"/>
    <cellStyle name="Percent 3 4 4 2 3" xfId="8498" xr:uid="{00000000-0005-0000-0000-00007C9C0000}"/>
    <cellStyle name="Percent 3 4 4 2 3 2" xfId="14692" xr:uid="{00000000-0005-0000-0000-00007D9C0000}"/>
    <cellStyle name="Percent 3 4 4 2 3 2 2" xfId="34612" xr:uid="{00000000-0005-0000-0000-00007E9C0000}"/>
    <cellStyle name="Percent 3 4 4 2 3 3" xfId="20844" xr:uid="{00000000-0005-0000-0000-00007F9C0000}"/>
    <cellStyle name="Percent 3 4 4 2 3 3 2" xfId="40764" xr:uid="{00000000-0005-0000-0000-0000809C0000}"/>
    <cellStyle name="Percent 3 4 4 2 3 4" xfId="28459" xr:uid="{00000000-0005-0000-0000-0000819C0000}"/>
    <cellStyle name="Percent 3 4 4 2 4" xfId="11626" xr:uid="{00000000-0005-0000-0000-0000829C0000}"/>
    <cellStyle name="Percent 3 4 4 2 4 2" xfId="31546" xr:uid="{00000000-0005-0000-0000-0000839C0000}"/>
    <cellStyle name="Percent 3 4 4 2 5" xfId="17778" xr:uid="{00000000-0005-0000-0000-0000849C0000}"/>
    <cellStyle name="Percent 3 4 4 2 5 2" xfId="37698" xr:uid="{00000000-0005-0000-0000-0000859C0000}"/>
    <cellStyle name="Percent 3 4 4 2 6" xfId="25393" xr:uid="{00000000-0005-0000-0000-0000869C0000}"/>
    <cellStyle name="Percent 3 4 4 3" xfId="6174" xr:uid="{00000000-0005-0000-0000-0000879C0000}"/>
    <cellStyle name="Percent 3 4 4 3 2" xfId="9264" xr:uid="{00000000-0005-0000-0000-0000889C0000}"/>
    <cellStyle name="Percent 3 4 4 3 2 2" xfId="15457" xr:uid="{00000000-0005-0000-0000-0000899C0000}"/>
    <cellStyle name="Percent 3 4 4 3 2 2 2" xfId="35377" xr:uid="{00000000-0005-0000-0000-00008A9C0000}"/>
    <cellStyle name="Percent 3 4 4 3 2 3" xfId="21609" xr:uid="{00000000-0005-0000-0000-00008B9C0000}"/>
    <cellStyle name="Percent 3 4 4 3 2 3 2" xfId="41529" xr:uid="{00000000-0005-0000-0000-00008C9C0000}"/>
    <cellStyle name="Percent 3 4 4 3 2 4" xfId="29224" xr:uid="{00000000-0005-0000-0000-00008D9C0000}"/>
    <cellStyle name="Percent 3 4 4 3 3" xfId="12391" xr:uid="{00000000-0005-0000-0000-00008E9C0000}"/>
    <cellStyle name="Percent 3 4 4 3 3 2" xfId="32311" xr:uid="{00000000-0005-0000-0000-00008F9C0000}"/>
    <cellStyle name="Percent 3 4 4 3 4" xfId="18543" xr:uid="{00000000-0005-0000-0000-0000909C0000}"/>
    <cellStyle name="Percent 3 4 4 3 4 2" xfId="38463" xr:uid="{00000000-0005-0000-0000-0000919C0000}"/>
    <cellStyle name="Percent 3 4 4 3 5" xfId="26158" xr:uid="{00000000-0005-0000-0000-0000929C0000}"/>
    <cellStyle name="Percent 3 4 4 4" xfId="7729" xr:uid="{00000000-0005-0000-0000-0000939C0000}"/>
    <cellStyle name="Percent 3 4 4 4 2" xfId="13923" xr:uid="{00000000-0005-0000-0000-0000949C0000}"/>
    <cellStyle name="Percent 3 4 4 4 2 2" xfId="33843" xr:uid="{00000000-0005-0000-0000-0000959C0000}"/>
    <cellStyle name="Percent 3 4 4 4 3" xfId="20075" xr:uid="{00000000-0005-0000-0000-0000969C0000}"/>
    <cellStyle name="Percent 3 4 4 4 3 2" xfId="39995" xr:uid="{00000000-0005-0000-0000-0000979C0000}"/>
    <cellStyle name="Percent 3 4 4 4 4" xfId="27690" xr:uid="{00000000-0005-0000-0000-0000989C0000}"/>
    <cellStyle name="Percent 3 4 4 5" xfId="10857" xr:uid="{00000000-0005-0000-0000-0000999C0000}"/>
    <cellStyle name="Percent 3 4 4 5 2" xfId="30777" xr:uid="{00000000-0005-0000-0000-00009A9C0000}"/>
    <cellStyle name="Percent 3 4 4 6" xfId="17009" xr:uid="{00000000-0005-0000-0000-00009B9C0000}"/>
    <cellStyle name="Percent 3 4 4 6 2" xfId="36929" xr:uid="{00000000-0005-0000-0000-00009C9C0000}"/>
    <cellStyle name="Percent 3 4 4 7" xfId="24624" xr:uid="{00000000-0005-0000-0000-00009D9C0000}"/>
    <cellStyle name="Percent 3 4 5" xfId="4288" xr:uid="{00000000-0005-0000-0000-00009E9C0000}"/>
    <cellStyle name="Percent 3 4 5 2" xfId="5323" xr:uid="{00000000-0005-0000-0000-00009F9C0000}"/>
    <cellStyle name="Percent 3 4 5 2 2" xfId="6948" xr:uid="{00000000-0005-0000-0000-0000A09C0000}"/>
    <cellStyle name="Percent 3 4 5 2 2 2" xfId="10034" xr:uid="{00000000-0005-0000-0000-0000A19C0000}"/>
    <cellStyle name="Percent 3 4 5 2 2 2 2" xfId="16227" xr:uid="{00000000-0005-0000-0000-0000A29C0000}"/>
    <cellStyle name="Percent 3 4 5 2 2 2 2 2" xfId="36147" xr:uid="{00000000-0005-0000-0000-0000A39C0000}"/>
    <cellStyle name="Percent 3 4 5 2 2 2 3" xfId="22379" xr:uid="{00000000-0005-0000-0000-0000A49C0000}"/>
    <cellStyle name="Percent 3 4 5 2 2 2 3 2" xfId="42299" xr:uid="{00000000-0005-0000-0000-0000A59C0000}"/>
    <cellStyle name="Percent 3 4 5 2 2 2 4" xfId="29994" xr:uid="{00000000-0005-0000-0000-0000A69C0000}"/>
    <cellStyle name="Percent 3 4 5 2 2 3" xfId="13161" xr:uid="{00000000-0005-0000-0000-0000A79C0000}"/>
    <cellStyle name="Percent 3 4 5 2 2 3 2" xfId="33081" xr:uid="{00000000-0005-0000-0000-0000A89C0000}"/>
    <cellStyle name="Percent 3 4 5 2 2 4" xfId="19313" xr:uid="{00000000-0005-0000-0000-0000A99C0000}"/>
    <cellStyle name="Percent 3 4 5 2 2 4 2" xfId="39233" xr:uid="{00000000-0005-0000-0000-0000AA9C0000}"/>
    <cellStyle name="Percent 3 4 5 2 2 5" xfId="26928" xr:uid="{00000000-0005-0000-0000-0000AB9C0000}"/>
    <cellStyle name="Percent 3 4 5 2 3" xfId="8499" xr:uid="{00000000-0005-0000-0000-0000AC9C0000}"/>
    <cellStyle name="Percent 3 4 5 2 3 2" xfId="14693" xr:uid="{00000000-0005-0000-0000-0000AD9C0000}"/>
    <cellStyle name="Percent 3 4 5 2 3 2 2" xfId="34613" xr:uid="{00000000-0005-0000-0000-0000AE9C0000}"/>
    <cellStyle name="Percent 3 4 5 2 3 3" xfId="20845" xr:uid="{00000000-0005-0000-0000-0000AF9C0000}"/>
    <cellStyle name="Percent 3 4 5 2 3 3 2" xfId="40765" xr:uid="{00000000-0005-0000-0000-0000B09C0000}"/>
    <cellStyle name="Percent 3 4 5 2 3 4" xfId="28460" xr:uid="{00000000-0005-0000-0000-0000B19C0000}"/>
    <cellStyle name="Percent 3 4 5 2 4" xfId="11627" xr:uid="{00000000-0005-0000-0000-0000B29C0000}"/>
    <cellStyle name="Percent 3 4 5 2 4 2" xfId="31547" xr:uid="{00000000-0005-0000-0000-0000B39C0000}"/>
    <cellStyle name="Percent 3 4 5 2 5" xfId="17779" xr:uid="{00000000-0005-0000-0000-0000B49C0000}"/>
    <cellStyle name="Percent 3 4 5 2 5 2" xfId="37699" xr:uid="{00000000-0005-0000-0000-0000B59C0000}"/>
    <cellStyle name="Percent 3 4 5 2 6" xfId="25394" xr:uid="{00000000-0005-0000-0000-0000B69C0000}"/>
    <cellStyle name="Percent 3 4 5 3" xfId="6175" xr:uid="{00000000-0005-0000-0000-0000B79C0000}"/>
    <cellStyle name="Percent 3 4 5 3 2" xfId="9265" xr:uid="{00000000-0005-0000-0000-0000B89C0000}"/>
    <cellStyle name="Percent 3 4 5 3 2 2" xfId="15458" xr:uid="{00000000-0005-0000-0000-0000B99C0000}"/>
    <cellStyle name="Percent 3 4 5 3 2 2 2" xfId="35378" xr:uid="{00000000-0005-0000-0000-0000BA9C0000}"/>
    <cellStyle name="Percent 3 4 5 3 2 3" xfId="21610" xr:uid="{00000000-0005-0000-0000-0000BB9C0000}"/>
    <cellStyle name="Percent 3 4 5 3 2 3 2" xfId="41530" xr:uid="{00000000-0005-0000-0000-0000BC9C0000}"/>
    <cellStyle name="Percent 3 4 5 3 2 4" xfId="29225" xr:uid="{00000000-0005-0000-0000-0000BD9C0000}"/>
    <cellStyle name="Percent 3 4 5 3 3" xfId="12392" xr:uid="{00000000-0005-0000-0000-0000BE9C0000}"/>
    <cellStyle name="Percent 3 4 5 3 3 2" xfId="32312" xr:uid="{00000000-0005-0000-0000-0000BF9C0000}"/>
    <cellStyle name="Percent 3 4 5 3 4" xfId="18544" xr:uid="{00000000-0005-0000-0000-0000C09C0000}"/>
    <cellStyle name="Percent 3 4 5 3 4 2" xfId="38464" xr:uid="{00000000-0005-0000-0000-0000C19C0000}"/>
    <cellStyle name="Percent 3 4 5 3 5" xfId="26159" xr:uid="{00000000-0005-0000-0000-0000C29C0000}"/>
    <cellStyle name="Percent 3 4 5 4" xfId="7730" xr:uid="{00000000-0005-0000-0000-0000C39C0000}"/>
    <cellStyle name="Percent 3 4 5 4 2" xfId="13924" xr:uid="{00000000-0005-0000-0000-0000C49C0000}"/>
    <cellStyle name="Percent 3 4 5 4 2 2" xfId="33844" xr:uid="{00000000-0005-0000-0000-0000C59C0000}"/>
    <cellStyle name="Percent 3 4 5 4 3" xfId="20076" xr:uid="{00000000-0005-0000-0000-0000C69C0000}"/>
    <cellStyle name="Percent 3 4 5 4 3 2" xfId="39996" xr:uid="{00000000-0005-0000-0000-0000C79C0000}"/>
    <cellStyle name="Percent 3 4 5 4 4" xfId="27691" xr:uid="{00000000-0005-0000-0000-0000C89C0000}"/>
    <cellStyle name="Percent 3 4 5 5" xfId="10858" xr:uid="{00000000-0005-0000-0000-0000C99C0000}"/>
    <cellStyle name="Percent 3 4 5 5 2" xfId="30778" xr:uid="{00000000-0005-0000-0000-0000CA9C0000}"/>
    <cellStyle name="Percent 3 4 5 6" xfId="17010" xr:uid="{00000000-0005-0000-0000-0000CB9C0000}"/>
    <cellStyle name="Percent 3 4 5 6 2" xfId="36930" xr:uid="{00000000-0005-0000-0000-0000CC9C0000}"/>
    <cellStyle name="Percent 3 4 5 7" xfId="24625" xr:uid="{00000000-0005-0000-0000-0000CD9C0000}"/>
    <cellStyle name="Percent 3 4 6" xfId="5319" xr:uid="{00000000-0005-0000-0000-0000CE9C0000}"/>
    <cellStyle name="Percent 3 4 6 2" xfId="6944" xr:uid="{00000000-0005-0000-0000-0000CF9C0000}"/>
    <cellStyle name="Percent 3 4 6 2 2" xfId="10030" xr:uid="{00000000-0005-0000-0000-0000D09C0000}"/>
    <cellStyle name="Percent 3 4 6 2 2 2" xfId="16223" xr:uid="{00000000-0005-0000-0000-0000D19C0000}"/>
    <cellStyle name="Percent 3 4 6 2 2 2 2" xfId="36143" xr:uid="{00000000-0005-0000-0000-0000D29C0000}"/>
    <cellStyle name="Percent 3 4 6 2 2 3" xfId="22375" xr:uid="{00000000-0005-0000-0000-0000D39C0000}"/>
    <cellStyle name="Percent 3 4 6 2 2 3 2" xfId="42295" xr:uid="{00000000-0005-0000-0000-0000D49C0000}"/>
    <cellStyle name="Percent 3 4 6 2 2 4" xfId="29990" xr:uid="{00000000-0005-0000-0000-0000D59C0000}"/>
    <cellStyle name="Percent 3 4 6 2 3" xfId="13157" xr:uid="{00000000-0005-0000-0000-0000D69C0000}"/>
    <cellStyle name="Percent 3 4 6 2 3 2" xfId="33077" xr:uid="{00000000-0005-0000-0000-0000D79C0000}"/>
    <cellStyle name="Percent 3 4 6 2 4" xfId="19309" xr:uid="{00000000-0005-0000-0000-0000D89C0000}"/>
    <cellStyle name="Percent 3 4 6 2 4 2" xfId="39229" xr:uid="{00000000-0005-0000-0000-0000D99C0000}"/>
    <cellStyle name="Percent 3 4 6 2 5" xfId="26924" xr:uid="{00000000-0005-0000-0000-0000DA9C0000}"/>
    <cellStyle name="Percent 3 4 6 3" xfId="8495" xr:uid="{00000000-0005-0000-0000-0000DB9C0000}"/>
    <cellStyle name="Percent 3 4 6 3 2" xfId="14689" xr:uid="{00000000-0005-0000-0000-0000DC9C0000}"/>
    <cellStyle name="Percent 3 4 6 3 2 2" xfId="34609" xr:uid="{00000000-0005-0000-0000-0000DD9C0000}"/>
    <cellStyle name="Percent 3 4 6 3 3" xfId="20841" xr:uid="{00000000-0005-0000-0000-0000DE9C0000}"/>
    <cellStyle name="Percent 3 4 6 3 3 2" xfId="40761" xr:uid="{00000000-0005-0000-0000-0000DF9C0000}"/>
    <cellStyle name="Percent 3 4 6 3 4" xfId="28456" xr:uid="{00000000-0005-0000-0000-0000E09C0000}"/>
    <cellStyle name="Percent 3 4 6 4" xfId="11623" xr:uid="{00000000-0005-0000-0000-0000E19C0000}"/>
    <cellStyle name="Percent 3 4 6 4 2" xfId="31543" xr:uid="{00000000-0005-0000-0000-0000E29C0000}"/>
    <cellStyle name="Percent 3 4 6 5" xfId="17775" xr:uid="{00000000-0005-0000-0000-0000E39C0000}"/>
    <cellStyle name="Percent 3 4 6 5 2" xfId="37695" xr:uid="{00000000-0005-0000-0000-0000E49C0000}"/>
    <cellStyle name="Percent 3 4 6 6" xfId="25390" xr:uid="{00000000-0005-0000-0000-0000E59C0000}"/>
    <cellStyle name="Percent 3 4 7" xfId="6171" xr:uid="{00000000-0005-0000-0000-0000E69C0000}"/>
    <cellStyle name="Percent 3 4 7 2" xfId="9261" xr:uid="{00000000-0005-0000-0000-0000E79C0000}"/>
    <cellStyle name="Percent 3 4 7 2 2" xfId="15454" xr:uid="{00000000-0005-0000-0000-0000E89C0000}"/>
    <cellStyle name="Percent 3 4 7 2 2 2" xfId="35374" xr:uid="{00000000-0005-0000-0000-0000E99C0000}"/>
    <cellStyle name="Percent 3 4 7 2 3" xfId="21606" xr:uid="{00000000-0005-0000-0000-0000EA9C0000}"/>
    <cellStyle name="Percent 3 4 7 2 3 2" xfId="41526" xr:uid="{00000000-0005-0000-0000-0000EB9C0000}"/>
    <cellStyle name="Percent 3 4 7 2 4" xfId="29221" xr:uid="{00000000-0005-0000-0000-0000EC9C0000}"/>
    <cellStyle name="Percent 3 4 7 3" xfId="12388" xr:uid="{00000000-0005-0000-0000-0000ED9C0000}"/>
    <cellStyle name="Percent 3 4 7 3 2" xfId="32308" xr:uid="{00000000-0005-0000-0000-0000EE9C0000}"/>
    <cellStyle name="Percent 3 4 7 4" xfId="18540" xr:uid="{00000000-0005-0000-0000-0000EF9C0000}"/>
    <cellStyle name="Percent 3 4 7 4 2" xfId="38460" xr:uid="{00000000-0005-0000-0000-0000F09C0000}"/>
    <cellStyle name="Percent 3 4 7 5" xfId="26155" xr:uid="{00000000-0005-0000-0000-0000F19C0000}"/>
    <cellStyle name="Percent 3 4 8" xfId="7726" xr:uid="{00000000-0005-0000-0000-0000F29C0000}"/>
    <cellStyle name="Percent 3 4 8 2" xfId="13920" xr:uid="{00000000-0005-0000-0000-0000F39C0000}"/>
    <cellStyle name="Percent 3 4 8 2 2" xfId="33840" xr:uid="{00000000-0005-0000-0000-0000F49C0000}"/>
    <cellStyle name="Percent 3 4 8 3" xfId="20072" xr:uid="{00000000-0005-0000-0000-0000F59C0000}"/>
    <cellStyle name="Percent 3 4 8 3 2" xfId="39992" xr:uid="{00000000-0005-0000-0000-0000F69C0000}"/>
    <cellStyle name="Percent 3 4 8 4" xfId="27687" xr:uid="{00000000-0005-0000-0000-0000F79C0000}"/>
    <cellStyle name="Percent 3 4 9" xfId="10854" xr:uid="{00000000-0005-0000-0000-0000F89C0000}"/>
    <cellStyle name="Percent 3 4 9 2" xfId="30774" xr:uid="{00000000-0005-0000-0000-0000F99C0000}"/>
    <cellStyle name="Percent 3 5" xfId="121" xr:uid="{00000000-0005-0000-0000-0000FA9C0000}"/>
    <cellStyle name="Percent 3 5 2" xfId="4290" xr:uid="{00000000-0005-0000-0000-0000FB9C0000}"/>
    <cellStyle name="Percent 3 5 2 2" xfId="5325" xr:uid="{00000000-0005-0000-0000-0000FC9C0000}"/>
    <cellStyle name="Percent 3 5 2 2 2" xfId="6950" xr:uid="{00000000-0005-0000-0000-0000FD9C0000}"/>
    <cellStyle name="Percent 3 5 2 2 2 2" xfId="10036" xr:uid="{00000000-0005-0000-0000-0000FE9C0000}"/>
    <cellStyle name="Percent 3 5 2 2 2 2 2" xfId="16229" xr:uid="{00000000-0005-0000-0000-0000FF9C0000}"/>
    <cellStyle name="Percent 3 5 2 2 2 2 2 2" xfId="36149" xr:uid="{00000000-0005-0000-0000-0000009D0000}"/>
    <cellStyle name="Percent 3 5 2 2 2 2 3" xfId="22381" xr:uid="{00000000-0005-0000-0000-0000019D0000}"/>
    <cellStyle name="Percent 3 5 2 2 2 2 3 2" xfId="42301" xr:uid="{00000000-0005-0000-0000-0000029D0000}"/>
    <cellStyle name="Percent 3 5 2 2 2 2 4" xfId="29996" xr:uid="{00000000-0005-0000-0000-0000039D0000}"/>
    <cellStyle name="Percent 3 5 2 2 2 3" xfId="13163" xr:uid="{00000000-0005-0000-0000-0000049D0000}"/>
    <cellStyle name="Percent 3 5 2 2 2 3 2" xfId="33083" xr:uid="{00000000-0005-0000-0000-0000059D0000}"/>
    <cellStyle name="Percent 3 5 2 2 2 4" xfId="19315" xr:uid="{00000000-0005-0000-0000-0000069D0000}"/>
    <cellStyle name="Percent 3 5 2 2 2 4 2" xfId="39235" xr:uid="{00000000-0005-0000-0000-0000079D0000}"/>
    <cellStyle name="Percent 3 5 2 2 2 5" xfId="26930" xr:uid="{00000000-0005-0000-0000-0000089D0000}"/>
    <cellStyle name="Percent 3 5 2 2 3" xfId="8501" xr:uid="{00000000-0005-0000-0000-0000099D0000}"/>
    <cellStyle name="Percent 3 5 2 2 3 2" xfId="14695" xr:uid="{00000000-0005-0000-0000-00000A9D0000}"/>
    <cellStyle name="Percent 3 5 2 2 3 2 2" xfId="34615" xr:uid="{00000000-0005-0000-0000-00000B9D0000}"/>
    <cellStyle name="Percent 3 5 2 2 3 3" xfId="20847" xr:uid="{00000000-0005-0000-0000-00000C9D0000}"/>
    <cellStyle name="Percent 3 5 2 2 3 3 2" xfId="40767" xr:uid="{00000000-0005-0000-0000-00000D9D0000}"/>
    <cellStyle name="Percent 3 5 2 2 3 4" xfId="28462" xr:uid="{00000000-0005-0000-0000-00000E9D0000}"/>
    <cellStyle name="Percent 3 5 2 2 4" xfId="11629" xr:uid="{00000000-0005-0000-0000-00000F9D0000}"/>
    <cellStyle name="Percent 3 5 2 2 4 2" xfId="31549" xr:uid="{00000000-0005-0000-0000-0000109D0000}"/>
    <cellStyle name="Percent 3 5 2 2 5" xfId="17781" xr:uid="{00000000-0005-0000-0000-0000119D0000}"/>
    <cellStyle name="Percent 3 5 2 2 5 2" xfId="37701" xr:uid="{00000000-0005-0000-0000-0000129D0000}"/>
    <cellStyle name="Percent 3 5 2 2 6" xfId="25396" xr:uid="{00000000-0005-0000-0000-0000139D0000}"/>
    <cellStyle name="Percent 3 5 2 3" xfId="6177" xr:uid="{00000000-0005-0000-0000-0000149D0000}"/>
    <cellStyle name="Percent 3 5 2 3 2" xfId="9267" xr:uid="{00000000-0005-0000-0000-0000159D0000}"/>
    <cellStyle name="Percent 3 5 2 3 2 2" xfId="15460" xr:uid="{00000000-0005-0000-0000-0000169D0000}"/>
    <cellStyle name="Percent 3 5 2 3 2 2 2" xfId="35380" xr:uid="{00000000-0005-0000-0000-0000179D0000}"/>
    <cellStyle name="Percent 3 5 2 3 2 3" xfId="21612" xr:uid="{00000000-0005-0000-0000-0000189D0000}"/>
    <cellStyle name="Percent 3 5 2 3 2 3 2" xfId="41532" xr:uid="{00000000-0005-0000-0000-0000199D0000}"/>
    <cellStyle name="Percent 3 5 2 3 2 4" xfId="29227" xr:uid="{00000000-0005-0000-0000-00001A9D0000}"/>
    <cellStyle name="Percent 3 5 2 3 3" xfId="12394" xr:uid="{00000000-0005-0000-0000-00001B9D0000}"/>
    <cellStyle name="Percent 3 5 2 3 3 2" xfId="32314" xr:uid="{00000000-0005-0000-0000-00001C9D0000}"/>
    <cellStyle name="Percent 3 5 2 3 4" xfId="18546" xr:uid="{00000000-0005-0000-0000-00001D9D0000}"/>
    <cellStyle name="Percent 3 5 2 3 4 2" xfId="38466" xr:uid="{00000000-0005-0000-0000-00001E9D0000}"/>
    <cellStyle name="Percent 3 5 2 3 5" xfId="26161" xr:uid="{00000000-0005-0000-0000-00001F9D0000}"/>
    <cellStyle name="Percent 3 5 2 4" xfId="7732" xr:uid="{00000000-0005-0000-0000-0000209D0000}"/>
    <cellStyle name="Percent 3 5 2 4 2" xfId="13926" xr:uid="{00000000-0005-0000-0000-0000219D0000}"/>
    <cellStyle name="Percent 3 5 2 4 2 2" xfId="33846" xr:uid="{00000000-0005-0000-0000-0000229D0000}"/>
    <cellStyle name="Percent 3 5 2 4 3" xfId="20078" xr:uid="{00000000-0005-0000-0000-0000239D0000}"/>
    <cellStyle name="Percent 3 5 2 4 3 2" xfId="39998" xr:uid="{00000000-0005-0000-0000-0000249D0000}"/>
    <cellStyle name="Percent 3 5 2 4 4" xfId="27693" xr:uid="{00000000-0005-0000-0000-0000259D0000}"/>
    <cellStyle name="Percent 3 5 2 5" xfId="10860" xr:uid="{00000000-0005-0000-0000-0000269D0000}"/>
    <cellStyle name="Percent 3 5 2 5 2" xfId="30780" xr:uid="{00000000-0005-0000-0000-0000279D0000}"/>
    <cellStyle name="Percent 3 5 2 6" xfId="17012" xr:uid="{00000000-0005-0000-0000-0000289D0000}"/>
    <cellStyle name="Percent 3 5 2 6 2" xfId="36932" xr:uid="{00000000-0005-0000-0000-0000299D0000}"/>
    <cellStyle name="Percent 3 5 2 7" xfId="24627" xr:uid="{00000000-0005-0000-0000-00002A9D0000}"/>
    <cellStyle name="Percent 3 5 3" xfId="5324" xr:uid="{00000000-0005-0000-0000-00002B9D0000}"/>
    <cellStyle name="Percent 3 5 3 2" xfId="6949" xr:uid="{00000000-0005-0000-0000-00002C9D0000}"/>
    <cellStyle name="Percent 3 5 3 2 2" xfId="10035" xr:uid="{00000000-0005-0000-0000-00002D9D0000}"/>
    <cellStyle name="Percent 3 5 3 2 2 2" xfId="16228" xr:uid="{00000000-0005-0000-0000-00002E9D0000}"/>
    <cellStyle name="Percent 3 5 3 2 2 2 2" xfId="36148" xr:uid="{00000000-0005-0000-0000-00002F9D0000}"/>
    <cellStyle name="Percent 3 5 3 2 2 3" xfId="22380" xr:uid="{00000000-0005-0000-0000-0000309D0000}"/>
    <cellStyle name="Percent 3 5 3 2 2 3 2" xfId="42300" xr:uid="{00000000-0005-0000-0000-0000319D0000}"/>
    <cellStyle name="Percent 3 5 3 2 2 4" xfId="29995" xr:uid="{00000000-0005-0000-0000-0000329D0000}"/>
    <cellStyle name="Percent 3 5 3 2 3" xfId="13162" xr:uid="{00000000-0005-0000-0000-0000339D0000}"/>
    <cellStyle name="Percent 3 5 3 2 3 2" xfId="33082" xr:uid="{00000000-0005-0000-0000-0000349D0000}"/>
    <cellStyle name="Percent 3 5 3 2 4" xfId="19314" xr:uid="{00000000-0005-0000-0000-0000359D0000}"/>
    <cellStyle name="Percent 3 5 3 2 4 2" xfId="39234" xr:uid="{00000000-0005-0000-0000-0000369D0000}"/>
    <cellStyle name="Percent 3 5 3 2 5" xfId="26929" xr:uid="{00000000-0005-0000-0000-0000379D0000}"/>
    <cellStyle name="Percent 3 5 3 3" xfId="8500" xr:uid="{00000000-0005-0000-0000-0000389D0000}"/>
    <cellStyle name="Percent 3 5 3 3 2" xfId="14694" xr:uid="{00000000-0005-0000-0000-0000399D0000}"/>
    <cellStyle name="Percent 3 5 3 3 2 2" xfId="34614" xr:uid="{00000000-0005-0000-0000-00003A9D0000}"/>
    <cellStyle name="Percent 3 5 3 3 3" xfId="20846" xr:uid="{00000000-0005-0000-0000-00003B9D0000}"/>
    <cellStyle name="Percent 3 5 3 3 3 2" xfId="40766" xr:uid="{00000000-0005-0000-0000-00003C9D0000}"/>
    <cellStyle name="Percent 3 5 3 3 4" xfId="28461" xr:uid="{00000000-0005-0000-0000-00003D9D0000}"/>
    <cellStyle name="Percent 3 5 3 4" xfId="11628" xr:uid="{00000000-0005-0000-0000-00003E9D0000}"/>
    <cellStyle name="Percent 3 5 3 4 2" xfId="31548" xr:uid="{00000000-0005-0000-0000-00003F9D0000}"/>
    <cellStyle name="Percent 3 5 3 5" xfId="17780" xr:uid="{00000000-0005-0000-0000-0000409D0000}"/>
    <cellStyle name="Percent 3 5 3 5 2" xfId="37700" xr:uid="{00000000-0005-0000-0000-0000419D0000}"/>
    <cellStyle name="Percent 3 5 3 6" xfId="25395" xr:uid="{00000000-0005-0000-0000-0000429D0000}"/>
    <cellStyle name="Percent 3 5 4" xfId="6176" xr:uid="{00000000-0005-0000-0000-0000439D0000}"/>
    <cellStyle name="Percent 3 5 4 2" xfId="9266" xr:uid="{00000000-0005-0000-0000-0000449D0000}"/>
    <cellStyle name="Percent 3 5 4 2 2" xfId="15459" xr:uid="{00000000-0005-0000-0000-0000459D0000}"/>
    <cellStyle name="Percent 3 5 4 2 2 2" xfId="35379" xr:uid="{00000000-0005-0000-0000-0000469D0000}"/>
    <cellStyle name="Percent 3 5 4 2 3" xfId="21611" xr:uid="{00000000-0005-0000-0000-0000479D0000}"/>
    <cellStyle name="Percent 3 5 4 2 3 2" xfId="41531" xr:uid="{00000000-0005-0000-0000-0000489D0000}"/>
    <cellStyle name="Percent 3 5 4 2 4" xfId="29226" xr:uid="{00000000-0005-0000-0000-0000499D0000}"/>
    <cellStyle name="Percent 3 5 4 3" xfId="12393" xr:uid="{00000000-0005-0000-0000-00004A9D0000}"/>
    <cellStyle name="Percent 3 5 4 3 2" xfId="32313" xr:uid="{00000000-0005-0000-0000-00004B9D0000}"/>
    <cellStyle name="Percent 3 5 4 4" xfId="18545" xr:uid="{00000000-0005-0000-0000-00004C9D0000}"/>
    <cellStyle name="Percent 3 5 4 4 2" xfId="38465" xr:uid="{00000000-0005-0000-0000-00004D9D0000}"/>
    <cellStyle name="Percent 3 5 4 5" xfId="26160" xr:uid="{00000000-0005-0000-0000-00004E9D0000}"/>
    <cellStyle name="Percent 3 5 5" xfId="7731" xr:uid="{00000000-0005-0000-0000-00004F9D0000}"/>
    <cellStyle name="Percent 3 5 5 2" xfId="13925" xr:uid="{00000000-0005-0000-0000-0000509D0000}"/>
    <cellStyle name="Percent 3 5 5 2 2" xfId="33845" xr:uid="{00000000-0005-0000-0000-0000519D0000}"/>
    <cellStyle name="Percent 3 5 5 3" xfId="20077" xr:uid="{00000000-0005-0000-0000-0000529D0000}"/>
    <cellStyle name="Percent 3 5 5 3 2" xfId="39997" xr:uid="{00000000-0005-0000-0000-0000539D0000}"/>
    <cellStyle name="Percent 3 5 5 4" xfId="27692" xr:uid="{00000000-0005-0000-0000-0000549D0000}"/>
    <cellStyle name="Percent 3 5 6" xfId="10859" xr:uid="{00000000-0005-0000-0000-0000559D0000}"/>
    <cellStyle name="Percent 3 5 6 2" xfId="30779" xr:uid="{00000000-0005-0000-0000-0000569D0000}"/>
    <cellStyle name="Percent 3 5 7" xfId="17011" xr:uid="{00000000-0005-0000-0000-0000579D0000}"/>
    <cellStyle name="Percent 3 5 7 2" xfId="36931" xr:uid="{00000000-0005-0000-0000-0000589D0000}"/>
    <cellStyle name="Percent 3 5 8" xfId="4289" xr:uid="{00000000-0005-0000-0000-0000599D0000}"/>
    <cellStyle name="Percent 3 5 8 2" xfId="24626" xr:uid="{00000000-0005-0000-0000-00005A9D0000}"/>
    <cellStyle name="Percent 3 6" xfId="156" xr:uid="{00000000-0005-0000-0000-00005B9D0000}"/>
    <cellStyle name="Percent 3 6 2" xfId="4292" xr:uid="{00000000-0005-0000-0000-00005C9D0000}"/>
    <cellStyle name="Percent 3 6 2 2" xfId="5327" xr:uid="{00000000-0005-0000-0000-00005D9D0000}"/>
    <cellStyle name="Percent 3 6 2 2 2" xfId="6952" xr:uid="{00000000-0005-0000-0000-00005E9D0000}"/>
    <cellStyle name="Percent 3 6 2 2 2 2" xfId="10038" xr:uid="{00000000-0005-0000-0000-00005F9D0000}"/>
    <cellStyle name="Percent 3 6 2 2 2 2 2" xfId="16231" xr:uid="{00000000-0005-0000-0000-0000609D0000}"/>
    <cellStyle name="Percent 3 6 2 2 2 2 2 2" xfId="36151" xr:uid="{00000000-0005-0000-0000-0000619D0000}"/>
    <cellStyle name="Percent 3 6 2 2 2 2 3" xfId="22383" xr:uid="{00000000-0005-0000-0000-0000629D0000}"/>
    <cellStyle name="Percent 3 6 2 2 2 2 3 2" xfId="42303" xr:uid="{00000000-0005-0000-0000-0000639D0000}"/>
    <cellStyle name="Percent 3 6 2 2 2 2 4" xfId="29998" xr:uid="{00000000-0005-0000-0000-0000649D0000}"/>
    <cellStyle name="Percent 3 6 2 2 2 3" xfId="13165" xr:uid="{00000000-0005-0000-0000-0000659D0000}"/>
    <cellStyle name="Percent 3 6 2 2 2 3 2" xfId="33085" xr:uid="{00000000-0005-0000-0000-0000669D0000}"/>
    <cellStyle name="Percent 3 6 2 2 2 4" xfId="19317" xr:uid="{00000000-0005-0000-0000-0000679D0000}"/>
    <cellStyle name="Percent 3 6 2 2 2 4 2" xfId="39237" xr:uid="{00000000-0005-0000-0000-0000689D0000}"/>
    <cellStyle name="Percent 3 6 2 2 2 5" xfId="26932" xr:uid="{00000000-0005-0000-0000-0000699D0000}"/>
    <cellStyle name="Percent 3 6 2 2 3" xfId="8503" xr:uid="{00000000-0005-0000-0000-00006A9D0000}"/>
    <cellStyle name="Percent 3 6 2 2 3 2" xfId="14697" xr:uid="{00000000-0005-0000-0000-00006B9D0000}"/>
    <cellStyle name="Percent 3 6 2 2 3 2 2" xfId="34617" xr:uid="{00000000-0005-0000-0000-00006C9D0000}"/>
    <cellStyle name="Percent 3 6 2 2 3 3" xfId="20849" xr:uid="{00000000-0005-0000-0000-00006D9D0000}"/>
    <cellStyle name="Percent 3 6 2 2 3 3 2" xfId="40769" xr:uid="{00000000-0005-0000-0000-00006E9D0000}"/>
    <cellStyle name="Percent 3 6 2 2 3 4" xfId="28464" xr:uid="{00000000-0005-0000-0000-00006F9D0000}"/>
    <cellStyle name="Percent 3 6 2 2 4" xfId="11631" xr:uid="{00000000-0005-0000-0000-0000709D0000}"/>
    <cellStyle name="Percent 3 6 2 2 4 2" xfId="31551" xr:uid="{00000000-0005-0000-0000-0000719D0000}"/>
    <cellStyle name="Percent 3 6 2 2 5" xfId="17783" xr:uid="{00000000-0005-0000-0000-0000729D0000}"/>
    <cellStyle name="Percent 3 6 2 2 5 2" xfId="37703" xr:uid="{00000000-0005-0000-0000-0000739D0000}"/>
    <cellStyle name="Percent 3 6 2 2 6" xfId="25398" xr:uid="{00000000-0005-0000-0000-0000749D0000}"/>
    <cellStyle name="Percent 3 6 2 3" xfId="6179" xr:uid="{00000000-0005-0000-0000-0000759D0000}"/>
    <cellStyle name="Percent 3 6 2 3 2" xfId="9269" xr:uid="{00000000-0005-0000-0000-0000769D0000}"/>
    <cellStyle name="Percent 3 6 2 3 2 2" xfId="15462" xr:uid="{00000000-0005-0000-0000-0000779D0000}"/>
    <cellStyle name="Percent 3 6 2 3 2 2 2" xfId="35382" xr:uid="{00000000-0005-0000-0000-0000789D0000}"/>
    <cellStyle name="Percent 3 6 2 3 2 3" xfId="21614" xr:uid="{00000000-0005-0000-0000-0000799D0000}"/>
    <cellStyle name="Percent 3 6 2 3 2 3 2" xfId="41534" xr:uid="{00000000-0005-0000-0000-00007A9D0000}"/>
    <cellStyle name="Percent 3 6 2 3 2 4" xfId="29229" xr:uid="{00000000-0005-0000-0000-00007B9D0000}"/>
    <cellStyle name="Percent 3 6 2 3 3" xfId="12396" xr:uid="{00000000-0005-0000-0000-00007C9D0000}"/>
    <cellStyle name="Percent 3 6 2 3 3 2" xfId="32316" xr:uid="{00000000-0005-0000-0000-00007D9D0000}"/>
    <cellStyle name="Percent 3 6 2 3 4" xfId="18548" xr:uid="{00000000-0005-0000-0000-00007E9D0000}"/>
    <cellStyle name="Percent 3 6 2 3 4 2" xfId="38468" xr:uid="{00000000-0005-0000-0000-00007F9D0000}"/>
    <cellStyle name="Percent 3 6 2 3 5" xfId="26163" xr:uid="{00000000-0005-0000-0000-0000809D0000}"/>
    <cellStyle name="Percent 3 6 2 4" xfId="7734" xr:uid="{00000000-0005-0000-0000-0000819D0000}"/>
    <cellStyle name="Percent 3 6 2 4 2" xfId="13928" xr:uid="{00000000-0005-0000-0000-0000829D0000}"/>
    <cellStyle name="Percent 3 6 2 4 2 2" xfId="33848" xr:uid="{00000000-0005-0000-0000-0000839D0000}"/>
    <cellStyle name="Percent 3 6 2 4 3" xfId="20080" xr:uid="{00000000-0005-0000-0000-0000849D0000}"/>
    <cellStyle name="Percent 3 6 2 4 3 2" xfId="40000" xr:uid="{00000000-0005-0000-0000-0000859D0000}"/>
    <cellStyle name="Percent 3 6 2 4 4" xfId="27695" xr:uid="{00000000-0005-0000-0000-0000869D0000}"/>
    <cellStyle name="Percent 3 6 2 5" xfId="10862" xr:uid="{00000000-0005-0000-0000-0000879D0000}"/>
    <cellStyle name="Percent 3 6 2 5 2" xfId="30782" xr:uid="{00000000-0005-0000-0000-0000889D0000}"/>
    <cellStyle name="Percent 3 6 2 6" xfId="17014" xr:uid="{00000000-0005-0000-0000-0000899D0000}"/>
    <cellStyle name="Percent 3 6 2 6 2" xfId="36934" xr:uid="{00000000-0005-0000-0000-00008A9D0000}"/>
    <cellStyle name="Percent 3 6 2 7" xfId="24629" xr:uid="{00000000-0005-0000-0000-00008B9D0000}"/>
    <cellStyle name="Percent 3 6 3" xfId="5326" xr:uid="{00000000-0005-0000-0000-00008C9D0000}"/>
    <cellStyle name="Percent 3 6 3 2" xfId="6951" xr:uid="{00000000-0005-0000-0000-00008D9D0000}"/>
    <cellStyle name="Percent 3 6 3 2 2" xfId="10037" xr:uid="{00000000-0005-0000-0000-00008E9D0000}"/>
    <cellStyle name="Percent 3 6 3 2 2 2" xfId="16230" xr:uid="{00000000-0005-0000-0000-00008F9D0000}"/>
    <cellStyle name="Percent 3 6 3 2 2 2 2" xfId="36150" xr:uid="{00000000-0005-0000-0000-0000909D0000}"/>
    <cellStyle name="Percent 3 6 3 2 2 3" xfId="22382" xr:uid="{00000000-0005-0000-0000-0000919D0000}"/>
    <cellStyle name="Percent 3 6 3 2 2 3 2" xfId="42302" xr:uid="{00000000-0005-0000-0000-0000929D0000}"/>
    <cellStyle name="Percent 3 6 3 2 2 4" xfId="29997" xr:uid="{00000000-0005-0000-0000-0000939D0000}"/>
    <cellStyle name="Percent 3 6 3 2 3" xfId="13164" xr:uid="{00000000-0005-0000-0000-0000949D0000}"/>
    <cellStyle name="Percent 3 6 3 2 3 2" xfId="33084" xr:uid="{00000000-0005-0000-0000-0000959D0000}"/>
    <cellStyle name="Percent 3 6 3 2 4" xfId="19316" xr:uid="{00000000-0005-0000-0000-0000969D0000}"/>
    <cellStyle name="Percent 3 6 3 2 4 2" xfId="39236" xr:uid="{00000000-0005-0000-0000-0000979D0000}"/>
    <cellStyle name="Percent 3 6 3 2 5" xfId="26931" xr:uid="{00000000-0005-0000-0000-0000989D0000}"/>
    <cellStyle name="Percent 3 6 3 3" xfId="8502" xr:uid="{00000000-0005-0000-0000-0000999D0000}"/>
    <cellStyle name="Percent 3 6 3 3 2" xfId="14696" xr:uid="{00000000-0005-0000-0000-00009A9D0000}"/>
    <cellStyle name="Percent 3 6 3 3 2 2" xfId="34616" xr:uid="{00000000-0005-0000-0000-00009B9D0000}"/>
    <cellStyle name="Percent 3 6 3 3 3" xfId="20848" xr:uid="{00000000-0005-0000-0000-00009C9D0000}"/>
    <cellStyle name="Percent 3 6 3 3 3 2" xfId="40768" xr:uid="{00000000-0005-0000-0000-00009D9D0000}"/>
    <cellStyle name="Percent 3 6 3 3 4" xfId="28463" xr:uid="{00000000-0005-0000-0000-00009E9D0000}"/>
    <cellStyle name="Percent 3 6 3 4" xfId="11630" xr:uid="{00000000-0005-0000-0000-00009F9D0000}"/>
    <cellStyle name="Percent 3 6 3 4 2" xfId="31550" xr:uid="{00000000-0005-0000-0000-0000A09D0000}"/>
    <cellStyle name="Percent 3 6 3 5" xfId="17782" xr:uid="{00000000-0005-0000-0000-0000A19D0000}"/>
    <cellStyle name="Percent 3 6 3 5 2" xfId="37702" xr:uid="{00000000-0005-0000-0000-0000A29D0000}"/>
    <cellStyle name="Percent 3 6 3 6" xfId="25397" xr:uid="{00000000-0005-0000-0000-0000A39D0000}"/>
    <cellStyle name="Percent 3 6 4" xfId="6178" xr:uid="{00000000-0005-0000-0000-0000A49D0000}"/>
    <cellStyle name="Percent 3 6 4 2" xfId="9268" xr:uid="{00000000-0005-0000-0000-0000A59D0000}"/>
    <cellStyle name="Percent 3 6 4 2 2" xfId="15461" xr:uid="{00000000-0005-0000-0000-0000A69D0000}"/>
    <cellStyle name="Percent 3 6 4 2 2 2" xfId="35381" xr:uid="{00000000-0005-0000-0000-0000A79D0000}"/>
    <cellStyle name="Percent 3 6 4 2 3" xfId="21613" xr:uid="{00000000-0005-0000-0000-0000A89D0000}"/>
    <cellStyle name="Percent 3 6 4 2 3 2" xfId="41533" xr:uid="{00000000-0005-0000-0000-0000A99D0000}"/>
    <cellStyle name="Percent 3 6 4 2 4" xfId="29228" xr:uid="{00000000-0005-0000-0000-0000AA9D0000}"/>
    <cellStyle name="Percent 3 6 4 3" xfId="12395" xr:uid="{00000000-0005-0000-0000-0000AB9D0000}"/>
    <cellStyle name="Percent 3 6 4 3 2" xfId="32315" xr:uid="{00000000-0005-0000-0000-0000AC9D0000}"/>
    <cellStyle name="Percent 3 6 4 4" xfId="18547" xr:uid="{00000000-0005-0000-0000-0000AD9D0000}"/>
    <cellStyle name="Percent 3 6 4 4 2" xfId="38467" xr:uid="{00000000-0005-0000-0000-0000AE9D0000}"/>
    <cellStyle name="Percent 3 6 4 5" xfId="26162" xr:uid="{00000000-0005-0000-0000-0000AF9D0000}"/>
    <cellStyle name="Percent 3 6 5" xfId="7733" xr:uid="{00000000-0005-0000-0000-0000B09D0000}"/>
    <cellStyle name="Percent 3 6 5 2" xfId="13927" xr:uid="{00000000-0005-0000-0000-0000B19D0000}"/>
    <cellStyle name="Percent 3 6 5 2 2" xfId="33847" xr:uid="{00000000-0005-0000-0000-0000B29D0000}"/>
    <cellStyle name="Percent 3 6 5 3" xfId="20079" xr:uid="{00000000-0005-0000-0000-0000B39D0000}"/>
    <cellStyle name="Percent 3 6 5 3 2" xfId="39999" xr:uid="{00000000-0005-0000-0000-0000B49D0000}"/>
    <cellStyle name="Percent 3 6 5 4" xfId="27694" xr:uid="{00000000-0005-0000-0000-0000B59D0000}"/>
    <cellStyle name="Percent 3 6 6" xfId="10861" xr:uid="{00000000-0005-0000-0000-0000B69D0000}"/>
    <cellStyle name="Percent 3 6 6 2" xfId="30781" xr:uid="{00000000-0005-0000-0000-0000B79D0000}"/>
    <cellStyle name="Percent 3 6 7" xfId="17013" xr:uid="{00000000-0005-0000-0000-0000B89D0000}"/>
    <cellStyle name="Percent 3 6 7 2" xfId="36933" xr:uid="{00000000-0005-0000-0000-0000B99D0000}"/>
    <cellStyle name="Percent 3 6 8" xfId="4291" xr:uid="{00000000-0005-0000-0000-0000BA9D0000}"/>
    <cellStyle name="Percent 3 6 8 2" xfId="24628" xr:uid="{00000000-0005-0000-0000-0000BB9D0000}"/>
    <cellStyle name="Percent 3 7" xfId="183" xr:uid="{00000000-0005-0000-0000-0000BC9D0000}"/>
    <cellStyle name="Percent 3 7 2" xfId="4294" xr:uid="{00000000-0005-0000-0000-0000BD9D0000}"/>
    <cellStyle name="Percent 3 7 2 2" xfId="5329" xr:uid="{00000000-0005-0000-0000-0000BE9D0000}"/>
    <cellStyle name="Percent 3 7 2 2 2" xfId="6954" xr:uid="{00000000-0005-0000-0000-0000BF9D0000}"/>
    <cellStyle name="Percent 3 7 2 2 2 2" xfId="10040" xr:uid="{00000000-0005-0000-0000-0000C09D0000}"/>
    <cellStyle name="Percent 3 7 2 2 2 2 2" xfId="16233" xr:uid="{00000000-0005-0000-0000-0000C19D0000}"/>
    <cellStyle name="Percent 3 7 2 2 2 2 2 2" xfId="36153" xr:uid="{00000000-0005-0000-0000-0000C29D0000}"/>
    <cellStyle name="Percent 3 7 2 2 2 2 3" xfId="22385" xr:uid="{00000000-0005-0000-0000-0000C39D0000}"/>
    <cellStyle name="Percent 3 7 2 2 2 2 3 2" xfId="42305" xr:uid="{00000000-0005-0000-0000-0000C49D0000}"/>
    <cellStyle name="Percent 3 7 2 2 2 2 4" xfId="30000" xr:uid="{00000000-0005-0000-0000-0000C59D0000}"/>
    <cellStyle name="Percent 3 7 2 2 2 3" xfId="13167" xr:uid="{00000000-0005-0000-0000-0000C69D0000}"/>
    <cellStyle name="Percent 3 7 2 2 2 3 2" xfId="33087" xr:uid="{00000000-0005-0000-0000-0000C79D0000}"/>
    <cellStyle name="Percent 3 7 2 2 2 4" xfId="19319" xr:uid="{00000000-0005-0000-0000-0000C89D0000}"/>
    <cellStyle name="Percent 3 7 2 2 2 4 2" xfId="39239" xr:uid="{00000000-0005-0000-0000-0000C99D0000}"/>
    <cellStyle name="Percent 3 7 2 2 2 5" xfId="26934" xr:uid="{00000000-0005-0000-0000-0000CA9D0000}"/>
    <cellStyle name="Percent 3 7 2 2 3" xfId="8505" xr:uid="{00000000-0005-0000-0000-0000CB9D0000}"/>
    <cellStyle name="Percent 3 7 2 2 3 2" xfId="14699" xr:uid="{00000000-0005-0000-0000-0000CC9D0000}"/>
    <cellStyle name="Percent 3 7 2 2 3 2 2" xfId="34619" xr:uid="{00000000-0005-0000-0000-0000CD9D0000}"/>
    <cellStyle name="Percent 3 7 2 2 3 3" xfId="20851" xr:uid="{00000000-0005-0000-0000-0000CE9D0000}"/>
    <cellStyle name="Percent 3 7 2 2 3 3 2" xfId="40771" xr:uid="{00000000-0005-0000-0000-0000CF9D0000}"/>
    <cellStyle name="Percent 3 7 2 2 3 4" xfId="28466" xr:uid="{00000000-0005-0000-0000-0000D09D0000}"/>
    <cellStyle name="Percent 3 7 2 2 4" xfId="11633" xr:uid="{00000000-0005-0000-0000-0000D19D0000}"/>
    <cellStyle name="Percent 3 7 2 2 4 2" xfId="31553" xr:uid="{00000000-0005-0000-0000-0000D29D0000}"/>
    <cellStyle name="Percent 3 7 2 2 5" xfId="17785" xr:uid="{00000000-0005-0000-0000-0000D39D0000}"/>
    <cellStyle name="Percent 3 7 2 2 5 2" xfId="37705" xr:uid="{00000000-0005-0000-0000-0000D49D0000}"/>
    <cellStyle name="Percent 3 7 2 2 6" xfId="25400" xr:uid="{00000000-0005-0000-0000-0000D59D0000}"/>
    <cellStyle name="Percent 3 7 2 3" xfId="6181" xr:uid="{00000000-0005-0000-0000-0000D69D0000}"/>
    <cellStyle name="Percent 3 7 2 3 2" xfId="9271" xr:uid="{00000000-0005-0000-0000-0000D79D0000}"/>
    <cellStyle name="Percent 3 7 2 3 2 2" xfId="15464" xr:uid="{00000000-0005-0000-0000-0000D89D0000}"/>
    <cellStyle name="Percent 3 7 2 3 2 2 2" xfId="35384" xr:uid="{00000000-0005-0000-0000-0000D99D0000}"/>
    <cellStyle name="Percent 3 7 2 3 2 3" xfId="21616" xr:uid="{00000000-0005-0000-0000-0000DA9D0000}"/>
    <cellStyle name="Percent 3 7 2 3 2 3 2" xfId="41536" xr:uid="{00000000-0005-0000-0000-0000DB9D0000}"/>
    <cellStyle name="Percent 3 7 2 3 2 4" xfId="29231" xr:uid="{00000000-0005-0000-0000-0000DC9D0000}"/>
    <cellStyle name="Percent 3 7 2 3 3" xfId="12398" xr:uid="{00000000-0005-0000-0000-0000DD9D0000}"/>
    <cellStyle name="Percent 3 7 2 3 3 2" xfId="32318" xr:uid="{00000000-0005-0000-0000-0000DE9D0000}"/>
    <cellStyle name="Percent 3 7 2 3 4" xfId="18550" xr:uid="{00000000-0005-0000-0000-0000DF9D0000}"/>
    <cellStyle name="Percent 3 7 2 3 4 2" xfId="38470" xr:uid="{00000000-0005-0000-0000-0000E09D0000}"/>
    <cellStyle name="Percent 3 7 2 3 5" xfId="26165" xr:uid="{00000000-0005-0000-0000-0000E19D0000}"/>
    <cellStyle name="Percent 3 7 2 4" xfId="7736" xr:uid="{00000000-0005-0000-0000-0000E29D0000}"/>
    <cellStyle name="Percent 3 7 2 4 2" xfId="13930" xr:uid="{00000000-0005-0000-0000-0000E39D0000}"/>
    <cellStyle name="Percent 3 7 2 4 2 2" xfId="33850" xr:uid="{00000000-0005-0000-0000-0000E49D0000}"/>
    <cellStyle name="Percent 3 7 2 4 3" xfId="20082" xr:uid="{00000000-0005-0000-0000-0000E59D0000}"/>
    <cellStyle name="Percent 3 7 2 4 3 2" xfId="40002" xr:uid="{00000000-0005-0000-0000-0000E69D0000}"/>
    <cellStyle name="Percent 3 7 2 4 4" xfId="27697" xr:uid="{00000000-0005-0000-0000-0000E79D0000}"/>
    <cellStyle name="Percent 3 7 2 5" xfId="10864" xr:uid="{00000000-0005-0000-0000-0000E89D0000}"/>
    <cellStyle name="Percent 3 7 2 5 2" xfId="30784" xr:uid="{00000000-0005-0000-0000-0000E99D0000}"/>
    <cellStyle name="Percent 3 7 2 6" xfId="17016" xr:uid="{00000000-0005-0000-0000-0000EA9D0000}"/>
    <cellStyle name="Percent 3 7 2 6 2" xfId="36936" xr:uid="{00000000-0005-0000-0000-0000EB9D0000}"/>
    <cellStyle name="Percent 3 7 2 7" xfId="24631" xr:uid="{00000000-0005-0000-0000-0000EC9D0000}"/>
    <cellStyle name="Percent 3 7 3" xfId="5328" xr:uid="{00000000-0005-0000-0000-0000ED9D0000}"/>
    <cellStyle name="Percent 3 7 3 2" xfId="6953" xr:uid="{00000000-0005-0000-0000-0000EE9D0000}"/>
    <cellStyle name="Percent 3 7 3 2 2" xfId="10039" xr:uid="{00000000-0005-0000-0000-0000EF9D0000}"/>
    <cellStyle name="Percent 3 7 3 2 2 2" xfId="16232" xr:uid="{00000000-0005-0000-0000-0000F09D0000}"/>
    <cellStyle name="Percent 3 7 3 2 2 2 2" xfId="36152" xr:uid="{00000000-0005-0000-0000-0000F19D0000}"/>
    <cellStyle name="Percent 3 7 3 2 2 3" xfId="22384" xr:uid="{00000000-0005-0000-0000-0000F29D0000}"/>
    <cellStyle name="Percent 3 7 3 2 2 3 2" xfId="42304" xr:uid="{00000000-0005-0000-0000-0000F39D0000}"/>
    <cellStyle name="Percent 3 7 3 2 2 4" xfId="29999" xr:uid="{00000000-0005-0000-0000-0000F49D0000}"/>
    <cellStyle name="Percent 3 7 3 2 3" xfId="13166" xr:uid="{00000000-0005-0000-0000-0000F59D0000}"/>
    <cellStyle name="Percent 3 7 3 2 3 2" xfId="33086" xr:uid="{00000000-0005-0000-0000-0000F69D0000}"/>
    <cellStyle name="Percent 3 7 3 2 4" xfId="19318" xr:uid="{00000000-0005-0000-0000-0000F79D0000}"/>
    <cellStyle name="Percent 3 7 3 2 4 2" xfId="39238" xr:uid="{00000000-0005-0000-0000-0000F89D0000}"/>
    <cellStyle name="Percent 3 7 3 2 5" xfId="26933" xr:uid="{00000000-0005-0000-0000-0000F99D0000}"/>
    <cellStyle name="Percent 3 7 3 3" xfId="8504" xr:uid="{00000000-0005-0000-0000-0000FA9D0000}"/>
    <cellStyle name="Percent 3 7 3 3 2" xfId="14698" xr:uid="{00000000-0005-0000-0000-0000FB9D0000}"/>
    <cellStyle name="Percent 3 7 3 3 2 2" xfId="34618" xr:uid="{00000000-0005-0000-0000-0000FC9D0000}"/>
    <cellStyle name="Percent 3 7 3 3 3" xfId="20850" xr:uid="{00000000-0005-0000-0000-0000FD9D0000}"/>
    <cellStyle name="Percent 3 7 3 3 3 2" xfId="40770" xr:uid="{00000000-0005-0000-0000-0000FE9D0000}"/>
    <cellStyle name="Percent 3 7 3 3 4" xfId="28465" xr:uid="{00000000-0005-0000-0000-0000FF9D0000}"/>
    <cellStyle name="Percent 3 7 3 4" xfId="11632" xr:uid="{00000000-0005-0000-0000-0000009E0000}"/>
    <cellStyle name="Percent 3 7 3 4 2" xfId="31552" xr:uid="{00000000-0005-0000-0000-0000019E0000}"/>
    <cellStyle name="Percent 3 7 3 5" xfId="17784" xr:uid="{00000000-0005-0000-0000-0000029E0000}"/>
    <cellStyle name="Percent 3 7 3 5 2" xfId="37704" xr:uid="{00000000-0005-0000-0000-0000039E0000}"/>
    <cellStyle name="Percent 3 7 3 6" xfId="25399" xr:uid="{00000000-0005-0000-0000-0000049E0000}"/>
    <cellStyle name="Percent 3 7 4" xfId="6180" xr:uid="{00000000-0005-0000-0000-0000059E0000}"/>
    <cellStyle name="Percent 3 7 4 2" xfId="9270" xr:uid="{00000000-0005-0000-0000-0000069E0000}"/>
    <cellStyle name="Percent 3 7 4 2 2" xfId="15463" xr:uid="{00000000-0005-0000-0000-0000079E0000}"/>
    <cellStyle name="Percent 3 7 4 2 2 2" xfId="35383" xr:uid="{00000000-0005-0000-0000-0000089E0000}"/>
    <cellStyle name="Percent 3 7 4 2 3" xfId="21615" xr:uid="{00000000-0005-0000-0000-0000099E0000}"/>
    <cellStyle name="Percent 3 7 4 2 3 2" xfId="41535" xr:uid="{00000000-0005-0000-0000-00000A9E0000}"/>
    <cellStyle name="Percent 3 7 4 2 4" xfId="29230" xr:uid="{00000000-0005-0000-0000-00000B9E0000}"/>
    <cellStyle name="Percent 3 7 4 3" xfId="12397" xr:uid="{00000000-0005-0000-0000-00000C9E0000}"/>
    <cellStyle name="Percent 3 7 4 3 2" xfId="32317" xr:uid="{00000000-0005-0000-0000-00000D9E0000}"/>
    <cellStyle name="Percent 3 7 4 4" xfId="18549" xr:uid="{00000000-0005-0000-0000-00000E9E0000}"/>
    <cellStyle name="Percent 3 7 4 4 2" xfId="38469" xr:uid="{00000000-0005-0000-0000-00000F9E0000}"/>
    <cellStyle name="Percent 3 7 4 5" xfId="26164" xr:uid="{00000000-0005-0000-0000-0000109E0000}"/>
    <cellStyle name="Percent 3 7 5" xfId="7735" xr:uid="{00000000-0005-0000-0000-0000119E0000}"/>
    <cellStyle name="Percent 3 7 5 2" xfId="13929" xr:uid="{00000000-0005-0000-0000-0000129E0000}"/>
    <cellStyle name="Percent 3 7 5 2 2" xfId="33849" xr:uid="{00000000-0005-0000-0000-0000139E0000}"/>
    <cellStyle name="Percent 3 7 5 3" xfId="20081" xr:uid="{00000000-0005-0000-0000-0000149E0000}"/>
    <cellStyle name="Percent 3 7 5 3 2" xfId="40001" xr:uid="{00000000-0005-0000-0000-0000159E0000}"/>
    <cellStyle name="Percent 3 7 5 4" xfId="27696" xr:uid="{00000000-0005-0000-0000-0000169E0000}"/>
    <cellStyle name="Percent 3 7 6" xfId="10863" xr:uid="{00000000-0005-0000-0000-0000179E0000}"/>
    <cellStyle name="Percent 3 7 6 2" xfId="30783" xr:uid="{00000000-0005-0000-0000-0000189E0000}"/>
    <cellStyle name="Percent 3 7 7" xfId="17015" xr:uid="{00000000-0005-0000-0000-0000199E0000}"/>
    <cellStyle name="Percent 3 7 7 2" xfId="36935" xr:uid="{00000000-0005-0000-0000-00001A9E0000}"/>
    <cellStyle name="Percent 3 7 8" xfId="4293" xr:uid="{00000000-0005-0000-0000-00001B9E0000}"/>
    <cellStyle name="Percent 3 7 8 2" xfId="24630" xr:uid="{00000000-0005-0000-0000-00001C9E0000}"/>
    <cellStyle name="Percent 3 8" xfId="192" xr:uid="{00000000-0005-0000-0000-00001D9E0000}"/>
    <cellStyle name="Percent 3 8 2" xfId="5330" xr:uid="{00000000-0005-0000-0000-00001E9E0000}"/>
    <cellStyle name="Percent 3 8 2 2" xfId="6955" xr:uid="{00000000-0005-0000-0000-00001F9E0000}"/>
    <cellStyle name="Percent 3 8 2 2 2" xfId="10041" xr:uid="{00000000-0005-0000-0000-0000209E0000}"/>
    <cellStyle name="Percent 3 8 2 2 2 2" xfId="16234" xr:uid="{00000000-0005-0000-0000-0000219E0000}"/>
    <cellStyle name="Percent 3 8 2 2 2 2 2" xfId="36154" xr:uid="{00000000-0005-0000-0000-0000229E0000}"/>
    <cellStyle name="Percent 3 8 2 2 2 3" xfId="22386" xr:uid="{00000000-0005-0000-0000-0000239E0000}"/>
    <cellStyle name="Percent 3 8 2 2 2 3 2" xfId="42306" xr:uid="{00000000-0005-0000-0000-0000249E0000}"/>
    <cellStyle name="Percent 3 8 2 2 2 4" xfId="30001" xr:uid="{00000000-0005-0000-0000-0000259E0000}"/>
    <cellStyle name="Percent 3 8 2 2 3" xfId="13168" xr:uid="{00000000-0005-0000-0000-0000269E0000}"/>
    <cellStyle name="Percent 3 8 2 2 3 2" xfId="33088" xr:uid="{00000000-0005-0000-0000-0000279E0000}"/>
    <cellStyle name="Percent 3 8 2 2 4" xfId="19320" xr:uid="{00000000-0005-0000-0000-0000289E0000}"/>
    <cellStyle name="Percent 3 8 2 2 4 2" xfId="39240" xr:uid="{00000000-0005-0000-0000-0000299E0000}"/>
    <cellStyle name="Percent 3 8 2 2 5" xfId="26935" xr:uid="{00000000-0005-0000-0000-00002A9E0000}"/>
    <cellStyle name="Percent 3 8 2 3" xfId="8506" xr:uid="{00000000-0005-0000-0000-00002B9E0000}"/>
    <cellStyle name="Percent 3 8 2 3 2" xfId="14700" xr:uid="{00000000-0005-0000-0000-00002C9E0000}"/>
    <cellStyle name="Percent 3 8 2 3 2 2" xfId="34620" xr:uid="{00000000-0005-0000-0000-00002D9E0000}"/>
    <cellStyle name="Percent 3 8 2 3 3" xfId="20852" xr:uid="{00000000-0005-0000-0000-00002E9E0000}"/>
    <cellStyle name="Percent 3 8 2 3 3 2" xfId="40772" xr:uid="{00000000-0005-0000-0000-00002F9E0000}"/>
    <cellStyle name="Percent 3 8 2 3 4" xfId="28467" xr:uid="{00000000-0005-0000-0000-0000309E0000}"/>
    <cellStyle name="Percent 3 8 2 4" xfId="11634" xr:uid="{00000000-0005-0000-0000-0000319E0000}"/>
    <cellStyle name="Percent 3 8 2 4 2" xfId="31554" xr:uid="{00000000-0005-0000-0000-0000329E0000}"/>
    <cellStyle name="Percent 3 8 2 5" xfId="17786" xr:uid="{00000000-0005-0000-0000-0000339E0000}"/>
    <cellStyle name="Percent 3 8 2 5 2" xfId="37706" xr:uid="{00000000-0005-0000-0000-0000349E0000}"/>
    <cellStyle name="Percent 3 8 2 6" xfId="25401" xr:uid="{00000000-0005-0000-0000-0000359E0000}"/>
    <cellStyle name="Percent 3 8 3" xfId="6182" xr:uid="{00000000-0005-0000-0000-0000369E0000}"/>
    <cellStyle name="Percent 3 8 3 2" xfId="9272" xr:uid="{00000000-0005-0000-0000-0000379E0000}"/>
    <cellStyle name="Percent 3 8 3 2 2" xfId="15465" xr:uid="{00000000-0005-0000-0000-0000389E0000}"/>
    <cellStyle name="Percent 3 8 3 2 2 2" xfId="35385" xr:uid="{00000000-0005-0000-0000-0000399E0000}"/>
    <cellStyle name="Percent 3 8 3 2 3" xfId="21617" xr:uid="{00000000-0005-0000-0000-00003A9E0000}"/>
    <cellStyle name="Percent 3 8 3 2 3 2" xfId="41537" xr:uid="{00000000-0005-0000-0000-00003B9E0000}"/>
    <cellStyle name="Percent 3 8 3 2 4" xfId="29232" xr:uid="{00000000-0005-0000-0000-00003C9E0000}"/>
    <cellStyle name="Percent 3 8 3 3" xfId="12399" xr:uid="{00000000-0005-0000-0000-00003D9E0000}"/>
    <cellStyle name="Percent 3 8 3 3 2" xfId="32319" xr:uid="{00000000-0005-0000-0000-00003E9E0000}"/>
    <cellStyle name="Percent 3 8 3 4" xfId="18551" xr:uid="{00000000-0005-0000-0000-00003F9E0000}"/>
    <cellStyle name="Percent 3 8 3 4 2" xfId="38471" xr:uid="{00000000-0005-0000-0000-0000409E0000}"/>
    <cellStyle name="Percent 3 8 3 5" xfId="26166" xr:uid="{00000000-0005-0000-0000-0000419E0000}"/>
    <cellStyle name="Percent 3 8 4" xfId="7737" xr:uid="{00000000-0005-0000-0000-0000429E0000}"/>
    <cellStyle name="Percent 3 8 4 2" xfId="13931" xr:uid="{00000000-0005-0000-0000-0000439E0000}"/>
    <cellStyle name="Percent 3 8 4 2 2" xfId="33851" xr:uid="{00000000-0005-0000-0000-0000449E0000}"/>
    <cellStyle name="Percent 3 8 4 3" xfId="20083" xr:uid="{00000000-0005-0000-0000-0000459E0000}"/>
    <cellStyle name="Percent 3 8 4 3 2" xfId="40003" xr:uid="{00000000-0005-0000-0000-0000469E0000}"/>
    <cellStyle name="Percent 3 8 4 4" xfId="27698" xr:uid="{00000000-0005-0000-0000-0000479E0000}"/>
    <cellStyle name="Percent 3 8 5" xfId="10865" xr:uid="{00000000-0005-0000-0000-0000489E0000}"/>
    <cellStyle name="Percent 3 8 5 2" xfId="30785" xr:uid="{00000000-0005-0000-0000-0000499E0000}"/>
    <cellStyle name="Percent 3 8 6" xfId="17017" xr:uid="{00000000-0005-0000-0000-00004A9E0000}"/>
    <cellStyle name="Percent 3 8 6 2" xfId="36937" xr:uid="{00000000-0005-0000-0000-00004B9E0000}"/>
    <cellStyle name="Percent 3 8 7" xfId="4295" xr:uid="{00000000-0005-0000-0000-00004C9E0000}"/>
    <cellStyle name="Percent 3 8 7 2" xfId="24632" xr:uid="{00000000-0005-0000-0000-00004D9E0000}"/>
    <cellStyle name="Percent 3 9" xfId="228" xr:uid="{00000000-0005-0000-0000-00004E9E0000}"/>
    <cellStyle name="Percent 3 9 2" xfId="5331" xr:uid="{00000000-0005-0000-0000-00004F9E0000}"/>
    <cellStyle name="Percent 3 9 2 2" xfId="6956" xr:uid="{00000000-0005-0000-0000-0000509E0000}"/>
    <cellStyle name="Percent 3 9 2 2 2" xfId="10042" xr:uid="{00000000-0005-0000-0000-0000519E0000}"/>
    <cellStyle name="Percent 3 9 2 2 2 2" xfId="16235" xr:uid="{00000000-0005-0000-0000-0000529E0000}"/>
    <cellStyle name="Percent 3 9 2 2 2 2 2" xfId="36155" xr:uid="{00000000-0005-0000-0000-0000539E0000}"/>
    <cellStyle name="Percent 3 9 2 2 2 3" xfId="22387" xr:uid="{00000000-0005-0000-0000-0000549E0000}"/>
    <cellStyle name="Percent 3 9 2 2 2 3 2" xfId="42307" xr:uid="{00000000-0005-0000-0000-0000559E0000}"/>
    <cellStyle name="Percent 3 9 2 2 2 4" xfId="30002" xr:uid="{00000000-0005-0000-0000-0000569E0000}"/>
    <cellStyle name="Percent 3 9 2 2 3" xfId="13169" xr:uid="{00000000-0005-0000-0000-0000579E0000}"/>
    <cellStyle name="Percent 3 9 2 2 3 2" xfId="33089" xr:uid="{00000000-0005-0000-0000-0000589E0000}"/>
    <cellStyle name="Percent 3 9 2 2 4" xfId="19321" xr:uid="{00000000-0005-0000-0000-0000599E0000}"/>
    <cellStyle name="Percent 3 9 2 2 4 2" xfId="39241" xr:uid="{00000000-0005-0000-0000-00005A9E0000}"/>
    <cellStyle name="Percent 3 9 2 2 5" xfId="26936" xr:uid="{00000000-0005-0000-0000-00005B9E0000}"/>
    <cellStyle name="Percent 3 9 2 3" xfId="8507" xr:uid="{00000000-0005-0000-0000-00005C9E0000}"/>
    <cellStyle name="Percent 3 9 2 3 2" xfId="14701" xr:uid="{00000000-0005-0000-0000-00005D9E0000}"/>
    <cellStyle name="Percent 3 9 2 3 2 2" xfId="34621" xr:uid="{00000000-0005-0000-0000-00005E9E0000}"/>
    <cellStyle name="Percent 3 9 2 3 3" xfId="20853" xr:uid="{00000000-0005-0000-0000-00005F9E0000}"/>
    <cellStyle name="Percent 3 9 2 3 3 2" xfId="40773" xr:uid="{00000000-0005-0000-0000-0000609E0000}"/>
    <cellStyle name="Percent 3 9 2 3 4" xfId="28468" xr:uid="{00000000-0005-0000-0000-0000619E0000}"/>
    <cellStyle name="Percent 3 9 2 4" xfId="11635" xr:uid="{00000000-0005-0000-0000-0000629E0000}"/>
    <cellStyle name="Percent 3 9 2 4 2" xfId="31555" xr:uid="{00000000-0005-0000-0000-0000639E0000}"/>
    <cellStyle name="Percent 3 9 2 5" xfId="17787" xr:uid="{00000000-0005-0000-0000-0000649E0000}"/>
    <cellStyle name="Percent 3 9 2 5 2" xfId="37707" xr:uid="{00000000-0005-0000-0000-0000659E0000}"/>
    <cellStyle name="Percent 3 9 2 6" xfId="25402" xr:uid="{00000000-0005-0000-0000-0000669E0000}"/>
    <cellStyle name="Percent 3 9 3" xfId="6183" xr:uid="{00000000-0005-0000-0000-0000679E0000}"/>
    <cellStyle name="Percent 3 9 3 2" xfId="9273" xr:uid="{00000000-0005-0000-0000-0000689E0000}"/>
    <cellStyle name="Percent 3 9 3 2 2" xfId="15466" xr:uid="{00000000-0005-0000-0000-0000699E0000}"/>
    <cellStyle name="Percent 3 9 3 2 2 2" xfId="35386" xr:uid="{00000000-0005-0000-0000-00006A9E0000}"/>
    <cellStyle name="Percent 3 9 3 2 3" xfId="21618" xr:uid="{00000000-0005-0000-0000-00006B9E0000}"/>
    <cellStyle name="Percent 3 9 3 2 3 2" xfId="41538" xr:uid="{00000000-0005-0000-0000-00006C9E0000}"/>
    <cellStyle name="Percent 3 9 3 2 4" xfId="29233" xr:uid="{00000000-0005-0000-0000-00006D9E0000}"/>
    <cellStyle name="Percent 3 9 3 3" xfId="12400" xr:uid="{00000000-0005-0000-0000-00006E9E0000}"/>
    <cellStyle name="Percent 3 9 3 3 2" xfId="32320" xr:uid="{00000000-0005-0000-0000-00006F9E0000}"/>
    <cellStyle name="Percent 3 9 3 4" xfId="18552" xr:uid="{00000000-0005-0000-0000-0000709E0000}"/>
    <cellStyle name="Percent 3 9 3 4 2" xfId="38472" xr:uid="{00000000-0005-0000-0000-0000719E0000}"/>
    <cellStyle name="Percent 3 9 3 5" xfId="26167" xr:uid="{00000000-0005-0000-0000-0000729E0000}"/>
    <cellStyle name="Percent 3 9 4" xfId="7738" xr:uid="{00000000-0005-0000-0000-0000739E0000}"/>
    <cellStyle name="Percent 3 9 4 2" xfId="13932" xr:uid="{00000000-0005-0000-0000-0000749E0000}"/>
    <cellStyle name="Percent 3 9 4 2 2" xfId="33852" xr:uid="{00000000-0005-0000-0000-0000759E0000}"/>
    <cellStyle name="Percent 3 9 4 3" xfId="20084" xr:uid="{00000000-0005-0000-0000-0000769E0000}"/>
    <cellStyle name="Percent 3 9 4 3 2" xfId="40004" xr:uid="{00000000-0005-0000-0000-0000779E0000}"/>
    <cellStyle name="Percent 3 9 4 4" xfId="27699" xr:uid="{00000000-0005-0000-0000-0000789E0000}"/>
    <cellStyle name="Percent 3 9 5" xfId="10866" xr:uid="{00000000-0005-0000-0000-0000799E0000}"/>
    <cellStyle name="Percent 3 9 5 2" xfId="30786" xr:uid="{00000000-0005-0000-0000-00007A9E0000}"/>
    <cellStyle name="Percent 3 9 6" xfId="17018" xr:uid="{00000000-0005-0000-0000-00007B9E0000}"/>
    <cellStyle name="Percent 3 9 6 2" xfId="36938" xr:uid="{00000000-0005-0000-0000-00007C9E0000}"/>
    <cellStyle name="Percent 3 9 7" xfId="4296" xr:uid="{00000000-0005-0000-0000-00007D9E0000}"/>
    <cellStyle name="Percent 3 9 7 2" xfId="24633" xr:uid="{00000000-0005-0000-0000-00007E9E0000}"/>
    <cellStyle name="Percent 30" xfId="4297" xr:uid="{00000000-0005-0000-0000-00007F9E0000}"/>
    <cellStyle name="Percent 30 2" xfId="4298" xr:uid="{00000000-0005-0000-0000-0000809E0000}"/>
    <cellStyle name="Percent 30 2 2" xfId="4299" xr:uid="{00000000-0005-0000-0000-0000819E0000}"/>
    <cellStyle name="Percent 30 2 2 2" xfId="5333" xr:uid="{00000000-0005-0000-0000-0000829E0000}"/>
    <cellStyle name="Percent 30 2 2 2 2" xfId="6958" xr:uid="{00000000-0005-0000-0000-0000839E0000}"/>
    <cellStyle name="Percent 30 2 2 2 2 2" xfId="10044" xr:uid="{00000000-0005-0000-0000-0000849E0000}"/>
    <cellStyle name="Percent 30 2 2 2 2 2 2" xfId="16237" xr:uid="{00000000-0005-0000-0000-0000859E0000}"/>
    <cellStyle name="Percent 30 2 2 2 2 2 2 2" xfId="36157" xr:uid="{00000000-0005-0000-0000-0000869E0000}"/>
    <cellStyle name="Percent 30 2 2 2 2 2 3" xfId="22389" xr:uid="{00000000-0005-0000-0000-0000879E0000}"/>
    <cellStyle name="Percent 30 2 2 2 2 2 3 2" xfId="42309" xr:uid="{00000000-0005-0000-0000-0000889E0000}"/>
    <cellStyle name="Percent 30 2 2 2 2 2 4" xfId="30004" xr:uid="{00000000-0005-0000-0000-0000899E0000}"/>
    <cellStyle name="Percent 30 2 2 2 2 3" xfId="13171" xr:uid="{00000000-0005-0000-0000-00008A9E0000}"/>
    <cellStyle name="Percent 30 2 2 2 2 3 2" xfId="33091" xr:uid="{00000000-0005-0000-0000-00008B9E0000}"/>
    <cellStyle name="Percent 30 2 2 2 2 4" xfId="19323" xr:uid="{00000000-0005-0000-0000-00008C9E0000}"/>
    <cellStyle name="Percent 30 2 2 2 2 4 2" xfId="39243" xr:uid="{00000000-0005-0000-0000-00008D9E0000}"/>
    <cellStyle name="Percent 30 2 2 2 2 5" xfId="26938" xr:uid="{00000000-0005-0000-0000-00008E9E0000}"/>
    <cellStyle name="Percent 30 2 2 2 3" xfId="8509" xr:uid="{00000000-0005-0000-0000-00008F9E0000}"/>
    <cellStyle name="Percent 30 2 2 2 3 2" xfId="14703" xr:uid="{00000000-0005-0000-0000-0000909E0000}"/>
    <cellStyle name="Percent 30 2 2 2 3 2 2" xfId="34623" xr:uid="{00000000-0005-0000-0000-0000919E0000}"/>
    <cellStyle name="Percent 30 2 2 2 3 3" xfId="20855" xr:uid="{00000000-0005-0000-0000-0000929E0000}"/>
    <cellStyle name="Percent 30 2 2 2 3 3 2" xfId="40775" xr:uid="{00000000-0005-0000-0000-0000939E0000}"/>
    <cellStyle name="Percent 30 2 2 2 3 4" xfId="28470" xr:uid="{00000000-0005-0000-0000-0000949E0000}"/>
    <cellStyle name="Percent 30 2 2 2 4" xfId="11637" xr:uid="{00000000-0005-0000-0000-0000959E0000}"/>
    <cellStyle name="Percent 30 2 2 2 4 2" xfId="31557" xr:uid="{00000000-0005-0000-0000-0000969E0000}"/>
    <cellStyle name="Percent 30 2 2 2 5" xfId="17789" xr:uid="{00000000-0005-0000-0000-0000979E0000}"/>
    <cellStyle name="Percent 30 2 2 2 5 2" xfId="37709" xr:uid="{00000000-0005-0000-0000-0000989E0000}"/>
    <cellStyle name="Percent 30 2 2 2 6" xfId="25404" xr:uid="{00000000-0005-0000-0000-0000999E0000}"/>
    <cellStyle name="Percent 30 2 2 3" xfId="6186" xr:uid="{00000000-0005-0000-0000-00009A9E0000}"/>
    <cellStyle name="Percent 30 2 2 3 2" xfId="9275" xr:uid="{00000000-0005-0000-0000-00009B9E0000}"/>
    <cellStyle name="Percent 30 2 2 3 2 2" xfId="15468" xr:uid="{00000000-0005-0000-0000-00009C9E0000}"/>
    <cellStyle name="Percent 30 2 2 3 2 2 2" xfId="35388" xr:uid="{00000000-0005-0000-0000-00009D9E0000}"/>
    <cellStyle name="Percent 30 2 2 3 2 3" xfId="21620" xr:uid="{00000000-0005-0000-0000-00009E9E0000}"/>
    <cellStyle name="Percent 30 2 2 3 2 3 2" xfId="41540" xr:uid="{00000000-0005-0000-0000-00009F9E0000}"/>
    <cellStyle name="Percent 30 2 2 3 2 4" xfId="29235" xr:uid="{00000000-0005-0000-0000-0000A09E0000}"/>
    <cellStyle name="Percent 30 2 2 3 3" xfId="12402" xr:uid="{00000000-0005-0000-0000-0000A19E0000}"/>
    <cellStyle name="Percent 30 2 2 3 3 2" xfId="32322" xr:uid="{00000000-0005-0000-0000-0000A29E0000}"/>
    <cellStyle name="Percent 30 2 2 3 4" xfId="18554" xr:uid="{00000000-0005-0000-0000-0000A39E0000}"/>
    <cellStyle name="Percent 30 2 2 3 4 2" xfId="38474" xr:uid="{00000000-0005-0000-0000-0000A49E0000}"/>
    <cellStyle name="Percent 30 2 2 3 5" xfId="26169" xr:uid="{00000000-0005-0000-0000-0000A59E0000}"/>
    <cellStyle name="Percent 30 2 2 4" xfId="7740" xr:uid="{00000000-0005-0000-0000-0000A69E0000}"/>
    <cellStyle name="Percent 30 2 2 4 2" xfId="13934" xr:uid="{00000000-0005-0000-0000-0000A79E0000}"/>
    <cellStyle name="Percent 30 2 2 4 2 2" xfId="33854" xr:uid="{00000000-0005-0000-0000-0000A89E0000}"/>
    <cellStyle name="Percent 30 2 2 4 3" xfId="20086" xr:uid="{00000000-0005-0000-0000-0000A99E0000}"/>
    <cellStyle name="Percent 30 2 2 4 3 2" xfId="40006" xr:uid="{00000000-0005-0000-0000-0000AA9E0000}"/>
    <cellStyle name="Percent 30 2 2 4 4" xfId="27701" xr:uid="{00000000-0005-0000-0000-0000AB9E0000}"/>
    <cellStyle name="Percent 30 2 2 5" xfId="10868" xr:uid="{00000000-0005-0000-0000-0000AC9E0000}"/>
    <cellStyle name="Percent 30 2 2 5 2" xfId="30788" xr:uid="{00000000-0005-0000-0000-0000AD9E0000}"/>
    <cellStyle name="Percent 30 2 2 6" xfId="17020" xr:uid="{00000000-0005-0000-0000-0000AE9E0000}"/>
    <cellStyle name="Percent 30 2 2 6 2" xfId="36940" xr:uid="{00000000-0005-0000-0000-0000AF9E0000}"/>
    <cellStyle name="Percent 30 2 2 7" xfId="24635" xr:uid="{00000000-0005-0000-0000-0000B09E0000}"/>
    <cellStyle name="Percent 30 2 3" xfId="5332" xr:uid="{00000000-0005-0000-0000-0000B19E0000}"/>
    <cellStyle name="Percent 30 2 3 2" xfId="6957" xr:uid="{00000000-0005-0000-0000-0000B29E0000}"/>
    <cellStyle name="Percent 30 2 3 2 2" xfId="10043" xr:uid="{00000000-0005-0000-0000-0000B39E0000}"/>
    <cellStyle name="Percent 30 2 3 2 2 2" xfId="16236" xr:uid="{00000000-0005-0000-0000-0000B49E0000}"/>
    <cellStyle name="Percent 30 2 3 2 2 2 2" xfId="36156" xr:uid="{00000000-0005-0000-0000-0000B59E0000}"/>
    <cellStyle name="Percent 30 2 3 2 2 3" xfId="22388" xr:uid="{00000000-0005-0000-0000-0000B69E0000}"/>
    <cellStyle name="Percent 30 2 3 2 2 3 2" xfId="42308" xr:uid="{00000000-0005-0000-0000-0000B79E0000}"/>
    <cellStyle name="Percent 30 2 3 2 2 4" xfId="30003" xr:uid="{00000000-0005-0000-0000-0000B89E0000}"/>
    <cellStyle name="Percent 30 2 3 2 3" xfId="13170" xr:uid="{00000000-0005-0000-0000-0000B99E0000}"/>
    <cellStyle name="Percent 30 2 3 2 3 2" xfId="33090" xr:uid="{00000000-0005-0000-0000-0000BA9E0000}"/>
    <cellStyle name="Percent 30 2 3 2 4" xfId="19322" xr:uid="{00000000-0005-0000-0000-0000BB9E0000}"/>
    <cellStyle name="Percent 30 2 3 2 4 2" xfId="39242" xr:uid="{00000000-0005-0000-0000-0000BC9E0000}"/>
    <cellStyle name="Percent 30 2 3 2 5" xfId="26937" xr:uid="{00000000-0005-0000-0000-0000BD9E0000}"/>
    <cellStyle name="Percent 30 2 3 3" xfId="8508" xr:uid="{00000000-0005-0000-0000-0000BE9E0000}"/>
    <cellStyle name="Percent 30 2 3 3 2" xfId="14702" xr:uid="{00000000-0005-0000-0000-0000BF9E0000}"/>
    <cellStyle name="Percent 30 2 3 3 2 2" xfId="34622" xr:uid="{00000000-0005-0000-0000-0000C09E0000}"/>
    <cellStyle name="Percent 30 2 3 3 3" xfId="20854" xr:uid="{00000000-0005-0000-0000-0000C19E0000}"/>
    <cellStyle name="Percent 30 2 3 3 3 2" xfId="40774" xr:uid="{00000000-0005-0000-0000-0000C29E0000}"/>
    <cellStyle name="Percent 30 2 3 3 4" xfId="28469" xr:uid="{00000000-0005-0000-0000-0000C39E0000}"/>
    <cellStyle name="Percent 30 2 3 4" xfId="11636" xr:uid="{00000000-0005-0000-0000-0000C49E0000}"/>
    <cellStyle name="Percent 30 2 3 4 2" xfId="31556" xr:uid="{00000000-0005-0000-0000-0000C59E0000}"/>
    <cellStyle name="Percent 30 2 3 5" xfId="17788" xr:uid="{00000000-0005-0000-0000-0000C69E0000}"/>
    <cellStyle name="Percent 30 2 3 5 2" xfId="37708" xr:uid="{00000000-0005-0000-0000-0000C79E0000}"/>
    <cellStyle name="Percent 30 2 3 6" xfId="25403" xr:uid="{00000000-0005-0000-0000-0000C89E0000}"/>
    <cellStyle name="Percent 30 2 4" xfId="6185" xr:uid="{00000000-0005-0000-0000-0000C99E0000}"/>
    <cellStyle name="Percent 30 2 4 2" xfId="9274" xr:uid="{00000000-0005-0000-0000-0000CA9E0000}"/>
    <cellStyle name="Percent 30 2 4 2 2" xfId="15467" xr:uid="{00000000-0005-0000-0000-0000CB9E0000}"/>
    <cellStyle name="Percent 30 2 4 2 2 2" xfId="35387" xr:uid="{00000000-0005-0000-0000-0000CC9E0000}"/>
    <cellStyle name="Percent 30 2 4 2 3" xfId="21619" xr:uid="{00000000-0005-0000-0000-0000CD9E0000}"/>
    <cellStyle name="Percent 30 2 4 2 3 2" xfId="41539" xr:uid="{00000000-0005-0000-0000-0000CE9E0000}"/>
    <cellStyle name="Percent 30 2 4 2 4" xfId="29234" xr:uid="{00000000-0005-0000-0000-0000CF9E0000}"/>
    <cellStyle name="Percent 30 2 4 3" xfId="12401" xr:uid="{00000000-0005-0000-0000-0000D09E0000}"/>
    <cellStyle name="Percent 30 2 4 3 2" xfId="32321" xr:uid="{00000000-0005-0000-0000-0000D19E0000}"/>
    <cellStyle name="Percent 30 2 4 4" xfId="18553" xr:uid="{00000000-0005-0000-0000-0000D29E0000}"/>
    <cellStyle name="Percent 30 2 4 4 2" xfId="38473" xr:uid="{00000000-0005-0000-0000-0000D39E0000}"/>
    <cellStyle name="Percent 30 2 4 5" xfId="26168" xr:uid="{00000000-0005-0000-0000-0000D49E0000}"/>
    <cellStyle name="Percent 30 2 5" xfId="7739" xr:uid="{00000000-0005-0000-0000-0000D59E0000}"/>
    <cellStyle name="Percent 30 2 5 2" xfId="13933" xr:uid="{00000000-0005-0000-0000-0000D69E0000}"/>
    <cellStyle name="Percent 30 2 5 2 2" xfId="33853" xr:uid="{00000000-0005-0000-0000-0000D79E0000}"/>
    <cellStyle name="Percent 30 2 5 3" xfId="20085" xr:uid="{00000000-0005-0000-0000-0000D89E0000}"/>
    <cellStyle name="Percent 30 2 5 3 2" xfId="40005" xr:uid="{00000000-0005-0000-0000-0000D99E0000}"/>
    <cellStyle name="Percent 30 2 5 4" xfId="27700" xr:uid="{00000000-0005-0000-0000-0000DA9E0000}"/>
    <cellStyle name="Percent 30 2 6" xfId="10867" xr:uid="{00000000-0005-0000-0000-0000DB9E0000}"/>
    <cellStyle name="Percent 30 2 6 2" xfId="30787" xr:uid="{00000000-0005-0000-0000-0000DC9E0000}"/>
    <cellStyle name="Percent 30 2 7" xfId="17019" xr:uid="{00000000-0005-0000-0000-0000DD9E0000}"/>
    <cellStyle name="Percent 30 2 7 2" xfId="36939" xr:uid="{00000000-0005-0000-0000-0000DE9E0000}"/>
    <cellStyle name="Percent 30 2 8" xfId="24634" xr:uid="{00000000-0005-0000-0000-0000DF9E0000}"/>
    <cellStyle name="Percent 30 3" xfId="4300" xr:uid="{00000000-0005-0000-0000-0000E09E0000}"/>
    <cellStyle name="Percent 30 3 2" xfId="4301" xr:uid="{00000000-0005-0000-0000-0000E19E0000}"/>
    <cellStyle name="Percent 30 3 2 2" xfId="5335" xr:uid="{00000000-0005-0000-0000-0000E29E0000}"/>
    <cellStyle name="Percent 30 3 2 2 2" xfId="6960" xr:uid="{00000000-0005-0000-0000-0000E39E0000}"/>
    <cellStyle name="Percent 30 3 2 2 2 2" xfId="10046" xr:uid="{00000000-0005-0000-0000-0000E49E0000}"/>
    <cellStyle name="Percent 30 3 2 2 2 2 2" xfId="16239" xr:uid="{00000000-0005-0000-0000-0000E59E0000}"/>
    <cellStyle name="Percent 30 3 2 2 2 2 2 2" xfId="36159" xr:uid="{00000000-0005-0000-0000-0000E69E0000}"/>
    <cellStyle name="Percent 30 3 2 2 2 2 3" xfId="22391" xr:uid="{00000000-0005-0000-0000-0000E79E0000}"/>
    <cellStyle name="Percent 30 3 2 2 2 2 3 2" xfId="42311" xr:uid="{00000000-0005-0000-0000-0000E89E0000}"/>
    <cellStyle name="Percent 30 3 2 2 2 2 4" xfId="30006" xr:uid="{00000000-0005-0000-0000-0000E99E0000}"/>
    <cellStyle name="Percent 30 3 2 2 2 3" xfId="13173" xr:uid="{00000000-0005-0000-0000-0000EA9E0000}"/>
    <cellStyle name="Percent 30 3 2 2 2 3 2" xfId="33093" xr:uid="{00000000-0005-0000-0000-0000EB9E0000}"/>
    <cellStyle name="Percent 30 3 2 2 2 4" xfId="19325" xr:uid="{00000000-0005-0000-0000-0000EC9E0000}"/>
    <cellStyle name="Percent 30 3 2 2 2 4 2" xfId="39245" xr:uid="{00000000-0005-0000-0000-0000ED9E0000}"/>
    <cellStyle name="Percent 30 3 2 2 2 5" xfId="26940" xr:uid="{00000000-0005-0000-0000-0000EE9E0000}"/>
    <cellStyle name="Percent 30 3 2 2 3" xfId="8511" xr:uid="{00000000-0005-0000-0000-0000EF9E0000}"/>
    <cellStyle name="Percent 30 3 2 2 3 2" xfId="14705" xr:uid="{00000000-0005-0000-0000-0000F09E0000}"/>
    <cellStyle name="Percent 30 3 2 2 3 2 2" xfId="34625" xr:uid="{00000000-0005-0000-0000-0000F19E0000}"/>
    <cellStyle name="Percent 30 3 2 2 3 3" xfId="20857" xr:uid="{00000000-0005-0000-0000-0000F29E0000}"/>
    <cellStyle name="Percent 30 3 2 2 3 3 2" xfId="40777" xr:uid="{00000000-0005-0000-0000-0000F39E0000}"/>
    <cellStyle name="Percent 30 3 2 2 3 4" xfId="28472" xr:uid="{00000000-0005-0000-0000-0000F49E0000}"/>
    <cellStyle name="Percent 30 3 2 2 4" xfId="11639" xr:uid="{00000000-0005-0000-0000-0000F59E0000}"/>
    <cellStyle name="Percent 30 3 2 2 4 2" xfId="31559" xr:uid="{00000000-0005-0000-0000-0000F69E0000}"/>
    <cellStyle name="Percent 30 3 2 2 5" xfId="17791" xr:uid="{00000000-0005-0000-0000-0000F79E0000}"/>
    <cellStyle name="Percent 30 3 2 2 5 2" xfId="37711" xr:uid="{00000000-0005-0000-0000-0000F89E0000}"/>
    <cellStyle name="Percent 30 3 2 2 6" xfId="25406" xr:uid="{00000000-0005-0000-0000-0000F99E0000}"/>
    <cellStyle name="Percent 30 3 2 3" xfId="6188" xr:uid="{00000000-0005-0000-0000-0000FA9E0000}"/>
    <cellStyle name="Percent 30 3 2 3 2" xfId="9277" xr:uid="{00000000-0005-0000-0000-0000FB9E0000}"/>
    <cellStyle name="Percent 30 3 2 3 2 2" xfId="15470" xr:uid="{00000000-0005-0000-0000-0000FC9E0000}"/>
    <cellStyle name="Percent 30 3 2 3 2 2 2" xfId="35390" xr:uid="{00000000-0005-0000-0000-0000FD9E0000}"/>
    <cellStyle name="Percent 30 3 2 3 2 3" xfId="21622" xr:uid="{00000000-0005-0000-0000-0000FE9E0000}"/>
    <cellStyle name="Percent 30 3 2 3 2 3 2" xfId="41542" xr:uid="{00000000-0005-0000-0000-0000FF9E0000}"/>
    <cellStyle name="Percent 30 3 2 3 2 4" xfId="29237" xr:uid="{00000000-0005-0000-0000-0000009F0000}"/>
    <cellStyle name="Percent 30 3 2 3 3" xfId="12404" xr:uid="{00000000-0005-0000-0000-0000019F0000}"/>
    <cellStyle name="Percent 30 3 2 3 3 2" xfId="32324" xr:uid="{00000000-0005-0000-0000-0000029F0000}"/>
    <cellStyle name="Percent 30 3 2 3 4" xfId="18556" xr:uid="{00000000-0005-0000-0000-0000039F0000}"/>
    <cellStyle name="Percent 30 3 2 3 4 2" xfId="38476" xr:uid="{00000000-0005-0000-0000-0000049F0000}"/>
    <cellStyle name="Percent 30 3 2 3 5" xfId="26171" xr:uid="{00000000-0005-0000-0000-0000059F0000}"/>
    <cellStyle name="Percent 30 3 2 4" xfId="7742" xr:uid="{00000000-0005-0000-0000-0000069F0000}"/>
    <cellStyle name="Percent 30 3 2 4 2" xfId="13936" xr:uid="{00000000-0005-0000-0000-0000079F0000}"/>
    <cellStyle name="Percent 30 3 2 4 2 2" xfId="33856" xr:uid="{00000000-0005-0000-0000-0000089F0000}"/>
    <cellStyle name="Percent 30 3 2 4 3" xfId="20088" xr:uid="{00000000-0005-0000-0000-0000099F0000}"/>
    <cellStyle name="Percent 30 3 2 4 3 2" xfId="40008" xr:uid="{00000000-0005-0000-0000-00000A9F0000}"/>
    <cellStyle name="Percent 30 3 2 4 4" xfId="27703" xr:uid="{00000000-0005-0000-0000-00000B9F0000}"/>
    <cellStyle name="Percent 30 3 2 5" xfId="10870" xr:uid="{00000000-0005-0000-0000-00000C9F0000}"/>
    <cellStyle name="Percent 30 3 2 5 2" xfId="30790" xr:uid="{00000000-0005-0000-0000-00000D9F0000}"/>
    <cellStyle name="Percent 30 3 2 6" xfId="17022" xr:uid="{00000000-0005-0000-0000-00000E9F0000}"/>
    <cellStyle name="Percent 30 3 2 6 2" xfId="36942" xr:uid="{00000000-0005-0000-0000-00000F9F0000}"/>
    <cellStyle name="Percent 30 3 2 7" xfId="24637" xr:uid="{00000000-0005-0000-0000-0000109F0000}"/>
    <cellStyle name="Percent 30 3 3" xfId="5334" xr:uid="{00000000-0005-0000-0000-0000119F0000}"/>
    <cellStyle name="Percent 30 3 3 2" xfId="6959" xr:uid="{00000000-0005-0000-0000-0000129F0000}"/>
    <cellStyle name="Percent 30 3 3 2 2" xfId="10045" xr:uid="{00000000-0005-0000-0000-0000139F0000}"/>
    <cellStyle name="Percent 30 3 3 2 2 2" xfId="16238" xr:uid="{00000000-0005-0000-0000-0000149F0000}"/>
    <cellStyle name="Percent 30 3 3 2 2 2 2" xfId="36158" xr:uid="{00000000-0005-0000-0000-0000159F0000}"/>
    <cellStyle name="Percent 30 3 3 2 2 3" xfId="22390" xr:uid="{00000000-0005-0000-0000-0000169F0000}"/>
    <cellStyle name="Percent 30 3 3 2 2 3 2" xfId="42310" xr:uid="{00000000-0005-0000-0000-0000179F0000}"/>
    <cellStyle name="Percent 30 3 3 2 2 4" xfId="30005" xr:uid="{00000000-0005-0000-0000-0000189F0000}"/>
    <cellStyle name="Percent 30 3 3 2 3" xfId="13172" xr:uid="{00000000-0005-0000-0000-0000199F0000}"/>
    <cellStyle name="Percent 30 3 3 2 3 2" xfId="33092" xr:uid="{00000000-0005-0000-0000-00001A9F0000}"/>
    <cellStyle name="Percent 30 3 3 2 4" xfId="19324" xr:uid="{00000000-0005-0000-0000-00001B9F0000}"/>
    <cellStyle name="Percent 30 3 3 2 4 2" xfId="39244" xr:uid="{00000000-0005-0000-0000-00001C9F0000}"/>
    <cellStyle name="Percent 30 3 3 2 5" xfId="26939" xr:uid="{00000000-0005-0000-0000-00001D9F0000}"/>
    <cellStyle name="Percent 30 3 3 3" xfId="8510" xr:uid="{00000000-0005-0000-0000-00001E9F0000}"/>
    <cellStyle name="Percent 30 3 3 3 2" xfId="14704" xr:uid="{00000000-0005-0000-0000-00001F9F0000}"/>
    <cellStyle name="Percent 30 3 3 3 2 2" xfId="34624" xr:uid="{00000000-0005-0000-0000-0000209F0000}"/>
    <cellStyle name="Percent 30 3 3 3 3" xfId="20856" xr:uid="{00000000-0005-0000-0000-0000219F0000}"/>
    <cellStyle name="Percent 30 3 3 3 3 2" xfId="40776" xr:uid="{00000000-0005-0000-0000-0000229F0000}"/>
    <cellStyle name="Percent 30 3 3 3 4" xfId="28471" xr:uid="{00000000-0005-0000-0000-0000239F0000}"/>
    <cellStyle name="Percent 30 3 3 4" xfId="11638" xr:uid="{00000000-0005-0000-0000-0000249F0000}"/>
    <cellStyle name="Percent 30 3 3 4 2" xfId="31558" xr:uid="{00000000-0005-0000-0000-0000259F0000}"/>
    <cellStyle name="Percent 30 3 3 5" xfId="17790" xr:uid="{00000000-0005-0000-0000-0000269F0000}"/>
    <cellStyle name="Percent 30 3 3 5 2" xfId="37710" xr:uid="{00000000-0005-0000-0000-0000279F0000}"/>
    <cellStyle name="Percent 30 3 3 6" xfId="25405" xr:uid="{00000000-0005-0000-0000-0000289F0000}"/>
    <cellStyle name="Percent 30 3 4" xfId="6187" xr:uid="{00000000-0005-0000-0000-0000299F0000}"/>
    <cellStyle name="Percent 30 3 4 2" xfId="9276" xr:uid="{00000000-0005-0000-0000-00002A9F0000}"/>
    <cellStyle name="Percent 30 3 4 2 2" xfId="15469" xr:uid="{00000000-0005-0000-0000-00002B9F0000}"/>
    <cellStyle name="Percent 30 3 4 2 2 2" xfId="35389" xr:uid="{00000000-0005-0000-0000-00002C9F0000}"/>
    <cellStyle name="Percent 30 3 4 2 3" xfId="21621" xr:uid="{00000000-0005-0000-0000-00002D9F0000}"/>
    <cellStyle name="Percent 30 3 4 2 3 2" xfId="41541" xr:uid="{00000000-0005-0000-0000-00002E9F0000}"/>
    <cellStyle name="Percent 30 3 4 2 4" xfId="29236" xr:uid="{00000000-0005-0000-0000-00002F9F0000}"/>
    <cellStyle name="Percent 30 3 4 3" xfId="12403" xr:uid="{00000000-0005-0000-0000-0000309F0000}"/>
    <cellStyle name="Percent 30 3 4 3 2" xfId="32323" xr:uid="{00000000-0005-0000-0000-0000319F0000}"/>
    <cellStyle name="Percent 30 3 4 4" xfId="18555" xr:uid="{00000000-0005-0000-0000-0000329F0000}"/>
    <cellStyle name="Percent 30 3 4 4 2" xfId="38475" xr:uid="{00000000-0005-0000-0000-0000339F0000}"/>
    <cellStyle name="Percent 30 3 4 5" xfId="26170" xr:uid="{00000000-0005-0000-0000-0000349F0000}"/>
    <cellStyle name="Percent 30 3 5" xfId="7741" xr:uid="{00000000-0005-0000-0000-0000359F0000}"/>
    <cellStyle name="Percent 30 3 5 2" xfId="13935" xr:uid="{00000000-0005-0000-0000-0000369F0000}"/>
    <cellStyle name="Percent 30 3 5 2 2" xfId="33855" xr:uid="{00000000-0005-0000-0000-0000379F0000}"/>
    <cellStyle name="Percent 30 3 5 3" xfId="20087" xr:uid="{00000000-0005-0000-0000-0000389F0000}"/>
    <cellStyle name="Percent 30 3 5 3 2" xfId="40007" xr:uid="{00000000-0005-0000-0000-0000399F0000}"/>
    <cellStyle name="Percent 30 3 5 4" xfId="27702" xr:uid="{00000000-0005-0000-0000-00003A9F0000}"/>
    <cellStyle name="Percent 30 3 6" xfId="10869" xr:uid="{00000000-0005-0000-0000-00003B9F0000}"/>
    <cellStyle name="Percent 30 3 6 2" xfId="30789" xr:uid="{00000000-0005-0000-0000-00003C9F0000}"/>
    <cellStyle name="Percent 30 3 7" xfId="17021" xr:uid="{00000000-0005-0000-0000-00003D9F0000}"/>
    <cellStyle name="Percent 30 3 7 2" xfId="36941" xr:uid="{00000000-0005-0000-0000-00003E9F0000}"/>
    <cellStyle name="Percent 30 3 8" xfId="24636" xr:uid="{00000000-0005-0000-0000-00003F9F0000}"/>
    <cellStyle name="Percent 30 4" xfId="4302" xr:uid="{00000000-0005-0000-0000-0000409F0000}"/>
    <cellStyle name="Percent 30 4 2" xfId="4303" xr:uid="{00000000-0005-0000-0000-0000419F0000}"/>
    <cellStyle name="Percent 30 4 2 2" xfId="5336" xr:uid="{00000000-0005-0000-0000-0000429F0000}"/>
    <cellStyle name="Percent 30 4 2 2 2" xfId="6961" xr:uid="{00000000-0005-0000-0000-0000439F0000}"/>
    <cellStyle name="Percent 30 4 2 2 2 2" xfId="10047" xr:uid="{00000000-0005-0000-0000-0000449F0000}"/>
    <cellStyle name="Percent 30 4 2 2 2 2 2" xfId="16240" xr:uid="{00000000-0005-0000-0000-0000459F0000}"/>
    <cellStyle name="Percent 30 4 2 2 2 2 2 2" xfId="36160" xr:uid="{00000000-0005-0000-0000-0000469F0000}"/>
    <cellStyle name="Percent 30 4 2 2 2 2 3" xfId="22392" xr:uid="{00000000-0005-0000-0000-0000479F0000}"/>
    <cellStyle name="Percent 30 4 2 2 2 2 3 2" xfId="42312" xr:uid="{00000000-0005-0000-0000-0000489F0000}"/>
    <cellStyle name="Percent 30 4 2 2 2 2 4" xfId="30007" xr:uid="{00000000-0005-0000-0000-0000499F0000}"/>
    <cellStyle name="Percent 30 4 2 2 2 3" xfId="13174" xr:uid="{00000000-0005-0000-0000-00004A9F0000}"/>
    <cellStyle name="Percent 30 4 2 2 2 3 2" xfId="33094" xr:uid="{00000000-0005-0000-0000-00004B9F0000}"/>
    <cellStyle name="Percent 30 4 2 2 2 4" xfId="19326" xr:uid="{00000000-0005-0000-0000-00004C9F0000}"/>
    <cellStyle name="Percent 30 4 2 2 2 4 2" xfId="39246" xr:uid="{00000000-0005-0000-0000-00004D9F0000}"/>
    <cellStyle name="Percent 30 4 2 2 2 5" xfId="26941" xr:uid="{00000000-0005-0000-0000-00004E9F0000}"/>
    <cellStyle name="Percent 30 4 2 2 3" xfId="8512" xr:uid="{00000000-0005-0000-0000-00004F9F0000}"/>
    <cellStyle name="Percent 30 4 2 2 3 2" xfId="14706" xr:uid="{00000000-0005-0000-0000-0000509F0000}"/>
    <cellStyle name="Percent 30 4 2 2 3 2 2" xfId="34626" xr:uid="{00000000-0005-0000-0000-0000519F0000}"/>
    <cellStyle name="Percent 30 4 2 2 3 3" xfId="20858" xr:uid="{00000000-0005-0000-0000-0000529F0000}"/>
    <cellStyle name="Percent 30 4 2 2 3 3 2" xfId="40778" xr:uid="{00000000-0005-0000-0000-0000539F0000}"/>
    <cellStyle name="Percent 30 4 2 2 3 4" xfId="28473" xr:uid="{00000000-0005-0000-0000-0000549F0000}"/>
    <cellStyle name="Percent 30 4 2 2 4" xfId="11640" xr:uid="{00000000-0005-0000-0000-0000559F0000}"/>
    <cellStyle name="Percent 30 4 2 2 4 2" xfId="31560" xr:uid="{00000000-0005-0000-0000-0000569F0000}"/>
    <cellStyle name="Percent 30 4 2 2 5" xfId="17792" xr:uid="{00000000-0005-0000-0000-0000579F0000}"/>
    <cellStyle name="Percent 30 4 2 2 5 2" xfId="37712" xr:uid="{00000000-0005-0000-0000-0000589F0000}"/>
    <cellStyle name="Percent 30 4 2 2 6" xfId="25407" xr:uid="{00000000-0005-0000-0000-0000599F0000}"/>
    <cellStyle name="Percent 30 4 2 3" xfId="6189" xr:uid="{00000000-0005-0000-0000-00005A9F0000}"/>
    <cellStyle name="Percent 30 4 2 3 2" xfId="9278" xr:uid="{00000000-0005-0000-0000-00005B9F0000}"/>
    <cellStyle name="Percent 30 4 2 3 2 2" xfId="15471" xr:uid="{00000000-0005-0000-0000-00005C9F0000}"/>
    <cellStyle name="Percent 30 4 2 3 2 2 2" xfId="35391" xr:uid="{00000000-0005-0000-0000-00005D9F0000}"/>
    <cellStyle name="Percent 30 4 2 3 2 3" xfId="21623" xr:uid="{00000000-0005-0000-0000-00005E9F0000}"/>
    <cellStyle name="Percent 30 4 2 3 2 3 2" xfId="41543" xr:uid="{00000000-0005-0000-0000-00005F9F0000}"/>
    <cellStyle name="Percent 30 4 2 3 2 4" xfId="29238" xr:uid="{00000000-0005-0000-0000-0000609F0000}"/>
    <cellStyle name="Percent 30 4 2 3 3" xfId="12405" xr:uid="{00000000-0005-0000-0000-0000619F0000}"/>
    <cellStyle name="Percent 30 4 2 3 3 2" xfId="32325" xr:uid="{00000000-0005-0000-0000-0000629F0000}"/>
    <cellStyle name="Percent 30 4 2 3 4" xfId="18557" xr:uid="{00000000-0005-0000-0000-0000639F0000}"/>
    <cellStyle name="Percent 30 4 2 3 4 2" xfId="38477" xr:uid="{00000000-0005-0000-0000-0000649F0000}"/>
    <cellStyle name="Percent 30 4 2 3 5" xfId="26172" xr:uid="{00000000-0005-0000-0000-0000659F0000}"/>
    <cellStyle name="Percent 30 4 2 4" xfId="7743" xr:uid="{00000000-0005-0000-0000-0000669F0000}"/>
    <cellStyle name="Percent 30 4 2 4 2" xfId="13937" xr:uid="{00000000-0005-0000-0000-0000679F0000}"/>
    <cellStyle name="Percent 30 4 2 4 2 2" xfId="33857" xr:uid="{00000000-0005-0000-0000-0000689F0000}"/>
    <cellStyle name="Percent 30 4 2 4 3" xfId="20089" xr:uid="{00000000-0005-0000-0000-0000699F0000}"/>
    <cellStyle name="Percent 30 4 2 4 3 2" xfId="40009" xr:uid="{00000000-0005-0000-0000-00006A9F0000}"/>
    <cellStyle name="Percent 30 4 2 4 4" xfId="27704" xr:uid="{00000000-0005-0000-0000-00006B9F0000}"/>
    <cellStyle name="Percent 30 4 2 5" xfId="10871" xr:uid="{00000000-0005-0000-0000-00006C9F0000}"/>
    <cellStyle name="Percent 30 4 2 5 2" xfId="30791" xr:uid="{00000000-0005-0000-0000-00006D9F0000}"/>
    <cellStyle name="Percent 30 4 2 6" xfId="17023" xr:uid="{00000000-0005-0000-0000-00006E9F0000}"/>
    <cellStyle name="Percent 30 4 2 6 2" xfId="36943" xr:uid="{00000000-0005-0000-0000-00006F9F0000}"/>
    <cellStyle name="Percent 30 4 2 7" xfId="24638" xr:uid="{00000000-0005-0000-0000-0000709F0000}"/>
    <cellStyle name="Percent 30 5" xfId="4304" xr:uid="{00000000-0005-0000-0000-0000719F0000}"/>
    <cellStyle name="Percent 30 5 2" xfId="5337" xr:uid="{00000000-0005-0000-0000-0000729F0000}"/>
    <cellStyle name="Percent 30 5 2 2" xfId="6962" xr:uid="{00000000-0005-0000-0000-0000739F0000}"/>
    <cellStyle name="Percent 30 5 2 2 2" xfId="10048" xr:uid="{00000000-0005-0000-0000-0000749F0000}"/>
    <cellStyle name="Percent 30 5 2 2 2 2" xfId="16241" xr:uid="{00000000-0005-0000-0000-0000759F0000}"/>
    <cellStyle name="Percent 30 5 2 2 2 2 2" xfId="36161" xr:uid="{00000000-0005-0000-0000-0000769F0000}"/>
    <cellStyle name="Percent 30 5 2 2 2 3" xfId="22393" xr:uid="{00000000-0005-0000-0000-0000779F0000}"/>
    <cellStyle name="Percent 30 5 2 2 2 3 2" xfId="42313" xr:uid="{00000000-0005-0000-0000-0000789F0000}"/>
    <cellStyle name="Percent 30 5 2 2 2 4" xfId="30008" xr:uid="{00000000-0005-0000-0000-0000799F0000}"/>
    <cellStyle name="Percent 30 5 2 2 3" xfId="13175" xr:uid="{00000000-0005-0000-0000-00007A9F0000}"/>
    <cellStyle name="Percent 30 5 2 2 3 2" xfId="33095" xr:uid="{00000000-0005-0000-0000-00007B9F0000}"/>
    <cellStyle name="Percent 30 5 2 2 4" xfId="19327" xr:uid="{00000000-0005-0000-0000-00007C9F0000}"/>
    <cellStyle name="Percent 30 5 2 2 4 2" xfId="39247" xr:uid="{00000000-0005-0000-0000-00007D9F0000}"/>
    <cellStyle name="Percent 30 5 2 2 5" xfId="26942" xr:uid="{00000000-0005-0000-0000-00007E9F0000}"/>
    <cellStyle name="Percent 30 5 2 3" xfId="8513" xr:uid="{00000000-0005-0000-0000-00007F9F0000}"/>
    <cellStyle name="Percent 30 5 2 3 2" xfId="14707" xr:uid="{00000000-0005-0000-0000-0000809F0000}"/>
    <cellStyle name="Percent 30 5 2 3 2 2" xfId="34627" xr:uid="{00000000-0005-0000-0000-0000819F0000}"/>
    <cellStyle name="Percent 30 5 2 3 3" xfId="20859" xr:uid="{00000000-0005-0000-0000-0000829F0000}"/>
    <cellStyle name="Percent 30 5 2 3 3 2" xfId="40779" xr:uid="{00000000-0005-0000-0000-0000839F0000}"/>
    <cellStyle name="Percent 30 5 2 3 4" xfId="28474" xr:uid="{00000000-0005-0000-0000-0000849F0000}"/>
    <cellStyle name="Percent 30 5 2 4" xfId="11641" xr:uid="{00000000-0005-0000-0000-0000859F0000}"/>
    <cellStyle name="Percent 30 5 2 4 2" xfId="31561" xr:uid="{00000000-0005-0000-0000-0000869F0000}"/>
    <cellStyle name="Percent 30 5 2 5" xfId="17793" xr:uid="{00000000-0005-0000-0000-0000879F0000}"/>
    <cellStyle name="Percent 30 5 2 5 2" xfId="37713" xr:uid="{00000000-0005-0000-0000-0000889F0000}"/>
    <cellStyle name="Percent 30 5 2 6" xfId="25408" xr:uid="{00000000-0005-0000-0000-0000899F0000}"/>
    <cellStyle name="Percent 30 5 3" xfId="6190" xr:uid="{00000000-0005-0000-0000-00008A9F0000}"/>
    <cellStyle name="Percent 30 5 3 2" xfId="9279" xr:uid="{00000000-0005-0000-0000-00008B9F0000}"/>
    <cellStyle name="Percent 30 5 3 2 2" xfId="15472" xr:uid="{00000000-0005-0000-0000-00008C9F0000}"/>
    <cellStyle name="Percent 30 5 3 2 2 2" xfId="35392" xr:uid="{00000000-0005-0000-0000-00008D9F0000}"/>
    <cellStyle name="Percent 30 5 3 2 3" xfId="21624" xr:uid="{00000000-0005-0000-0000-00008E9F0000}"/>
    <cellStyle name="Percent 30 5 3 2 3 2" xfId="41544" xr:uid="{00000000-0005-0000-0000-00008F9F0000}"/>
    <cellStyle name="Percent 30 5 3 2 4" xfId="29239" xr:uid="{00000000-0005-0000-0000-0000909F0000}"/>
    <cellStyle name="Percent 30 5 3 3" xfId="12406" xr:uid="{00000000-0005-0000-0000-0000919F0000}"/>
    <cellStyle name="Percent 30 5 3 3 2" xfId="32326" xr:uid="{00000000-0005-0000-0000-0000929F0000}"/>
    <cellStyle name="Percent 30 5 3 4" xfId="18558" xr:uid="{00000000-0005-0000-0000-0000939F0000}"/>
    <cellStyle name="Percent 30 5 3 4 2" xfId="38478" xr:uid="{00000000-0005-0000-0000-0000949F0000}"/>
    <cellStyle name="Percent 30 5 3 5" xfId="26173" xr:uid="{00000000-0005-0000-0000-0000959F0000}"/>
    <cellStyle name="Percent 30 5 4" xfId="7744" xr:uid="{00000000-0005-0000-0000-0000969F0000}"/>
    <cellStyle name="Percent 30 5 4 2" xfId="13938" xr:uid="{00000000-0005-0000-0000-0000979F0000}"/>
    <cellStyle name="Percent 30 5 4 2 2" xfId="33858" xr:uid="{00000000-0005-0000-0000-0000989F0000}"/>
    <cellStyle name="Percent 30 5 4 3" xfId="20090" xr:uid="{00000000-0005-0000-0000-0000999F0000}"/>
    <cellStyle name="Percent 30 5 4 3 2" xfId="40010" xr:uid="{00000000-0005-0000-0000-00009A9F0000}"/>
    <cellStyle name="Percent 30 5 4 4" xfId="27705" xr:uid="{00000000-0005-0000-0000-00009B9F0000}"/>
    <cellStyle name="Percent 30 5 5" xfId="10872" xr:uid="{00000000-0005-0000-0000-00009C9F0000}"/>
    <cellStyle name="Percent 30 5 5 2" xfId="30792" xr:uid="{00000000-0005-0000-0000-00009D9F0000}"/>
    <cellStyle name="Percent 30 5 6" xfId="17024" xr:uid="{00000000-0005-0000-0000-00009E9F0000}"/>
    <cellStyle name="Percent 30 5 6 2" xfId="36944" xr:uid="{00000000-0005-0000-0000-00009F9F0000}"/>
    <cellStyle name="Percent 30 5 7" xfId="24639" xr:uid="{00000000-0005-0000-0000-0000A09F0000}"/>
    <cellStyle name="Percent 31" xfId="4305" xr:uid="{00000000-0005-0000-0000-0000A19F0000}"/>
    <cellStyle name="Percent 31 2" xfId="4306" xr:uid="{00000000-0005-0000-0000-0000A29F0000}"/>
    <cellStyle name="Percent 31 2 2" xfId="4307" xr:uid="{00000000-0005-0000-0000-0000A39F0000}"/>
    <cellStyle name="Percent 31 2 2 2" xfId="5339" xr:uid="{00000000-0005-0000-0000-0000A49F0000}"/>
    <cellStyle name="Percent 31 2 2 2 2" xfId="6964" xr:uid="{00000000-0005-0000-0000-0000A59F0000}"/>
    <cellStyle name="Percent 31 2 2 2 2 2" xfId="10050" xr:uid="{00000000-0005-0000-0000-0000A69F0000}"/>
    <cellStyle name="Percent 31 2 2 2 2 2 2" xfId="16243" xr:uid="{00000000-0005-0000-0000-0000A79F0000}"/>
    <cellStyle name="Percent 31 2 2 2 2 2 2 2" xfId="36163" xr:uid="{00000000-0005-0000-0000-0000A89F0000}"/>
    <cellStyle name="Percent 31 2 2 2 2 2 3" xfId="22395" xr:uid="{00000000-0005-0000-0000-0000A99F0000}"/>
    <cellStyle name="Percent 31 2 2 2 2 2 3 2" xfId="42315" xr:uid="{00000000-0005-0000-0000-0000AA9F0000}"/>
    <cellStyle name="Percent 31 2 2 2 2 2 4" xfId="30010" xr:uid="{00000000-0005-0000-0000-0000AB9F0000}"/>
    <cellStyle name="Percent 31 2 2 2 2 3" xfId="13177" xr:uid="{00000000-0005-0000-0000-0000AC9F0000}"/>
    <cellStyle name="Percent 31 2 2 2 2 3 2" xfId="33097" xr:uid="{00000000-0005-0000-0000-0000AD9F0000}"/>
    <cellStyle name="Percent 31 2 2 2 2 4" xfId="19329" xr:uid="{00000000-0005-0000-0000-0000AE9F0000}"/>
    <cellStyle name="Percent 31 2 2 2 2 4 2" xfId="39249" xr:uid="{00000000-0005-0000-0000-0000AF9F0000}"/>
    <cellStyle name="Percent 31 2 2 2 2 5" xfId="26944" xr:uid="{00000000-0005-0000-0000-0000B09F0000}"/>
    <cellStyle name="Percent 31 2 2 2 3" xfId="8515" xr:uid="{00000000-0005-0000-0000-0000B19F0000}"/>
    <cellStyle name="Percent 31 2 2 2 3 2" xfId="14709" xr:uid="{00000000-0005-0000-0000-0000B29F0000}"/>
    <cellStyle name="Percent 31 2 2 2 3 2 2" xfId="34629" xr:uid="{00000000-0005-0000-0000-0000B39F0000}"/>
    <cellStyle name="Percent 31 2 2 2 3 3" xfId="20861" xr:uid="{00000000-0005-0000-0000-0000B49F0000}"/>
    <cellStyle name="Percent 31 2 2 2 3 3 2" xfId="40781" xr:uid="{00000000-0005-0000-0000-0000B59F0000}"/>
    <cellStyle name="Percent 31 2 2 2 3 4" xfId="28476" xr:uid="{00000000-0005-0000-0000-0000B69F0000}"/>
    <cellStyle name="Percent 31 2 2 2 4" xfId="11643" xr:uid="{00000000-0005-0000-0000-0000B79F0000}"/>
    <cellStyle name="Percent 31 2 2 2 4 2" xfId="31563" xr:uid="{00000000-0005-0000-0000-0000B89F0000}"/>
    <cellStyle name="Percent 31 2 2 2 5" xfId="17795" xr:uid="{00000000-0005-0000-0000-0000B99F0000}"/>
    <cellStyle name="Percent 31 2 2 2 5 2" xfId="37715" xr:uid="{00000000-0005-0000-0000-0000BA9F0000}"/>
    <cellStyle name="Percent 31 2 2 2 6" xfId="25410" xr:uid="{00000000-0005-0000-0000-0000BB9F0000}"/>
    <cellStyle name="Percent 31 2 2 3" xfId="6192" xr:uid="{00000000-0005-0000-0000-0000BC9F0000}"/>
    <cellStyle name="Percent 31 2 2 3 2" xfId="9281" xr:uid="{00000000-0005-0000-0000-0000BD9F0000}"/>
    <cellStyle name="Percent 31 2 2 3 2 2" xfId="15474" xr:uid="{00000000-0005-0000-0000-0000BE9F0000}"/>
    <cellStyle name="Percent 31 2 2 3 2 2 2" xfId="35394" xr:uid="{00000000-0005-0000-0000-0000BF9F0000}"/>
    <cellStyle name="Percent 31 2 2 3 2 3" xfId="21626" xr:uid="{00000000-0005-0000-0000-0000C09F0000}"/>
    <cellStyle name="Percent 31 2 2 3 2 3 2" xfId="41546" xr:uid="{00000000-0005-0000-0000-0000C19F0000}"/>
    <cellStyle name="Percent 31 2 2 3 2 4" xfId="29241" xr:uid="{00000000-0005-0000-0000-0000C29F0000}"/>
    <cellStyle name="Percent 31 2 2 3 3" xfId="12408" xr:uid="{00000000-0005-0000-0000-0000C39F0000}"/>
    <cellStyle name="Percent 31 2 2 3 3 2" xfId="32328" xr:uid="{00000000-0005-0000-0000-0000C49F0000}"/>
    <cellStyle name="Percent 31 2 2 3 4" xfId="18560" xr:uid="{00000000-0005-0000-0000-0000C59F0000}"/>
    <cellStyle name="Percent 31 2 2 3 4 2" xfId="38480" xr:uid="{00000000-0005-0000-0000-0000C69F0000}"/>
    <cellStyle name="Percent 31 2 2 3 5" xfId="26175" xr:uid="{00000000-0005-0000-0000-0000C79F0000}"/>
    <cellStyle name="Percent 31 2 2 4" xfId="7746" xr:uid="{00000000-0005-0000-0000-0000C89F0000}"/>
    <cellStyle name="Percent 31 2 2 4 2" xfId="13940" xr:uid="{00000000-0005-0000-0000-0000C99F0000}"/>
    <cellStyle name="Percent 31 2 2 4 2 2" xfId="33860" xr:uid="{00000000-0005-0000-0000-0000CA9F0000}"/>
    <cellStyle name="Percent 31 2 2 4 3" xfId="20092" xr:uid="{00000000-0005-0000-0000-0000CB9F0000}"/>
    <cellStyle name="Percent 31 2 2 4 3 2" xfId="40012" xr:uid="{00000000-0005-0000-0000-0000CC9F0000}"/>
    <cellStyle name="Percent 31 2 2 4 4" xfId="27707" xr:uid="{00000000-0005-0000-0000-0000CD9F0000}"/>
    <cellStyle name="Percent 31 2 2 5" xfId="10874" xr:uid="{00000000-0005-0000-0000-0000CE9F0000}"/>
    <cellStyle name="Percent 31 2 2 5 2" xfId="30794" xr:uid="{00000000-0005-0000-0000-0000CF9F0000}"/>
    <cellStyle name="Percent 31 2 2 6" xfId="17026" xr:uid="{00000000-0005-0000-0000-0000D09F0000}"/>
    <cellStyle name="Percent 31 2 2 6 2" xfId="36946" xr:uid="{00000000-0005-0000-0000-0000D19F0000}"/>
    <cellStyle name="Percent 31 2 2 7" xfId="24641" xr:uid="{00000000-0005-0000-0000-0000D29F0000}"/>
    <cellStyle name="Percent 31 2 3" xfId="5338" xr:uid="{00000000-0005-0000-0000-0000D39F0000}"/>
    <cellStyle name="Percent 31 2 3 2" xfId="6963" xr:uid="{00000000-0005-0000-0000-0000D49F0000}"/>
    <cellStyle name="Percent 31 2 3 2 2" xfId="10049" xr:uid="{00000000-0005-0000-0000-0000D59F0000}"/>
    <cellStyle name="Percent 31 2 3 2 2 2" xfId="16242" xr:uid="{00000000-0005-0000-0000-0000D69F0000}"/>
    <cellStyle name="Percent 31 2 3 2 2 2 2" xfId="36162" xr:uid="{00000000-0005-0000-0000-0000D79F0000}"/>
    <cellStyle name="Percent 31 2 3 2 2 3" xfId="22394" xr:uid="{00000000-0005-0000-0000-0000D89F0000}"/>
    <cellStyle name="Percent 31 2 3 2 2 3 2" xfId="42314" xr:uid="{00000000-0005-0000-0000-0000D99F0000}"/>
    <cellStyle name="Percent 31 2 3 2 2 4" xfId="30009" xr:uid="{00000000-0005-0000-0000-0000DA9F0000}"/>
    <cellStyle name="Percent 31 2 3 2 3" xfId="13176" xr:uid="{00000000-0005-0000-0000-0000DB9F0000}"/>
    <cellStyle name="Percent 31 2 3 2 3 2" xfId="33096" xr:uid="{00000000-0005-0000-0000-0000DC9F0000}"/>
    <cellStyle name="Percent 31 2 3 2 4" xfId="19328" xr:uid="{00000000-0005-0000-0000-0000DD9F0000}"/>
    <cellStyle name="Percent 31 2 3 2 4 2" xfId="39248" xr:uid="{00000000-0005-0000-0000-0000DE9F0000}"/>
    <cellStyle name="Percent 31 2 3 2 5" xfId="26943" xr:uid="{00000000-0005-0000-0000-0000DF9F0000}"/>
    <cellStyle name="Percent 31 2 3 3" xfId="8514" xr:uid="{00000000-0005-0000-0000-0000E09F0000}"/>
    <cellStyle name="Percent 31 2 3 3 2" xfId="14708" xr:uid="{00000000-0005-0000-0000-0000E19F0000}"/>
    <cellStyle name="Percent 31 2 3 3 2 2" xfId="34628" xr:uid="{00000000-0005-0000-0000-0000E29F0000}"/>
    <cellStyle name="Percent 31 2 3 3 3" xfId="20860" xr:uid="{00000000-0005-0000-0000-0000E39F0000}"/>
    <cellStyle name="Percent 31 2 3 3 3 2" xfId="40780" xr:uid="{00000000-0005-0000-0000-0000E49F0000}"/>
    <cellStyle name="Percent 31 2 3 3 4" xfId="28475" xr:uid="{00000000-0005-0000-0000-0000E59F0000}"/>
    <cellStyle name="Percent 31 2 3 4" xfId="11642" xr:uid="{00000000-0005-0000-0000-0000E69F0000}"/>
    <cellStyle name="Percent 31 2 3 4 2" xfId="31562" xr:uid="{00000000-0005-0000-0000-0000E79F0000}"/>
    <cellStyle name="Percent 31 2 3 5" xfId="17794" xr:uid="{00000000-0005-0000-0000-0000E89F0000}"/>
    <cellStyle name="Percent 31 2 3 5 2" xfId="37714" xr:uid="{00000000-0005-0000-0000-0000E99F0000}"/>
    <cellStyle name="Percent 31 2 3 6" xfId="25409" xr:uid="{00000000-0005-0000-0000-0000EA9F0000}"/>
    <cellStyle name="Percent 31 2 4" xfId="6191" xr:uid="{00000000-0005-0000-0000-0000EB9F0000}"/>
    <cellStyle name="Percent 31 2 4 2" xfId="9280" xr:uid="{00000000-0005-0000-0000-0000EC9F0000}"/>
    <cellStyle name="Percent 31 2 4 2 2" xfId="15473" xr:uid="{00000000-0005-0000-0000-0000ED9F0000}"/>
    <cellStyle name="Percent 31 2 4 2 2 2" xfId="35393" xr:uid="{00000000-0005-0000-0000-0000EE9F0000}"/>
    <cellStyle name="Percent 31 2 4 2 3" xfId="21625" xr:uid="{00000000-0005-0000-0000-0000EF9F0000}"/>
    <cellStyle name="Percent 31 2 4 2 3 2" xfId="41545" xr:uid="{00000000-0005-0000-0000-0000F09F0000}"/>
    <cellStyle name="Percent 31 2 4 2 4" xfId="29240" xr:uid="{00000000-0005-0000-0000-0000F19F0000}"/>
    <cellStyle name="Percent 31 2 4 3" xfId="12407" xr:uid="{00000000-0005-0000-0000-0000F29F0000}"/>
    <cellStyle name="Percent 31 2 4 3 2" xfId="32327" xr:uid="{00000000-0005-0000-0000-0000F39F0000}"/>
    <cellStyle name="Percent 31 2 4 4" xfId="18559" xr:uid="{00000000-0005-0000-0000-0000F49F0000}"/>
    <cellStyle name="Percent 31 2 4 4 2" xfId="38479" xr:uid="{00000000-0005-0000-0000-0000F59F0000}"/>
    <cellStyle name="Percent 31 2 4 5" xfId="26174" xr:uid="{00000000-0005-0000-0000-0000F69F0000}"/>
    <cellStyle name="Percent 31 2 5" xfId="7745" xr:uid="{00000000-0005-0000-0000-0000F79F0000}"/>
    <cellStyle name="Percent 31 2 5 2" xfId="13939" xr:uid="{00000000-0005-0000-0000-0000F89F0000}"/>
    <cellStyle name="Percent 31 2 5 2 2" xfId="33859" xr:uid="{00000000-0005-0000-0000-0000F99F0000}"/>
    <cellStyle name="Percent 31 2 5 3" xfId="20091" xr:uid="{00000000-0005-0000-0000-0000FA9F0000}"/>
    <cellStyle name="Percent 31 2 5 3 2" xfId="40011" xr:uid="{00000000-0005-0000-0000-0000FB9F0000}"/>
    <cellStyle name="Percent 31 2 5 4" xfId="27706" xr:uid="{00000000-0005-0000-0000-0000FC9F0000}"/>
    <cellStyle name="Percent 31 2 6" xfId="10873" xr:uid="{00000000-0005-0000-0000-0000FD9F0000}"/>
    <cellStyle name="Percent 31 2 6 2" xfId="30793" xr:uid="{00000000-0005-0000-0000-0000FE9F0000}"/>
    <cellStyle name="Percent 31 2 7" xfId="17025" xr:uid="{00000000-0005-0000-0000-0000FF9F0000}"/>
    <cellStyle name="Percent 31 2 7 2" xfId="36945" xr:uid="{00000000-0005-0000-0000-000000A00000}"/>
    <cellStyle name="Percent 31 2 8" xfId="24640" xr:uid="{00000000-0005-0000-0000-000001A00000}"/>
    <cellStyle name="Percent 31 3" xfId="4308" xr:uid="{00000000-0005-0000-0000-000002A00000}"/>
    <cellStyle name="Percent 31 3 2" xfId="4309" xr:uid="{00000000-0005-0000-0000-000003A00000}"/>
    <cellStyle name="Percent 31 3 2 2" xfId="5341" xr:uid="{00000000-0005-0000-0000-000004A00000}"/>
    <cellStyle name="Percent 31 3 2 2 2" xfId="6966" xr:uid="{00000000-0005-0000-0000-000005A00000}"/>
    <cellStyle name="Percent 31 3 2 2 2 2" xfId="10052" xr:uid="{00000000-0005-0000-0000-000006A00000}"/>
    <cellStyle name="Percent 31 3 2 2 2 2 2" xfId="16245" xr:uid="{00000000-0005-0000-0000-000007A00000}"/>
    <cellStyle name="Percent 31 3 2 2 2 2 2 2" xfId="36165" xr:uid="{00000000-0005-0000-0000-000008A00000}"/>
    <cellStyle name="Percent 31 3 2 2 2 2 3" xfId="22397" xr:uid="{00000000-0005-0000-0000-000009A00000}"/>
    <cellStyle name="Percent 31 3 2 2 2 2 3 2" xfId="42317" xr:uid="{00000000-0005-0000-0000-00000AA00000}"/>
    <cellStyle name="Percent 31 3 2 2 2 2 4" xfId="30012" xr:uid="{00000000-0005-0000-0000-00000BA00000}"/>
    <cellStyle name="Percent 31 3 2 2 2 3" xfId="13179" xr:uid="{00000000-0005-0000-0000-00000CA00000}"/>
    <cellStyle name="Percent 31 3 2 2 2 3 2" xfId="33099" xr:uid="{00000000-0005-0000-0000-00000DA00000}"/>
    <cellStyle name="Percent 31 3 2 2 2 4" xfId="19331" xr:uid="{00000000-0005-0000-0000-00000EA00000}"/>
    <cellStyle name="Percent 31 3 2 2 2 4 2" xfId="39251" xr:uid="{00000000-0005-0000-0000-00000FA00000}"/>
    <cellStyle name="Percent 31 3 2 2 2 5" xfId="26946" xr:uid="{00000000-0005-0000-0000-000010A00000}"/>
    <cellStyle name="Percent 31 3 2 2 3" xfId="8517" xr:uid="{00000000-0005-0000-0000-000011A00000}"/>
    <cellStyle name="Percent 31 3 2 2 3 2" xfId="14711" xr:uid="{00000000-0005-0000-0000-000012A00000}"/>
    <cellStyle name="Percent 31 3 2 2 3 2 2" xfId="34631" xr:uid="{00000000-0005-0000-0000-000013A00000}"/>
    <cellStyle name="Percent 31 3 2 2 3 3" xfId="20863" xr:uid="{00000000-0005-0000-0000-000014A00000}"/>
    <cellStyle name="Percent 31 3 2 2 3 3 2" xfId="40783" xr:uid="{00000000-0005-0000-0000-000015A00000}"/>
    <cellStyle name="Percent 31 3 2 2 3 4" xfId="28478" xr:uid="{00000000-0005-0000-0000-000016A00000}"/>
    <cellStyle name="Percent 31 3 2 2 4" xfId="11645" xr:uid="{00000000-0005-0000-0000-000017A00000}"/>
    <cellStyle name="Percent 31 3 2 2 4 2" xfId="31565" xr:uid="{00000000-0005-0000-0000-000018A00000}"/>
    <cellStyle name="Percent 31 3 2 2 5" xfId="17797" xr:uid="{00000000-0005-0000-0000-000019A00000}"/>
    <cellStyle name="Percent 31 3 2 2 5 2" xfId="37717" xr:uid="{00000000-0005-0000-0000-00001AA00000}"/>
    <cellStyle name="Percent 31 3 2 2 6" xfId="25412" xr:uid="{00000000-0005-0000-0000-00001BA00000}"/>
    <cellStyle name="Percent 31 3 2 3" xfId="6194" xr:uid="{00000000-0005-0000-0000-00001CA00000}"/>
    <cellStyle name="Percent 31 3 2 3 2" xfId="9283" xr:uid="{00000000-0005-0000-0000-00001DA00000}"/>
    <cellStyle name="Percent 31 3 2 3 2 2" xfId="15476" xr:uid="{00000000-0005-0000-0000-00001EA00000}"/>
    <cellStyle name="Percent 31 3 2 3 2 2 2" xfId="35396" xr:uid="{00000000-0005-0000-0000-00001FA00000}"/>
    <cellStyle name="Percent 31 3 2 3 2 3" xfId="21628" xr:uid="{00000000-0005-0000-0000-000020A00000}"/>
    <cellStyle name="Percent 31 3 2 3 2 3 2" xfId="41548" xr:uid="{00000000-0005-0000-0000-000021A00000}"/>
    <cellStyle name="Percent 31 3 2 3 2 4" xfId="29243" xr:uid="{00000000-0005-0000-0000-000022A00000}"/>
    <cellStyle name="Percent 31 3 2 3 3" xfId="12410" xr:uid="{00000000-0005-0000-0000-000023A00000}"/>
    <cellStyle name="Percent 31 3 2 3 3 2" xfId="32330" xr:uid="{00000000-0005-0000-0000-000024A00000}"/>
    <cellStyle name="Percent 31 3 2 3 4" xfId="18562" xr:uid="{00000000-0005-0000-0000-000025A00000}"/>
    <cellStyle name="Percent 31 3 2 3 4 2" xfId="38482" xr:uid="{00000000-0005-0000-0000-000026A00000}"/>
    <cellStyle name="Percent 31 3 2 3 5" xfId="26177" xr:uid="{00000000-0005-0000-0000-000027A00000}"/>
    <cellStyle name="Percent 31 3 2 4" xfId="7748" xr:uid="{00000000-0005-0000-0000-000028A00000}"/>
    <cellStyle name="Percent 31 3 2 4 2" xfId="13942" xr:uid="{00000000-0005-0000-0000-000029A00000}"/>
    <cellStyle name="Percent 31 3 2 4 2 2" xfId="33862" xr:uid="{00000000-0005-0000-0000-00002AA00000}"/>
    <cellStyle name="Percent 31 3 2 4 3" xfId="20094" xr:uid="{00000000-0005-0000-0000-00002BA00000}"/>
    <cellStyle name="Percent 31 3 2 4 3 2" xfId="40014" xr:uid="{00000000-0005-0000-0000-00002CA00000}"/>
    <cellStyle name="Percent 31 3 2 4 4" xfId="27709" xr:uid="{00000000-0005-0000-0000-00002DA00000}"/>
    <cellStyle name="Percent 31 3 2 5" xfId="10876" xr:uid="{00000000-0005-0000-0000-00002EA00000}"/>
    <cellStyle name="Percent 31 3 2 5 2" xfId="30796" xr:uid="{00000000-0005-0000-0000-00002FA00000}"/>
    <cellStyle name="Percent 31 3 2 6" xfId="17028" xr:uid="{00000000-0005-0000-0000-000030A00000}"/>
    <cellStyle name="Percent 31 3 2 6 2" xfId="36948" xr:uid="{00000000-0005-0000-0000-000031A00000}"/>
    <cellStyle name="Percent 31 3 2 7" xfId="24643" xr:uid="{00000000-0005-0000-0000-000032A00000}"/>
    <cellStyle name="Percent 31 3 3" xfId="5340" xr:uid="{00000000-0005-0000-0000-000033A00000}"/>
    <cellStyle name="Percent 31 3 3 2" xfId="6965" xr:uid="{00000000-0005-0000-0000-000034A00000}"/>
    <cellStyle name="Percent 31 3 3 2 2" xfId="10051" xr:uid="{00000000-0005-0000-0000-000035A00000}"/>
    <cellStyle name="Percent 31 3 3 2 2 2" xfId="16244" xr:uid="{00000000-0005-0000-0000-000036A00000}"/>
    <cellStyle name="Percent 31 3 3 2 2 2 2" xfId="36164" xr:uid="{00000000-0005-0000-0000-000037A00000}"/>
    <cellStyle name="Percent 31 3 3 2 2 3" xfId="22396" xr:uid="{00000000-0005-0000-0000-000038A00000}"/>
    <cellStyle name="Percent 31 3 3 2 2 3 2" xfId="42316" xr:uid="{00000000-0005-0000-0000-000039A00000}"/>
    <cellStyle name="Percent 31 3 3 2 2 4" xfId="30011" xr:uid="{00000000-0005-0000-0000-00003AA00000}"/>
    <cellStyle name="Percent 31 3 3 2 3" xfId="13178" xr:uid="{00000000-0005-0000-0000-00003BA00000}"/>
    <cellStyle name="Percent 31 3 3 2 3 2" xfId="33098" xr:uid="{00000000-0005-0000-0000-00003CA00000}"/>
    <cellStyle name="Percent 31 3 3 2 4" xfId="19330" xr:uid="{00000000-0005-0000-0000-00003DA00000}"/>
    <cellStyle name="Percent 31 3 3 2 4 2" xfId="39250" xr:uid="{00000000-0005-0000-0000-00003EA00000}"/>
    <cellStyle name="Percent 31 3 3 2 5" xfId="26945" xr:uid="{00000000-0005-0000-0000-00003FA00000}"/>
    <cellStyle name="Percent 31 3 3 3" xfId="8516" xr:uid="{00000000-0005-0000-0000-000040A00000}"/>
    <cellStyle name="Percent 31 3 3 3 2" xfId="14710" xr:uid="{00000000-0005-0000-0000-000041A00000}"/>
    <cellStyle name="Percent 31 3 3 3 2 2" xfId="34630" xr:uid="{00000000-0005-0000-0000-000042A00000}"/>
    <cellStyle name="Percent 31 3 3 3 3" xfId="20862" xr:uid="{00000000-0005-0000-0000-000043A00000}"/>
    <cellStyle name="Percent 31 3 3 3 3 2" xfId="40782" xr:uid="{00000000-0005-0000-0000-000044A00000}"/>
    <cellStyle name="Percent 31 3 3 3 4" xfId="28477" xr:uid="{00000000-0005-0000-0000-000045A00000}"/>
    <cellStyle name="Percent 31 3 3 4" xfId="11644" xr:uid="{00000000-0005-0000-0000-000046A00000}"/>
    <cellStyle name="Percent 31 3 3 4 2" xfId="31564" xr:uid="{00000000-0005-0000-0000-000047A00000}"/>
    <cellStyle name="Percent 31 3 3 5" xfId="17796" xr:uid="{00000000-0005-0000-0000-000048A00000}"/>
    <cellStyle name="Percent 31 3 3 5 2" xfId="37716" xr:uid="{00000000-0005-0000-0000-000049A00000}"/>
    <cellStyle name="Percent 31 3 3 6" xfId="25411" xr:uid="{00000000-0005-0000-0000-00004AA00000}"/>
    <cellStyle name="Percent 31 3 4" xfId="6193" xr:uid="{00000000-0005-0000-0000-00004BA00000}"/>
    <cellStyle name="Percent 31 3 4 2" xfId="9282" xr:uid="{00000000-0005-0000-0000-00004CA00000}"/>
    <cellStyle name="Percent 31 3 4 2 2" xfId="15475" xr:uid="{00000000-0005-0000-0000-00004DA00000}"/>
    <cellStyle name="Percent 31 3 4 2 2 2" xfId="35395" xr:uid="{00000000-0005-0000-0000-00004EA00000}"/>
    <cellStyle name="Percent 31 3 4 2 3" xfId="21627" xr:uid="{00000000-0005-0000-0000-00004FA00000}"/>
    <cellStyle name="Percent 31 3 4 2 3 2" xfId="41547" xr:uid="{00000000-0005-0000-0000-000050A00000}"/>
    <cellStyle name="Percent 31 3 4 2 4" xfId="29242" xr:uid="{00000000-0005-0000-0000-000051A00000}"/>
    <cellStyle name="Percent 31 3 4 3" xfId="12409" xr:uid="{00000000-0005-0000-0000-000052A00000}"/>
    <cellStyle name="Percent 31 3 4 3 2" xfId="32329" xr:uid="{00000000-0005-0000-0000-000053A00000}"/>
    <cellStyle name="Percent 31 3 4 4" xfId="18561" xr:uid="{00000000-0005-0000-0000-000054A00000}"/>
    <cellStyle name="Percent 31 3 4 4 2" xfId="38481" xr:uid="{00000000-0005-0000-0000-000055A00000}"/>
    <cellStyle name="Percent 31 3 4 5" xfId="26176" xr:uid="{00000000-0005-0000-0000-000056A00000}"/>
    <cellStyle name="Percent 31 3 5" xfId="7747" xr:uid="{00000000-0005-0000-0000-000057A00000}"/>
    <cellStyle name="Percent 31 3 5 2" xfId="13941" xr:uid="{00000000-0005-0000-0000-000058A00000}"/>
    <cellStyle name="Percent 31 3 5 2 2" xfId="33861" xr:uid="{00000000-0005-0000-0000-000059A00000}"/>
    <cellStyle name="Percent 31 3 5 3" xfId="20093" xr:uid="{00000000-0005-0000-0000-00005AA00000}"/>
    <cellStyle name="Percent 31 3 5 3 2" xfId="40013" xr:uid="{00000000-0005-0000-0000-00005BA00000}"/>
    <cellStyle name="Percent 31 3 5 4" xfId="27708" xr:uid="{00000000-0005-0000-0000-00005CA00000}"/>
    <cellStyle name="Percent 31 3 6" xfId="10875" xr:uid="{00000000-0005-0000-0000-00005DA00000}"/>
    <cellStyle name="Percent 31 3 6 2" xfId="30795" xr:uid="{00000000-0005-0000-0000-00005EA00000}"/>
    <cellStyle name="Percent 31 3 7" xfId="17027" xr:uid="{00000000-0005-0000-0000-00005FA00000}"/>
    <cellStyle name="Percent 31 3 7 2" xfId="36947" xr:uid="{00000000-0005-0000-0000-000060A00000}"/>
    <cellStyle name="Percent 31 3 8" xfId="24642" xr:uid="{00000000-0005-0000-0000-000061A00000}"/>
    <cellStyle name="Percent 31 4" xfId="4310" xr:uid="{00000000-0005-0000-0000-000062A00000}"/>
    <cellStyle name="Percent 31 4 2" xfId="4311" xr:uid="{00000000-0005-0000-0000-000063A00000}"/>
    <cellStyle name="Percent 31 4 2 2" xfId="5342" xr:uid="{00000000-0005-0000-0000-000064A00000}"/>
    <cellStyle name="Percent 31 4 2 2 2" xfId="6967" xr:uid="{00000000-0005-0000-0000-000065A00000}"/>
    <cellStyle name="Percent 31 4 2 2 2 2" xfId="10053" xr:uid="{00000000-0005-0000-0000-000066A00000}"/>
    <cellStyle name="Percent 31 4 2 2 2 2 2" xfId="16246" xr:uid="{00000000-0005-0000-0000-000067A00000}"/>
    <cellStyle name="Percent 31 4 2 2 2 2 2 2" xfId="36166" xr:uid="{00000000-0005-0000-0000-000068A00000}"/>
    <cellStyle name="Percent 31 4 2 2 2 2 3" xfId="22398" xr:uid="{00000000-0005-0000-0000-000069A00000}"/>
    <cellStyle name="Percent 31 4 2 2 2 2 3 2" xfId="42318" xr:uid="{00000000-0005-0000-0000-00006AA00000}"/>
    <cellStyle name="Percent 31 4 2 2 2 2 4" xfId="30013" xr:uid="{00000000-0005-0000-0000-00006BA00000}"/>
    <cellStyle name="Percent 31 4 2 2 2 3" xfId="13180" xr:uid="{00000000-0005-0000-0000-00006CA00000}"/>
    <cellStyle name="Percent 31 4 2 2 2 3 2" xfId="33100" xr:uid="{00000000-0005-0000-0000-00006DA00000}"/>
    <cellStyle name="Percent 31 4 2 2 2 4" xfId="19332" xr:uid="{00000000-0005-0000-0000-00006EA00000}"/>
    <cellStyle name="Percent 31 4 2 2 2 4 2" xfId="39252" xr:uid="{00000000-0005-0000-0000-00006FA00000}"/>
    <cellStyle name="Percent 31 4 2 2 2 5" xfId="26947" xr:uid="{00000000-0005-0000-0000-000070A00000}"/>
    <cellStyle name="Percent 31 4 2 2 3" xfId="8518" xr:uid="{00000000-0005-0000-0000-000071A00000}"/>
    <cellStyle name="Percent 31 4 2 2 3 2" xfId="14712" xr:uid="{00000000-0005-0000-0000-000072A00000}"/>
    <cellStyle name="Percent 31 4 2 2 3 2 2" xfId="34632" xr:uid="{00000000-0005-0000-0000-000073A00000}"/>
    <cellStyle name="Percent 31 4 2 2 3 3" xfId="20864" xr:uid="{00000000-0005-0000-0000-000074A00000}"/>
    <cellStyle name="Percent 31 4 2 2 3 3 2" xfId="40784" xr:uid="{00000000-0005-0000-0000-000075A00000}"/>
    <cellStyle name="Percent 31 4 2 2 3 4" xfId="28479" xr:uid="{00000000-0005-0000-0000-000076A00000}"/>
    <cellStyle name="Percent 31 4 2 2 4" xfId="11646" xr:uid="{00000000-0005-0000-0000-000077A00000}"/>
    <cellStyle name="Percent 31 4 2 2 4 2" xfId="31566" xr:uid="{00000000-0005-0000-0000-000078A00000}"/>
    <cellStyle name="Percent 31 4 2 2 5" xfId="17798" xr:uid="{00000000-0005-0000-0000-000079A00000}"/>
    <cellStyle name="Percent 31 4 2 2 5 2" xfId="37718" xr:uid="{00000000-0005-0000-0000-00007AA00000}"/>
    <cellStyle name="Percent 31 4 2 2 6" xfId="25413" xr:uid="{00000000-0005-0000-0000-00007BA00000}"/>
    <cellStyle name="Percent 31 4 2 3" xfId="6195" xr:uid="{00000000-0005-0000-0000-00007CA00000}"/>
    <cellStyle name="Percent 31 4 2 3 2" xfId="9284" xr:uid="{00000000-0005-0000-0000-00007DA00000}"/>
    <cellStyle name="Percent 31 4 2 3 2 2" xfId="15477" xr:uid="{00000000-0005-0000-0000-00007EA00000}"/>
    <cellStyle name="Percent 31 4 2 3 2 2 2" xfId="35397" xr:uid="{00000000-0005-0000-0000-00007FA00000}"/>
    <cellStyle name="Percent 31 4 2 3 2 3" xfId="21629" xr:uid="{00000000-0005-0000-0000-000080A00000}"/>
    <cellStyle name="Percent 31 4 2 3 2 3 2" xfId="41549" xr:uid="{00000000-0005-0000-0000-000081A00000}"/>
    <cellStyle name="Percent 31 4 2 3 2 4" xfId="29244" xr:uid="{00000000-0005-0000-0000-000082A00000}"/>
    <cellStyle name="Percent 31 4 2 3 3" xfId="12411" xr:uid="{00000000-0005-0000-0000-000083A00000}"/>
    <cellStyle name="Percent 31 4 2 3 3 2" xfId="32331" xr:uid="{00000000-0005-0000-0000-000084A00000}"/>
    <cellStyle name="Percent 31 4 2 3 4" xfId="18563" xr:uid="{00000000-0005-0000-0000-000085A00000}"/>
    <cellStyle name="Percent 31 4 2 3 4 2" xfId="38483" xr:uid="{00000000-0005-0000-0000-000086A00000}"/>
    <cellStyle name="Percent 31 4 2 3 5" xfId="26178" xr:uid="{00000000-0005-0000-0000-000087A00000}"/>
    <cellStyle name="Percent 31 4 2 4" xfId="7749" xr:uid="{00000000-0005-0000-0000-000088A00000}"/>
    <cellStyle name="Percent 31 4 2 4 2" xfId="13943" xr:uid="{00000000-0005-0000-0000-000089A00000}"/>
    <cellStyle name="Percent 31 4 2 4 2 2" xfId="33863" xr:uid="{00000000-0005-0000-0000-00008AA00000}"/>
    <cellStyle name="Percent 31 4 2 4 3" xfId="20095" xr:uid="{00000000-0005-0000-0000-00008BA00000}"/>
    <cellStyle name="Percent 31 4 2 4 3 2" xfId="40015" xr:uid="{00000000-0005-0000-0000-00008CA00000}"/>
    <cellStyle name="Percent 31 4 2 4 4" xfId="27710" xr:uid="{00000000-0005-0000-0000-00008DA00000}"/>
    <cellStyle name="Percent 31 4 2 5" xfId="10877" xr:uid="{00000000-0005-0000-0000-00008EA00000}"/>
    <cellStyle name="Percent 31 4 2 5 2" xfId="30797" xr:uid="{00000000-0005-0000-0000-00008FA00000}"/>
    <cellStyle name="Percent 31 4 2 6" xfId="17029" xr:uid="{00000000-0005-0000-0000-000090A00000}"/>
    <cellStyle name="Percent 31 4 2 6 2" xfId="36949" xr:uid="{00000000-0005-0000-0000-000091A00000}"/>
    <cellStyle name="Percent 31 4 2 7" xfId="24644" xr:uid="{00000000-0005-0000-0000-000092A00000}"/>
    <cellStyle name="Percent 31 5" xfId="4312" xr:uid="{00000000-0005-0000-0000-000093A00000}"/>
    <cellStyle name="Percent 31 5 2" xfId="5343" xr:uid="{00000000-0005-0000-0000-000094A00000}"/>
    <cellStyle name="Percent 31 5 2 2" xfId="6968" xr:uid="{00000000-0005-0000-0000-000095A00000}"/>
    <cellStyle name="Percent 31 5 2 2 2" xfId="10054" xr:uid="{00000000-0005-0000-0000-000096A00000}"/>
    <cellStyle name="Percent 31 5 2 2 2 2" xfId="16247" xr:uid="{00000000-0005-0000-0000-000097A00000}"/>
    <cellStyle name="Percent 31 5 2 2 2 2 2" xfId="36167" xr:uid="{00000000-0005-0000-0000-000098A00000}"/>
    <cellStyle name="Percent 31 5 2 2 2 3" xfId="22399" xr:uid="{00000000-0005-0000-0000-000099A00000}"/>
    <cellStyle name="Percent 31 5 2 2 2 3 2" xfId="42319" xr:uid="{00000000-0005-0000-0000-00009AA00000}"/>
    <cellStyle name="Percent 31 5 2 2 2 4" xfId="30014" xr:uid="{00000000-0005-0000-0000-00009BA00000}"/>
    <cellStyle name="Percent 31 5 2 2 3" xfId="13181" xr:uid="{00000000-0005-0000-0000-00009CA00000}"/>
    <cellStyle name="Percent 31 5 2 2 3 2" xfId="33101" xr:uid="{00000000-0005-0000-0000-00009DA00000}"/>
    <cellStyle name="Percent 31 5 2 2 4" xfId="19333" xr:uid="{00000000-0005-0000-0000-00009EA00000}"/>
    <cellStyle name="Percent 31 5 2 2 4 2" xfId="39253" xr:uid="{00000000-0005-0000-0000-00009FA00000}"/>
    <cellStyle name="Percent 31 5 2 2 5" xfId="26948" xr:uid="{00000000-0005-0000-0000-0000A0A00000}"/>
    <cellStyle name="Percent 31 5 2 3" xfId="8519" xr:uid="{00000000-0005-0000-0000-0000A1A00000}"/>
    <cellStyle name="Percent 31 5 2 3 2" xfId="14713" xr:uid="{00000000-0005-0000-0000-0000A2A00000}"/>
    <cellStyle name="Percent 31 5 2 3 2 2" xfId="34633" xr:uid="{00000000-0005-0000-0000-0000A3A00000}"/>
    <cellStyle name="Percent 31 5 2 3 3" xfId="20865" xr:uid="{00000000-0005-0000-0000-0000A4A00000}"/>
    <cellStyle name="Percent 31 5 2 3 3 2" xfId="40785" xr:uid="{00000000-0005-0000-0000-0000A5A00000}"/>
    <cellStyle name="Percent 31 5 2 3 4" xfId="28480" xr:uid="{00000000-0005-0000-0000-0000A6A00000}"/>
    <cellStyle name="Percent 31 5 2 4" xfId="11647" xr:uid="{00000000-0005-0000-0000-0000A7A00000}"/>
    <cellStyle name="Percent 31 5 2 4 2" xfId="31567" xr:uid="{00000000-0005-0000-0000-0000A8A00000}"/>
    <cellStyle name="Percent 31 5 2 5" xfId="17799" xr:uid="{00000000-0005-0000-0000-0000A9A00000}"/>
    <cellStyle name="Percent 31 5 2 5 2" xfId="37719" xr:uid="{00000000-0005-0000-0000-0000AAA00000}"/>
    <cellStyle name="Percent 31 5 2 6" xfId="25414" xr:uid="{00000000-0005-0000-0000-0000ABA00000}"/>
    <cellStyle name="Percent 31 5 3" xfId="6196" xr:uid="{00000000-0005-0000-0000-0000ACA00000}"/>
    <cellStyle name="Percent 31 5 3 2" xfId="9285" xr:uid="{00000000-0005-0000-0000-0000ADA00000}"/>
    <cellStyle name="Percent 31 5 3 2 2" xfId="15478" xr:uid="{00000000-0005-0000-0000-0000AEA00000}"/>
    <cellStyle name="Percent 31 5 3 2 2 2" xfId="35398" xr:uid="{00000000-0005-0000-0000-0000AFA00000}"/>
    <cellStyle name="Percent 31 5 3 2 3" xfId="21630" xr:uid="{00000000-0005-0000-0000-0000B0A00000}"/>
    <cellStyle name="Percent 31 5 3 2 3 2" xfId="41550" xr:uid="{00000000-0005-0000-0000-0000B1A00000}"/>
    <cellStyle name="Percent 31 5 3 2 4" xfId="29245" xr:uid="{00000000-0005-0000-0000-0000B2A00000}"/>
    <cellStyle name="Percent 31 5 3 3" xfId="12412" xr:uid="{00000000-0005-0000-0000-0000B3A00000}"/>
    <cellStyle name="Percent 31 5 3 3 2" xfId="32332" xr:uid="{00000000-0005-0000-0000-0000B4A00000}"/>
    <cellStyle name="Percent 31 5 3 4" xfId="18564" xr:uid="{00000000-0005-0000-0000-0000B5A00000}"/>
    <cellStyle name="Percent 31 5 3 4 2" xfId="38484" xr:uid="{00000000-0005-0000-0000-0000B6A00000}"/>
    <cellStyle name="Percent 31 5 3 5" xfId="26179" xr:uid="{00000000-0005-0000-0000-0000B7A00000}"/>
    <cellStyle name="Percent 31 5 4" xfId="7750" xr:uid="{00000000-0005-0000-0000-0000B8A00000}"/>
    <cellStyle name="Percent 31 5 4 2" xfId="13944" xr:uid="{00000000-0005-0000-0000-0000B9A00000}"/>
    <cellStyle name="Percent 31 5 4 2 2" xfId="33864" xr:uid="{00000000-0005-0000-0000-0000BAA00000}"/>
    <cellStyle name="Percent 31 5 4 3" xfId="20096" xr:uid="{00000000-0005-0000-0000-0000BBA00000}"/>
    <cellStyle name="Percent 31 5 4 3 2" xfId="40016" xr:uid="{00000000-0005-0000-0000-0000BCA00000}"/>
    <cellStyle name="Percent 31 5 4 4" xfId="27711" xr:uid="{00000000-0005-0000-0000-0000BDA00000}"/>
    <cellStyle name="Percent 31 5 5" xfId="10878" xr:uid="{00000000-0005-0000-0000-0000BEA00000}"/>
    <cellStyle name="Percent 31 5 5 2" xfId="30798" xr:uid="{00000000-0005-0000-0000-0000BFA00000}"/>
    <cellStyle name="Percent 31 5 6" xfId="17030" xr:uid="{00000000-0005-0000-0000-0000C0A00000}"/>
    <cellStyle name="Percent 31 5 6 2" xfId="36950" xr:uid="{00000000-0005-0000-0000-0000C1A00000}"/>
    <cellStyle name="Percent 31 5 7" xfId="24645" xr:uid="{00000000-0005-0000-0000-0000C2A00000}"/>
    <cellStyle name="Percent 32" xfId="4313" xr:uid="{00000000-0005-0000-0000-0000C3A00000}"/>
    <cellStyle name="Percent 32 2" xfId="4314" xr:uid="{00000000-0005-0000-0000-0000C4A00000}"/>
    <cellStyle name="Percent 32 2 2" xfId="4315" xr:uid="{00000000-0005-0000-0000-0000C5A00000}"/>
    <cellStyle name="Percent 32 2 2 2" xfId="5345" xr:uid="{00000000-0005-0000-0000-0000C6A00000}"/>
    <cellStyle name="Percent 32 2 2 2 2" xfId="6970" xr:uid="{00000000-0005-0000-0000-0000C7A00000}"/>
    <cellStyle name="Percent 32 2 2 2 2 2" xfId="10056" xr:uid="{00000000-0005-0000-0000-0000C8A00000}"/>
    <cellStyle name="Percent 32 2 2 2 2 2 2" xfId="16249" xr:uid="{00000000-0005-0000-0000-0000C9A00000}"/>
    <cellStyle name="Percent 32 2 2 2 2 2 2 2" xfId="36169" xr:uid="{00000000-0005-0000-0000-0000CAA00000}"/>
    <cellStyle name="Percent 32 2 2 2 2 2 3" xfId="22401" xr:uid="{00000000-0005-0000-0000-0000CBA00000}"/>
    <cellStyle name="Percent 32 2 2 2 2 2 3 2" xfId="42321" xr:uid="{00000000-0005-0000-0000-0000CCA00000}"/>
    <cellStyle name="Percent 32 2 2 2 2 2 4" xfId="30016" xr:uid="{00000000-0005-0000-0000-0000CDA00000}"/>
    <cellStyle name="Percent 32 2 2 2 2 3" xfId="13183" xr:uid="{00000000-0005-0000-0000-0000CEA00000}"/>
    <cellStyle name="Percent 32 2 2 2 2 3 2" xfId="33103" xr:uid="{00000000-0005-0000-0000-0000CFA00000}"/>
    <cellStyle name="Percent 32 2 2 2 2 4" xfId="19335" xr:uid="{00000000-0005-0000-0000-0000D0A00000}"/>
    <cellStyle name="Percent 32 2 2 2 2 4 2" xfId="39255" xr:uid="{00000000-0005-0000-0000-0000D1A00000}"/>
    <cellStyle name="Percent 32 2 2 2 2 5" xfId="26950" xr:uid="{00000000-0005-0000-0000-0000D2A00000}"/>
    <cellStyle name="Percent 32 2 2 2 3" xfId="8521" xr:uid="{00000000-0005-0000-0000-0000D3A00000}"/>
    <cellStyle name="Percent 32 2 2 2 3 2" xfId="14715" xr:uid="{00000000-0005-0000-0000-0000D4A00000}"/>
    <cellStyle name="Percent 32 2 2 2 3 2 2" xfId="34635" xr:uid="{00000000-0005-0000-0000-0000D5A00000}"/>
    <cellStyle name="Percent 32 2 2 2 3 3" xfId="20867" xr:uid="{00000000-0005-0000-0000-0000D6A00000}"/>
    <cellStyle name="Percent 32 2 2 2 3 3 2" xfId="40787" xr:uid="{00000000-0005-0000-0000-0000D7A00000}"/>
    <cellStyle name="Percent 32 2 2 2 3 4" xfId="28482" xr:uid="{00000000-0005-0000-0000-0000D8A00000}"/>
    <cellStyle name="Percent 32 2 2 2 4" xfId="11649" xr:uid="{00000000-0005-0000-0000-0000D9A00000}"/>
    <cellStyle name="Percent 32 2 2 2 4 2" xfId="31569" xr:uid="{00000000-0005-0000-0000-0000DAA00000}"/>
    <cellStyle name="Percent 32 2 2 2 5" xfId="17801" xr:uid="{00000000-0005-0000-0000-0000DBA00000}"/>
    <cellStyle name="Percent 32 2 2 2 5 2" xfId="37721" xr:uid="{00000000-0005-0000-0000-0000DCA00000}"/>
    <cellStyle name="Percent 32 2 2 2 6" xfId="25416" xr:uid="{00000000-0005-0000-0000-0000DDA00000}"/>
    <cellStyle name="Percent 32 2 2 3" xfId="6198" xr:uid="{00000000-0005-0000-0000-0000DEA00000}"/>
    <cellStyle name="Percent 32 2 2 3 2" xfId="9287" xr:uid="{00000000-0005-0000-0000-0000DFA00000}"/>
    <cellStyle name="Percent 32 2 2 3 2 2" xfId="15480" xr:uid="{00000000-0005-0000-0000-0000E0A00000}"/>
    <cellStyle name="Percent 32 2 2 3 2 2 2" xfId="35400" xr:uid="{00000000-0005-0000-0000-0000E1A00000}"/>
    <cellStyle name="Percent 32 2 2 3 2 3" xfId="21632" xr:uid="{00000000-0005-0000-0000-0000E2A00000}"/>
    <cellStyle name="Percent 32 2 2 3 2 3 2" xfId="41552" xr:uid="{00000000-0005-0000-0000-0000E3A00000}"/>
    <cellStyle name="Percent 32 2 2 3 2 4" xfId="29247" xr:uid="{00000000-0005-0000-0000-0000E4A00000}"/>
    <cellStyle name="Percent 32 2 2 3 3" xfId="12414" xr:uid="{00000000-0005-0000-0000-0000E5A00000}"/>
    <cellStyle name="Percent 32 2 2 3 3 2" xfId="32334" xr:uid="{00000000-0005-0000-0000-0000E6A00000}"/>
    <cellStyle name="Percent 32 2 2 3 4" xfId="18566" xr:uid="{00000000-0005-0000-0000-0000E7A00000}"/>
    <cellStyle name="Percent 32 2 2 3 4 2" xfId="38486" xr:uid="{00000000-0005-0000-0000-0000E8A00000}"/>
    <cellStyle name="Percent 32 2 2 3 5" xfId="26181" xr:uid="{00000000-0005-0000-0000-0000E9A00000}"/>
    <cellStyle name="Percent 32 2 2 4" xfId="7752" xr:uid="{00000000-0005-0000-0000-0000EAA00000}"/>
    <cellStyle name="Percent 32 2 2 4 2" xfId="13946" xr:uid="{00000000-0005-0000-0000-0000EBA00000}"/>
    <cellStyle name="Percent 32 2 2 4 2 2" xfId="33866" xr:uid="{00000000-0005-0000-0000-0000ECA00000}"/>
    <cellStyle name="Percent 32 2 2 4 3" xfId="20098" xr:uid="{00000000-0005-0000-0000-0000EDA00000}"/>
    <cellStyle name="Percent 32 2 2 4 3 2" xfId="40018" xr:uid="{00000000-0005-0000-0000-0000EEA00000}"/>
    <cellStyle name="Percent 32 2 2 4 4" xfId="27713" xr:uid="{00000000-0005-0000-0000-0000EFA00000}"/>
    <cellStyle name="Percent 32 2 2 5" xfId="10880" xr:uid="{00000000-0005-0000-0000-0000F0A00000}"/>
    <cellStyle name="Percent 32 2 2 5 2" xfId="30800" xr:uid="{00000000-0005-0000-0000-0000F1A00000}"/>
    <cellStyle name="Percent 32 2 2 6" xfId="17032" xr:uid="{00000000-0005-0000-0000-0000F2A00000}"/>
    <cellStyle name="Percent 32 2 2 6 2" xfId="36952" xr:uid="{00000000-0005-0000-0000-0000F3A00000}"/>
    <cellStyle name="Percent 32 2 2 7" xfId="24647" xr:uid="{00000000-0005-0000-0000-0000F4A00000}"/>
    <cellStyle name="Percent 32 2 3" xfId="5344" xr:uid="{00000000-0005-0000-0000-0000F5A00000}"/>
    <cellStyle name="Percent 32 2 3 2" xfId="6969" xr:uid="{00000000-0005-0000-0000-0000F6A00000}"/>
    <cellStyle name="Percent 32 2 3 2 2" xfId="10055" xr:uid="{00000000-0005-0000-0000-0000F7A00000}"/>
    <cellStyle name="Percent 32 2 3 2 2 2" xfId="16248" xr:uid="{00000000-0005-0000-0000-0000F8A00000}"/>
    <cellStyle name="Percent 32 2 3 2 2 2 2" xfId="36168" xr:uid="{00000000-0005-0000-0000-0000F9A00000}"/>
    <cellStyle name="Percent 32 2 3 2 2 3" xfId="22400" xr:uid="{00000000-0005-0000-0000-0000FAA00000}"/>
    <cellStyle name="Percent 32 2 3 2 2 3 2" xfId="42320" xr:uid="{00000000-0005-0000-0000-0000FBA00000}"/>
    <cellStyle name="Percent 32 2 3 2 2 4" xfId="30015" xr:uid="{00000000-0005-0000-0000-0000FCA00000}"/>
    <cellStyle name="Percent 32 2 3 2 3" xfId="13182" xr:uid="{00000000-0005-0000-0000-0000FDA00000}"/>
    <cellStyle name="Percent 32 2 3 2 3 2" xfId="33102" xr:uid="{00000000-0005-0000-0000-0000FEA00000}"/>
    <cellStyle name="Percent 32 2 3 2 4" xfId="19334" xr:uid="{00000000-0005-0000-0000-0000FFA00000}"/>
    <cellStyle name="Percent 32 2 3 2 4 2" xfId="39254" xr:uid="{00000000-0005-0000-0000-000000A10000}"/>
    <cellStyle name="Percent 32 2 3 2 5" xfId="26949" xr:uid="{00000000-0005-0000-0000-000001A10000}"/>
    <cellStyle name="Percent 32 2 3 3" xfId="8520" xr:uid="{00000000-0005-0000-0000-000002A10000}"/>
    <cellStyle name="Percent 32 2 3 3 2" xfId="14714" xr:uid="{00000000-0005-0000-0000-000003A10000}"/>
    <cellStyle name="Percent 32 2 3 3 2 2" xfId="34634" xr:uid="{00000000-0005-0000-0000-000004A10000}"/>
    <cellStyle name="Percent 32 2 3 3 3" xfId="20866" xr:uid="{00000000-0005-0000-0000-000005A10000}"/>
    <cellStyle name="Percent 32 2 3 3 3 2" xfId="40786" xr:uid="{00000000-0005-0000-0000-000006A10000}"/>
    <cellStyle name="Percent 32 2 3 3 4" xfId="28481" xr:uid="{00000000-0005-0000-0000-000007A10000}"/>
    <cellStyle name="Percent 32 2 3 4" xfId="11648" xr:uid="{00000000-0005-0000-0000-000008A10000}"/>
    <cellStyle name="Percent 32 2 3 4 2" xfId="31568" xr:uid="{00000000-0005-0000-0000-000009A10000}"/>
    <cellStyle name="Percent 32 2 3 5" xfId="17800" xr:uid="{00000000-0005-0000-0000-00000AA10000}"/>
    <cellStyle name="Percent 32 2 3 5 2" xfId="37720" xr:uid="{00000000-0005-0000-0000-00000BA10000}"/>
    <cellStyle name="Percent 32 2 3 6" xfId="25415" xr:uid="{00000000-0005-0000-0000-00000CA10000}"/>
    <cellStyle name="Percent 32 2 4" xfId="6197" xr:uid="{00000000-0005-0000-0000-00000DA10000}"/>
    <cellStyle name="Percent 32 2 4 2" xfId="9286" xr:uid="{00000000-0005-0000-0000-00000EA10000}"/>
    <cellStyle name="Percent 32 2 4 2 2" xfId="15479" xr:uid="{00000000-0005-0000-0000-00000FA10000}"/>
    <cellStyle name="Percent 32 2 4 2 2 2" xfId="35399" xr:uid="{00000000-0005-0000-0000-000010A10000}"/>
    <cellStyle name="Percent 32 2 4 2 3" xfId="21631" xr:uid="{00000000-0005-0000-0000-000011A10000}"/>
    <cellStyle name="Percent 32 2 4 2 3 2" xfId="41551" xr:uid="{00000000-0005-0000-0000-000012A10000}"/>
    <cellStyle name="Percent 32 2 4 2 4" xfId="29246" xr:uid="{00000000-0005-0000-0000-000013A10000}"/>
    <cellStyle name="Percent 32 2 4 3" xfId="12413" xr:uid="{00000000-0005-0000-0000-000014A10000}"/>
    <cellStyle name="Percent 32 2 4 3 2" xfId="32333" xr:uid="{00000000-0005-0000-0000-000015A10000}"/>
    <cellStyle name="Percent 32 2 4 4" xfId="18565" xr:uid="{00000000-0005-0000-0000-000016A10000}"/>
    <cellStyle name="Percent 32 2 4 4 2" xfId="38485" xr:uid="{00000000-0005-0000-0000-000017A10000}"/>
    <cellStyle name="Percent 32 2 4 5" xfId="26180" xr:uid="{00000000-0005-0000-0000-000018A10000}"/>
    <cellStyle name="Percent 32 2 5" xfId="7751" xr:uid="{00000000-0005-0000-0000-000019A10000}"/>
    <cellStyle name="Percent 32 2 5 2" xfId="13945" xr:uid="{00000000-0005-0000-0000-00001AA10000}"/>
    <cellStyle name="Percent 32 2 5 2 2" xfId="33865" xr:uid="{00000000-0005-0000-0000-00001BA10000}"/>
    <cellStyle name="Percent 32 2 5 3" xfId="20097" xr:uid="{00000000-0005-0000-0000-00001CA10000}"/>
    <cellStyle name="Percent 32 2 5 3 2" xfId="40017" xr:uid="{00000000-0005-0000-0000-00001DA10000}"/>
    <cellStyle name="Percent 32 2 5 4" xfId="27712" xr:uid="{00000000-0005-0000-0000-00001EA10000}"/>
    <cellStyle name="Percent 32 2 6" xfId="10879" xr:uid="{00000000-0005-0000-0000-00001FA10000}"/>
    <cellStyle name="Percent 32 2 6 2" xfId="30799" xr:uid="{00000000-0005-0000-0000-000020A10000}"/>
    <cellStyle name="Percent 32 2 7" xfId="17031" xr:uid="{00000000-0005-0000-0000-000021A10000}"/>
    <cellStyle name="Percent 32 2 7 2" xfId="36951" xr:uid="{00000000-0005-0000-0000-000022A10000}"/>
    <cellStyle name="Percent 32 2 8" xfId="24646" xr:uid="{00000000-0005-0000-0000-000023A10000}"/>
    <cellStyle name="Percent 32 3" xfId="4316" xr:uid="{00000000-0005-0000-0000-000024A10000}"/>
    <cellStyle name="Percent 32 3 2" xfId="4317" xr:uid="{00000000-0005-0000-0000-000025A10000}"/>
    <cellStyle name="Percent 32 3 2 2" xfId="5347" xr:uid="{00000000-0005-0000-0000-000026A10000}"/>
    <cellStyle name="Percent 32 3 2 2 2" xfId="6972" xr:uid="{00000000-0005-0000-0000-000027A10000}"/>
    <cellStyle name="Percent 32 3 2 2 2 2" xfId="10058" xr:uid="{00000000-0005-0000-0000-000028A10000}"/>
    <cellStyle name="Percent 32 3 2 2 2 2 2" xfId="16251" xr:uid="{00000000-0005-0000-0000-000029A10000}"/>
    <cellStyle name="Percent 32 3 2 2 2 2 2 2" xfId="36171" xr:uid="{00000000-0005-0000-0000-00002AA10000}"/>
    <cellStyle name="Percent 32 3 2 2 2 2 3" xfId="22403" xr:uid="{00000000-0005-0000-0000-00002BA10000}"/>
    <cellStyle name="Percent 32 3 2 2 2 2 3 2" xfId="42323" xr:uid="{00000000-0005-0000-0000-00002CA10000}"/>
    <cellStyle name="Percent 32 3 2 2 2 2 4" xfId="30018" xr:uid="{00000000-0005-0000-0000-00002DA10000}"/>
    <cellStyle name="Percent 32 3 2 2 2 3" xfId="13185" xr:uid="{00000000-0005-0000-0000-00002EA10000}"/>
    <cellStyle name="Percent 32 3 2 2 2 3 2" xfId="33105" xr:uid="{00000000-0005-0000-0000-00002FA10000}"/>
    <cellStyle name="Percent 32 3 2 2 2 4" xfId="19337" xr:uid="{00000000-0005-0000-0000-000030A10000}"/>
    <cellStyle name="Percent 32 3 2 2 2 4 2" xfId="39257" xr:uid="{00000000-0005-0000-0000-000031A10000}"/>
    <cellStyle name="Percent 32 3 2 2 2 5" xfId="26952" xr:uid="{00000000-0005-0000-0000-000032A10000}"/>
    <cellStyle name="Percent 32 3 2 2 3" xfId="8523" xr:uid="{00000000-0005-0000-0000-000033A10000}"/>
    <cellStyle name="Percent 32 3 2 2 3 2" xfId="14717" xr:uid="{00000000-0005-0000-0000-000034A10000}"/>
    <cellStyle name="Percent 32 3 2 2 3 2 2" xfId="34637" xr:uid="{00000000-0005-0000-0000-000035A10000}"/>
    <cellStyle name="Percent 32 3 2 2 3 3" xfId="20869" xr:uid="{00000000-0005-0000-0000-000036A10000}"/>
    <cellStyle name="Percent 32 3 2 2 3 3 2" xfId="40789" xr:uid="{00000000-0005-0000-0000-000037A10000}"/>
    <cellStyle name="Percent 32 3 2 2 3 4" xfId="28484" xr:uid="{00000000-0005-0000-0000-000038A10000}"/>
    <cellStyle name="Percent 32 3 2 2 4" xfId="11651" xr:uid="{00000000-0005-0000-0000-000039A10000}"/>
    <cellStyle name="Percent 32 3 2 2 4 2" xfId="31571" xr:uid="{00000000-0005-0000-0000-00003AA10000}"/>
    <cellStyle name="Percent 32 3 2 2 5" xfId="17803" xr:uid="{00000000-0005-0000-0000-00003BA10000}"/>
    <cellStyle name="Percent 32 3 2 2 5 2" xfId="37723" xr:uid="{00000000-0005-0000-0000-00003CA10000}"/>
    <cellStyle name="Percent 32 3 2 2 6" xfId="25418" xr:uid="{00000000-0005-0000-0000-00003DA10000}"/>
    <cellStyle name="Percent 32 3 2 3" xfId="6200" xr:uid="{00000000-0005-0000-0000-00003EA10000}"/>
    <cellStyle name="Percent 32 3 2 3 2" xfId="9289" xr:uid="{00000000-0005-0000-0000-00003FA10000}"/>
    <cellStyle name="Percent 32 3 2 3 2 2" xfId="15482" xr:uid="{00000000-0005-0000-0000-000040A10000}"/>
    <cellStyle name="Percent 32 3 2 3 2 2 2" xfId="35402" xr:uid="{00000000-0005-0000-0000-000041A10000}"/>
    <cellStyle name="Percent 32 3 2 3 2 3" xfId="21634" xr:uid="{00000000-0005-0000-0000-000042A10000}"/>
    <cellStyle name="Percent 32 3 2 3 2 3 2" xfId="41554" xr:uid="{00000000-0005-0000-0000-000043A10000}"/>
    <cellStyle name="Percent 32 3 2 3 2 4" xfId="29249" xr:uid="{00000000-0005-0000-0000-000044A10000}"/>
    <cellStyle name="Percent 32 3 2 3 3" xfId="12416" xr:uid="{00000000-0005-0000-0000-000045A10000}"/>
    <cellStyle name="Percent 32 3 2 3 3 2" xfId="32336" xr:uid="{00000000-0005-0000-0000-000046A10000}"/>
    <cellStyle name="Percent 32 3 2 3 4" xfId="18568" xr:uid="{00000000-0005-0000-0000-000047A10000}"/>
    <cellStyle name="Percent 32 3 2 3 4 2" xfId="38488" xr:uid="{00000000-0005-0000-0000-000048A10000}"/>
    <cellStyle name="Percent 32 3 2 3 5" xfId="26183" xr:uid="{00000000-0005-0000-0000-000049A10000}"/>
    <cellStyle name="Percent 32 3 2 4" xfId="7754" xr:uid="{00000000-0005-0000-0000-00004AA10000}"/>
    <cellStyle name="Percent 32 3 2 4 2" xfId="13948" xr:uid="{00000000-0005-0000-0000-00004BA10000}"/>
    <cellStyle name="Percent 32 3 2 4 2 2" xfId="33868" xr:uid="{00000000-0005-0000-0000-00004CA10000}"/>
    <cellStyle name="Percent 32 3 2 4 3" xfId="20100" xr:uid="{00000000-0005-0000-0000-00004DA10000}"/>
    <cellStyle name="Percent 32 3 2 4 3 2" xfId="40020" xr:uid="{00000000-0005-0000-0000-00004EA10000}"/>
    <cellStyle name="Percent 32 3 2 4 4" xfId="27715" xr:uid="{00000000-0005-0000-0000-00004FA10000}"/>
    <cellStyle name="Percent 32 3 2 5" xfId="10882" xr:uid="{00000000-0005-0000-0000-000050A10000}"/>
    <cellStyle name="Percent 32 3 2 5 2" xfId="30802" xr:uid="{00000000-0005-0000-0000-000051A10000}"/>
    <cellStyle name="Percent 32 3 2 6" xfId="17034" xr:uid="{00000000-0005-0000-0000-000052A10000}"/>
    <cellStyle name="Percent 32 3 2 6 2" xfId="36954" xr:uid="{00000000-0005-0000-0000-000053A10000}"/>
    <cellStyle name="Percent 32 3 2 7" xfId="24649" xr:uid="{00000000-0005-0000-0000-000054A10000}"/>
    <cellStyle name="Percent 32 3 3" xfId="5346" xr:uid="{00000000-0005-0000-0000-000055A10000}"/>
    <cellStyle name="Percent 32 3 3 2" xfId="6971" xr:uid="{00000000-0005-0000-0000-000056A10000}"/>
    <cellStyle name="Percent 32 3 3 2 2" xfId="10057" xr:uid="{00000000-0005-0000-0000-000057A10000}"/>
    <cellStyle name="Percent 32 3 3 2 2 2" xfId="16250" xr:uid="{00000000-0005-0000-0000-000058A10000}"/>
    <cellStyle name="Percent 32 3 3 2 2 2 2" xfId="36170" xr:uid="{00000000-0005-0000-0000-000059A10000}"/>
    <cellStyle name="Percent 32 3 3 2 2 3" xfId="22402" xr:uid="{00000000-0005-0000-0000-00005AA10000}"/>
    <cellStyle name="Percent 32 3 3 2 2 3 2" xfId="42322" xr:uid="{00000000-0005-0000-0000-00005BA10000}"/>
    <cellStyle name="Percent 32 3 3 2 2 4" xfId="30017" xr:uid="{00000000-0005-0000-0000-00005CA10000}"/>
    <cellStyle name="Percent 32 3 3 2 3" xfId="13184" xr:uid="{00000000-0005-0000-0000-00005DA10000}"/>
    <cellStyle name="Percent 32 3 3 2 3 2" xfId="33104" xr:uid="{00000000-0005-0000-0000-00005EA10000}"/>
    <cellStyle name="Percent 32 3 3 2 4" xfId="19336" xr:uid="{00000000-0005-0000-0000-00005FA10000}"/>
    <cellStyle name="Percent 32 3 3 2 4 2" xfId="39256" xr:uid="{00000000-0005-0000-0000-000060A10000}"/>
    <cellStyle name="Percent 32 3 3 2 5" xfId="26951" xr:uid="{00000000-0005-0000-0000-000061A10000}"/>
    <cellStyle name="Percent 32 3 3 3" xfId="8522" xr:uid="{00000000-0005-0000-0000-000062A10000}"/>
    <cellStyle name="Percent 32 3 3 3 2" xfId="14716" xr:uid="{00000000-0005-0000-0000-000063A10000}"/>
    <cellStyle name="Percent 32 3 3 3 2 2" xfId="34636" xr:uid="{00000000-0005-0000-0000-000064A10000}"/>
    <cellStyle name="Percent 32 3 3 3 3" xfId="20868" xr:uid="{00000000-0005-0000-0000-000065A10000}"/>
    <cellStyle name="Percent 32 3 3 3 3 2" xfId="40788" xr:uid="{00000000-0005-0000-0000-000066A10000}"/>
    <cellStyle name="Percent 32 3 3 3 4" xfId="28483" xr:uid="{00000000-0005-0000-0000-000067A10000}"/>
    <cellStyle name="Percent 32 3 3 4" xfId="11650" xr:uid="{00000000-0005-0000-0000-000068A10000}"/>
    <cellStyle name="Percent 32 3 3 4 2" xfId="31570" xr:uid="{00000000-0005-0000-0000-000069A10000}"/>
    <cellStyle name="Percent 32 3 3 5" xfId="17802" xr:uid="{00000000-0005-0000-0000-00006AA10000}"/>
    <cellStyle name="Percent 32 3 3 5 2" xfId="37722" xr:uid="{00000000-0005-0000-0000-00006BA10000}"/>
    <cellStyle name="Percent 32 3 3 6" xfId="25417" xr:uid="{00000000-0005-0000-0000-00006CA10000}"/>
    <cellStyle name="Percent 32 3 4" xfId="6199" xr:uid="{00000000-0005-0000-0000-00006DA10000}"/>
    <cellStyle name="Percent 32 3 4 2" xfId="9288" xr:uid="{00000000-0005-0000-0000-00006EA10000}"/>
    <cellStyle name="Percent 32 3 4 2 2" xfId="15481" xr:uid="{00000000-0005-0000-0000-00006FA10000}"/>
    <cellStyle name="Percent 32 3 4 2 2 2" xfId="35401" xr:uid="{00000000-0005-0000-0000-000070A10000}"/>
    <cellStyle name="Percent 32 3 4 2 3" xfId="21633" xr:uid="{00000000-0005-0000-0000-000071A10000}"/>
    <cellStyle name="Percent 32 3 4 2 3 2" xfId="41553" xr:uid="{00000000-0005-0000-0000-000072A10000}"/>
    <cellStyle name="Percent 32 3 4 2 4" xfId="29248" xr:uid="{00000000-0005-0000-0000-000073A10000}"/>
    <cellStyle name="Percent 32 3 4 3" xfId="12415" xr:uid="{00000000-0005-0000-0000-000074A10000}"/>
    <cellStyle name="Percent 32 3 4 3 2" xfId="32335" xr:uid="{00000000-0005-0000-0000-000075A10000}"/>
    <cellStyle name="Percent 32 3 4 4" xfId="18567" xr:uid="{00000000-0005-0000-0000-000076A10000}"/>
    <cellStyle name="Percent 32 3 4 4 2" xfId="38487" xr:uid="{00000000-0005-0000-0000-000077A10000}"/>
    <cellStyle name="Percent 32 3 4 5" xfId="26182" xr:uid="{00000000-0005-0000-0000-000078A10000}"/>
    <cellStyle name="Percent 32 3 5" xfId="7753" xr:uid="{00000000-0005-0000-0000-000079A10000}"/>
    <cellStyle name="Percent 32 3 5 2" xfId="13947" xr:uid="{00000000-0005-0000-0000-00007AA10000}"/>
    <cellStyle name="Percent 32 3 5 2 2" xfId="33867" xr:uid="{00000000-0005-0000-0000-00007BA10000}"/>
    <cellStyle name="Percent 32 3 5 3" xfId="20099" xr:uid="{00000000-0005-0000-0000-00007CA10000}"/>
    <cellStyle name="Percent 32 3 5 3 2" xfId="40019" xr:uid="{00000000-0005-0000-0000-00007DA10000}"/>
    <cellStyle name="Percent 32 3 5 4" xfId="27714" xr:uid="{00000000-0005-0000-0000-00007EA10000}"/>
    <cellStyle name="Percent 32 3 6" xfId="10881" xr:uid="{00000000-0005-0000-0000-00007FA10000}"/>
    <cellStyle name="Percent 32 3 6 2" xfId="30801" xr:uid="{00000000-0005-0000-0000-000080A10000}"/>
    <cellStyle name="Percent 32 3 7" xfId="17033" xr:uid="{00000000-0005-0000-0000-000081A10000}"/>
    <cellStyle name="Percent 32 3 7 2" xfId="36953" xr:uid="{00000000-0005-0000-0000-000082A10000}"/>
    <cellStyle name="Percent 32 3 8" xfId="24648" xr:uid="{00000000-0005-0000-0000-000083A10000}"/>
    <cellStyle name="Percent 32 4" xfId="4318" xr:uid="{00000000-0005-0000-0000-000084A10000}"/>
    <cellStyle name="Percent 32 4 2" xfId="4319" xr:uid="{00000000-0005-0000-0000-000085A10000}"/>
    <cellStyle name="Percent 32 4 2 2" xfId="5348" xr:uid="{00000000-0005-0000-0000-000086A10000}"/>
    <cellStyle name="Percent 32 4 2 2 2" xfId="6973" xr:uid="{00000000-0005-0000-0000-000087A10000}"/>
    <cellStyle name="Percent 32 4 2 2 2 2" xfId="10059" xr:uid="{00000000-0005-0000-0000-000088A10000}"/>
    <cellStyle name="Percent 32 4 2 2 2 2 2" xfId="16252" xr:uid="{00000000-0005-0000-0000-000089A10000}"/>
    <cellStyle name="Percent 32 4 2 2 2 2 2 2" xfId="36172" xr:uid="{00000000-0005-0000-0000-00008AA10000}"/>
    <cellStyle name="Percent 32 4 2 2 2 2 3" xfId="22404" xr:uid="{00000000-0005-0000-0000-00008BA10000}"/>
    <cellStyle name="Percent 32 4 2 2 2 2 3 2" xfId="42324" xr:uid="{00000000-0005-0000-0000-00008CA10000}"/>
    <cellStyle name="Percent 32 4 2 2 2 2 4" xfId="30019" xr:uid="{00000000-0005-0000-0000-00008DA10000}"/>
    <cellStyle name="Percent 32 4 2 2 2 3" xfId="13186" xr:uid="{00000000-0005-0000-0000-00008EA10000}"/>
    <cellStyle name="Percent 32 4 2 2 2 3 2" xfId="33106" xr:uid="{00000000-0005-0000-0000-00008FA10000}"/>
    <cellStyle name="Percent 32 4 2 2 2 4" xfId="19338" xr:uid="{00000000-0005-0000-0000-000090A10000}"/>
    <cellStyle name="Percent 32 4 2 2 2 4 2" xfId="39258" xr:uid="{00000000-0005-0000-0000-000091A10000}"/>
    <cellStyle name="Percent 32 4 2 2 2 5" xfId="26953" xr:uid="{00000000-0005-0000-0000-000092A10000}"/>
    <cellStyle name="Percent 32 4 2 2 3" xfId="8524" xr:uid="{00000000-0005-0000-0000-000093A10000}"/>
    <cellStyle name="Percent 32 4 2 2 3 2" xfId="14718" xr:uid="{00000000-0005-0000-0000-000094A10000}"/>
    <cellStyle name="Percent 32 4 2 2 3 2 2" xfId="34638" xr:uid="{00000000-0005-0000-0000-000095A10000}"/>
    <cellStyle name="Percent 32 4 2 2 3 3" xfId="20870" xr:uid="{00000000-0005-0000-0000-000096A10000}"/>
    <cellStyle name="Percent 32 4 2 2 3 3 2" xfId="40790" xr:uid="{00000000-0005-0000-0000-000097A10000}"/>
    <cellStyle name="Percent 32 4 2 2 3 4" xfId="28485" xr:uid="{00000000-0005-0000-0000-000098A10000}"/>
    <cellStyle name="Percent 32 4 2 2 4" xfId="11652" xr:uid="{00000000-0005-0000-0000-000099A10000}"/>
    <cellStyle name="Percent 32 4 2 2 4 2" xfId="31572" xr:uid="{00000000-0005-0000-0000-00009AA10000}"/>
    <cellStyle name="Percent 32 4 2 2 5" xfId="17804" xr:uid="{00000000-0005-0000-0000-00009BA10000}"/>
    <cellStyle name="Percent 32 4 2 2 5 2" xfId="37724" xr:uid="{00000000-0005-0000-0000-00009CA10000}"/>
    <cellStyle name="Percent 32 4 2 2 6" xfId="25419" xr:uid="{00000000-0005-0000-0000-00009DA10000}"/>
    <cellStyle name="Percent 32 4 2 3" xfId="6201" xr:uid="{00000000-0005-0000-0000-00009EA10000}"/>
    <cellStyle name="Percent 32 4 2 3 2" xfId="9290" xr:uid="{00000000-0005-0000-0000-00009FA10000}"/>
    <cellStyle name="Percent 32 4 2 3 2 2" xfId="15483" xr:uid="{00000000-0005-0000-0000-0000A0A10000}"/>
    <cellStyle name="Percent 32 4 2 3 2 2 2" xfId="35403" xr:uid="{00000000-0005-0000-0000-0000A1A10000}"/>
    <cellStyle name="Percent 32 4 2 3 2 3" xfId="21635" xr:uid="{00000000-0005-0000-0000-0000A2A10000}"/>
    <cellStyle name="Percent 32 4 2 3 2 3 2" xfId="41555" xr:uid="{00000000-0005-0000-0000-0000A3A10000}"/>
    <cellStyle name="Percent 32 4 2 3 2 4" xfId="29250" xr:uid="{00000000-0005-0000-0000-0000A4A10000}"/>
    <cellStyle name="Percent 32 4 2 3 3" xfId="12417" xr:uid="{00000000-0005-0000-0000-0000A5A10000}"/>
    <cellStyle name="Percent 32 4 2 3 3 2" xfId="32337" xr:uid="{00000000-0005-0000-0000-0000A6A10000}"/>
    <cellStyle name="Percent 32 4 2 3 4" xfId="18569" xr:uid="{00000000-0005-0000-0000-0000A7A10000}"/>
    <cellStyle name="Percent 32 4 2 3 4 2" xfId="38489" xr:uid="{00000000-0005-0000-0000-0000A8A10000}"/>
    <cellStyle name="Percent 32 4 2 3 5" xfId="26184" xr:uid="{00000000-0005-0000-0000-0000A9A10000}"/>
    <cellStyle name="Percent 32 4 2 4" xfId="7755" xr:uid="{00000000-0005-0000-0000-0000AAA10000}"/>
    <cellStyle name="Percent 32 4 2 4 2" xfId="13949" xr:uid="{00000000-0005-0000-0000-0000ABA10000}"/>
    <cellStyle name="Percent 32 4 2 4 2 2" xfId="33869" xr:uid="{00000000-0005-0000-0000-0000ACA10000}"/>
    <cellStyle name="Percent 32 4 2 4 3" xfId="20101" xr:uid="{00000000-0005-0000-0000-0000ADA10000}"/>
    <cellStyle name="Percent 32 4 2 4 3 2" xfId="40021" xr:uid="{00000000-0005-0000-0000-0000AEA10000}"/>
    <cellStyle name="Percent 32 4 2 4 4" xfId="27716" xr:uid="{00000000-0005-0000-0000-0000AFA10000}"/>
    <cellStyle name="Percent 32 4 2 5" xfId="10883" xr:uid="{00000000-0005-0000-0000-0000B0A10000}"/>
    <cellStyle name="Percent 32 4 2 5 2" xfId="30803" xr:uid="{00000000-0005-0000-0000-0000B1A10000}"/>
    <cellStyle name="Percent 32 4 2 6" xfId="17035" xr:uid="{00000000-0005-0000-0000-0000B2A10000}"/>
    <cellStyle name="Percent 32 4 2 6 2" xfId="36955" xr:uid="{00000000-0005-0000-0000-0000B3A10000}"/>
    <cellStyle name="Percent 32 4 2 7" xfId="24650" xr:uid="{00000000-0005-0000-0000-0000B4A10000}"/>
    <cellStyle name="Percent 32 5" xfId="4320" xr:uid="{00000000-0005-0000-0000-0000B5A10000}"/>
    <cellStyle name="Percent 32 5 2" xfId="5349" xr:uid="{00000000-0005-0000-0000-0000B6A10000}"/>
    <cellStyle name="Percent 32 5 2 2" xfId="6974" xr:uid="{00000000-0005-0000-0000-0000B7A10000}"/>
    <cellStyle name="Percent 32 5 2 2 2" xfId="10060" xr:uid="{00000000-0005-0000-0000-0000B8A10000}"/>
    <cellStyle name="Percent 32 5 2 2 2 2" xfId="16253" xr:uid="{00000000-0005-0000-0000-0000B9A10000}"/>
    <cellStyle name="Percent 32 5 2 2 2 2 2" xfId="36173" xr:uid="{00000000-0005-0000-0000-0000BAA10000}"/>
    <cellStyle name="Percent 32 5 2 2 2 3" xfId="22405" xr:uid="{00000000-0005-0000-0000-0000BBA10000}"/>
    <cellStyle name="Percent 32 5 2 2 2 3 2" xfId="42325" xr:uid="{00000000-0005-0000-0000-0000BCA10000}"/>
    <cellStyle name="Percent 32 5 2 2 2 4" xfId="30020" xr:uid="{00000000-0005-0000-0000-0000BDA10000}"/>
    <cellStyle name="Percent 32 5 2 2 3" xfId="13187" xr:uid="{00000000-0005-0000-0000-0000BEA10000}"/>
    <cellStyle name="Percent 32 5 2 2 3 2" xfId="33107" xr:uid="{00000000-0005-0000-0000-0000BFA10000}"/>
    <cellStyle name="Percent 32 5 2 2 4" xfId="19339" xr:uid="{00000000-0005-0000-0000-0000C0A10000}"/>
    <cellStyle name="Percent 32 5 2 2 4 2" xfId="39259" xr:uid="{00000000-0005-0000-0000-0000C1A10000}"/>
    <cellStyle name="Percent 32 5 2 2 5" xfId="26954" xr:uid="{00000000-0005-0000-0000-0000C2A10000}"/>
    <cellStyle name="Percent 32 5 2 3" xfId="8525" xr:uid="{00000000-0005-0000-0000-0000C3A10000}"/>
    <cellStyle name="Percent 32 5 2 3 2" xfId="14719" xr:uid="{00000000-0005-0000-0000-0000C4A10000}"/>
    <cellStyle name="Percent 32 5 2 3 2 2" xfId="34639" xr:uid="{00000000-0005-0000-0000-0000C5A10000}"/>
    <cellStyle name="Percent 32 5 2 3 3" xfId="20871" xr:uid="{00000000-0005-0000-0000-0000C6A10000}"/>
    <cellStyle name="Percent 32 5 2 3 3 2" xfId="40791" xr:uid="{00000000-0005-0000-0000-0000C7A10000}"/>
    <cellStyle name="Percent 32 5 2 3 4" xfId="28486" xr:uid="{00000000-0005-0000-0000-0000C8A10000}"/>
    <cellStyle name="Percent 32 5 2 4" xfId="11653" xr:uid="{00000000-0005-0000-0000-0000C9A10000}"/>
    <cellStyle name="Percent 32 5 2 4 2" xfId="31573" xr:uid="{00000000-0005-0000-0000-0000CAA10000}"/>
    <cellStyle name="Percent 32 5 2 5" xfId="17805" xr:uid="{00000000-0005-0000-0000-0000CBA10000}"/>
    <cellStyle name="Percent 32 5 2 5 2" xfId="37725" xr:uid="{00000000-0005-0000-0000-0000CCA10000}"/>
    <cellStyle name="Percent 32 5 2 6" xfId="25420" xr:uid="{00000000-0005-0000-0000-0000CDA10000}"/>
    <cellStyle name="Percent 32 5 3" xfId="6202" xr:uid="{00000000-0005-0000-0000-0000CEA10000}"/>
    <cellStyle name="Percent 32 5 3 2" xfId="9291" xr:uid="{00000000-0005-0000-0000-0000CFA10000}"/>
    <cellStyle name="Percent 32 5 3 2 2" xfId="15484" xr:uid="{00000000-0005-0000-0000-0000D0A10000}"/>
    <cellStyle name="Percent 32 5 3 2 2 2" xfId="35404" xr:uid="{00000000-0005-0000-0000-0000D1A10000}"/>
    <cellStyle name="Percent 32 5 3 2 3" xfId="21636" xr:uid="{00000000-0005-0000-0000-0000D2A10000}"/>
    <cellStyle name="Percent 32 5 3 2 3 2" xfId="41556" xr:uid="{00000000-0005-0000-0000-0000D3A10000}"/>
    <cellStyle name="Percent 32 5 3 2 4" xfId="29251" xr:uid="{00000000-0005-0000-0000-0000D4A10000}"/>
    <cellStyle name="Percent 32 5 3 3" xfId="12418" xr:uid="{00000000-0005-0000-0000-0000D5A10000}"/>
    <cellStyle name="Percent 32 5 3 3 2" xfId="32338" xr:uid="{00000000-0005-0000-0000-0000D6A10000}"/>
    <cellStyle name="Percent 32 5 3 4" xfId="18570" xr:uid="{00000000-0005-0000-0000-0000D7A10000}"/>
    <cellStyle name="Percent 32 5 3 4 2" xfId="38490" xr:uid="{00000000-0005-0000-0000-0000D8A10000}"/>
    <cellStyle name="Percent 32 5 3 5" xfId="26185" xr:uid="{00000000-0005-0000-0000-0000D9A10000}"/>
    <cellStyle name="Percent 32 5 4" xfId="7756" xr:uid="{00000000-0005-0000-0000-0000DAA10000}"/>
    <cellStyle name="Percent 32 5 4 2" xfId="13950" xr:uid="{00000000-0005-0000-0000-0000DBA10000}"/>
    <cellStyle name="Percent 32 5 4 2 2" xfId="33870" xr:uid="{00000000-0005-0000-0000-0000DCA10000}"/>
    <cellStyle name="Percent 32 5 4 3" xfId="20102" xr:uid="{00000000-0005-0000-0000-0000DDA10000}"/>
    <cellStyle name="Percent 32 5 4 3 2" xfId="40022" xr:uid="{00000000-0005-0000-0000-0000DEA10000}"/>
    <cellStyle name="Percent 32 5 4 4" xfId="27717" xr:uid="{00000000-0005-0000-0000-0000DFA10000}"/>
    <cellStyle name="Percent 32 5 5" xfId="10884" xr:uid="{00000000-0005-0000-0000-0000E0A10000}"/>
    <cellStyle name="Percent 32 5 5 2" xfId="30804" xr:uid="{00000000-0005-0000-0000-0000E1A10000}"/>
    <cellStyle name="Percent 32 5 6" xfId="17036" xr:uid="{00000000-0005-0000-0000-0000E2A10000}"/>
    <cellStyle name="Percent 32 5 6 2" xfId="36956" xr:uid="{00000000-0005-0000-0000-0000E3A10000}"/>
    <cellStyle name="Percent 32 5 7" xfId="24651" xr:uid="{00000000-0005-0000-0000-0000E4A10000}"/>
    <cellStyle name="Percent 33" xfId="4321" xr:uid="{00000000-0005-0000-0000-0000E5A10000}"/>
    <cellStyle name="Percent 33 2" xfId="4322" xr:uid="{00000000-0005-0000-0000-0000E6A10000}"/>
    <cellStyle name="Percent 33 2 2" xfId="4323" xr:uid="{00000000-0005-0000-0000-0000E7A10000}"/>
    <cellStyle name="Percent 33 2 2 2" xfId="5351" xr:uid="{00000000-0005-0000-0000-0000E8A10000}"/>
    <cellStyle name="Percent 33 2 2 2 2" xfId="6976" xr:uid="{00000000-0005-0000-0000-0000E9A10000}"/>
    <cellStyle name="Percent 33 2 2 2 2 2" xfId="10062" xr:uid="{00000000-0005-0000-0000-0000EAA10000}"/>
    <cellStyle name="Percent 33 2 2 2 2 2 2" xfId="16255" xr:uid="{00000000-0005-0000-0000-0000EBA10000}"/>
    <cellStyle name="Percent 33 2 2 2 2 2 2 2" xfId="36175" xr:uid="{00000000-0005-0000-0000-0000ECA10000}"/>
    <cellStyle name="Percent 33 2 2 2 2 2 3" xfId="22407" xr:uid="{00000000-0005-0000-0000-0000EDA10000}"/>
    <cellStyle name="Percent 33 2 2 2 2 2 3 2" xfId="42327" xr:uid="{00000000-0005-0000-0000-0000EEA10000}"/>
    <cellStyle name="Percent 33 2 2 2 2 2 4" xfId="30022" xr:uid="{00000000-0005-0000-0000-0000EFA10000}"/>
    <cellStyle name="Percent 33 2 2 2 2 3" xfId="13189" xr:uid="{00000000-0005-0000-0000-0000F0A10000}"/>
    <cellStyle name="Percent 33 2 2 2 2 3 2" xfId="33109" xr:uid="{00000000-0005-0000-0000-0000F1A10000}"/>
    <cellStyle name="Percent 33 2 2 2 2 4" xfId="19341" xr:uid="{00000000-0005-0000-0000-0000F2A10000}"/>
    <cellStyle name="Percent 33 2 2 2 2 4 2" xfId="39261" xr:uid="{00000000-0005-0000-0000-0000F3A10000}"/>
    <cellStyle name="Percent 33 2 2 2 2 5" xfId="26956" xr:uid="{00000000-0005-0000-0000-0000F4A10000}"/>
    <cellStyle name="Percent 33 2 2 2 3" xfId="8527" xr:uid="{00000000-0005-0000-0000-0000F5A10000}"/>
    <cellStyle name="Percent 33 2 2 2 3 2" xfId="14721" xr:uid="{00000000-0005-0000-0000-0000F6A10000}"/>
    <cellStyle name="Percent 33 2 2 2 3 2 2" xfId="34641" xr:uid="{00000000-0005-0000-0000-0000F7A10000}"/>
    <cellStyle name="Percent 33 2 2 2 3 3" xfId="20873" xr:uid="{00000000-0005-0000-0000-0000F8A10000}"/>
    <cellStyle name="Percent 33 2 2 2 3 3 2" xfId="40793" xr:uid="{00000000-0005-0000-0000-0000F9A10000}"/>
    <cellStyle name="Percent 33 2 2 2 3 4" xfId="28488" xr:uid="{00000000-0005-0000-0000-0000FAA10000}"/>
    <cellStyle name="Percent 33 2 2 2 4" xfId="11655" xr:uid="{00000000-0005-0000-0000-0000FBA10000}"/>
    <cellStyle name="Percent 33 2 2 2 4 2" xfId="31575" xr:uid="{00000000-0005-0000-0000-0000FCA10000}"/>
    <cellStyle name="Percent 33 2 2 2 5" xfId="17807" xr:uid="{00000000-0005-0000-0000-0000FDA10000}"/>
    <cellStyle name="Percent 33 2 2 2 5 2" xfId="37727" xr:uid="{00000000-0005-0000-0000-0000FEA10000}"/>
    <cellStyle name="Percent 33 2 2 2 6" xfId="25422" xr:uid="{00000000-0005-0000-0000-0000FFA10000}"/>
    <cellStyle name="Percent 33 2 2 3" xfId="6205" xr:uid="{00000000-0005-0000-0000-000000A20000}"/>
    <cellStyle name="Percent 33 2 2 3 2" xfId="9293" xr:uid="{00000000-0005-0000-0000-000001A20000}"/>
    <cellStyle name="Percent 33 2 2 3 2 2" xfId="15486" xr:uid="{00000000-0005-0000-0000-000002A20000}"/>
    <cellStyle name="Percent 33 2 2 3 2 2 2" xfId="35406" xr:uid="{00000000-0005-0000-0000-000003A20000}"/>
    <cellStyle name="Percent 33 2 2 3 2 3" xfId="21638" xr:uid="{00000000-0005-0000-0000-000004A20000}"/>
    <cellStyle name="Percent 33 2 2 3 2 3 2" xfId="41558" xr:uid="{00000000-0005-0000-0000-000005A20000}"/>
    <cellStyle name="Percent 33 2 2 3 2 4" xfId="29253" xr:uid="{00000000-0005-0000-0000-000006A20000}"/>
    <cellStyle name="Percent 33 2 2 3 3" xfId="12420" xr:uid="{00000000-0005-0000-0000-000007A20000}"/>
    <cellStyle name="Percent 33 2 2 3 3 2" xfId="32340" xr:uid="{00000000-0005-0000-0000-000008A20000}"/>
    <cellStyle name="Percent 33 2 2 3 4" xfId="18572" xr:uid="{00000000-0005-0000-0000-000009A20000}"/>
    <cellStyle name="Percent 33 2 2 3 4 2" xfId="38492" xr:uid="{00000000-0005-0000-0000-00000AA20000}"/>
    <cellStyle name="Percent 33 2 2 3 5" xfId="26187" xr:uid="{00000000-0005-0000-0000-00000BA20000}"/>
    <cellStyle name="Percent 33 2 2 4" xfId="7758" xr:uid="{00000000-0005-0000-0000-00000CA20000}"/>
    <cellStyle name="Percent 33 2 2 4 2" xfId="13952" xr:uid="{00000000-0005-0000-0000-00000DA20000}"/>
    <cellStyle name="Percent 33 2 2 4 2 2" xfId="33872" xr:uid="{00000000-0005-0000-0000-00000EA20000}"/>
    <cellStyle name="Percent 33 2 2 4 3" xfId="20104" xr:uid="{00000000-0005-0000-0000-00000FA20000}"/>
    <cellStyle name="Percent 33 2 2 4 3 2" xfId="40024" xr:uid="{00000000-0005-0000-0000-000010A20000}"/>
    <cellStyle name="Percent 33 2 2 4 4" xfId="27719" xr:uid="{00000000-0005-0000-0000-000011A20000}"/>
    <cellStyle name="Percent 33 2 2 5" xfId="10886" xr:uid="{00000000-0005-0000-0000-000012A20000}"/>
    <cellStyle name="Percent 33 2 2 5 2" xfId="30806" xr:uid="{00000000-0005-0000-0000-000013A20000}"/>
    <cellStyle name="Percent 33 2 2 6" xfId="17038" xr:uid="{00000000-0005-0000-0000-000014A20000}"/>
    <cellStyle name="Percent 33 2 2 6 2" xfId="36958" xr:uid="{00000000-0005-0000-0000-000015A20000}"/>
    <cellStyle name="Percent 33 2 2 7" xfId="24653" xr:uid="{00000000-0005-0000-0000-000016A20000}"/>
    <cellStyle name="Percent 33 2 3" xfId="5350" xr:uid="{00000000-0005-0000-0000-000017A20000}"/>
    <cellStyle name="Percent 33 2 3 2" xfId="6975" xr:uid="{00000000-0005-0000-0000-000018A20000}"/>
    <cellStyle name="Percent 33 2 3 2 2" xfId="10061" xr:uid="{00000000-0005-0000-0000-000019A20000}"/>
    <cellStyle name="Percent 33 2 3 2 2 2" xfId="16254" xr:uid="{00000000-0005-0000-0000-00001AA20000}"/>
    <cellStyle name="Percent 33 2 3 2 2 2 2" xfId="36174" xr:uid="{00000000-0005-0000-0000-00001BA20000}"/>
    <cellStyle name="Percent 33 2 3 2 2 3" xfId="22406" xr:uid="{00000000-0005-0000-0000-00001CA20000}"/>
    <cellStyle name="Percent 33 2 3 2 2 3 2" xfId="42326" xr:uid="{00000000-0005-0000-0000-00001DA20000}"/>
    <cellStyle name="Percent 33 2 3 2 2 4" xfId="30021" xr:uid="{00000000-0005-0000-0000-00001EA20000}"/>
    <cellStyle name="Percent 33 2 3 2 3" xfId="13188" xr:uid="{00000000-0005-0000-0000-00001FA20000}"/>
    <cellStyle name="Percent 33 2 3 2 3 2" xfId="33108" xr:uid="{00000000-0005-0000-0000-000020A20000}"/>
    <cellStyle name="Percent 33 2 3 2 4" xfId="19340" xr:uid="{00000000-0005-0000-0000-000021A20000}"/>
    <cellStyle name="Percent 33 2 3 2 4 2" xfId="39260" xr:uid="{00000000-0005-0000-0000-000022A20000}"/>
    <cellStyle name="Percent 33 2 3 2 5" xfId="26955" xr:uid="{00000000-0005-0000-0000-000023A20000}"/>
    <cellStyle name="Percent 33 2 3 3" xfId="8526" xr:uid="{00000000-0005-0000-0000-000024A20000}"/>
    <cellStyle name="Percent 33 2 3 3 2" xfId="14720" xr:uid="{00000000-0005-0000-0000-000025A20000}"/>
    <cellStyle name="Percent 33 2 3 3 2 2" xfId="34640" xr:uid="{00000000-0005-0000-0000-000026A20000}"/>
    <cellStyle name="Percent 33 2 3 3 3" xfId="20872" xr:uid="{00000000-0005-0000-0000-000027A20000}"/>
    <cellStyle name="Percent 33 2 3 3 3 2" xfId="40792" xr:uid="{00000000-0005-0000-0000-000028A20000}"/>
    <cellStyle name="Percent 33 2 3 3 4" xfId="28487" xr:uid="{00000000-0005-0000-0000-000029A20000}"/>
    <cellStyle name="Percent 33 2 3 4" xfId="11654" xr:uid="{00000000-0005-0000-0000-00002AA20000}"/>
    <cellStyle name="Percent 33 2 3 4 2" xfId="31574" xr:uid="{00000000-0005-0000-0000-00002BA20000}"/>
    <cellStyle name="Percent 33 2 3 5" xfId="17806" xr:uid="{00000000-0005-0000-0000-00002CA20000}"/>
    <cellStyle name="Percent 33 2 3 5 2" xfId="37726" xr:uid="{00000000-0005-0000-0000-00002DA20000}"/>
    <cellStyle name="Percent 33 2 3 6" xfId="25421" xr:uid="{00000000-0005-0000-0000-00002EA20000}"/>
    <cellStyle name="Percent 33 2 4" xfId="6204" xr:uid="{00000000-0005-0000-0000-00002FA20000}"/>
    <cellStyle name="Percent 33 2 4 2" xfId="9292" xr:uid="{00000000-0005-0000-0000-000030A20000}"/>
    <cellStyle name="Percent 33 2 4 2 2" xfId="15485" xr:uid="{00000000-0005-0000-0000-000031A20000}"/>
    <cellStyle name="Percent 33 2 4 2 2 2" xfId="35405" xr:uid="{00000000-0005-0000-0000-000032A20000}"/>
    <cellStyle name="Percent 33 2 4 2 3" xfId="21637" xr:uid="{00000000-0005-0000-0000-000033A20000}"/>
    <cellStyle name="Percent 33 2 4 2 3 2" xfId="41557" xr:uid="{00000000-0005-0000-0000-000034A20000}"/>
    <cellStyle name="Percent 33 2 4 2 4" xfId="29252" xr:uid="{00000000-0005-0000-0000-000035A20000}"/>
    <cellStyle name="Percent 33 2 4 3" xfId="12419" xr:uid="{00000000-0005-0000-0000-000036A20000}"/>
    <cellStyle name="Percent 33 2 4 3 2" xfId="32339" xr:uid="{00000000-0005-0000-0000-000037A20000}"/>
    <cellStyle name="Percent 33 2 4 4" xfId="18571" xr:uid="{00000000-0005-0000-0000-000038A20000}"/>
    <cellStyle name="Percent 33 2 4 4 2" xfId="38491" xr:uid="{00000000-0005-0000-0000-000039A20000}"/>
    <cellStyle name="Percent 33 2 4 5" xfId="26186" xr:uid="{00000000-0005-0000-0000-00003AA20000}"/>
    <cellStyle name="Percent 33 2 5" xfId="7757" xr:uid="{00000000-0005-0000-0000-00003BA20000}"/>
    <cellStyle name="Percent 33 2 5 2" xfId="13951" xr:uid="{00000000-0005-0000-0000-00003CA20000}"/>
    <cellStyle name="Percent 33 2 5 2 2" xfId="33871" xr:uid="{00000000-0005-0000-0000-00003DA20000}"/>
    <cellStyle name="Percent 33 2 5 3" xfId="20103" xr:uid="{00000000-0005-0000-0000-00003EA20000}"/>
    <cellStyle name="Percent 33 2 5 3 2" xfId="40023" xr:uid="{00000000-0005-0000-0000-00003FA20000}"/>
    <cellStyle name="Percent 33 2 5 4" xfId="27718" xr:uid="{00000000-0005-0000-0000-000040A20000}"/>
    <cellStyle name="Percent 33 2 6" xfId="10885" xr:uid="{00000000-0005-0000-0000-000041A20000}"/>
    <cellStyle name="Percent 33 2 6 2" xfId="30805" xr:uid="{00000000-0005-0000-0000-000042A20000}"/>
    <cellStyle name="Percent 33 2 7" xfId="17037" xr:uid="{00000000-0005-0000-0000-000043A20000}"/>
    <cellStyle name="Percent 33 2 7 2" xfId="36957" xr:uid="{00000000-0005-0000-0000-000044A20000}"/>
    <cellStyle name="Percent 33 2 8" xfId="24652" xr:uid="{00000000-0005-0000-0000-000045A20000}"/>
    <cellStyle name="Percent 33 3" xfId="4324" xr:uid="{00000000-0005-0000-0000-000046A20000}"/>
    <cellStyle name="Percent 33 3 2" xfId="4325" xr:uid="{00000000-0005-0000-0000-000047A20000}"/>
    <cellStyle name="Percent 33 3 2 2" xfId="5353" xr:uid="{00000000-0005-0000-0000-000048A20000}"/>
    <cellStyle name="Percent 33 3 2 2 2" xfId="6978" xr:uid="{00000000-0005-0000-0000-000049A20000}"/>
    <cellStyle name="Percent 33 3 2 2 2 2" xfId="10064" xr:uid="{00000000-0005-0000-0000-00004AA20000}"/>
    <cellStyle name="Percent 33 3 2 2 2 2 2" xfId="16257" xr:uid="{00000000-0005-0000-0000-00004BA20000}"/>
    <cellStyle name="Percent 33 3 2 2 2 2 2 2" xfId="36177" xr:uid="{00000000-0005-0000-0000-00004CA20000}"/>
    <cellStyle name="Percent 33 3 2 2 2 2 3" xfId="22409" xr:uid="{00000000-0005-0000-0000-00004DA20000}"/>
    <cellStyle name="Percent 33 3 2 2 2 2 3 2" xfId="42329" xr:uid="{00000000-0005-0000-0000-00004EA20000}"/>
    <cellStyle name="Percent 33 3 2 2 2 2 4" xfId="30024" xr:uid="{00000000-0005-0000-0000-00004FA20000}"/>
    <cellStyle name="Percent 33 3 2 2 2 3" xfId="13191" xr:uid="{00000000-0005-0000-0000-000050A20000}"/>
    <cellStyle name="Percent 33 3 2 2 2 3 2" xfId="33111" xr:uid="{00000000-0005-0000-0000-000051A20000}"/>
    <cellStyle name="Percent 33 3 2 2 2 4" xfId="19343" xr:uid="{00000000-0005-0000-0000-000052A20000}"/>
    <cellStyle name="Percent 33 3 2 2 2 4 2" xfId="39263" xr:uid="{00000000-0005-0000-0000-000053A20000}"/>
    <cellStyle name="Percent 33 3 2 2 2 5" xfId="26958" xr:uid="{00000000-0005-0000-0000-000054A20000}"/>
    <cellStyle name="Percent 33 3 2 2 3" xfId="8529" xr:uid="{00000000-0005-0000-0000-000055A20000}"/>
    <cellStyle name="Percent 33 3 2 2 3 2" xfId="14723" xr:uid="{00000000-0005-0000-0000-000056A20000}"/>
    <cellStyle name="Percent 33 3 2 2 3 2 2" xfId="34643" xr:uid="{00000000-0005-0000-0000-000057A20000}"/>
    <cellStyle name="Percent 33 3 2 2 3 3" xfId="20875" xr:uid="{00000000-0005-0000-0000-000058A20000}"/>
    <cellStyle name="Percent 33 3 2 2 3 3 2" xfId="40795" xr:uid="{00000000-0005-0000-0000-000059A20000}"/>
    <cellStyle name="Percent 33 3 2 2 3 4" xfId="28490" xr:uid="{00000000-0005-0000-0000-00005AA20000}"/>
    <cellStyle name="Percent 33 3 2 2 4" xfId="11657" xr:uid="{00000000-0005-0000-0000-00005BA20000}"/>
    <cellStyle name="Percent 33 3 2 2 4 2" xfId="31577" xr:uid="{00000000-0005-0000-0000-00005CA20000}"/>
    <cellStyle name="Percent 33 3 2 2 5" xfId="17809" xr:uid="{00000000-0005-0000-0000-00005DA20000}"/>
    <cellStyle name="Percent 33 3 2 2 5 2" xfId="37729" xr:uid="{00000000-0005-0000-0000-00005EA20000}"/>
    <cellStyle name="Percent 33 3 2 2 6" xfId="25424" xr:uid="{00000000-0005-0000-0000-00005FA20000}"/>
    <cellStyle name="Percent 33 3 2 3" xfId="6207" xr:uid="{00000000-0005-0000-0000-000060A20000}"/>
    <cellStyle name="Percent 33 3 2 3 2" xfId="9295" xr:uid="{00000000-0005-0000-0000-000061A20000}"/>
    <cellStyle name="Percent 33 3 2 3 2 2" xfId="15488" xr:uid="{00000000-0005-0000-0000-000062A20000}"/>
    <cellStyle name="Percent 33 3 2 3 2 2 2" xfId="35408" xr:uid="{00000000-0005-0000-0000-000063A20000}"/>
    <cellStyle name="Percent 33 3 2 3 2 3" xfId="21640" xr:uid="{00000000-0005-0000-0000-000064A20000}"/>
    <cellStyle name="Percent 33 3 2 3 2 3 2" xfId="41560" xr:uid="{00000000-0005-0000-0000-000065A20000}"/>
    <cellStyle name="Percent 33 3 2 3 2 4" xfId="29255" xr:uid="{00000000-0005-0000-0000-000066A20000}"/>
    <cellStyle name="Percent 33 3 2 3 3" xfId="12422" xr:uid="{00000000-0005-0000-0000-000067A20000}"/>
    <cellStyle name="Percent 33 3 2 3 3 2" xfId="32342" xr:uid="{00000000-0005-0000-0000-000068A20000}"/>
    <cellStyle name="Percent 33 3 2 3 4" xfId="18574" xr:uid="{00000000-0005-0000-0000-000069A20000}"/>
    <cellStyle name="Percent 33 3 2 3 4 2" xfId="38494" xr:uid="{00000000-0005-0000-0000-00006AA20000}"/>
    <cellStyle name="Percent 33 3 2 3 5" xfId="26189" xr:uid="{00000000-0005-0000-0000-00006BA20000}"/>
    <cellStyle name="Percent 33 3 2 4" xfId="7760" xr:uid="{00000000-0005-0000-0000-00006CA20000}"/>
    <cellStyle name="Percent 33 3 2 4 2" xfId="13954" xr:uid="{00000000-0005-0000-0000-00006DA20000}"/>
    <cellStyle name="Percent 33 3 2 4 2 2" xfId="33874" xr:uid="{00000000-0005-0000-0000-00006EA20000}"/>
    <cellStyle name="Percent 33 3 2 4 3" xfId="20106" xr:uid="{00000000-0005-0000-0000-00006FA20000}"/>
    <cellStyle name="Percent 33 3 2 4 3 2" xfId="40026" xr:uid="{00000000-0005-0000-0000-000070A20000}"/>
    <cellStyle name="Percent 33 3 2 4 4" xfId="27721" xr:uid="{00000000-0005-0000-0000-000071A20000}"/>
    <cellStyle name="Percent 33 3 2 5" xfId="10888" xr:uid="{00000000-0005-0000-0000-000072A20000}"/>
    <cellStyle name="Percent 33 3 2 5 2" xfId="30808" xr:uid="{00000000-0005-0000-0000-000073A20000}"/>
    <cellStyle name="Percent 33 3 2 6" xfId="17040" xr:uid="{00000000-0005-0000-0000-000074A20000}"/>
    <cellStyle name="Percent 33 3 2 6 2" xfId="36960" xr:uid="{00000000-0005-0000-0000-000075A20000}"/>
    <cellStyle name="Percent 33 3 2 7" xfId="24655" xr:uid="{00000000-0005-0000-0000-000076A20000}"/>
    <cellStyle name="Percent 33 3 3" xfId="5352" xr:uid="{00000000-0005-0000-0000-000077A20000}"/>
    <cellStyle name="Percent 33 3 3 2" xfId="6977" xr:uid="{00000000-0005-0000-0000-000078A20000}"/>
    <cellStyle name="Percent 33 3 3 2 2" xfId="10063" xr:uid="{00000000-0005-0000-0000-000079A20000}"/>
    <cellStyle name="Percent 33 3 3 2 2 2" xfId="16256" xr:uid="{00000000-0005-0000-0000-00007AA20000}"/>
    <cellStyle name="Percent 33 3 3 2 2 2 2" xfId="36176" xr:uid="{00000000-0005-0000-0000-00007BA20000}"/>
    <cellStyle name="Percent 33 3 3 2 2 3" xfId="22408" xr:uid="{00000000-0005-0000-0000-00007CA20000}"/>
    <cellStyle name="Percent 33 3 3 2 2 3 2" xfId="42328" xr:uid="{00000000-0005-0000-0000-00007DA20000}"/>
    <cellStyle name="Percent 33 3 3 2 2 4" xfId="30023" xr:uid="{00000000-0005-0000-0000-00007EA20000}"/>
    <cellStyle name="Percent 33 3 3 2 3" xfId="13190" xr:uid="{00000000-0005-0000-0000-00007FA20000}"/>
    <cellStyle name="Percent 33 3 3 2 3 2" xfId="33110" xr:uid="{00000000-0005-0000-0000-000080A20000}"/>
    <cellStyle name="Percent 33 3 3 2 4" xfId="19342" xr:uid="{00000000-0005-0000-0000-000081A20000}"/>
    <cellStyle name="Percent 33 3 3 2 4 2" xfId="39262" xr:uid="{00000000-0005-0000-0000-000082A20000}"/>
    <cellStyle name="Percent 33 3 3 2 5" xfId="26957" xr:uid="{00000000-0005-0000-0000-000083A20000}"/>
    <cellStyle name="Percent 33 3 3 3" xfId="8528" xr:uid="{00000000-0005-0000-0000-000084A20000}"/>
    <cellStyle name="Percent 33 3 3 3 2" xfId="14722" xr:uid="{00000000-0005-0000-0000-000085A20000}"/>
    <cellStyle name="Percent 33 3 3 3 2 2" xfId="34642" xr:uid="{00000000-0005-0000-0000-000086A20000}"/>
    <cellStyle name="Percent 33 3 3 3 3" xfId="20874" xr:uid="{00000000-0005-0000-0000-000087A20000}"/>
    <cellStyle name="Percent 33 3 3 3 3 2" xfId="40794" xr:uid="{00000000-0005-0000-0000-000088A20000}"/>
    <cellStyle name="Percent 33 3 3 3 4" xfId="28489" xr:uid="{00000000-0005-0000-0000-000089A20000}"/>
    <cellStyle name="Percent 33 3 3 4" xfId="11656" xr:uid="{00000000-0005-0000-0000-00008AA20000}"/>
    <cellStyle name="Percent 33 3 3 4 2" xfId="31576" xr:uid="{00000000-0005-0000-0000-00008BA20000}"/>
    <cellStyle name="Percent 33 3 3 5" xfId="17808" xr:uid="{00000000-0005-0000-0000-00008CA20000}"/>
    <cellStyle name="Percent 33 3 3 5 2" xfId="37728" xr:uid="{00000000-0005-0000-0000-00008DA20000}"/>
    <cellStyle name="Percent 33 3 3 6" xfId="25423" xr:uid="{00000000-0005-0000-0000-00008EA20000}"/>
    <cellStyle name="Percent 33 3 4" xfId="6206" xr:uid="{00000000-0005-0000-0000-00008FA20000}"/>
    <cellStyle name="Percent 33 3 4 2" xfId="9294" xr:uid="{00000000-0005-0000-0000-000090A20000}"/>
    <cellStyle name="Percent 33 3 4 2 2" xfId="15487" xr:uid="{00000000-0005-0000-0000-000091A20000}"/>
    <cellStyle name="Percent 33 3 4 2 2 2" xfId="35407" xr:uid="{00000000-0005-0000-0000-000092A20000}"/>
    <cellStyle name="Percent 33 3 4 2 3" xfId="21639" xr:uid="{00000000-0005-0000-0000-000093A20000}"/>
    <cellStyle name="Percent 33 3 4 2 3 2" xfId="41559" xr:uid="{00000000-0005-0000-0000-000094A20000}"/>
    <cellStyle name="Percent 33 3 4 2 4" xfId="29254" xr:uid="{00000000-0005-0000-0000-000095A20000}"/>
    <cellStyle name="Percent 33 3 4 3" xfId="12421" xr:uid="{00000000-0005-0000-0000-000096A20000}"/>
    <cellStyle name="Percent 33 3 4 3 2" xfId="32341" xr:uid="{00000000-0005-0000-0000-000097A20000}"/>
    <cellStyle name="Percent 33 3 4 4" xfId="18573" xr:uid="{00000000-0005-0000-0000-000098A20000}"/>
    <cellStyle name="Percent 33 3 4 4 2" xfId="38493" xr:uid="{00000000-0005-0000-0000-000099A20000}"/>
    <cellStyle name="Percent 33 3 4 5" xfId="26188" xr:uid="{00000000-0005-0000-0000-00009AA20000}"/>
    <cellStyle name="Percent 33 3 5" xfId="7759" xr:uid="{00000000-0005-0000-0000-00009BA20000}"/>
    <cellStyle name="Percent 33 3 5 2" xfId="13953" xr:uid="{00000000-0005-0000-0000-00009CA20000}"/>
    <cellStyle name="Percent 33 3 5 2 2" xfId="33873" xr:uid="{00000000-0005-0000-0000-00009DA20000}"/>
    <cellStyle name="Percent 33 3 5 3" xfId="20105" xr:uid="{00000000-0005-0000-0000-00009EA20000}"/>
    <cellStyle name="Percent 33 3 5 3 2" xfId="40025" xr:uid="{00000000-0005-0000-0000-00009FA20000}"/>
    <cellStyle name="Percent 33 3 5 4" xfId="27720" xr:uid="{00000000-0005-0000-0000-0000A0A20000}"/>
    <cellStyle name="Percent 33 3 6" xfId="10887" xr:uid="{00000000-0005-0000-0000-0000A1A20000}"/>
    <cellStyle name="Percent 33 3 6 2" xfId="30807" xr:uid="{00000000-0005-0000-0000-0000A2A20000}"/>
    <cellStyle name="Percent 33 3 7" xfId="17039" xr:uid="{00000000-0005-0000-0000-0000A3A20000}"/>
    <cellStyle name="Percent 33 3 7 2" xfId="36959" xr:uid="{00000000-0005-0000-0000-0000A4A20000}"/>
    <cellStyle name="Percent 33 3 8" xfId="24654" xr:uid="{00000000-0005-0000-0000-0000A5A20000}"/>
    <cellStyle name="Percent 33 4" xfId="4326" xr:uid="{00000000-0005-0000-0000-0000A6A20000}"/>
    <cellStyle name="Percent 33 4 2" xfId="4327" xr:uid="{00000000-0005-0000-0000-0000A7A20000}"/>
    <cellStyle name="Percent 33 4 2 2" xfId="5354" xr:uid="{00000000-0005-0000-0000-0000A8A20000}"/>
    <cellStyle name="Percent 33 4 2 2 2" xfId="6979" xr:uid="{00000000-0005-0000-0000-0000A9A20000}"/>
    <cellStyle name="Percent 33 4 2 2 2 2" xfId="10065" xr:uid="{00000000-0005-0000-0000-0000AAA20000}"/>
    <cellStyle name="Percent 33 4 2 2 2 2 2" xfId="16258" xr:uid="{00000000-0005-0000-0000-0000ABA20000}"/>
    <cellStyle name="Percent 33 4 2 2 2 2 2 2" xfId="36178" xr:uid="{00000000-0005-0000-0000-0000ACA20000}"/>
    <cellStyle name="Percent 33 4 2 2 2 2 3" xfId="22410" xr:uid="{00000000-0005-0000-0000-0000ADA20000}"/>
    <cellStyle name="Percent 33 4 2 2 2 2 3 2" xfId="42330" xr:uid="{00000000-0005-0000-0000-0000AEA20000}"/>
    <cellStyle name="Percent 33 4 2 2 2 2 4" xfId="30025" xr:uid="{00000000-0005-0000-0000-0000AFA20000}"/>
    <cellStyle name="Percent 33 4 2 2 2 3" xfId="13192" xr:uid="{00000000-0005-0000-0000-0000B0A20000}"/>
    <cellStyle name="Percent 33 4 2 2 2 3 2" xfId="33112" xr:uid="{00000000-0005-0000-0000-0000B1A20000}"/>
    <cellStyle name="Percent 33 4 2 2 2 4" xfId="19344" xr:uid="{00000000-0005-0000-0000-0000B2A20000}"/>
    <cellStyle name="Percent 33 4 2 2 2 4 2" xfId="39264" xr:uid="{00000000-0005-0000-0000-0000B3A20000}"/>
    <cellStyle name="Percent 33 4 2 2 2 5" xfId="26959" xr:uid="{00000000-0005-0000-0000-0000B4A20000}"/>
    <cellStyle name="Percent 33 4 2 2 3" xfId="8530" xr:uid="{00000000-0005-0000-0000-0000B5A20000}"/>
    <cellStyle name="Percent 33 4 2 2 3 2" xfId="14724" xr:uid="{00000000-0005-0000-0000-0000B6A20000}"/>
    <cellStyle name="Percent 33 4 2 2 3 2 2" xfId="34644" xr:uid="{00000000-0005-0000-0000-0000B7A20000}"/>
    <cellStyle name="Percent 33 4 2 2 3 3" xfId="20876" xr:uid="{00000000-0005-0000-0000-0000B8A20000}"/>
    <cellStyle name="Percent 33 4 2 2 3 3 2" xfId="40796" xr:uid="{00000000-0005-0000-0000-0000B9A20000}"/>
    <cellStyle name="Percent 33 4 2 2 3 4" xfId="28491" xr:uid="{00000000-0005-0000-0000-0000BAA20000}"/>
    <cellStyle name="Percent 33 4 2 2 4" xfId="11658" xr:uid="{00000000-0005-0000-0000-0000BBA20000}"/>
    <cellStyle name="Percent 33 4 2 2 4 2" xfId="31578" xr:uid="{00000000-0005-0000-0000-0000BCA20000}"/>
    <cellStyle name="Percent 33 4 2 2 5" xfId="17810" xr:uid="{00000000-0005-0000-0000-0000BDA20000}"/>
    <cellStyle name="Percent 33 4 2 2 5 2" xfId="37730" xr:uid="{00000000-0005-0000-0000-0000BEA20000}"/>
    <cellStyle name="Percent 33 4 2 2 6" xfId="25425" xr:uid="{00000000-0005-0000-0000-0000BFA20000}"/>
    <cellStyle name="Percent 33 4 2 3" xfId="6208" xr:uid="{00000000-0005-0000-0000-0000C0A20000}"/>
    <cellStyle name="Percent 33 4 2 3 2" xfId="9296" xr:uid="{00000000-0005-0000-0000-0000C1A20000}"/>
    <cellStyle name="Percent 33 4 2 3 2 2" xfId="15489" xr:uid="{00000000-0005-0000-0000-0000C2A20000}"/>
    <cellStyle name="Percent 33 4 2 3 2 2 2" xfId="35409" xr:uid="{00000000-0005-0000-0000-0000C3A20000}"/>
    <cellStyle name="Percent 33 4 2 3 2 3" xfId="21641" xr:uid="{00000000-0005-0000-0000-0000C4A20000}"/>
    <cellStyle name="Percent 33 4 2 3 2 3 2" xfId="41561" xr:uid="{00000000-0005-0000-0000-0000C5A20000}"/>
    <cellStyle name="Percent 33 4 2 3 2 4" xfId="29256" xr:uid="{00000000-0005-0000-0000-0000C6A20000}"/>
    <cellStyle name="Percent 33 4 2 3 3" xfId="12423" xr:uid="{00000000-0005-0000-0000-0000C7A20000}"/>
    <cellStyle name="Percent 33 4 2 3 3 2" xfId="32343" xr:uid="{00000000-0005-0000-0000-0000C8A20000}"/>
    <cellStyle name="Percent 33 4 2 3 4" xfId="18575" xr:uid="{00000000-0005-0000-0000-0000C9A20000}"/>
    <cellStyle name="Percent 33 4 2 3 4 2" xfId="38495" xr:uid="{00000000-0005-0000-0000-0000CAA20000}"/>
    <cellStyle name="Percent 33 4 2 3 5" xfId="26190" xr:uid="{00000000-0005-0000-0000-0000CBA20000}"/>
    <cellStyle name="Percent 33 4 2 4" xfId="7761" xr:uid="{00000000-0005-0000-0000-0000CCA20000}"/>
    <cellStyle name="Percent 33 4 2 4 2" xfId="13955" xr:uid="{00000000-0005-0000-0000-0000CDA20000}"/>
    <cellStyle name="Percent 33 4 2 4 2 2" xfId="33875" xr:uid="{00000000-0005-0000-0000-0000CEA20000}"/>
    <cellStyle name="Percent 33 4 2 4 3" xfId="20107" xr:uid="{00000000-0005-0000-0000-0000CFA20000}"/>
    <cellStyle name="Percent 33 4 2 4 3 2" xfId="40027" xr:uid="{00000000-0005-0000-0000-0000D0A20000}"/>
    <cellStyle name="Percent 33 4 2 4 4" xfId="27722" xr:uid="{00000000-0005-0000-0000-0000D1A20000}"/>
    <cellStyle name="Percent 33 4 2 5" xfId="10889" xr:uid="{00000000-0005-0000-0000-0000D2A20000}"/>
    <cellStyle name="Percent 33 4 2 5 2" xfId="30809" xr:uid="{00000000-0005-0000-0000-0000D3A20000}"/>
    <cellStyle name="Percent 33 4 2 6" xfId="17041" xr:uid="{00000000-0005-0000-0000-0000D4A20000}"/>
    <cellStyle name="Percent 33 4 2 6 2" xfId="36961" xr:uid="{00000000-0005-0000-0000-0000D5A20000}"/>
    <cellStyle name="Percent 33 4 2 7" xfId="24656" xr:uid="{00000000-0005-0000-0000-0000D6A20000}"/>
    <cellStyle name="Percent 33 5" xfId="4328" xr:uid="{00000000-0005-0000-0000-0000D7A20000}"/>
    <cellStyle name="Percent 33 5 2" xfId="5355" xr:uid="{00000000-0005-0000-0000-0000D8A20000}"/>
    <cellStyle name="Percent 33 5 2 2" xfId="6980" xr:uid="{00000000-0005-0000-0000-0000D9A20000}"/>
    <cellStyle name="Percent 33 5 2 2 2" xfId="10066" xr:uid="{00000000-0005-0000-0000-0000DAA20000}"/>
    <cellStyle name="Percent 33 5 2 2 2 2" xfId="16259" xr:uid="{00000000-0005-0000-0000-0000DBA20000}"/>
    <cellStyle name="Percent 33 5 2 2 2 2 2" xfId="36179" xr:uid="{00000000-0005-0000-0000-0000DCA20000}"/>
    <cellStyle name="Percent 33 5 2 2 2 3" xfId="22411" xr:uid="{00000000-0005-0000-0000-0000DDA20000}"/>
    <cellStyle name="Percent 33 5 2 2 2 3 2" xfId="42331" xr:uid="{00000000-0005-0000-0000-0000DEA20000}"/>
    <cellStyle name="Percent 33 5 2 2 2 4" xfId="30026" xr:uid="{00000000-0005-0000-0000-0000DFA20000}"/>
    <cellStyle name="Percent 33 5 2 2 3" xfId="13193" xr:uid="{00000000-0005-0000-0000-0000E0A20000}"/>
    <cellStyle name="Percent 33 5 2 2 3 2" xfId="33113" xr:uid="{00000000-0005-0000-0000-0000E1A20000}"/>
    <cellStyle name="Percent 33 5 2 2 4" xfId="19345" xr:uid="{00000000-0005-0000-0000-0000E2A20000}"/>
    <cellStyle name="Percent 33 5 2 2 4 2" xfId="39265" xr:uid="{00000000-0005-0000-0000-0000E3A20000}"/>
    <cellStyle name="Percent 33 5 2 2 5" xfId="26960" xr:uid="{00000000-0005-0000-0000-0000E4A20000}"/>
    <cellStyle name="Percent 33 5 2 3" xfId="8531" xr:uid="{00000000-0005-0000-0000-0000E5A20000}"/>
    <cellStyle name="Percent 33 5 2 3 2" xfId="14725" xr:uid="{00000000-0005-0000-0000-0000E6A20000}"/>
    <cellStyle name="Percent 33 5 2 3 2 2" xfId="34645" xr:uid="{00000000-0005-0000-0000-0000E7A20000}"/>
    <cellStyle name="Percent 33 5 2 3 3" xfId="20877" xr:uid="{00000000-0005-0000-0000-0000E8A20000}"/>
    <cellStyle name="Percent 33 5 2 3 3 2" xfId="40797" xr:uid="{00000000-0005-0000-0000-0000E9A20000}"/>
    <cellStyle name="Percent 33 5 2 3 4" xfId="28492" xr:uid="{00000000-0005-0000-0000-0000EAA20000}"/>
    <cellStyle name="Percent 33 5 2 4" xfId="11659" xr:uid="{00000000-0005-0000-0000-0000EBA20000}"/>
    <cellStyle name="Percent 33 5 2 4 2" xfId="31579" xr:uid="{00000000-0005-0000-0000-0000ECA20000}"/>
    <cellStyle name="Percent 33 5 2 5" xfId="17811" xr:uid="{00000000-0005-0000-0000-0000EDA20000}"/>
    <cellStyle name="Percent 33 5 2 5 2" xfId="37731" xr:uid="{00000000-0005-0000-0000-0000EEA20000}"/>
    <cellStyle name="Percent 33 5 2 6" xfId="25426" xr:uid="{00000000-0005-0000-0000-0000EFA20000}"/>
    <cellStyle name="Percent 33 5 3" xfId="6209" xr:uid="{00000000-0005-0000-0000-0000F0A20000}"/>
    <cellStyle name="Percent 33 5 3 2" xfId="9297" xr:uid="{00000000-0005-0000-0000-0000F1A20000}"/>
    <cellStyle name="Percent 33 5 3 2 2" xfId="15490" xr:uid="{00000000-0005-0000-0000-0000F2A20000}"/>
    <cellStyle name="Percent 33 5 3 2 2 2" xfId="35410" xr:uid="{00000000-0005-0000-0000-0000F3A20000}"/>
    <cellStyle name="Percent 33 5 3 2 3" xfId="21642" xr:uid="{00000000-0005-0000-0000-0000F4A20000}"/>
    <cellStyle name="Percent 33 5 3 2 3 2" xfId="41562" xr:uid="{00000000-0005-0000-0000-0000F5A20000}"/>
    <cellStyle name="Percent 33 5 3 2 4" xfId="29257" xr:uid="{00000000-0005-0000-0000-0000F6A20000}"/>
    <cellStyle name="Percent 33 5 3 3" xfId="12424" xr:uid="{00000000-0005-0000-0000-0000F7A20000}"/>
    <cellStyle name="Percent 33 5 3 3 2" xfId="32344" xr:uid="{00000000-0005-0000-0000-0000F8A20000}"/>
    <cellStyle name="Percent 33 5 3 4" xfId="18576" xr:uid="{00000000-0005-0000-0000-0000F9A20000}"/>
    <cellStyle name="Percent 33 5 3 4 2" xfId="38496" xr:uid="{00000000-0005-0000-0000-0000FAA20000}"/>
    <cellStyle name="Percent 33 5 3 5" xfId="26191" xr:uid="{00000000-0005-0000-0000-0000FBA20000}"/>
    <cellStyle name="Percent 33 5 4" xfId="7762" xr:uid="{00000000-0005-0000-0000-0000FCA20000}"/>
    <cellStyle name="Percent 33 5 4 2" xfId="13956" xr:uid="{00000000-0005-0000-0000-0000FDA20000}"/>
    <cellStyle name="Percent 33 5 4 2 2" xfId="33876" xr:uid="{00000000-0005-0000-0000-0000FEA20000}"/>
    <cellStyle name="Percent 33 5 4 3" xfId="20108" xr:uid="{00000000-0005-0000-0000-0000FFA20000}"/>
    <cellStyle name="Percent 33 5 4 3 2" xfId="40028" xr:uid="{00000000-0005-0000-0000-000000A30000}"/>
    <cellStyle name="Percent 33 5 4 4" xfId="27723" xr:uid="{00000000-0005-0000-0000-000001A30000}"/>
    <cellStyle name="Percent 33 5 5" xfId="10890" xr:uid="{00000000-0005-0000-0000-000002A30000}"/>
    <cellStyle name="Percent 33 5 5 2" xfId="30810" xr:uid="{00000000-0005-0000-0000-000003A30000}"/>
    <cellStyle name="Percent 33 5 6" xfId="17042" xr:uid="{00000000-0005-0000-0000-000004A30000}"/>
    <cellStyle name="Percent 33 5 6 2" xfId="36962" xr:uid="{00000000-0005-0000-0000-000005A30000}"/>
    <cellStyle name="Percent 33 5 7" xfId="24657" xr:uid="{00000000-0005-0000-0000-000006A30000}"/>
    <cellStyle name="Percent 34" xfId="4329" xr:uid="{00000000-0005-0000-0000-000007A30000}"/>
    <cellStyle name="Percent 34 2" xfId="4330" xr:uid="{00000000-0005-0000-0000-000008A30000}"/>
    <cellStyle name="Percent 34 2 2" xfId="4331" xr:uid="{00000000-0005-0000-0000-000009A30000}"/>
    <cellStyle name="Percent 34 2 2 2" xfId="5357" xr:uid="{00000000-0005-0000-0000-00000AA30000}"/>
    <cellStyle name="Percent 34 2 2 2 2" xfId="6982" xr:uid="{00000000-0005-0000-0000-00000BA30000}"/>
    <cellStyle name="Percent 34 2 2 2 2 2" xfId="10068" xr:uid="{00000000-0005-0000-0000-00000CA30000}"/>
    <cellStyle name="Percent 34 2 2 2 2 2 2" xfId="16261" xr:uid="{00000000-0005-0000-0000-00000DA30000}"/>
    <cellStyle name="Percent 34 2 2 2 2 2 2 2" xfId="36181" xr:uid="{00000000-0005-0000-0000-00000EA30000}"/>
    <cellStyle name="Percent 34 2 2 2 2 2 3" xfId="22413" xr:uid="{00000000-0005-0000-0000-00000FA30000}"/>
    <cellStyle name="Percent 34 2 2 2 2 2 3 2" xfId="42333" xr:uid="{00000000-0005-0000-0000-000010A30000}"/>
    <cellStyle name="Percent 34 2 2 2 2 2 4" xfId="30028" xr:uid="{00000000-0005-0000-0000-000011A30000}"/>
    <cellStyle name="Percent 34 2 2 2 2 3" xfId="13195" xr:uid="{00000000-0005-0000-0000-000012A30000}"/>
    <cellStyle name="Percent 34 2 2 2 2 3 2" xfId="33115" xr:uid="{00000000-0005-0000-0000-000013A30000}"/>
    <cellStyle name="Percent 34 2 2 2 2 4" xfId="19347" xr:uid="{00000000-0005-0000-0000-000014A30000}"/>
    <cellStyle name="Percent 34 2 2 2 2 4 2" xfId="39267" xr:uid="{00000000-0005-0000-0000-000015A30000}"/>
    <cellStyle name="Percent 34 2 2 2 2 5" xfId="26962" xr:uid="{00000000-0005-0000-0000-000016A30000}"/>
    <cellStyle name="Percent 34 2 2 2 3" xfId="8533" xr:uid="{00000000-0005-0000-0000-000017A30000}"/>
    <cellStyle name="Percent 34 2 2 2 3 2" xfId="14727" xr:uid="{00000000-0005-0000-0000-000018A30000}"/>
    <cellStyle name="Percent 34 2 2 2 3 2 2" xfId="34647" xr:uid="{00000000-0005-0000-0000-000019A30000}"/>
    <cellStyle name="Percent 34 2 2 2 3 3" xfId="20879" xr:uid="{00000000-0005-0000-0000-00001AA30000}"/>
    <cellStyle name="Percent 34 2 2 2 3 3 2" xfId="40799" xr:uid="{00000000-0005-0000-0000-00001BA30000}"/>
    <cellStyle name="Percent 34 2 2 2 3 4" xfId="28494" xr:uid="{00000000-0005-0000-0000-00001CA30000}"/>
    <cellStyle name="Percent 34 2 2 2 4" xfId="11661" xr:uid="{00000000-0005-0000-0000-00001DA30000}"/>
    <cellStyle name="Percent 34 2 2 2 4 2" xfId="31581" xr:uid="{00000000-0005-0000-0000-00001EA30000}"/>
    <cellStyle name="Percent 34 2 2 2 5" xfId="17813" xr:uid="{00000000-0005-0000-0000-00001FA30000}"/>
    <cellStyle name="Percent 34 2 2 2 5 2" xfId="37733" xr:uid="{00000000-0005-0000-0000-000020A30000}"/>
    <cellStyle name="Percent 34 2 2 2 6" xfId="25428" xr:uid="{00000000-0005-0000-0000-000021A30000}"/>
    <cellStyle name="Percent 34 2 2 3" xfId="6212" xr:uid="{00000000-0005-0000-0000-000022A30000}"/>
    <cellStyle name="Percent 34 2 2 3 2" xfId="9299" xr:uid="{00000000-0005-0000-0000-000023A30000}"/>
    <cellStyle name="Percent 34 2 2 3 2 2" xfId="15492" xr:uid="{00000000-0005-0000-0000-000024A30000}"/>
    <cellStyle name="Percent 34 2 2 3 2 2 2" xfId="35412" xr:uid="{00000000-0005-0000-0000-000025A30000}"/>
    <cellStyle name="Percent 34 2 2 3 2 3" xfId="21644" xr:uid="{00000000-0005-0000-0000-000026A30000}"/>
    <cellStyle name="Percent 34 2 2 3 2 3 2" xfId="41564" xr:uid="{00000000-0005-0000-0000-000027A30000}"/>
    <cellStyle name="Percent 34 2 2 3 2 4" xfId="29259" xr:uid="{00000000-0005-0000-0000-000028A30000}"/>
    <cellStyle name="Percent 34 2 2 3 3" xfId="12426" xr:uid="{00000000-0005-0000-0000-000029A30000}"/>
    <cellStyle name="Percent 34 2 2 3 3 2" xfId="32346" xr:uid="{00000000-0005-0000-0000-00002AA30000}"/>
    <cellStyle name="Percent 34 2 2 3 4" xfId="18578" xr:uid="{00000000-0005-0000-0000-00002BA30000}"/>
    <cellStyle name="Percent 34 2 2 3 4 2" xfId="38498" xr:uid="{00000000-0005-0000-0000-00002CA30000}"/>
    <cellStyle name="Percent 34 2 2 3 5" xfId="26193" xr:uid="{00000000-0005-0000-0000-00002DA30000}"/>
    <cellStyle name="Percent 34 2 2 4" xfId="7764" xr:uid="{00000000-0005-0000-0000-00002EA30000}"/>
    <cellStyle name="Percent 34 2 2 4 2" xfId="13958" xr:uid="{00000000-0005-0000-0000-00002FA30000}"/>
    <cellStyle name="Percent 34 2 2 4 2 2" xfId="33878" xr:uid="{00000000-0005-0000-0000-000030A30000}"/>
    <cellStyle name="Percent 34 2 2 4 3" xfId="20110" xr:uid="{00000000-0005-0000-0000-000031A30000}"/>
    <cellStyle name="Percent 34 2 2 4 3 2" xfId="40030" xr:uid="{00000000-0005-0000-0000-000032A30000}"/>
    <cellStyle name="Percent 34 2 2 4 4" xfId="27725" xr:uid="{00000000-0005-0000-0000-000033A30000}"/>
    <cellStyle name="Percent 34 2 2 5" xfId="10892" xr:uid="{00000000-0005-0000-0000-000034A30000}"/>
    <cellStyle name="Percent 34 2 2 5 2" xfId="30812" xr:uid="{00000000-0005-0000-0000-000035A30000}"/>
    <cellStyle name="Percent 34 2 2 6" xfId="17044" xr:uid="{00000000-0005-0000-0000-000036A30000}"/>
    <cellStyle name="Percent 34 2 2 6 2" xfId="36964" xr:uid="{00000000-0005-0000-0000-000037A30000}"/>
    <cellStyle name="Percent 34 2 2 7" xfId="24659" xr:uid="{00000000-0005-0000-0000-000038A30000}"/>
    <cellStyle name="Percent 34 2 3" xfId="5356" xr:uid="{00000000-0005-0000-0000-000039A30000}"/>
    <cellStyle name="Percent 34 2 3 2" xfId="6981" xr:uid="{00000000-0005-0000-0000-00003AA30000}"/>
    <cellStyle name="Percent 34 2 3 2 2" xfId="10067" xr:uid="{00000000-0005-0000-0000-00003BA30000}"/>
    <cellStyle name="Percent 34 2 3 2 2 2" xfId="16260" xr:uid="{00000000-0005-0000-0000-00003CA30000}"/>
    <cellStyle name="Percent 34 2 3 2 2 2 2" xfId="36180" xr:uid="{00000000-0005-0000-0000-00003DA30000}"/>
    <cellStyle name="Percent 34 2 3 2 2 3" xfId="22412" xr:uid="{00000000-0005-0000-0000-00003EA30000}"/>
    <cellStyle name="Percent 34 2 3 2 2 3 2" xfId="42332" xr:uid="{00000000-0005-0000-0000-00003FA30000}"/>
    <cellStyle name="Percent 34 2 3 2 2 4" xfId="30027" xr:uid="{00000000-0005-0000-0000-000040A30000}"/>
    <cellStyle name="Percent 34 2 3 2 3" xfId="13194" xr:uid="{00000000-0005-0000-0000-000041A30000}"/>
    <cellStyle name="Percent 34 2 3 2 3 2" xfId="33114" xr:uid="{00000000-0005-0000-0000-000042A30000}"/>
    <cellStyle name="Percent 34 2 3 2 4" xfId="19346" xr:uid="{00000000-0005-0000-0000-000043A30000}"/>
    <cellStyle name="Percent 34 2 3 2 4 2" xfId="39266" xr:uid="{00000000-0005-0000-0000-000044A30000}"/>
    <cellStyle name="Percent 34 2 3 2 5" xfId="26961" xr:uid="{00000000-0005-0000-0000-000045A30000}"/>
    <cellStyle name="Percent 34 2 3 3" xfId="8532" xr:uid="{00000000-0005-0000-0000-000046A30000}"/>
    <cellStyle name="Percent 34 2 3 3 2" xfId="14726" xr:uid="{00000000-0005-0000-0000-000047A30000}"/>
    <cellStyle name="Percent 34 2 3 3 2 2" xfId="34646" xr:uid="{00000000-0005-0000-0000-000048A30000}"/>
    <cellStyle name="Percent 34 2 3 3 3" xfId="20878" xr:uid="{00000000-0005-0000-0000-000049A30000}"/>
    <cellStyle name="Percent 34 2 3 3 3 2" xfId="40798" xr:uid="{00000000-0005-0000-0000-00004AA30000}"/>
    <cellStyle name="Percent 34 2 3 3 4" xfId="28493" xr:uid="{00000000-0005-0000-0000-00004BA30000}"/>
    <cellStyle name="Percent 34 2 3 4" xfId="11660" xr:uid="{00000000-0005-0000-0000-00004CA30000}"/>
    <cellStyle name="Percent 34 2 3 4 2" xfId="31580" xr:uid="{00000000-0005-0000-0000-00004DA30000}"/>
    <cellStyle name="Percent 34 2 3 5" xfId="17812" xr:uid="{00000000-0005-0000-0000-00004EA30000}"/>
    <cellStyle name="Percent 34 2 3 5 2" xfId="37732" xr:uid="{00000000-0005-0000-0000-00004FA30000}"/>
    <cellStyle name="Percent 34 2 3 6" xfId="25427" xr:uid="{00000000-0005-0000-0000-000050A30000}"/>
    <cellStyle name="Percent 34 2 4" xfId="6211" xr:uid="{00000000-0005-0000-0000-000051A30000}"/>
    <cellStyle name="Percent 34 2 4 2" xfId="9298" xr:uid="{00000000-0005-0000-0000-000052A30000}"/>
    <cellStyle name="Percent 34 2 4 2 2" xfId="15491" xr:uid="{00000000-0005-0000-0000-000053A30000}"/>
    <cellStyle name="Percent 34 2 4 2 2 2" xfId="35411" xr:uid="{00000000-0005-0000-0000-000054A30000}"/>
    <cellStyle name="Percent 34 2 4 2 3" xfId="21643" xr:uid="{00000000-0005-0000-0000-000055A30000}"/>
    <cellStyle name="Percent 34 2 4 2 3 2" xfId="41563" xr:uid="{00000000-0005-0000-0000-000056A30000}"/>
    <cellStyle name="Percent 34 2 4 2 4" xfId="29258" xr:uid="{00000000-0005-0000-0000-000057A30000}"/>
    <cellStyle name="Percent 34 2 4 3" xfId="12425" xr:uid="{00000000-0005-0000-0000-000058A30000}"/>
    <cellStyle name="Percent 34 2 4 3 2" xfId="32345" xr:uid="{00000000-0005-0000-0000-000059A30000}"/>
    <cellStyle name="Percent 34 2 4 4" xfId="18577" xr:uid="{00000000-0005-0000-0000-00005AA30000}"/>
    <cellStyle name="Percent 34 2 4 4 2" xfId="38497" xr:uid="{00000000-0005-0000-0000-00005BA30000}"/>
    <cellStyle name="Percent 34 2 4 5" xfId="26192" xr:uid="{00000000-0005-0000-0000-00005CA30000}"/>
    <cellStyle name="Percent 34 2 5" xfId="7763" xr:uid="{00000000-0005-0000-0000-00005DA30000}"/>
    <cellStyle name="Percent 34 2 5 2" xfId="13957" xr:uid="{00000000-0005-0000-0000-00005EA30000}"/>
    <cellStyle name="Percent 34 2 5 2 2" xfId="33877" xr:uid="{00000000-0005-0000-0000-00005FA30000}"/>
    <cellStyle name="Percent 34 2 5 3" xfId="20109" xr:uid="{00000000-0005-0000-0000-000060A30000}"/>
    <cellStyle name="Percent 34 2 5 3 2" xfId="40029" xr:uid="{00000000-0005-0000-0000-000061A30000}"/>
    <cellStyle name="Percent 34 2 5 4" xfId="27724" xr:uid="{00000000-0005-0000-0000-000062A30000}"/>
    <cellStyle name="Percent 34 2 6" xfId="10891" xr:uid="{00000000-0005-0000-0000-000063A30000}"/>
    <cellStyle name="Percent 34 2 6 2" xfId="30811" xr:uid="{00000000-0005-0000-0000-000064A30000}"/>
    <cellStyle name="Percent 34 2 7" xfId="17043" xr:uid="{00000000-0005-0000-0000-000065A30000}"/>
    <cellStyle name="Percent 34 2 7 2" xfId="36963" xr:uid="{00000000-0005-0000-0000-000066A30000}"/>
    <cellStyle name="Percent 34 2 8" xfId="24658" xr:uid="{00000000-0005-0000-0000-000067A30000}"/>
    <cellStyle name="Percent 34 3" xfId="4332" xr:uid="{00000000-0005-0000-0000-000068A30000}"/>
    <cellStyle name="Percent 34 3 2" xfId="4333" xr:uid="{00000000-0005-0000-0000-000069A30000}"/>
    <cellStyle name="Percent 34 3 2 2" xfId="5359" xr:uid="{00000000-0005-0000-0000-00006AA30000}"/>
    <cellStyle name="Percent 34 3 2 2 2" xfId="6984" xr:uid="{00000000-0005-0000-0000-00006BA30000}"/>
    <cellStyle name="Percent 34 3 2 2 2 2" xfId="10070" xr:uid="{00000000-0005-0000-0000-00006CA30000}"/>
    <cellStyle name="Percent 34 3 2 2 2 2 2" xfId="16263" xr:uid="{00000000-0005-0000-0000-00006DA30000}"/>
    <cellStyle name="Percent 34 3 2 2 2 2 2 2" xfId="36183" xr:uid="{00000000-0005-0000-0000-00006EA30000}"/>
    <cellStyle name="Percent 34 3 2 2 2 2 3" xfId="22415" xr:uid="{00000000-0005-0000-0000-00006FA30000}"/>
    <cellStyle name="Percent 34 3 2 2 2 2 3 2" xfId="42335" xr:uid="{00000000-0005-0000-0000-000070A30000}"/>
    <cellStyle name="Percent 34 3 2 2 2 2 4" xfId="30030" xr:uid="{00000000-0005-0000-0000-000071A30000}"/>
    <cellStyle name="Percent 34 3 2 2 2 3" xfId="13197" xr:uid="{00000000-0005-0000-0000-000072A30000}"/>
    <cellStyle name="Percent 34 3 2 2 2 3 2" xfId="33117" xr:uid="{00000000-0005-0000-0000-000073A30000}"/>
    <cellStyle name="Percent 34 3 2 2 2 4" xfId="19349" xr:uid="{00000000-0005-0000-0000-000074A30000}"/>
    <cellStyle name="Percent 34 3 2 2 2 4 2" xfId="39269" xr:uid="{00000000-0005-0000-0000-000075A30000}"/>
    <cellStyle name="Percent 34 3 2 2 2 5" xfId="26964" xr:uid="{00000000-0005-0000-0000-000076A30000}"/>
    <cellStyle name="Percent 34 3 2 2 3" xfId="8535" xr:uid="{00000000-0005-0000-0000-000077A30000}"/>
    <cellStyle name="Percent 34 3 2 2 3 2" xfId="14729" xr:uid="{00000000-0005-0000-0000-000078A30000}"/>
    <cellStyle name="Percent 34 3 2 2 3 2 2" xfId="34649" xr:uid="{00000000-0005-0000-0000-000079A30000}"/>
    <cellStyle name="Percent 34 3 2 2 3 3" xfId="20881" xr:uid="{00000000-0005-0000-0000-00007AA30000}"/>
    <cellStyle name="Percent 34 3 2 2 3 3 2" xfId="40801" xr:uid="{00000000-0005-0000-0000-00007BA30000}"/>
    <cellStyle name="Percent 34 3 2 2 3 4" xfId="28496" xr:uid="{00000000-0005-0000-0000-00007CA30000}"/>
    <cellStyle name="Percent 34 3 2 2 4" xfId="11663" xr:uid="{00000000-0005-0000-0000-00007DA30000}"/>
    <cellStyle name="Percent 34 3 2 2 4 2" xfId="31583" xr:uid="{00000000-0005-0000-0000-00007EA30000}"/>
    <cellStyle name="Percent 34 3 2 2 5" xfId="17815" xr:uid="{00000000-0005-0000-0000-00007FA30000}"/>
    <cellStyle name="Percent 34 3 2 2 5 2" xfId="37735" xr:uid="{00000000-0005-0000-0000-000080A30000}"/>
    <cellStyle name="Percent 34 3 2 2 6" xfId="25430" xr:uid="{00000000-0005-0000-0000-000081A30000}"/>
    <cellStyle name="Percent 34 3 2 3" xfId="6214" xr:uid="{00000000-0005-0000-0000-000082A30000}"/>
    <cellStyle name="Percent 34 3 2 3 2" xfId="9301" xr:uid="{00000000-0005-0000-0000-000083A30000}"/>
    <cellStyle name="Percent 34 3 2 3 2 2" xfId="15494" xr:uid="{00000000-0005-0000-0000-000084A30000}"/>
    <cellStyle name="Percent 34 3 2 3 2 2 2" xfId="35414" xr:uid="{00000000-0005-0000-0000-000085A30000}"/>
    <cellStyle name="Percent 34 3 2 3 2 3" xfId="21646" xr:uid="{00000000-0005-0000-0000-000086A30000}"/>
    <cellStyle name="Percent 34 3 2 3 2 3 2" xfId="41566" xr:uid="{00000000-0005-0000-0000-000087A30000}"/>
    <cellStyle name="Percent 34 3 2 3 2 4" xfId="29261" xr:uid="{00000000-0005-0000-0000-000088A30000}"/>
    <cellStyle name="Percent 34 3 2 3 3" xfId="12428" xr:uid="{00000000-0005-0000-0000-000089A30000}"/>
    <cellStyle name="Percent 34 3 2 3 3 2" xfId="32348" xr:uid="{00000000-0005-0000-0000-00008AA30000}"/>
    <cellStyle name="Percent 34 3 2 3 4" xfId="18580" xr:uid="{00000000-0005-0000-0000-00008BA30000}"/>
    <cellStyle name="Percent 34 3 2 3 4 2" xfId="38500" xr:uid="{00000000-0005-0000-0000-00008CA30000}"/>
    <cellStyle name="Percent 34 3 2 3 5" xfId="26195" xr:uid="{00000000-0005-0000-0000-00008DA30000}"/>
    <cellStyle name="Percent 34 3 2 4" xfId="7766" xr:uid="{00000000-0005-0000-0000-00008EA30000}"/>
    <cellStyle name="Percent 34 3 2 4 2" xfId="13960" xr:uid="{00000000-0005-0000-0000-00008FA30000}"/>
    <cellStyle name="Percent 34 3 2 4 2 2" xfId="33880" xr:uid="{00000000-0005-0000-0000-000090A30000}"/>
    <cellStyle name="Percent 34 3 2 4 3" xfId="20112" xr:uid="{00000000-0005-0000-0000-000091A30000}"/>
    <cellStyle name="Percent 34 3 2 4 3 2" xfId="40032" xr:uid="{00000000-0005-0000-0000-000092A30000}"/>
    <cellStyle name="Percent 34 3 2 4 4" xfId="27727" xr:uid="{00000000-0005-0000-0000-000093A30000}"/>
    <cellStyle name="Percent 34 3 2 5" xfId="10894" xr:uid="{00000000-0005-0000-0000-000094A30000}"/>
    <cellStyle name="Percent 34 3 2 5 2" xfId="30814" xr:uid="{00000000-0005-0000-0000-000095A30000}"/>
    <cellStyle name="Percent 34 3 2 6" xfId="17046" xr:uid="{00000000-0005-0000-0000-000096A30000}"/>
    <cellStyle name="Percent 34 3 2 6 2" xfId="36966" xr:uid="{00000000-0005-0000-0000-000097A30000}"/>
    <cellStyle name="Percent 34 3 2 7" xfId="24661" xr:uid="{00000000-0005-0000-0000-000098A30000}"/>
    <cellStyle name="Percent 34 3 3" xfId="5358" xr:uid="{00000000-0005-0000-0000-000099A30000}"/>
    <cellStyle name="Percent 34 3 3 2" xfId="6983" xr:uid="{00000000-0005-0000-0000-00009AA30000}"/>
    <cellStyle name="Percent 34 3 3 2 2" xfId="10069" xr:uid="{00000000-0005-0000-0000-00009BA30000}"/>
    <cellStyle name="Percent 34 3 3 2 2 2" xfId="16262" xr:uid="{00000000-0005-0000-0000-00009CA30000}"/>
    <cellStyle name="Percent 34 3 3 2 2 2 2" xfId="36182" xr:uid="{00000000-0005-0000-0000-00009DA30000}"/>
    <cellStyle name="Percent 34 3 3 2 2 3" xfId="22414" xr:uid="{00000000-0005-0000-0000-00009EA30000}"/>
    <cellStyle name="Percent 34 3 3 2 2 3 2" xfId="42334" xr:uid="{00000000-0005-0000-0000-00009FA30000}"/>
    <cellStyle name="Percent 34 3 3 2 2 4" xfId="30029" xr:uid="{00000000-0005-0000-0000-0000A0A30000}"/>
    <cellStyle name="Percent 34 3 3 2 3" xfId="13196" xr:uid="{00000000-0005-0000-0000-0000A1A30000}"/>
    <cellStyle name="Percent 34 3 3 2 3 2" xfId="33116" xr:uid="{00000000-0005-0000-0000-0000A2A30000}"/>
    <cellStyle name="Percent 34 3 3 2 4" xfId="19348" xr:uid="{00000000-0005-0000-0000-0000A3A30000}"/>
    <cellStyle name="Percent 34 3 3 2 4 2" xfId="39268" xr:uid="{00000000-0005-0000-0000-0000A4A30000}"/>
    <cellStyle name="Percent 34 3 3 2 5" xfId="26963" xr:uid="{00000000-0005-0000-0000-0000A5A30000}"/>
    <cellStyle name="Percent 34 3 3 3" xfId="8534" xr:uid="{00000000-0005-0000-0000-0000A6A30000}"/>
    <cellStyle name="Percent 34 3 3 3 2" xfId="14728" xr:uid="{00000000-0005-0000-0000-0000A7A30000}"/>
    <cellStyle name="Percent 34 3 3 3 2 2" xfId="34648" xr:uid="{00000000-0005-0000-0000-0000A8A30000}"/>
    <cellStyle name="Percent 34 3 3 3 3" xfId="20880" xr:uid="{00000000-0005-0000-0000-0000A9A30000}"/>
    <cellStyle name="Percent 34 3 3 3 3 2" xfId="40800" xr:uid="{00000000-0005-0000-0000-0000AAA30000}"/>
    <cellStyle name="Percent 34 3 3 3 4" xfId="28495" xr:uid="{00000000-0005-0000-0000-0000ABA30000}"/>
    <cellStyle name="Percent 34 3 3 4" xfId="11662" xr:uid="{00000000-0005-0000-0000-0000ACA30000}"/>
    <cellStyle name="Percent 34 3 3 4 2" xfId="31582" xr:uid="{00000000-0005-0000-0000-0000ADA30000}"/>
    <cellStyle name="Percent 34 3 3 5" xfId="17814" xr:uid="{00000000-0005-0000-0000-0000AEA30000}"/>
    <cellStyle name="Percent 34 3 3 5 2" xfId="37734" xr:uid="{00000000-0005-0000-0000-0000AFA30000}"/>
    <cellStyle name="Percent 34 3 3 6" xfId="25429" xr:uid="{00000000-0005-0000-0000-0000B0A30000}"/>
    <cellStyle name="Percent 34 3 4" xfId="6213" xr:uid="{00000000-0005-0000-0000-0000B1A30000}"/>
    <cellStyle name="Percent 34 3 4 2" xfId="9300" xr:uid="{00000000-0005-0000-0000-0000B2A30000}"/>
    <cellStyle name="Percent 34 3 4 2 2" xfId="15493" xr:uid="{00000000-0005-0000-0000-0000B3A30000}"/>
    <cellStyle name="Percent 34 3 4 2 2 2" xfId="35413" xr:uid="{00000000-0005-0000-0000-0000B4A30000}"/>
    <cellStyle name="Percent 34 3 4 2 3" xfId="21645" xr:uid="{00000000-0005-0000-0000-0000B5A30000}"/>
    <cellStyle name="Percent 34 3 4 2 3 2" xfId="41565" xr:uid="{00000000-0005-0000-0000-0000B6A30000}"/>
    <cellStyle name="Percent 34 3 4 2 4" xfId="29260" xr:uid="{00000000-0005-0000-0000-0000B7A30000}"/>
    <cellStyle name="Percent 34 3 4 3" xfId="12427" xr:uid="{00000000-0005-0000-0000-0000B8A30000}"/>
    <cellStyle name="Percent 34 3 4 3 2" xfId="32347" xr:uid="{00000000-0005-0000-0000-0000B9A30000}"/>
    <cellStyle name="Percent 34 3 4 4" xfId="18579" xr:uid="{00000000-0005-0000-0000-0000BAA30000}"/>
    <cellStyle name="Percent 34 3 4 4 2" xfId="38499" xr:uid="{00000000-0005-0000-0000-0000BBA30000}"/>
    <cellStyle name="Percent 34 3 4 5" xfId="26194" xr:uid="{00000000-0005-0000-0000-0000BCA30000}"/>
    <cellStyle name="Percent 34 3 5" xfId="7765" xr:uid="{00000000-0005-0000-0000-0000BDA30000}"/>
    <cellStyle name="Percent 34 3 5 2" xfId="13959" xr:uid="{00000000-0005-0000-0000-0000BEA30000}"/>
    <cellStyle name="Percent 34 3 5 2 2" xfId="33879" xr:uid="{00000000-0005-0000-0000-0000BFA30000}"/>
    <cellStyle name="Percent 34 3 5 3" xfId="20111" xr:uid="{00000000-0005-0000-0000-0000C0A30000}"/>
    <cellStyle name="Percent 34 3 5 3 2" xfId="40031" xr:uid="{00000000-0005-0000-0000-0000C1A30000}"/>
    <cellStyle name="Percent 34 3 5 4" xfId="27726" xr:uid="{00000000-0005-0000-0000-0000C2A30000}"/>
    <cellStyle name="Percent 34 3 6" xfId="10893" xr:uid="{00000000-0005-0000-0000-0000C3A30000}"/>
    <cellStyle name="Percent 34 3 6 2" xfId="30813" xr:uid="{00000000-0005-0000-0000-0000C4A30000}"/>
    <cellStyle name="Percent 34 3 7" xfId="17045" xr:uid="{00000000-0005-0000-0000-0000C5A30000}"/>
    <cellStyle name="Percent 34 3 7 2" xfId="36965" xr:uid="{00000000-0005-0000-0000-0000C6A30000}"/>
    <cellStyle name="Percent 34 3 8" xfId="24660" xr:uid="{00000000-0005-0000-0000-0000C7A30000}"/>
    <cellStyle name="Percent 34 4" xfId="4334" xr:uid="{00000000-0005-0000-0000-0000C8A30000}"/>
    <cellStyle name="Percent 34 4 2" xfId="4335" xr:uid="{00000000-0005-0000-0000-0000C9A30000}"/>
    <cellStyle name="Percent 34 4 2 2" xfId="5360" xr:uid="{00000000-0005-0000-0000-0000CAA30000}"/>
    <cellStyle name="Percent 34 4 2 2 2" xfId="6985" xr:uid="{00000000-0005-0000-0000-0000CBA30000}"/>
    <cellStyle name="Percent 34 4 2 2 2 2" xfId="10071" xr:uid="{00000000-0005-0000-0000-0000CCA30000}"/>
    <cellStyle name="Percent 34 4 2 2 2 2 2" xfId="16264" xr:uid="{00000000-0005-0000-0000-0000CDA30000}"/>
    <cellStyle name="Percent 34 4 2 2 2 2 2 2" xfId="36184" xr:uid="{00000000-0005-0000-0000-0000CEA30000}"/>
    <cellStyle name="Percent 34 4 2 2 2 2 3" xfId="22416" xr:uid="{00000000-0005-0000-0000-0000CFA30000}"/>
    <cellStyle name="Percent 34 4 2 2 2 2 3 2" xfId="42336" xr:uid="{00000000-0005-0000-0000-0000D0A30000}"/>
    <cellStyle name="Percent 34 4 2 2 2 2 4" xfId="30031" xr:uid="{00000000-0005-0000-0000-0000D1A30000}"/>
    <cellStyle name="Percent 34 4 2 2 2 3" xfId="13198" xr:uid="{00000000-0005-0000-0000-0000D2A30000}"/>
    <cellStyle name="Percent 34 4 2 2 2 3 2" xfId="33118" xr:uid="{00000000-0005-0000-0000-0000D3A30000}"/>
    <cellStyle name="Percent 34 4 2 2 2 4" xfId="19350" xr:uid="{00000000-0005-0000-0000-0000D4A30000}"/>
    <cellStyle name="Percent 34 4 2 2 2 4 2" xfId="39270" xr:uid="{00000000-0005-0000-0000-0000D5A30000}"/>
    <cellStyle name="Percent 34 4 2 2 2 5" xfId="26965" xr:uid="{00000000-0005-0000-0000-0000D6A30000}"/>
    <cellStyle name="Percent 34 4 2 2 3" xfId="8536" xr:uid="{00000000-0005-0000-0000-0000D7A30000}"/>
    <cellStyle name="Percent 34 4 2 2 3 2" xfId="14730" xr:uid="{00000000-0005-0000-0000-0000D8A30000}"/>
    <cellStyle name="Percent 34 4 2 2 3 2 2" xfId="34650" xr:uid="{00000000-0005-0000-0000-0000D9A30000}"/>
    <cellStyle name="Percent 34 4 2 2 3 3" xfId="20882" xr:uid="{00000000-0005-0000-0000-0000DAA30000}"/>
    <cellStyle name="Percent 34 4 2 2 3 3 2" xfId="40802" xr:uid="{00000000-0005-0000-0000-0000DBA30000}"/>
    <cellStyle name="Percent 34 4 2 2 3 4" xfId="28497" xr:uid="{00000000-0005-0000-0000-0000DCA30000}"/>
    <cellStyle name="Percent 34 4 2 2 4" xfId="11664" xr:uid="{00000000-0005-0000-0000-0000DDA30000}"/>
    <cellStyle name="Percent 34 4 2 2 4 2" xfId="31584" xr:uid="{00000000-0005-0000-0000-0000DEA30000}"/>
    <cellStyle name="Percent 34 4 2 2 5" xfId="17816" xr:uid="{00000000-0005-0000-0000-0000DFA30000}"/>
    <cellStyle name="Percent 34 4 2 2 5 2" xfId="37736" xr:uid="{00000000-0005-0000-0000-0000E0A30000}"/>
    <cellStyle name="Percent 34 4 2 2 6" xfId="25431" xr:uid="{00000000-0005-0000-0000-0000E1A30000}"/>
    <cellStyle name="Percent 34 4 2 3" xfId="6215" xr:uid="{00000000-0005-0000-0000-0000E2A30000}"/>
    <cellStyle name="Percent 34 4 2 3 2" xfId="9302" xr:uid="{00000000-0005-0000-0000-0000E3A30000}"/>
    <cellStyle name="Percent 34 4 2 3 2 2" xfId="15495" xr:uid="{00000000-0005-0000-0000-0000E4A30000}"/>
    <cellStyle name="Percent 34 4 2 3 2 2 2" xfId="35415" xr:uid="{00000000-0005-0000-0000-0000E5A30000}"/>
    <cellStyle name="Percent 34 4 2 3 2 3" xfId="21647" xr:uid="{00000000-0005-0000-0000-0000E6A30000}"/>
    <cellStyle name="Percent 34 4 2 3 2 3 2" xfId="41567" xr:uid="{00000000-0005-0000-0000-0000E7A30000}"/>
    <cellStyle name="Percent 34 4 2 3 2 4" xfId="29262" xr:uid="{00000000-0005-0000-0000-0000E8A30000}"/>
    <cellStyle name="Percent 34 4 2 3 3" xfId="12429" xr:uid="{00000000-0005-0000-0000-0000E9A30000}"/>
    <cellStyle name="Percent 34 4 2 3 3 2" xfId="32349" xr:uid="{00000000-0005-0000-0000-0000EAA30000}"/>
    <cellStyle name="Percent 34 4 2 3 4" xfId="18581" xr:uid="{00000000-0005-0000-0000-0000EBA30000}"/>
    <cellStyle name="Percent 34 4 2 3 4 2" xfId="38501" xr:uid="{00000000-0005-0000-0000-0000ECA30000}"/>
    <cellStyle name="Percent 34 4 2 3 5" xfId="26196" xr:uid="{00000000-0005-0000-0000-0000EDA30000}"/>
    <cellStyle name="Percent 34 4 2 4" xfId="7767" xr:uid="{00000000-0005-0000-0000-0000EEA30000}"/>
    <cellStyle name="Percent 34 4 2 4 2" xfId="13961" xr:uid="{00000000-0005-0000-0000-0000EFA30000}"/>
    <cellStyle name="Percent 34 4 2 4 2 2" xfId="33881" xr:uid="{00000000-0005-0000-0000-0000F0A30000}"/>
    <cellStyle name="Percent 34 4 2 4 3" xfId="20113" xr:uid="{00000000-0005-0000-0000-0000F1A30000}"/>
    <cellStyle name="Percent 34 4 2 4 3 2" xfId="40033" xr:uid="{00000000-0005-0000-0000-0000F2A30000}"/>
    <cellStyle name="Percent 34 4 2 4 4" xfId="27728" xr:uid="{00000000-0005-0000-0000-0000F3A30000}"/>
    <cellStyle name="Percent 34 4 2 5" xfId="10895" xr:uid="{00000000-0005-0000-0000-0000F4A30000}"/>
    <cellStyle name="Percent 34 4 2 5 2" xfId="30815" xr:uid="{00000000-0005-0000-0000-0000F5A30000}"/>
    <cellStyle name="Percent 34 4 2 6" xfId="17047" xr:uid="{00000000-0005-0000-0000-0000F6A30000}"/>
    <cellStyle name="Percent 34 4 2 6 2" xfId="36967" xr:uid="{00000000-0005-0000-0000-0000F7A30000}"/>
    <cellStyle name="Percent 34 4 2 7" xfId="24662" xr:uid="{00000000-0005-0000-0000-0000F8A30000}"/>
    <cellStyle name="Percent 34 5" xfId="4336" xr:uid="{00000000-0005-0000-0000-0000F9A30000}"/>
    <cellStyle name="Percent 34 5 2" xfId="5361" xr:uid="{00000000-0005-0000-0000-0000FAA30000}"/>
    <cellStyle name="Percent 34 5 2 2" xfId="6986" xr:uid="{00000000-0005-0000-0000-0000FBA30000}"/>
    <cellStyle name="Percent 34 5 2 2 2" xfId="10072" xr:uid="{00000000-0005-0000-0000-0000FCA30000}"/>
    <cellStyle name="Percent 34 5 2 2 2 2" xfId="16265" xr:uid="{00000000-0005-0000-0000-0000FDA30000}"/>
    <cellStyle name="Percent 34 5 2 2 2 2 2" xfId="36185" xr:uid="{00000000-0005-0000-0000-0000FEA30000}"/>
    <cellStyle name="Percent 34 5 2 2 2 3" xfId="22417" xr:uid="{00000000-0005-0000-0000-0000FFA30000}"/>
    <cellStyle name="Percent 34 5 2 2 2 3 2" xfId="42337" xr:uid="{00000000-0005-0000-0000-000000A40000}"/>
    <cellStyle name="Percent 34 5 2 2 2 4" xfId="30032" xr:uid="{00000000-0005-0000-0000-000001A40000}"/>
    <cellStyle name="Percent 34 5 2 2 3" xfId="13199" xr:uid="{00000000-0005-0000-0000-000002A40000}"/>
    <cellStyle name="Percent 34 5 2 2 3 2" xfId="33119" xr:uid="{00000000-0005-0000-0000-000003A40000}"/>
    <cellStyle name="Percent 34 5 2 2 4" xfId="19351" xr:uid="{00000000-0005-0000-0000-000004A40000}"/>
    <cellStyle name="Percent 34 5 2 2 4 2" xfId="39271" xr:uid="{00000000-0005-0000-0000-000005A40000}"/>
    <cellStyle name="Percent 34 5 2 2 5" xfId="26966" xr:uid="{00000000-0005-0000-0000-000006A40000}"/>
    <cellStyle name="Percent 34 5 2 3" xfId="8537" xr:uid="{00000000-0005-0000-0000-000007A40000}"/>
    <cellStyle name="Percent 34 5 2 3 2" xfId="14731" xr:uid="{00000000-0005-0000-0000-000008A40000}"/>
    <cellStyle name="Percent 34 5 2 3 2 2" xfId="34651" xr:uid="{00000000-0005-0000-0000-000009A40000}"/>
    <cellStyle name="Percent 34 5 2 3 3" xfId="20883" xr:uid="{00000000-0005-0000-0000-00000AA40000}"/>
    <cellStyle name="Percent 34 5 2 3 3 2" xfId="40803" xr:uid="{00000000-0005-0000-0000-00000BA40000}"/>
    <cellStyle name="Percent 34 5 2 3 4" xfId="28498" xr:uid="{00000000-0005-0000-0000-00000CA40000}"/>
    <cellStyle name="Percent 34 5 2 4" xfId="11665" xr:uid="{00000000-0005-0000-0000-00000DA40000}"/>
    <cellStyle name="Percent 34 5 2 4 2" xfId="31585" xr:uid="{00000000-0005-0000-0000-00000EA40000}"/>
    <cellStyle name="Percent 34 5 2 5" xfId="17817" xr:uid="{00000000-0005-0000-0000-00000FA40000}"/>
    <cellStyle name="Percent 34 5 2 5 2" xfId="37737" xr:uid="{00000000-0005-0000-0000-000010A40000}"/>
    <cellStyle name="Percent 34 5 2 6" xfId="25432" xr:uid="{00000000-0005-0000-0000-000011A40000}"/>
    <cellStyle name="Percent 34 5 3" xfId="6216" xr:uid="{00000000-0005-0000-0000-000012A40000}"/>
    <cellStyle name="Percent 34 5 3 2" xfId="9303" xr:uid="{00000000-0005-0000-0000-000013A40000}"/>
    <cellStyle name="Percent 34 5 3 2 2" xfId="15496" xr:uid="{00000000-0005-0000-0000-000014A40000}"/>
    <cellStyle name="Percent 34 5 3 2 2 2" xfId="35416" xr:uid="{00000000-0005-0000-0000-000015A40000}"/>
    <cellStyle name="Percent 34 5 3 2 3" xfId="21648" xr:uid="{00000000-0005-0000-0000-000016A40000}"/>
    <cellStyle name="Percent 34 5 3 2 3 2" xfId="41568" xr:uid="{00000000-0005-0000-0000-000017A40000}"/>
    <cellStyle name="Percent 34 5 3 2 4" xfId="29263" xr:uid="{00000000-0005-0000-0000-000018A40000}"/>
    <cellStyle name="Percent 34 5 3 3" xfId="12430" xr:uid="{00000000-0005-0000-0000-000019A40000}"/>
    <cellStyle name="Percent 34 5 3 3 2" xfId="32350" xr:uid="{00000000-0005-0000-0000-00001AA40000}"/>
    <cellStyle name="Percent 34 5 3 4" xfId="18582" xr:uid="{00000000-0005-0000-0000-00001BA40000}"/>
    <cellStyle name="Percent 34 5 3 4 2" xfId="38502" xr:uid="{00000000-0005-0000-0000-00001CA40000}"/>
    <cellStyle name="Percent 34 5 3 5" xfId="26197" xr:uid="{00000000-0005-0000-0000-00001DA40000}"/>
    <cellStyle name="Percent 34 5 4" xfId="7768" xr:uid="{00000000-0005-0000-0000-00001EA40000}"/>
    <cellStyle name="Percent 34 5 4 2" xfId="13962" xr:uid="{00000000-0005-0000-0000-00001FA40000}"/>
    <cellStyle name="Percent 34 5 4 2 2" xfId="33882" xr:uid="{00000000-0005-0000-0000-000020A40000}"/>
    <cellStyle name="Percent 34 5 4 3" xfId="20114" xr:uid="{00000000-0005-0000-0000-000021A40000}"/>
    <cellStyle name="Percent 34 5 4 3 2" xfId="40034" xr:uid="{00000000-0005-0000-0000-000022A40000}"/>
    <cellStyle name="Percent 34 5 4 4" xfId="27729" xr:uid="{00000000-0005-0000-0000-000023A40000}"/>
    <cellStyle name="Percent 34 5 5" xfId="10896" xr:uid="{00000000-0005-0000-0000-000024A40000}"/>
    <cellStyle name="Percent 34 5 5 2" xfId="30816" xr:uid="{00000000-0005-0000-0000-000025A40000}"/>
    <cellStyle name="Percent 34 5 6" xfId="17048" xr:uid="{00000000-0005-0000-0000-000026A40000}"/>
    <cellStyle name="Percent 34 5 6 2" xfId="36968" xr:uid="{00000000-0005-0000-0000-000027A40000}"/>
    <cellStyle name="Percent 34 5 7" xfId="24663" xr:uid="{00000000-0005-0000-0000-000028A40000}"/>
    <cellStyle name="Percent 35" xfId="4337" xr:uid="{00000000-0005-0000-0000-000029A40000}"/>
    <cellStyle name="Percent 35 2" xfId="4338" xr:uid="{00000000-0005-0000-0000-00002AA40000}"/>
    <cellStyle name="Percent 35 2 2" xfId="4339" xr:uid="{00000000-0005-0000-0000-00002BA40000}"/>
    <cellStyle name="Percent 35 2 2 2" xfId="5363" xr:uid="{00000000-0005-0000-0000-00002CA40000}"/>
    <cellStyle name="Percent 35 2 2 2 2" xfId="6988" xr:uid="{00000000-0005-0000-0000-00002DA40000}"/>
    <cellStyle name="Percent 35 2 2 2 2 2" xfId="10074" xr:uid="{00000000-0005-0000-0000-00002EA40000}"/>
    <cellStyle name="Percent 35 2 2 2 2 2 2" xfId="16267" xr:uid="{00000000-0005-0000-0000-00002FA40000}"/>
    <cellStyle name="Percent 35 2 2 2 2 2 2 2" xfId="36187" xr:uid="{00000000-0005-0000-0000-000030A40000}"/>
    <cellStyle name="Percent 35 2 2 2 2 2 3" xfId="22419" xr:uid="{00000000-0005-0000-0000-000031A40000}"/>
    <cellStyle name="Percent 35 2 2 2 2 2 3 2" xfId="42339" xr:uid="{00000000-0005-0000-0000-000032A40000}"/>
    <cellStyle name="Percent 35 2 2 2 2 2 4" xfId="30034" xr:uid="{00000000-0005-0000-0000-000033A40000}"/>
    <cellStyle name="Percent 35 2 2 2 2 3" xfId="13201" xr:uid="{00000000-0005-0000-0000-000034A40000}"/>
    <cellStyle name="Percent 35 2 2 2 2 3 2" xfId="33121" xr:uid="{00000000-0005-0000-0000-000035A40000}"/>
    <cellStyle name="Percent 35 2 2 2 2 4" xfId="19353" xr:uid="{00000000-0005-0000-0000-000036A40000}"/>
    <cellStyle name="Percent 35 2 2 2 2 4 2" xfId="39273" xr:uid="{00000000-0005-0000-0000-000037A40000}"/>
    <cellStyle name="Percent 35 2 2 2 2 5" xfId="26968" xr:uid="{00000000-0005-0000-0000-000038A40000}"/>
    <cellStyle name="Percent 35 2 2 2 3" xfId="8539" xr:uid="{00000000-0005-0000-0000-000039A40000}"/>
    <cellStyle name="Percent 35 2 2 2 3 2" xfId="14733" xr:uid="{00000000-0005-0000-0000-00003AA40000}"/>
    <cellStyle name="Percent 35 2 2 2 3 2 2" xfId="34653" xr:uid="{00000000-0005-0000-0000-00003BA40000}"/>
    <cellStyle name="Percent 35 2 2 2 3 3" xfId="20885" xr:uid="{00000000-0005-0000-0000-00003CA40000}"/>
    <cellStyle name="Percent 35 2 2 2 3 3 2" xfId="40805" xr:uid="{00000000-0005-0000-0000-00003DA40000}"/>
    <cellStyle name="Percent 35 2 2 2 3 4" xfId="28500" xr:uid="{00000000-0005-0000-0000-00003EA40000}"/>
    <cellStyle name="Percent 35 2 2 2 4" xfId="11667" xr:uid="{00000000-0005-0000-0000-00003FA40000}"/>
    <cellStyle name="Percent 35 2 2 2 4 2" xfId="31587" xr:uid="{00000000-0005-0000-0000-000040A40000}"/>
    <cellStyle name="Percent 35 2 2 2 5" xfId="17819" xr:uid="{00000000-0005-0000-0000-000041A40000}"/>
    <cellStyle name="Percent 35 2 2 2 5 2" xfId="37739" xr:uid="{00000000-0005-0000-0000-000042A40000}"/>
    <cellStyle name="Percent 35 2 2 2 6" xfId="25434" xr:uid="{00000000-0005-0000-0000-000043A40000}"/>
    <cellStyle name="Percent 35 2 2 3" xfId="6218" xr:uid="{00000000-0005-0000-0000-000044A40000}"/>
    <cellStyle name="Percent 35 2 2 3 2" xfId="9305" xr:uid="{00000000-0005-0000-0000-000045A40000}"/>
    <cellStyle name="Percent 35 2 2 3 2 2" xfId="15498" xr:uid="{00000000-0005-0000-0000-000046A40000}"/>
    <cellStyle name="Percent 35 2 2 3 2 2 2" xfId="35418" xr:uid="{00000000-0005-0000-0000-000047A40000}"/>
    <cellStyle name="Percent 35 2 2 3 2 3" xfId="21650" xr:uid="{00000000-0005-0000-0000-000048A40000}"/>
    <cellStyle name="Percent 35 2 2 3 2 3 2" xfId="41570" xr:uid="{00000000-0005-0000-0000-000049A40000}"/>
    <cellStyle name="Percent 35 2 2 3 2 4" xfId="29265" xr:uid="{00000000-0005-0000-0000-00004AA40000}"/>
    <cellStyle name="Percent 35 2 2 3 3" xfId="12432" xr:uid="{00000000-0005-0000-0000-00004BA40000}"/>
    <cellStyle name="Percent 35 2 2 3 3 2" xfId="32352" xr:uid="{00000000-0005-0000-0000-00004CA40000}"/>
    <cellStyle name="Percent 35 2 2 3 4" xfId="18584" xr:uid="{00000000-0005-0000-0000-00004DA40000}"/>
    <cellStyle name="Percent 35 2 2 3 4 2" xfId="38504" xr:uid="{00000000-0005-0000-0000-00004EA40000}"/>
    <cellStyle name="Percent 35 2 2 3 5" xfId="26199" xr:uid="{00000000-0005-0000-0000-00004FA40000}"/>
    <cellStyle name="Percent 35 2 2 4" xfId="7770" xr:uid="{00000000-0005-0000-0000-000050A40000}"/>
    <cellStyle name="Percent 35 2 2 4 2" xfId="13964" xr:uid="{00000000-0005-0000-0000-000051A40000}"/>
    <cellStyle name="Percent 35 2 2 4 2 2" xfId="33884" xr:uid="{00000000-0005-0000-0000-000052A40000}"/>
    <cellStyle name="Percent 35 2 2 4 3" xfId="20116" xr:uid="{00000000-0005-0000-0000-000053A40000}"/>
    <cellStyle name="Percent 35 2 2 4 3 2" xfId="40036" xr:uid="{00000000-0005-0000-0000-000054A40000}"/>
    <cellStyle name="Percent 35 2 2 4 4" xfId="27731" xr:uid="{00000000-0005-0000-0000-000055A40000}"/>
    <cellStyle name="Percent 35 2 2 5" xfId="10898" xr:uid="{00000000-0005-0000-0000-000056A40000}"/>
    <cellStyle name="Percent 35 2 2 5 2" xfId="30818" xr:uid="{00000000-0005-0000-0000-000057A40000}"/>
    <cellStyle name="Percent 35 2 2 6" xfId="17050" xr:uid="{00000000-0005-0000-0000-000058A40000}"/>
    <cellStyle name="Percent 35 2 2 6 2" xfId="36970" xr:uid="{00000000-0005-0000-0000-000059A40000}"/>
    <cellStyle name="Percent 35 2 2 7" xfId="24665" xr:uid="{00000000-0005-0000-0000-00005AA40000}"/>
    <cellStyle name="Percent 35 2 3" xfId="5362" xr:uid="{00000000-0005-0000-0000-00005BA40000}"/>
    <cellStyle name="Percent 35 2 3 2" xfId="6987" xr:uid="{00000000-0005-0000-0000-00005CA40000}"/>
    <cellStyle name="Percent 35 2 3 2 2" xfId="10073" xr:uid="{00000000-0005-0000-0000-00005DA40000}"/>
    <cellStyle name="Percent 35 2 3 2 2 2" xfId="16266" xr:uid="{00000000-0005-0000-0000-00005EA40000}"/>
    <cellStyle name="Percent 35 2 3 2 2 2 2" xfId="36186" xr:uid="{00000000-0005-0000-0000-00005FA40000}"/>
    <cellStyle name="Percent 35 2 3 2 2 3" xfId="22418" xr:uid="{00000000-0005-0000-0000-000060A40000}"/>
    <cellStyle name="Percent 35 2 3 2 2 3 2" xfId="42338" xr:uid="{00000000-0005-0000-0000-000061A40000}"/>
    <cellStyle name="Percent 35 2 3 2 2 4" xfId="30033" xr:uid="{00000000-0005-0000-0000-000062A40000}"/>
    <cellStyle name="Percent 35 2 3 2 3" xfId="13200" xr:uid="{00000000-0005-0000-0000-000063A40000}"/>
    <cellStyle name="Percent 35 2 3 2 3 2" xfId="33120" xr:uid="{00000000-0005-0000-0000-000064A40000}"/>
    <cellStyle name="Percent 35 2 3 2 4" xfId="19352" xr:uid="{00000000-0005-0000-0000-000065A40000}"/>
    <cellStyle name="Percent 35 2 3 2 4 2" xfId="39272" xr:uid="{00000000-0005-0000-0000-000066A40000}"/>
    <cellStyle name="Percent 35 2 3 2 5" xfId="26967" xr:uid="{00000000-0005-0000-0000-000067A40000}"/>
    <cellStyle name="Percent 35 2 3 3" xfId="8538" xr:uid="{00000000-0005-0000-0000-000068A40000}"/>
    <cellStyle name="Percent 35 2 3 3 2" xfId="14732" xr:uid="{00000000-0005-0000-0000-000069A40000}"/>
    <cellStyle name="Percent 35 2 3 3 2 2" xfId="34652" xr:uid="{00000000-0005-0000-0000-00006AA40000}"/>
    <cellStyle name="Percent 35 2 3 3 3" xfId="20884" xr:uid="{00000000-0005-0000-0000-00006BA40000}"/>
    <cellStyle name="Percent 35 2 3 3 3 2" xfId="40804" xr:uid="{00000000-0005-0000-0000-00006CA40000}"/>
    <cellStyle name="Percent 35 2 3 3 4" xfId="28499" xr:uid="{00000000-0005-0000-0000-00006DA40000}"/>
    <cellStyle name="Percent 35 2 3 4" xfId="11666" xr:uid="{00000000-0005-0000-0000-00006EA40000}"/>
    <cellStyle name="Percent 35 2 3 4 2" xfId="31586" xr:uid="{00000000-0005-0000-0000-00006FA40000}"/>
    <cellStyle name="Percent 35 2 3 5" xfId="17818" xr:uid="{00000000-0005-0000-0000-000070A40000}"/>
    <cellStyle name="Percent 35 2 3 5 2" xfId="37738" xr:uid="{00000000-0005-0000-0000-000071A40000}"/>
    <cellStyle name="Percent 35 2 3 6" xfId="25433" xr:uid="{00000000-0005-0000-0000-000072A40000}"/>
    <cellStyle name="Percent 35 2 4" xfId="6217" xr:uid="{00000000-0005-0000-0000-000073A40000}"/>
    <cellStyle name="Percent 35 2 4 2" xfId="9304" xr:uid="{00000000-0005-0000-0000-000074A40000}"/>
    <cellStyle name="Percent 35 2 4 2 2" xfId="15497" xr:uid="{00000000-0005-0000-0000-000075A40000}"/>
    <cellStyle name="Percent 35 2 4 2 2 2" xfId="35417" xr:uid="{00000000-0005-0000-0000-000076A40000}"/>
    <cellStyle name="Percent 35 2 4 2 3" xfId="21649" xr:uid="{00000000-0005-0000-0000-000077A40000}"/>
    <cellStyle name="Percent 35 2 4 2 3 2" xfId="41569" xr:uid="{00000000-0005-0000-0000-000078A40000}"/>
    <cellStyle name="Percent 35 2 4 2 4" xfId="29264" xr:uid="{00000000-0005-0000-0000-000079A40000}"/>
    <cellStyle name="Percent 35 2 4 3" xfId="12431" xr:uid="{00000000-0005-0000-0000-00007AA40000}"/>
    <cellStyle name="Percent 35 2 4 3 2" xfId="32351" xr:uid="{00000000-0005-0000-0000-00007BA40000}"/>
    <cellStyle name="Percent 35 2 4 4" xfId="18583" xr:uid="{00000000-0005-0000-0000-00007CA40000}"/>
    <cellStyle name="Percent 35 2 4 4 2" xfId="38503" xr:uid="{00000000-0005-0000-0000-00007DA40000}"/>
    <cellStyle name="Percent 35 2 4 5" xfId="26198" xr:uid="{00000000-0005-0000-0000-00007EA40000}"/>
    <cellStyle name="Percent 35 2 5" xfId="7769" xr:uid="{00000000-0005-0000-0000-00007FA40000}"/>
    <cellStyle name="Percent 35 2 5 2" xfId="13963" xr:uid="{00000000-0005-0000-0000-000080A40000}"/>
    <cellStyle name="Percent 35 2 5 2 2" xfId="33883" xr:uid="{00000000-0005-0000-0000-000081A40000}"/>
    <cellStyle name="Percent 35 2 5 3" xfId="20115" xr:uid="{00000000-0005-0000-0000-000082A40000}"/>
    <cellStyle name="Percent 35 2 5 3 2" xfId="40035" xr:uid="{00000000-0005-0000-0000-000083A40000}"/>
    <cellStyle name="Percent 35 2 5 4" xfId="27730" xr:uid="{00000000-0005-0000-0000-000084A40000}"/>
    <cellStyle name="Percent 35 2 6" xfId="10897" xr:uid="{00000000-0005-0000-0000-000085A40000}"/>
    <cellStyle name="Percent 35 2 6 2" xfId="30817" xr:uid="{00000000-0005-0000-0000-000086A40000}"/>
    <cellStyle name="Percent 35 2 7" xfId="17049" xr:uid="{00000000-0005-0000-0000-000087A40000}"/>
    <cellStyle name="Percent 35 2 7 2" xfId="36969" xr:uid="{00000000-0005-0000-0000-000088A40000}"/>
    <cellStyle name="Percent 35 2 8" xfId="24664" xr:uid="{00000000-0005-0000-0000-000089A40000}"/>
    <cellStyle name="Percent 35 3" xfId="4340" xr:uid="{00000000-0005-0000-0000-00008AA40000}"/>
    <cellStyle name="Percent 35 3 2" xfId="4341" xr:uid="{00000000-0005-0000-0000-00008BA40000}"/>
    <cellStyle name="Percent 35 3 2 2" xfId="5365" xr:uid="{00000000-0005-0000-0000-00008CA40000}"/>
    <cellStyle name="Percent 35 3 2 2 2" xfId="6990" xr:uid="{00000000-0005-0000-0000-00008DA40000}"/>
    <cellStyle name="Percent 35 3 2 2 2 2" xfId="10076" xr:uid="{00000000-0005-0000-0000-00008EA40000}"/>
    <cellStyle name="Percent 35 3 2 2 2 2 2" xfId="16269" xr:uid="{00000000-0005-0000-0000-00008FA40000}"/>
    <cellStyle name="Percent 35 3 2 2 2 2 2 2" xfId="36189" xr:uid="{00000000-0005-0000-0000-000090A40000}"/>
    <cellStyle name="Percent 35 3 2 2 2 2 3" xfId="22421" xr:uid="{00000000-0005-0000-0000-000091A40000}"/>
    <cellStyle name="Percent 35 3 2 2 2 2 3 2" xfId="42341" xr:uid="{00000000-0005-0000-0000-000092A40000}"/>
    <cellStyle name="Percent 35 3 2 2 2 2 4" xfId="30036" xr:uid="{00000000-0005-0000-0000-000093A40000}"/>
    <cellStyle name="Percent 35 3 2 2 2 3" xfId="13203" xr:uid="{00000000-0005-0000-0000-000094A40000}"/>
    <cellStyle name="Percent 35 3 2 2 2 3 2" xfId="33123" xr:uid="{00000000-0005-0000-0000-000095A40000}"/>
    <cellStyle name="Percent 35 3 2 2 2 4" xfId="19355" xr:uid="{00000000-0005-0000-0000-000096A40000}"/>
    <cellStyle name="Percent 35 3 2 2 2 4 2" xfId="39275" xr:uid="{00000000-0005-0000-0000-000097A40000}"/>
    <cellStyle name="Percent 35 3 2 2 2 5" xfId="26970" xr:uid="{00000000-0005-0000-0000-000098A40000}"/>
    <cellStyle name="Percent 35 3 2 2 3" xfId="8541" xr:uid="{00000000-0005-0000-0000-000099A40000}"/>
    <cellStyle name="Percent 35 3 2 2 3 2" xfId="14735" xr:uid="{00000000-0005-0000-0000-00009AA40000}"/>
    <cellStyle name="Percent 35 3 2 2 3 2 2" xfId="34655" xr:uid="{00000000-0005-0000-0000-00009BA40000}"/>
    <cellStyle name="Percent 35 3 2 2 3 3" xfId="20887" xr:uid="{00000000-0005-0000-0000-00009CA40000}"/>
    <cellStyle name="Percent 35 3 2 2 3 3 2" xfId="40807" xr:uid="{00000000-0005-0000-0000-00009DA40000}"/>
    <cellStyle name="Percent 35 3 2 2 3 4" xfId="28502" xr:uid="{00000000-0005-0000-0000-00009EA40000}"/>
    <cellStyle name="Percent 35 3 2 2 4" xfId="11669" xr:uid="{00000000-0005-0000-0000-00009FA40000}"/>
    <cellStyle name="Percent 35 3 2 2 4 2" xfId="31589" xr:uid="{00000000-0005-0000-0000-0000A0A40000}"/>
    <cellStyle name="Percent 35 3 2 2 5" xfId="17821" xr:uid="{00000000-0005-0000-0000-0000A1A40000}"/>
    <cellStyle name="Percent 35 3 2 2 5 2" xfId="37741" xr:uid="{00000000-0005-0000-0000-0000A2A40000}"/>
    <cellStyle name="Percent 35 3 2 2 6" xfId="25436" xr:uid="{00000000-0005-0000-0000-0000A3A40000}"/>
    <cellStyle name="Percent 35 3 2 3" xfId="6220" xr:uid="{00000000-0005-0000-0000-0000A4A40000}"/>
    <cellStyle name="Percent 35 3 2 3 2" xfId="9307" xr:uid="{00000000-0005-0000-0000-0000A5A40000}"/>
    <cellStyle name="Percent 35 3 2 3 2 2" xfId="15500" xr:uid="{00000000-0005-0000-0000-0000A6A40000}"/>
    <cellStyle name="Percent 35 3 2 3 2 2 2" xfId="35420" xr:uid="{00000000-0005-0000-0000-0000A7A40000}"/>
    <cellStyle name="Percent 35 3 2 3 2 3" xfId="21652" xr:uid="{00000000-0005-0000-0000-0000A8A40000}"/>
    <cellStyle name="Percent 35 3 2 3 2 3 2" xfId="41572" xr:uid="{00000000-0005-0000-0000-0000A9A40000}"/>
    <cellStyle name="Percent 35 3 2 3 2 4" xfId="29267" xr:uid="{00000000-0005-0000-0000-0000AAA40000}"/>
    <cellStyle name="Percent 35 3 2 3 3" xfId="12434" xr:uid="{00000000-0005-0000-0000-0000ABA40000}"/>
    <cellStyle name="Percent 35 3 2 3 3 2" xfId="32354" xr:uid="{00000000-0005-0000-0000-0000ACA40000}"/>
    <cellStyle name="Percent 35 3 2 3 4" xfId="18586" xr:uid="{00000000-0005-0000-0000-0000ADA40000}"/>
    <cellStyle name="Percent 35 3 2 3 4 2" xfId="38506" xr:uid="{00000000-0005-0000-0000-0000AEA40000}"/>
    <cellStyle name="Percent 35 3 2 3 5" xfId="26201" xr:uid="{00000000-0005-0000-0000-0000AFA40000}"/>
    <cellStyle name="Percent 35 3 2 4" xfId="7772" xr:uid="{00000000-0005-0000-0000-0000B0A40000}"/>
    <cellStyle name="Percent 35 3 2 4 2" xfId="13966" xr:uid="{00000000-0005-0000-0000-0000B1A40000}"/>
    <cellStyle name="Percent 35 3 2 4 2 2" xfId="33886" xr:uid="{00000000-0005-0000-0000-0000B2A40000}"/>
    <cellStyle name="Percent 35 3 2 4 3" xfId="20118" xr:uid="{00000000-0005-0000-0000-0000B3A40000}"/>
    <cellStyle name="Percent 35 3 2 4 3 2" xfId="40038" xr:uid="{00000000-0005-0000-0000-0000B4A40000}"/>
    <cellStyle name="Percent 35 3 2 4 4" xfId="27733" xr:uid="{00000000-0005-0000-0000-0000B5A40000}"/>
    <cellStyle name="Percent 35 3 2 5" xfId="10900" xr:uid="{00000000-0005-0000-0000-0000B6A40000}"/>
    <cellStyle name="Percent 35 3 2 5 2" xfId="30820" xr:uid="{00000000-0005-0000-0000-0000B7A40000}"/>
    <cellStyle name="Percent 35 3 2 6" xfId="17052" xr:uid="{00000000-0005-0000-0000-0000B8A40000}"/>
    <cellStyle name="Percent 35 3 2 6 2" xfId="36972" xr:uid="{00000000-0005-0000-0000-0000B9A40000}"/>
    <cellStyle name="Percent 35 3 2 7" xfId="24667" xr:uid="{00000000-0005-0000-0000-0000BAA40000}"/>
    <cellStyle name="Percent 35 3 3" xfId="5364" xr:uid="{00000000-0005-0000-0000-0000BBA40000}"/>
    <cellStyle name="Percent 35 3 3 2" xfId="6989" xr:uid="{00000000-0005-0000-0000-0000BCA40000}"/>
    <cellStyle name="Percent 35 3 3 2 2" xfId="10075" xr:uid="{00000000-0005-0000-0000-0000BDA40000}"/>
    <cellStyle name="Percent 35 3 3 2 2 2" xfId="16268" xr:uid="{00000000-0005-0000-0000-0000BEA40000}"/>
    <cellStyle name="Percent 35 3 3 2 2 2 2" xfId="36188" xr:uid="{00000000-0005-0000-0000-0000BFA40000}"/>
    <cellStyle name="Percent 35 3 3 2 2 3" xfId="22420" xr:uid="{00000000-0005-0000-0000-0000C0A40000}"/>
    <cellStyle name="Percent 35 3 3 2 2 3 2" xfId="42340" xr:uid="{00000000-0005-0000-0000-0000C1A40000}"/>
    <cellStyle name="Percent 35 3 3 2 2 4" xfId="30035" xr:uid="{00000000-0005-0000-0000-0000C2A40000}"/>
    <cellStyle name="Percent 35 3 3 2 3" xfId="13202" xr:uid="{00000000-0005-0000-0000-0000C3A40000}"/>
    <cellStyle name="Percent 35 3 3 2 3 2" xfId="33122" xr:uid="{00000000-0005-0000-0000-0000C4A40000}"/>
    <cellStyle name="Percent 35 3 3 2 4" xfId="19354" xr:uid="{00000000-0005-0000-0000-0000C5A40000}"/>
    <cellStyle name="Percent 35 3 3 2 4 2" xfId="39274" xr:uid="{00000000-0005-0000-0000-0000C6A40000}"/>
    <cellStyle name="Percent 35 3 3 2 5" xfId="26969" xr:uid="{00000000-0005-0000-0000-0000C7A40000}"/>
    <cellStyle name="Percent 35 3 3 3" xfId="8540" xr:uid="{00000000-0005-0000-0000-0000C8A40000}"/>
    <cellStyle name="Percent 35 3 3 3 2" xfId="14734" xr:uid="{00000000-0005-0000-0000-0000C9A40000}"/>
    <cellStyle name="Percent 35 3 3 3 2 2" xfId="34654" xr:uid="{00000000-0005-0000-0000-0000CAA40000}"/>
    <cellStyle name="Percent 35 3 3 3 3" xfId="20886" xr:uid="{00000000-0005-0000-0000-0000CBA40000}"/>
    <cellStyle name="Percent 35 3 3 3 3 2" xfId="40806" xr:uid="{00000000-0005-0000-0000-0000CCA40000}"/>
    <cellStyle name="Percent 35 3 3 3 4" xfId="28501" xr:uid="{00000000-0005-0000-0000-0000CDA40000}"/>
    <cellStyle name="Percent 35 3 3 4" xfId="11668" xr:uid="{00000000-0005-0000-0000-0000CEA40000}"/>
    <cellStyle name="Percent 35 3 3 4 2" xfId="31588" xr:uid="{00000000-0005-0000-0000-0000CFA40000}"/>
    <cellStyle name="Percent 35 3 3 5" xfId="17820" xr:uid="{00000000-0005-0000-0000-0000D0A40000}"/>
    <cellStyle name="Percent 35 3 3 5 2" xfId="37740" xr:uid="{00000000-0005-0000-0000-0000D1A40000}"/>
    <cellStyle name="Percent 35 3 3 6" xfId="25435" xr:uid="{00000000-0005-0000-0000-0000D2A40000}"/>
    <cellStyle name="Percent 35 3 4" xfId="6219" xr:uid="{00000000-0005-0000-0000-0000D3A40000}"/>
    <cellStyle name="Percent 35 3 4 2" xfId="9306" xr:uid="{00000000-0005-0000-0000-0000D4A40000}"/>
    <cellStyle name="Percent 35 3 4 2 2" xfId="15499" xr:uid="{00000000-0005-0000-0000-0000D5A40000}"/>
    <cellStyle name="Percent 35 3 4 2 2 2" xfId="35419" xr:uid="{00000000-0005-0000-0000-0000D6A40000}"/>
    <cellStyle name="Percent 35 3 4 2 3" xfId="21651" xr:uid="{00000000-0005-0000-0000-0000D7A40000}"/>
    <cellStyle name="Percent 35 3 4 2 3 2" xfId="41571" xr:uid="{00000000-0005-0000-0000-0000D8A40000}"/>
    <cellStyle name="Percent 35 3 4 2 4" xfId="29266" xr:uid="{00000000-0005-0000-0000-0000D9A40000}"/>
    <cellStyle name="Percent 35 3 4 3" xfId="12433" xr:uid="{00000000-0005-0000-0000-0000DAA40000}"/>
    <cellStyle name="Percent 35 3 4 3 2" xfId="32353" xr:uid="{00000000-0005-0000-0000-0000DBA40000}"/>
    <cellStyle name="Percent 35 3 4 4" xfId="18585" xr:uid="{00000000-0005-0000-0000-0000DCA40000}"/>
    <cellStyle name="Percent 35 3 4 4 2" xfId="38505" xr:uid="{00000000-0005-0000-0000-0000DDA40000}"/>
    <cellStyle name="Percent 35 3 4 5" xfId="26200" xr:uid="{00000000-0005-0000-0000-0000DEA40000}"/>
    <cellStyle name="Percent 35 3 5" xfId="7771" xr:uid="{00000000-0005-0000-0000-0000DFA40000}"/>
    <cellStyle name="Percent 35 3 5 2" xfId="13965" xr:uid="{00000000-0005-0000-0000-0000E0A40000}"/>
    <cellStyle name="Percent 35 3 5 2 2" xfId="33885" xr:uid="{00000000-0005-0000-0000-0000E1A40000}"/>
    <cellStyle name="Percent 35 3 5 3" xfId="20117" xr:uid="{00000000-0005-0000-0000-0000E2A40000}"/>
    <cellStyle name="Percent 35 3 5 3 2" xfId="40037" xr:uid="{00000000-0005-0000-0000-0000E3A40000}"/>
    <cellStyle name="Percent 35 3 5 4" xfId="27732" xr:uid="{00000000-0005-0000-0000-0000E4A40000}"/>
    <cellStyle name="Percent 35 3 6" xfId="10899" xr:uid="{00000000-0005-0000-0000-0000E5A40000}"/>
    <cellStyle name="Percent 35 3 6 2" xfId="30819" xr:uid="{00000000-0005-0000-0000-0000E6A40000}"/>
    <cellStyle name="Percent 35 3 7" xfId="17051" xr:uid="{00000000-0005-0000-0000-0000E7A40000}"/>
    <cellStyle name="Percent 35 3 7 2" xfId="36971" xr:uid="{00000000-0005-0000-0000-0000E8A40000}"/>
    <cellStyle name="Percent 35 3 8" xfId="24666" xr:uid="{00000000-0005-0000-0000-0000E9A40000}"/>
    <cellStyle name="Percent 35 4" xfId="4342" xr:uid="{00000000-0005-0000-0000-0000EAA40000}"/>
    <cellStyle name="Percent 35 4 2" xfId="4343" xr:uid="{00000000-0005-0000-0000-0000EBA40000}"/>
    <cellStyle name="Percent 35 4 2 2" xfId="5366" xr:uid="{00000000-0005-0000-0000-0000ECA40000}"/>
    <cellStyle name="Percent 35 4 2 2 2" xfId="6991" xr:uid="{00000000-0005-0000-0000-0000EDA40000}"/>
    <cellStyle name="Percent 35 4 2 2 2 2" xfId="10077" xr:uid="{00000000-0005-0000-0000-0000EEA40000}"/>
    <cellStyle name="Percent 35 4 2 2 2 2 2" xfId="16270" xr:uid="{00000000-0005-0000-0000-0000EFA40000}"/>
    <cellStyle name="Percent 35 4 2 2 2 2 2 2" xfId="36190" xr:uid="{00000000-0005-0000-0000-0000F0A40000}"/>
    <cellStyle name="Percent 35 4 2 2 2 2 3" xfId="22422" xr:uid="{00000000-0005-0000-0000-0000F1A40000}"/>
    <cellStyle name="Percent 35 4 2 2 2 2 3 2" xfId="42342" xr:uid="{00000000-0005-0000-0000-0000F2A40000}"/>
    <cellStyle name="Percent 35 4 2 2 2 2 4" xfId="30037" xr:uid="{00000000-0005-0000-0000-0000F3A40000}"/>
    <cellStyle name="Percent 35 4 2 2 2 3" xfId="13204" xr:uid="{00000000-0005-0000-0000-0000F4A40000}"/>
    <cellStyle name="Percent 35 4 2 2 2 3 2" xfId="33124" xr:uid="{00000000-0005-0000-0000-0000F5A40000}"/>
    <cellStyle name="Percent 35 4 2 2 2 4" xfId="19356" xr:uid="{00000000-0005-0000-0000-0000F6A40000}"/>
    <cellStyle name="Percent 35 4 2 2 2 4 2" xfId="39276" xr:uid="{00000000-0005-0000-0000-0000F7A40000}"/>
    <cellStyle name="Percent 35 4 2 2 2 5" xfId="26971" xr:uid="{00000000-0005-0000-0000-0000F8A40000}"/>
    <cellStyle name="Percent 35 4 2 2 3" xfId="8542" xr:uid="{00000000-0005-0000-0000-0000F9A40000}"/>
    <cellStyle name="Percent 35 4 2 2 3 2" xfId="14736" xr:uid="{00000000-0005-0000-0000-0000FAA40000}"/>
    <cellStyle name="Percent 35 4 2 2 3 2 2" xfId="34656" xr:uid="{00000000-0005-0000-0000-0000FBA40000}"/>
    <cellStyle name="Percent 35 4 2 2 3 3" xfId="20888" xr:uid="{00000000-0005-0000-0000-0000FCA40000}"/>
    <cellStyle name="Percent 35 4 2 2 3 3 2" xfId="40808" xr:uid="{00000000-0005-0000-0000-0000FDA40000}"/>
    <cellStyle name="Percent 35 4 2 2 3 4" xfId="28503" xr:uid="{00000000-0005-0000-0000-0000FEA40000}"/>
    <cellStyle name="Percent 35 4 2 2 4" xfId="11670" xr:uid="{00000000-0005-0000-0000-0000FFA40000}"/>
    <cellStyle name="Percent 35 4 2 2 4 2" xfId="31590" xr:uid="{00000000-0005-0000-0000-000000A50000}"/>
    <cellStyle name="Percent 35 4 2 2 5" xfId="17822" xr:uid="{00000000-0005-0000-0000-000001A50000}"/>
    <cellStyle name="Percent 35 4 2 2 5 2" xfId="37742" xr:uid="{00000000-0005-0000-0000-000002A50000}"/>
    <cellStyle name="Percent 35 4 2 2 6" xfId="25437" xr:uid="{00000000-0005-0000-0000-000003A50000}"/>
    <cellStyle name="Percent 35 4 2 3" xfId="6221" xr:uid="{00000000-0005-0000-0000-000004A50000}"/>
    <cellStyle name="Percent 35 4 2 3 2" xfId="9308" xr:uid="{00000000-0005-0000-0000-000005A50000}"/>
    <cellStyle name="Percent 35 4 2 3 2 2" xfId="15501" xr:uid="{00000000-0005-0000-0000-000006A50000}"/>
    <cellStyle name="Percent 35 4 2 3 2 2 2" xfId="35421" xr:uid="{00000000-0005-0000-0000-000007A50000}"/>
    <cellStyle name="Percent 35 4 2 3 2 3" xfId="21653" xr:uid="{00000000-0005-0000-0000-000008A50000}"/>
    <cellStyle name="Percent 35 4 2 3 2 3 2" xfId="41573" xr:uid="{00000000-0005-0000-0000-000009A50000}"/>
    <cellStyle name="Percent 35 4 2 3 2 4" xfId="29268" xr:uid="{00000000-0005-0000-0000-00000AA50000}"/>
    <cellStyle name="Percent 35 4 2 3 3" xfId="12435" xr:uid="{00000000-0005-0000-0000-00000BA50000}"/>
    <cellStyle name="Percent 35 4 2 3 3 2" xfId="32355" xr:uid="{00000000-0005-0000-0000-00000CA50000}"/>
    <cellStyle name="Percent 35 4 2 3 4" xfId="18587" xr:uid="{00000000-0005-0000-0000-00000DA50000}"/>
    <cellStyle name="Percent 35 4 2 3 4 2" xfId="38507" xr:uid="{00000000-0005-0000-0000-00000EA50000}"/>
    <cellStyle name="Percent 35 4 2 3 5" xfId="26202" xr:uid="{00000000-0005-0000-0000-00000FA50000}"/>
    <cellStyle name="Percent 35 4 2 4" xfId="7773" xr:uid="{00000000-0005-0000-0000-000010A50000}"/>
    <cellStyle name="Percent 35 4 2 4 2" xfId="13967" xr:uid="{00000000-0005-0000-0000-000011A50000}"/>
    <cellStyle name="Percent 35 4 2 4 2 2" xfId="33887" xr:uid="{00000000-0005-0000-0000-000012A50000}"/>
    <cellStyle name="Percent 35 4 2 4 3" xfId="20119" xr:uid="{00000000-0005-0000-0000-000013A50000}"/>
    <cellStyle name="Percent 35 4 2 4 3 2" xfId="40039" xr:uid="{00000000-0005-0000-0000-000014A50000}"/>
    <cellStyle name="Percent 35 4 2 4 4" xfId="27734" xr:uid="{00000000-0005-0000-0000-000015A50000}"/>
    <cellStyle name="Percent 35 4 2 5" xfId="10901" xr:uid="{00000000-0005-0000-0000-000016A50000}"/>
    <cellStyle name="Percent 35 4 2 5 2" xfId="30821" xr:uid="{00000000-0005-0000-0000-000017A50000}"/>
    <cellStyle name="Percent 35 4 2 6" xfId="17053" xr:uid="{00000000-0005-0000-0000-000018A50000}"/>
    <cellStyle name="Percent 35 4 2 6 2" xfId="36973" xr:uid="{00000000-0005-0000-0000-000019A50000}"/>
    <cellStyle name="Percent 35 4 2 7" xfId="24668" xr:uid="{00000000-0005-0000-0000-00001AA50000}"/>
    <cellStyle name="Percent 35 5" xfId="4344" xr:uid="{00000000-0005-0000-0000-00001BA50000}"/>
    <cellStyle name="Percent 35 5 2" xfId="5367" xr:uid="{00000000-0005-0000-0000-00001CA50000}"/>
    <cellStyle name="Percent 35 5 2 2" xfId="6992" xr:uid="{00000000-0005-0000-0000-00001DA50000}"/>
    <cellStyle name="Percent 35 5 2 2 2" xfId="10078" xr:uid="{00000000-0005-0000-0000-00001EA50000}"/>
    <cellStyle name="Percent 35 5 2 2 2 2" xfId="16271" xr:uid="{00000000-0005-0000-0000-00001FA50000}"/>
    <cellStyle name="Percent 35 5 2 2 2 2 2" xfId="36191" xr:uid="{00000000-0005-0000-0000-000020A50000}"/>
    <cellStyle name="Percent 35 5 2 2 2 3" xfId="22423" xr:uid="{00000000-0005-0000-0000-000021A50000}"/>
    <cellStyle name="Percent 35 5 2 2 2 3 2" xfId="42343" xr:uid="{00000000-0005-0000-0000-000022A50000}"/>
    <cellStyle name="Percent 35 5 2 2 2 4" xfId="30038" xr:uid="{00000000-0005-0000-0000-000023A50000}"/>
    <cellStyle name="Percent 35 5 2 2 3" xfId="13205" xr:uid="{00000000-0005-0000-0000-000024A50000}"/>
    <cellStyle name="Percent 35 5 2 2 3 2" xfId="33125" xr:uid="{00000000-0005-0000-0000-000025A50000}"/>
    <cellStyle name="Percent 35 5 2 2 4" xfId="19357" xr:uid="{00000000-0005-0000-0000-000026A50000}"/>
    <cellStyle name="Percent 35 5 2 2 4 2" xfId="39277" xr:uid="{00000000-0005-0000-0000-000027A50000}"/>
    <cellStyle name="Percent 35 5 2 2 5" xfId="26972" xr:uid="{00000000-0005-0000-0000-000028A50000}"/>
    <cellStyle name="Percent 35 5 2 3" xfId="8543" xr:uid="{00000000-0005-0000-0000-000029A50000}"/>
    <cellStyle name="Percent 35 5 2 3 2" xfId="14737" xr:uid="{00000000-0005-0000-0000-00002AA50000}"/>
    <cellStyle name="Percent 35 5 2 3 2 2" xfId="34657" xr:uid="{00000000-0005-0000-0000-00002BA50000}"/>
    <cellStyle name="Percent 35 5 2 3 3" xfId="20889" xr:uid="{00000000-0005-0000-0000-00002CA50000}"/>
    <cellStyle name="Percent 35 5 2 3 3 2" xfId="40809" xr:uid="{00000000-0005-0000-0000-00002DA50000}"/>
    <cellStyle name="Percent 35 5 2 3 4" xfId="28504" xr:uid="{00000000-0005-0000-0000-00002EA50000}"/>
    <cellStyle name="Percent 35 5 2 4" xfId="11671" xr:uid="{00000000-0005-0000-0000-00002FA50000}"/>
    <cellStyle name="Percent 35 5 2 4 2" xfId="31591" xr:uid="{00000000-0005-0000-0000-000030A50000}"/>
    <cellStyle name="Percent 35 5 2 5" xfId="17823" xr:uid="{00000000-0005-0000-0000-000031A50000}"/>
    <cellStyle name="Percent 35 5 2 5 2" xfId="37743" xr:uid="{00000000-0005-0000-0000-000032A50000}"/>
    <cellStyle name="Percent 35 5 2 6" xfId="25438" xr:uid="{00000000-0005-0000-0000-000033A50000}"/>
    <cellStyle name="Percent 35 5 3" xfId="6222" xr:uid="{00000000-0005-0000-0000-000034A50000}"/>
    <cellStyle name="Percent 35 5 3 2" xfId="9309" xr:uid="{00000000-0005-0000-0000-000035A50000}"/>
    <cellStyle name="Percent 35 5 3 2 2" xfId="15502" xr:uid="{00000000-0005-0000-0000-000036A50000}"/>
    <cellStyle name="Percent 35 5 3 2 2 2" xfId="35422" xr:uid="{00000000-0005-0000-0000-000037A50000}"/>
    <cellStyle name="Percent 35 5 3 2 3" xfId="21654" xr:uid="{00000000-0005-0000-0000-000038A50000}"/>
    <cellStyle name="Percent 35 5 3 2 3 2" xfId="41574" xr:uid="{00000000-0005-0000-0000-000039A50000}"/>
    <cellStyle name="Percent 35 5 3 2 4" xfId="29269" xr:uid="{00000000-0005-0000-0000-00003AA50000}"/>
    <cellStyle name="Percent 35 5 3 3" xfId="12436" xr:uid="{00000000-0005-0000-0000-00003BA50000}"/>
    <cellStyle name="Percent 35 5 3 3 2" xfId="32356" xr:uid="{00000000-0005-0000-0000-00003CA50000}"/>
    <cellStyle name="Percent 35 5 3 4" xfId="18588" xr:uid="{00000000-0005-0000-0000-00003DA50000}"/>
    <cellStyle name="Percent 35 5 3 4 2" xfId="38508" xr:uid="{00000000-0005-0000-0000-00003EA50000}"/>
    <cellStyle name="Percent 35 5 3 5" xfId="26203" xr:uid="{00000000-0005-0000-0000-00003FA50000}"/>
    <cellStyle name="Percent 35 5 4" xfId="7774" xr:uid="{00000000-0005-0000-0000-000040A50000}"/>
    <cellStyle name="Percent 35 5 4 2" xfId="13968" xr:uid="{00000000-0005-0000-0000-000041A50000}"/>
    <cellStyle name="Percent 35 5 4 2 2" xfId="33888" xr:uid="{00000000-0005-0000-0000-000042A50000}"/>
    <cellStyle name="Percent 35 5 4 3" xfId="20120" xr:uid="{00000000-0005-0000-0000-000043A50000}"/>
    <cellStyle name="Percent 35 5 4 3 2" xfId="40040" xr:uid="{00000000-0005-0000-0000-000044A50000}"/>
    <cellStyle name="Percent 35 5 4 4" xfId="27735" xr:uid="{00000000-0005-0000-0000-000045A50000}"/>
    <cellStyle name="Percent 35 5 5" xfId="10902" xr:uid="{00000000-0005-0000-0000-000046A50000}"/>
    <cellStyle name="Percent 35 5 5 2" xfId="30822" xr:uid="{00000000-0005-0000-0000-000047A50000}"/>
    <cellStyle name="Percent 35 5 6" xfId="17054" xr:uid="{00000000-0005-0000-0000-000048A50000}"/>
    <cellStyle name="Percent 35 5 6 2" xfId="36974" xr:uid="{00000000-0005-0000-0000-000049A50000}"/>
    <cellStyle name="Percent 35 5 7" xfId="24669" xr:uid="{00000000-0005-0000-0000-00004AA50000}"/>
    <cellStyle name="Percent 36" xfId="4345" xr:uid="{00000000-0005-0000-0000-00004BA50000}"/>
    <cellStyle name="Percent 37" xfId="4346" xr:uid="{00000000-0005-0000-0000-00004CA50000}"/>
    <cellStyle name="Percent 38" xfId="4347" xr:uid="{00000000-0005-0000-0000-00004DA50000}"/>
    <cellStyle name="Percent 39" xfId="4348" xr:uid="{00000000-0005-0000-0000-00004EA50000}"/>
    <cellStyle name="Percent 4" xfId="34" xr:uid="{00000000-0005-0000-0000-00004FA50000}"/>
    <cellStyle name="Percent 4 10" xfId="263" xr:uid="{00000000-0005-0000-0000-000050A50000}"/>
    <cellStyle name="Percent 4 10 2" xfId="1142" xr:uid="{00000000-0005-0000-0000-000051A50000}"/>
    <cellStyle name="Percent 4 11" xfId="279" xr:uid="{00000000-0005-0000-0000-000052A50000}"/>
    <cellStyle name="Percent 4 12" xfId="291" xr:uid="{00000000-0005-0000-0000-000053A50000}"/>
    <cellStyle name="Percent 4 13" xfId="303" xr:uid="{00000000-0005-0000-0000-000054A50000}"/>
    <cellStyle name="Percent 4 14" xfId="267" xr:uid="{00000000-0005-0000-0000-000055A50000}"/>
    <cellStyle name="Percent 4 15" xfId="342" xr:uid="{00000000-0005-0000-0000-000056A50000}"/>
    <cellStyle name="Percent 4 16" xfId="344" xr:uid="{00000000-0005-0000-0000-000057A50000}"/>
    <cellStyle name="Percent 4 17" xfId="362" xr:uid="{00000000-0005-0000-0000-000058A50000}"/>
    <cellStyle name="Percent 4 18" xfId="356" xr:uid="{00000000-0005-0000-0000-000059A50000}"/>
    <cellStyle name="Percent 4 19" xfId="385" xr:uid="{00000000-0005-0000-0000-00005AA50000}"/>
    <cellStyle name="Percent 4 2" xfId="133" xr:uid="{00000000-0005-0000-0000-00005BA50000}"/>
    <cellStyle name="Percent 4 2 2" xfId="4351" xr:uid="{00000000-0005-0000-0000-00005CA50000}"/>
    <cellStyle name="Percent 4 2 2 2" xfId="4352" xr:uid="{00000000-0005-0000-0000-00005DA50000}"/>
    <cellStyle name="Percent 4 2 2 3" xfId="4353" xr:uid="{00000000-0005-0000-0000-00005EA50000}"/>
    <cellStyle name="Percent 4 2 3" xfId="4350" xr:uid="{00000000-0005-0000-0000-00005FA50000}"/>
    <cellStyle name="Percent 4 20" xfId="394" xr:uid="{00000000-0005-0000-0000-000060A50000}"/>
    <cellStyle name="Percent 4 21" xfId="484" xr:uid="{00000000-0005-0000-0000-000061A50000}"/>
    <cellStyle name="Percent 4 22" xfId="537" xr:uid="{00000000-0005-0000-0000-000062A50000}"/>
    <cellStyle name="Percent 4 23" xfId="563" xr:uid="{00000000-0005-0000-0000-000063A50000}"/>
    <cellStyle name="Percent 4 24" xfId="533" xr:uid="{00000000-0005-0000-0000-000064A50000}"/>
    <cellStyle name="Percent 4 25" xfId="562" xr:uid="{00000000-0005-0000-0000-000065A50000}"/>
    <cellStyle name="Percent 4 26" xfId="560" xr:uid="{00000000-0005-0000-0000-000066A50000}"/>
    <cellStyle name="Percent 4 27" xfId="567" xr:uid="{00000000-0005-0000-0000-000067A50000}"/>
    <cellStyle name="Percent 4 28" xfId="599" xr:uid="{00000000-0005-0000-0000-000068A50000}"/>
    <cellStyle name="Percent 4 3" xfId="151" xr:uid="{00000000-0005-0000-0000-000069A50000}"/>
    <cellStyle name="Percent 4 3 2" xfId="4354" xr:uid="{00000000-0005-0000-0000-00006AA50000}"/>
    <cellStyle name="Percent 4 4" xfId="157" xr:uid="{00000000-0005-0000-0000-00006BA50000}"/>
    <cellStyle name="Percent 4 4 2" xfId="4355" xr:uid="{00000000-0005-0000-0000-00006CA50000}"/>
    <cellStyle name="Percent 4 5" xfId="160" xr:uid="{00000000-0005-0000-0000-00006DA50000}"/>
    <cellStyle name="Percent 4 5 2" xfId="4356" xr:uid="{00000000-0005-0000-0000-00006EA50000}"/>
    <cellStyle name="Percent 4 6" xfId="169" xr:uid="{00000000-0005-0000-0000-00006FA50000}"/>
    <cellStyle name="Percent 4 6 2" xfId="4357" xr:uid="{00000000-0005-0000-0000-000070A50000}"/>
    <cellStyle name="Percent 4 7" xfId="203" xr:uid="{00000000-0005-0000-0000-000071A50000}"/>
    <cellStyle name="Percent 4 7 2" xfId="4579" xr:uid="{00000000-0005-0000-0000-000072A50000}"/>
    <cellStyle name="Percent 4 8" xfId="233" xr:uid="{00000000-0005-0000-0000-000073A50000}"/>
    <cellStyle name="Percent 4 8 2" xfId="4349" xr:uid="{00000000-0005-0000-0000-000074A50000}"/>
    <cellStyle name="Percent 4 9" xfId="248" xr:uid="{00000000-0005-0000-0000-000075A50000}"/>
    <cellStyle name="Percent 4 9 2" xfId="10119" xr:uid="{00000000-0005-0000-0000-000076A50000}"/>
    <cellStyle name="Percent 40" xfId="4358" xr:uid="{00000000-0005-0000-0000-000077A50000}"/>
    <cellStyle name="Percent 41" xfId="4359" xr:uid="{00000000-0005-0000-0000-000078A50000}"/>
    <cellStyle name="Percent 42" xfId="4360" xr:uid="{00000000-0005-0000-0000-000079A50000}"/>
    <cellStyle name="Percent 43" xfId="4361" xr:uid="{00000000-0005-0000-0000-00007AA50000}"/>
    <cellStyle name="Percent 44" xfId="4362" xr:uid="{00000000-0005-0000-0000-00007BA50000}"/>
    <cellStyle name="Percent 45" xfId="4363" xr:uid="{00000000-0005-0000-0000-00007CA50000}"/>
    <cellStyle name="Percent 46" xfId="4364" xr:uid="{00000000-0005-0000-0000-00007DA50000}"/>
    <cellStyle name="Percent 47" xfId="4365" xr:uid="{00000000-0005-0000-0000-00007EA50000}"/>
    <cellStyle name="Percent 48" xfId="4366" xr:uid="{00000000-0005-0000-0000-00007FA50000}"/>
    <cellStyle name="Percent 49" xfId="4367" xr:uid="{00000000-0005-0000-0000-000080A50000}"/>
    <cellStyle name="Percent 5" xfId="35" xr:uid="{00000000-0005-0000-0000-000081A50000}"/>
    <cellStyle name="Percent 5 10" xfId="302" xr:uid="{00000000-0005-0000-0000-000082A50000}"/>
    <cellStyle name="Percent 5 10 2" xfId="798" xr:uid="{00000000-0005-0000-0000-000083A50000}"/>
    <cellStyle name="Percent 5 10 2 2" xfId="23680" xr:uid="{00000000-0005-0000-0000-000084A50000}"/>
    <cellStyle name="Percent 5 10 3" xfId="10161" xr:uid="{00000000-0005-0000-0000-000085A50000}"/>
    <cellStyle name="Percent 5 10 3 2" xfId="30081" xr:uid="{00000000-0005-0000-0000-000086A50000}"/>
    <cellStyle name="Percent 5 10 4" xfId="22763" xr:uid="{00000000-0005-0000-0000-000087A50000}"/>
    <cellStyle name="Percent 5 10 4 2" xfId="42674" xr:uid="{00000000-0005-0000-0000-000088A50000}"/>
    <cellStyle name="Percent 5 10 5" xfId="23066" xr:uid="{00000000-0005-0000-0000-000089A50000}"/>
    <cellStyle name="Percent 5 10 5 2" xfId="42977" xr:uid="{00000000-0005-0000-0000-00008AA50000}"/>
    <cellStyle name="Percent 5 10 6" xfId="23377" xr:uid="{00000000-0005-0000-0000-00008BA50000}"/>
    <cellStyle name="Percent 5 11" xfId="313" xr:uid="{00000000-0005-0000-0000-00008CA50000}"/>
    <cellStyle name="Percent 5 11 2" xfId="801" xr:uid="{00000000-0005-0000-0000-00008DA50000}"/>
    <cellStyle name="Percent 5 11 2 2" xfId="23683" xr:uid="{00000000-0005-0000-0000-00008EA50000}"/>
    <cellStyle name="Percent 5 11 3" xfId="16313" xr:uid="{00000000-0005-0000-0000-00008FA50000}"/>
    <cellStyle name="Percent 5 11 3 2" xfId="36233" xr:uid="{00000000-0005-0000-0000-000090A50000}"/>
    <cellStyle name="Percent 5 11 4" xfId="22766" xr:uid="{00000000-0005-0000-0000-000091A50000}"/>
    <cellStyle name="Percent 5 11 4 2" xfId="42677" xr:uid="{00000000-0005-0000-0000-000092A50000}"/>
    <cellStyle name="Percent 5 11 5" xfId="23069" xr:uid="{00000000-0005-0000-0000-000093A50000}"/>
    <cellStyle name="Percent 5 11 5 2" xfId="42980" xr:uid="{00000000-0005-0000-0000-000094A50000}"/>
    <cellStyle name="Percent 5 11 6" xfId="23380" xr:uid="{00000000-0005-0000-0000-000095A50000}"/>
    <cellStyle name="Percent 5 12" xfId="321" xr:uid="{00000000-0005-0000-0000-000096A50000}"/>
    <cellStyle name="Percent 5 12 2" xfId="804" xr:uid="{00000000-0005-0000-0000-000097A50000}"/>
    <cellStyle name="Percent 5 12 2 2" xfId="23686" xr:uid="{00000000-0005-0000-0000-000098A50000}"/>
    <cellStyle name="Percent 5 12 3" xfId="1161" xr:uid="{00000000-0005-0000-0000-000099A50000}"/>
    <cellStyle name="Percent 5 12 3 2" xfId="23928" xr:uid="{00000000-0005-0000-0000-00009AA50000}"/>
    <cellStyle name="Percent 5 12 4" xfId="22769" xr:uid="{00000000-0005-0000-0000-00009BA50000}"/>
    <cellStyle name="Percent 5 12 4 2" xfId="42680" xr:uid="{00000000-0005-0000-0000-00009CA50000}"/>
    <cellStyle name="Percent 5 12 5" xfId="23072" xr:uid="{00000000-0005-0000-0000-00009DA50000}"/>
    <cellStyle name="Percent 5 12 5 2" xfId="42983" xr:uid="{00000000-0005-0000-0000-00009EA50000}"/>
    <cellStyle name="Percent 5 12 6" xfId="23383" xr:uid="{00000000-0005-0000-0000-00009FA50000}"/>
    <cellStyle name="Percent 5 13" xfId="324" xr:uid="{00000000-0005-0000-0000-0000A0A50000}"/>
    <cellStyle name="Percent 5 13 2" xfId="807" xr:uid="{00000000-0005-0000-0000-0000A1A50000}"/>
    <cellStyle name="Percent 5 13 2 2" xfId="23689" xr:uid="{00000000-0005-0000-0000-0000A2A50000}"/>
    <cellStyle name="Percent 5 13 3" xfId="22672" xr:uid="{00000000-0005-0000-0000-0000A3A50000}"/>
    <cellStyle name="Percent 5 13 3 2" xfId="42583" xr:uid="{00000000-0005-0000-0000-0000A4A50000}"/>
    <cellStyle name="Percent 5 13 4" xfId="22772" xr:uid="{00000000-0005-0000-0000-0000A5A50000}"/>
    <cellStyle name="Percent 5 13 4 2" xfId="42683" xr:uid="{00000000-0005-0000-0000-0000A6A50000}"/>
    <cellStyle name="Percent 5 13 5" xfId="23075" xr:uid="{00000000-0005-0000-0000-0000A7A50000}"/>
    <cellStyle name="Percent 5 13 5 2" xfId="42986" xr:uid="{00000000-0005-0000-0000-0000A8A50000}"/>
    <cellStyle name="Percent 5 13 6" xfId="23386" xr:uid="{00000000-0005-0000-0000-0000A9A50000}"/>
    <cellStyle name="Percent 5 14" xfId="327" xr:uid="{00000000-0005-0000-0000-0000AAA50000}"/>
    <cellStyle name="Percent 5 14 2" xfId="810" xr:uid="{00000000-0005-0000-0000-0000ABA50000}"/>
    <cellStyle name="Percent 5 14 2 2" xfId="23692" xr:uid="{00000000-0005-0000-0000-0000ACA50000}"/>
    <cellStyle name="Percent 5 14 3" xfId="22589" xr:uid="{00000000-0005-0000-0000-0000ADA50000}"/>
    <cellStyle name="Percent 5 14 3 2" xfId="42500" xr:uid="{00000000-0005-0000-0000-0000AEA50000}"/>
    <cellStyle name="Percent 5 14 4" xfId="22775" xr:uid="{00000000-0005-0000-0000-0000AFA50000}"/>
    <cellStyle name="Percent 5 14 4 2" xfId="42686" xr:uid="{00000000-0005-0000-0000-0000B0A50000}"/>
    <cellStyle name="Percent 5 14 5" xfId="23078" xr:uid="{00000000-0005-0000-0000-0000B1A50000}"/>
    <cellStyle name="Percent 5 14 5 2" xfId="42989" xr:uid="{00000000-0005-0000-0000-0000B2A50000}"/>
    <cellStyle name="Percent 5 14 6" xfId="23389" xr:uid="{00000000-0005-0000-0000-0000B3A50000}"/>
    <cellStyle name="Percent 5 15" xfId="392" xr:uid="{00000000-0005-0000-0000-0000B4A50000}"/>
    <cellStyle name="Percent 5 15 2" xfId="826" xr:uid="{00000000-0005-0000-0000-0000B5A50000}"/>
    <cellStyle name="Percent 5 15 2 2" xfId="23708" xr:uid="{00000000-0005-0000-0000-0000B6A50000}"/>
    <cellStyle name="Percent 5 15 3" xfId="22532" xr:uid="{00000000-0005-0000-0000-0000B7A50000}"/>
    <cellStyle name="Percent 5 15 3 2" xfId="42443" xr:uid="{00000000-0005-0000-0000-0000B8A50000}"/>
    <cellStyle name="Percent 5 15 4" xfId="22791" xr:uid="{00000000-0005-0000-0000-0000B9A50000}"/>
    <cellStyle name="Percent 5 15 4 2" xfId="42702" xr:uid="{00000000-0005-0000-0000-0000BAA50000}"/>
    <cellStyle name="Percent 5 15 5" xfId="23094" xr:uid="{00000000-0005-0000-0000-0000BBA50000}"/>
    <cellStyle name="Percent 5 15 5 2" xfId="43005" xr:uid="{00000000-0005-0000-0000-0000BCA50000}"/>
    <cellStyle name="Percent 5 15 6" xfId="23405" xr:uid="{00000000-0005-0000-0000-0000BDA50000}"/>
    <cellStyle name="Percent 5 16" xfId="422" xr:uid="{00000000-0005-0000-0000-0000BEA50000}"/>
    <cellStyle name="Percent 5 16 2" xfId="842" xr:uid="{00000000-0005-0000-0000-0000BFA50000}"/>
    <cellStyle name="Percent 5 16 2 2" xfId="23724" xr:uid="{00000000-0005-0000-0000-0000C0A50000}"/>
    <cellStyle name="Percent 5 16 3" xfId="22565" xr:uid="{00000000-0005-0000-0000-0000C1A50000}"/>
    <cellStyle name="Percent 5 16 3 2" xfId="42476" xr:uid="{00000000-0005-0000-0000-0000C2A50000}"/>
    <cellStyle name="Percent 5 16 4" xfId="22807" xr:uid="{00000000-0005-0000-0000-0000C3A50000}"/>
    <cellStyle name="Percent 5 16 4 2" xfId="42718" xr:uid="{00000000-0005-0000-0000-0000C4A50000}"/>
    <cellStyle name="Percent 5 16 5" xfId="23110" xr:uid="{00000000-0005-0000-0000-0000C5A50000}"/>
    <cellStyle name="Percent 5 16 5 2" xfId="43021" xr:uid="{00000000-0005-0000-0000-0000C6A50000}"/>
    <cellStyle name="Percent 5 16 6" xfId="23421" xr:uid="{00000000-0005-0000-0000-0000C7A50000}"/>
    <cellStyle name="Percent 5 17" xfId="449" xr:uid="{00000000-0005-0000-0000-0000C8A50000}"/>
    <cellStyle name="Percent 5 17 2" xfId="858" xr:uid="{00000000-0005-0000-0000-0000C9A50000}"/>
    <cellStyle name="Percent 5 17 2 2" xfId="23740" xr:uid="{00000000-0005-0000-0000-0000CAA50000}"/>
    <cellStyle name="Percent 5 17 3" xfId="22551" xr:uid="{00000000-0005-0000-0000-0000CBA50000}"/>
    <cellStyle name="Percent 5 17 3 2" xfId="42462" xr:uid="{00000000-0005-0000-0000-0000CCA50000}"/>
    <cellStyle name="Percent 5 17 4" xfId="22823" xr:uid="{00000000-0005-0000-0000-0000CDA50000}"/>
    <cellStyle name="Percent 5 17 4 2" xfId="42734" xr:uid="{00000000-0005-0000-0000-0000CEA50000}"/>
    <cellStyle name="Percent 5 17 5" xfId="23126" xr:uid="{00000000-0005-0000-0000-0000CFA50000}"/>
    <cellStyle name="Percent 5 17 5 2" xfId="43037" xr:uid="{00000000-0005-0000-0000-0000D0A50000}"/>
    <cellStyle name="Percent 5 17 6" xfId="23437" xr:uid="{00000000-0005-0000-0000-0000D1A50000}"/>
    <cellStyle name="Percent 5 18" xfId="475" xr:uid="{00000000-0005-0000-0000-0000D2A50000}"/>
    <cellStyle name="Percent 5 18 2" xfId="874" xr:uid="{00000000-0005-0000-0000-0000D3A50000}"/>
    <cellStyle name="Percent 5 18 2 2" xfId="23756" xr:uid="{00000000-0005-0000-0000-0000D4A50000}"/>
    <cellStyle name="Percent 5 18 3" xfId="22488" xr:uid="{00000000-0005-0000-0000-0000D5A50000}"/>
    <cellStyle name="Percent 5 18 3 2" xfId="42399" xr:uid="{00000000-0005-0000-0000-0000D6A50000}"/>
    <cellStyle name="Percent 5 18 4" xfId="22839" xr:uid="{00000000-0005-0000-0000-0000D7A50000}"/>
    <cellStyle name="Percent 5 18 4 2" xfId="42750" xr:uid="{00000000-0005-0000-0000-0000D8A50000}"/>
    <cellStyle name="Percent 5 18 5" xfId="23142" xr:uid="{00000000-0005-0000-0000-0000D9A50000}"/>
    <cellStyle name="Percent 5 18 5 2" xfId="43053" xr:uid="{00000000-0005-0000-0000-0000DAA50000}"/>
    <cellStyle name="Percent 5 18 6" xfId="23453" xr:uid="{00000000-0005-0000-0000-0000DBA50000}"/>
    <cellStyle name="Percent 5 19" xfId="501" xr:uid="{00000000-0005-0000-0000-0000DCA50000}"/>
    <cellStyle name="Percent 5 19 2" xfId="890" xr:uid="{00000000-0005-0000-0000-0000DDA50000}"/>
    <cellStyle name="Percent 5 19 2 2" xfId="23772" xr:uid="{00000000-0005-0000-0000-0000DEA50000}"/>
    <cellStyle name="Percent 5 19 3" xfId="22527" xr:uid="{00000000-0005-0000-0000-0000DFA50000}"/>
    <cellStyle name="Percent 5 19 3 2" xfId="42438" xr:uid="{00000000-0005-0000-0000-0000E0A50000}"/>
    <cellStyle name="Percent 5 19 4" xfId="22855" xr:uid="{00000000-0005-0000-0000-0000E1A50000}"/>
    <cellStyle name="Percent 5 19 4 2" xfId="42766" xr:uid="{00000000-0005-0000-0000-0000E2A50000}"/>
    <cellStyle name="Percent 5 19 5" xfId="23158" xr:uid="{00000000-0005-0000-0000-0000E3A50000}"/>
    <cellStyle name="Percent 5 19 5 2" xfId="43069" xr:uid="{00000000-0005-0000-0000-0000E4A50000}"/>
    <cellStyle name="Percent 5 19 6" xfId="23469" xr:uid="{00000000-0005-0000-0000-0000E5A50000}"/>
    <cellStyle name="Percent 5 2" xfId="178" xr:uid="{00000000-0005-0000-0000-0000E6A50000}"/>
    <cellStyle name="Percent 5 2 10" xfId="10167" xr:uid="{00000000-0005-0000-0000-0000E7A50000}"/>
    <cellStyle name="Percent 5 2 10 2" xfId="30087" xr:uid="{00000000-0005-0000-0000-0000E8A50000}"/>
    <cellStyle name="Percent 5 2 11" xfId="16319" xr:uid="{00000000-0005-0000-0000-0000E9A50000}"/>
    <cellStyle name="Percent 5 2 11 2" xfId="36239" xr:uid="{00000000-0005-0000-0000-0000EAA50000}"/>
    <cellStyle name="Percent 5 2 12" xfId="1176" xr:uid="{00000000-0005-0000-0000-0000EBA50000}"/>
    <cellStyle name="Percent 5 2 12 2" xfId="23934" xr:uid="{00000000-0005-0000-0000-0000ECA50000}"/>
    <cellStyle name="Percent 5 2 13" xfId="22739" xr:uid="{00000000-0005-0000-0000-0000EDA50000}"/>
    <cellStyle name="Percent 5 2 13 2" xfId="42650" xr:uid="{00000000-0005-0000-0000-0000EEA50000}"/>
    <cellStyle name="Percent 5 2 14" xfId="23042" xr:uid="{00000000-0005-0000-0000-0000EFA50000}"/>
    <cellStyle name="Percent 5 2 14 2" xfId="42953" xr:uid="{00000000-0005-0000-0000-0000F0A50000}"/>
    <cellStyle name="Percent 5 2 15" xfId="23353" xr:uid="{00000000-0005-0000-0000-0000F1A50000}"/>
    <cellStyle name="Percent 5 2 2" xfId="774" xr:uid="{00000000-0005-0000-0000-0000F2A50000}"/>
    <cellStyle name="Percent 5 2 2 10" xfId="1195" xr:uid="{00000000-0005-0000-0000-0000F3A50000}"/>
    <cellStyle name="Percent 5 2 2 10 2" xfId="23945" xr:uid="{00000000-0005-0000-0000-0000F4A50000}"/>
    <cellStyle name="Percent 5 2 2 11" xfId="23656" xr:uid="{00000000-0005-0000-0000-0000F5A50000}"/>
    <cellStyle name="Percent 5 2 2 2" xfId="4607" xr:uid="{00000000-0005-0000-0000-0000F6A50000}"/>
    <cellStyle name="Percent 5 2 2 2 2" xfId="5383" xr:uid="{00000000-0005-0000-0000-0000F7A50000}"/>
    <cellStyle name="Percent 5 2 2 2 2 2" xfId="7008" xr:uid="{00000000-0005-0000-0000-0000F8A50000}"/>
    <cellStyle name="Percent 5 2 2 2 2 2 2" xfId="10094" xr:uid="{00000000-0005-0000-0000-0000F9A50000}"/>
    <cellStyle name="Percent 5 2 2 2 2 2 2 2" xfId="16287" xr:uid="{00000000-0005-0000-0000-0000FAA50000}"/>
    <cellStyle name="Percent 5 2 2 2 2 2 2 2 2" xfId="36207" xr:uid="{00000000-0005-0000-0000-0000FBA50000}"/>
    <cellStyle name="Percent 5 2 2 2 2 2 2 3" xfId="22439" xr:uid="{00000000-0005-0000-0000-0000FCA50000}"/>
    <cellStyle name="Percent 5 2 2 2 2 2 2 3 2" xfId="42359" xr:uid="{00000000-0005-0000-0000-0000FDA50000}"/>
    <cellStyle name="Percent 5 2 2 2 2 2 2 4" xfId="30054" xr:uid="{00000000-0005-0000-0000-0000FEA50000}"/>
    <cellStyle name="Percent 5 2 2 2 2 2 3" xfId="13221" xr:uid="{00000000-0005-0000-0000-0000FFA50000}"/>
    <cellStyle name="Percent 5 2 2 2 2 2 3 2" xfId="33141" xr:uid="{00000000-0005-0000-0000-000000A60000}"/>
    <cellStyle name="Percent 5 2 2 2 2 2 4" xfId="19373" xr:uid="{00000000-0005-0000-0000-000001A60000}"/>
    <cellStyle name="Percent 5 2 2 2 2 2 4 2" xfId="39293" xr:uid="{00000000-0005-0000-0000-000002A60000}"/>
    <cellStyle name="Percent 5 2 2 2 2 2 5" xfId="26988" xr:uid="{00000000-0005-0000-0000-000003A60000}"/>
    <cellStyle name="Percent 5 2 2 2 2 3" xfId="8559" xr:uid="{00000000-0005-0000-0000-000004A60000}"/>
    <cellStyle name="Percent 5 2 2 2 2 3 2" xfId="14753" xr:uid="{00000000-0005-0000-0000-000005A60000}"/>
    <cellStyle name="Percent 5 2 2 2 2 3 2 2" xfId="34673" xr:uid="{00000000-0005-0000-0000-000006A60000}"/>
    <cellStyle name="Percent 5 2 2 2 2 3 3" xfId="20905" xr:uid="{00000000-0005-0000-0000-000007A60000}"/>
    <cellStyle name="Percent 5 2 2 2 2 3 3 2" xfId="40825" xr:uid="{00000000-0005-0000-0000-000008A60000}"/>
    <cellStyle name="Percent 5 2 2 2 2 3 4" xfId="28520" xr:uid="{00000000-0005-0000-0000-000009A60000}"/>
    <cellStyle name="Percent 5 2 2 2 2 4" xfId="11687" xr:uid="{00000000-0005-0000-0000-00000AA60000}"/>
    <cellStyle name="Percent 5 2 2 2 2 4 2" xfId="31607" xr:uid="{00000000-0005-0000-0000-00000BA60000}"/>
    <cellStyle name="Percent 5 2 2 2 2 5" xfId="17839" xr:uid="{00000000-0005-0000-0000-00000CA60000}"/>
    <cellStyle name="Percent 5 2 2 2 2 5 2" xfId="37759" xr:uid="{00000000-0005-0000-0000-00000DA60000}"/>
    <cellStyle name="Percent 5 2 2 2 2 6" xfId="25454" xr:uid="{00000000-0005-0000-0000-00000EA60000}"/>
    <cellStyle name="Percent 5 2 2 2 3" xfId="6239" xr:uid="{00000000-0005-0000-0000-00000FA60000}"/>
    <cellStyle name="Percent 5 2 2 2 3 2" xfId="9325" xr:uid="{00000000-0005-0000-0000-000010A60000}"/>
    <cellStyle name="Percent 5 2 2 2 3 2 2" xfId="15518" xr:uid="{00000000-0005-0000-0000-000011A60000}"/>
    <cellStyle name="Percent 5 2 2 2 3 2 2 2" xfId="35438" xr:uid="{00000000-0005-0000-0000-000012A60000}"/>
    <cellStyle name="Percent 5 2 2 2 3 2 3" xfId="21670" xr:uid="{00000000-0005-0000-0000-000013A60000}"/>
    <cellStyle name="Percent 5 2 2 2 3 2 3 2" xfId="41590" xr:uid="{00000000-0005-0000-0000-000014A60000}"/>
    <cellStyle name="Percent 5 2 2 2 3 2 4" xfId="29285" xr:uid="{00000000-0005-0000-0000-000015A60000}"/>
    <cellStyle name="Percent 5 2 2 2 3 3" xfId="12452" xr:uid="{00000000-0005-0000-0000-000016A60000}"/>
    <cellStyle name="Percent 5 2 2 2 3 3 2" xfId="32372" xr:uid="{00000000-0005-0000-0000-000017A60000}"/>
    <cellStyle name="Percent 5 2 2 2 3 4" xfId="18604" xr:uid="{00000000-0005-0000-0000-000018A60000}"/>
    <cellStyle name="Percent 5 2 2 2 3 4 2" xfId="38524" xr:uid="{00000000-0005-0000-0000-000019A60000}"/>
    <cellStyle name="Percent 5 2 2 2 3 5" xfId="26219" xr:uid="{00000000-0005-0000-0000-00001AA60000}"/>
    <cellStyle name="Percent 5 2 2 2 4" xfId="7790" xr:uid="{00000000-0005-0000-0000-00001BA60000}"/>
    <cellStyle name="Percent 5 2 2 2 4 2" xfId="13984" xr:uid="{00000000-0005-0000-0000-00001CA60000}"/>
    <cellStyle name="Percent 5 2 2 2 4 2 2" xfId="33904" xr:uid="{00000000-0005-0000-0000-00001DA60000}"/>
    <cellStyle name="Percent 5 2 2 2 4 3" xfId="20136" xr:uid="{00000000-0005-0000-0000-00001EA60000}"/>
    <cellStyle name="Percent 5 2 2 2 4 3 2" xfId="40056" xr:uid="{00000000-0005-0000-0000-00001FA60000}"/>
    <cellStyle name="Percent 5 2 2 2 4 4" xfId="27751" xr:uid="{00000000-0005-0000-0000-000020A60000}"/>
    <cellStyle name="Percent 5 2 2 2 5" xfId="10133" xr:uid="{00000000-0005-0000-0000-000021A60000}"/>
    <cellStyle name="Percent 5 2 2 2 5 2" xfId="16305" xr:uid="{00000000-0005-0000-0000-000022A60000}"/>
    <cellStyle name="Percent 5 2 2 2 5 2 2" xfId="36225" xr:uid="{00000000-0005-0000-0000-000023A60000}"/>
    <cellStyle name="Percent 5 2 2 2 5 3" xfId="22457" xr:uid="{00000000-0005-0000-0000-000024A60000}"/>
    <cellStyle name="Percent 5 2 2 2 5 3 2" xfId="42377" xr:uid="{00000000-0005-0000-0000-000025A60000}"/>
    <cellStyle name="Percent 5 2 2 2 5 4" xfId="30072" xr:uid="{00000000-0005-0000-0000-000026A60000}"/>
    <cellStyle name="Percent 5 2 2 2 6" xfId="10918" xr:uid="{00000000-0005-0000-0000-000027A60000}"/>
    <cellStyle name="Percent 5 2 2 2 6 2" xfId="30838" xr:uid="{00000000-0005-0000-0000-000028A60000}"/>
    <cellStyle name="Percent 5 2 2 2 7" xfId="17070" xr:uid="{00000000-0005-0000-0000-000029A60000}"/>
    <cellStyle name="Percent 5 2 2 2 7 2" xfId="36990" xr:uid="{00000000-0005-0000-0000-00002AA60000}"/>
    <cellStyle name="Percent 5 2 2 2 8" xfId="24685" xr:uid="{00000000-0005-0000-0000-00002BA60000}"/>
    <cellStyle name="Percent 5 2 2 3" xfId="4370" xr:uid="{00000000-0005-0000-0000-00002CA60000}"/>
    <cellStyle name="Percent 5 2 2 4" xfId="4643" xr:uid="{00000000-0005-0000-0000-00002DA60000}"/>
    <cellStyle name="Percent 5 2 2 4 2" xfId="6268" xr:uid="{00000000-0005-0000-0000-00002EA60000}"/>
    <cellStyle name="Percent 5 2 2 4 2 2" xfId="9354" xr:uid="{00000000-0005-0000-0000-00002FA60000}"/>
    <cellStyle name="Percent 5 2 2 4 2 2 2" xfId="15547" xr:uid="{00000000-0005-0000-0000-000030A60000}"/>
    <cellStyle name="Percent 5 2 2 4 2 2 2 2" xfId="35467" xr:uid="{00000000-0005-0000-0000-000031A60000}"/>
    <cellStyle name="Percent 5 2 2 4 2 2 3" xfId="21699" xr:uid="{00000000-0005-0000-0000-000032A60000}"/>
    <cellStyle name="Percent 5 2 2 4 2 2 3 2" xfId="41619" xr:uid="{00000000-0005-0000-0000-000033A60000}"/>
    <cellStyle name="Percent 5 2 2 4 2 2 4" xfId="29314" xr:uid="{00000000-0005-0000-0000-000034A60000}"/>
    <cellStyle name="Percent 5 2 2 4 2 3" xfId="12481" xr:uid="{00000000-0005-0000-0000-000035A60000}"/>
    <cellStyle name="Percent 5 2 2 4 2 3 2" xfId="32401" xr:uid="{00000000-0005-0000-0000-000036A60000}"/>
    <cellStyle name="Percent 5 2 2 4 2 4" xfId="18633" xr:uid="{00000000-0005-0000-0000-000037A60000}"/>
    <cellStyle name="Percent 5 2 2 4 2 4 2" xfId="38553" xr:uid="{00000000-0005-0000-0000-000038A60000}"/>
    <cellStyle name="Percent 5 2 2 4 2 5" xfId="26248" xr:uid="{00000000-0005-0000-0000-000039A60000}"/>
    <cellStyle name="Percent 5 2 2 4 3" xfId="7819" xr:uid="{00000000-0005-0000-0000-00003AA60000}"/>
    <cellStyle name="Percent 5 2 2 4 3 2" xfId="14013" xr:uid="{00000000-0005-0000-0000-00003BA60000}"/>
    <cellStyle name="Percent 5 2 2 4 3 2 2" xfId="33933" xr:uid="{00000000-0005-0000-0000-00003CA60000}"/>
    <cellStyle name="Percent 5 2 2 4 3 3" xfId="20165" xr:uid="{00000000-0005-0000-0000-00003DA60000}"/>
    <cellStyle name="Percent 5 2 2 4 3 3 2" xfId="40085" xr:uid="{00000000-0005-0000-0000-00003EA60000}"/>
    <cellStyle name="Percent 5 2 2 4 3 4" xfId="27780" xr:uid="{00000000-0005-0000-0000-00003FA60000}"/>
    <cellStyle name="Percent 5 2 2 4 4" xfId="10947" xr:uid="{00000000-0005-0000-0000-000040A60000}"/>
    <cellStyle name="Percent 5 2 2 4 4 2" xfId="30867" xr:uid="{00000000-0005-0000-0000-000041A60000}"/>
    <cellStyle name="Percent 5 2 2 4 5" xfId="17099" xr:uid="{00000000-0005-0000-0000-000042A60000}"/>
    <cellStyle name="Percent 5 2 2 4 5 2" xfId="37019" xr:uid="{00000000-0005-0000-0000-000043A60000}"/>
    <cellStyle name="Percent 5 2 2 4 6" xfId="24714" xr:uid="{00000000-0005-0000-0000-000044A60000}"/>
    <cellStyle name="Percent 5 2 2 5" xfId="5482" xr:uid="{00000000-0005-0000-0000-000045A60000}"/>
    <cellStyle name="Percent 5 2 2 5 2" xfId="8585" xr:uid="{00000000-0005-0000-0000-000046A60000}"/>
    <cellStyle name="Percent 5 2 2 5 2 2" xfId="14778" xr:uid="{00000000-0005-0000-0000-000047A60000}"/>
    <cellStyle name="Percent 5 2 2 5 2 2 2" xfId="34698" xr:uid="{00000000-0005-0000-0000-000048A60000}"/>
    <cellStyle name="Percent 5 2 2 5 2 3" xfId="20930" xr:uid="{00000000-0005-0000-0000-000049A60000}"/>
    <cellStyle name="Percent 5 2 2 5 2 3 2" xfId="40850" xr:uid="{00000000-0005-0000-0000-00004AA60000}"/>
    <cellStyle name="Percent 5 2 2 5 2 4" xfId="28545" xr:uid="{00000000-0005-0000-0000-00004BA60000}"/>
    <cellStyle name="Percent 5 2 2 5 3" xfId="11712" xr:uid="{00000000-0005-0000-0000-00004CA60000}"/>
    <cellStyle name="Percent 5 2 2 5 3 2" xfId="31632" xr:uid="{00000000-0005-0000-0000-00004DA60000}"/>
    <cellStyle name="Percent 5 2 2 5 4" xfId="17864" xr:uid="{00000000-0005-0000-0000-00004EA60000}"/>
    <cellStyle name="Percent 5 2 2 5 4 2" xfId="37784" xr:uid="{00000000-0005-0000-0000-00004FA60000}"/>
    <cellStyle name="Percent 5 2 2 5 5" xfId="25479" xr:uid="{00000000-0005-0000-0000-000050A60000}"/>
    <cellStyle name="Percent 5 2 2 6" xfId="7050" xr:uid="{00000000-0005-0000-0000-000051A60000}"/>
    <cellStyle name="Percent 5 2 2 6 2" xfId="13244" xr:uid="{00000000-0005-0000-0000-000052A60000}"/>
    <cellStyle name="Percent 5 2 2 6 2 2" xfId="33164" xr:uid="{00000000-0005-0000-0000-000053A60000}"/>
    <cellStyle name="Percent 5 2 2 6 3" xfId="19396" xr:uid="{00000000-0005-0000-0000-000054A60000}"/>
    <cellStyle name="Percent 5 2 2 6 3 2" xfId="39316" xr:uid="{00000000-0005-0000-0000-000055A60000}"/>
    <cellStyle name="Percent 5 2 2 6 4" xfId="27011" xr:uid="{00000000-0005-0000-0000-000056A60000}"/>
    <cellStyle name="Percent 5 2 2 7" xfId="10122" xr:uid="{00000000-0005-0000-0000-000057A60000}"/>
    <cellStyle name="Percent 5 2 2 7 2" xfId="16296" xr:uid="{00000000-0005-0000-0000-000058A60000}"/>
    <cellStyle name="Percent 5 2 2 7 2 2" xfId="36216" xr:uid="{00000000-0005-0000-0000-000059A60000}"/>
    <cellStyle name="Percent 5 2 2 7 3" xfId="22448" xr:uid="{00000000-0005-0000-0000-00005AA60000}"/>
    <cellStyle name="Percent 5 2 2 7 3 2" xfId="42368" xr:uid="{00000000-0005-0000-0000-00005BA60000}"/>
    <cellStyle name="Percent 5 2 2 7 4" xfId="30063" xr:uid="{00000000-0005-0000-0000-00005CA60000}"/>
    <cellStyle name="Percent 5 2 2 8" xfId="10178" xr:uid="{00000000-0005-0000-0000-00005DA60000}"/>
    <cellStyle name="Percent 5 2 2 8 2" xfId="30098" xr:uid="{00000000-0005-0000-0000-00005EA60000}"/>
    <cellStyle name="Percent 5 2 2 9" xfId="16330" xr:uid="{00000000-0005-0000-0000-00005FA60000}"/>
    <cellStyle name="Percent 5 2 2 9 2" xfId="36250" xr:uid="{00000000-0005-0000-0000-000060A60000}"/>
    <cellStyle name="Percent 5 2 3" xfId="4371" xr:uid="{00000000-0005-0000-0000-000061A60000}"/>
    <cellStyle name="Percent 5 2 3 2" xfId="10132" xr:uid="{00000000-0005-0000-0000-000062A60000}"/>
    <cellStyle name="Percent 5 2 3 2 2" xfId="16304" xr:uid="{00000000-0005-0000-0000-000063A60000}"/>
    <cellStyle name="Percent 5 2 3 2 2 2" xfId="36224" xr:uid="{00000000-0005-0000-0000-000064A60000}"/>
    <cellStyle name="Percent 5 2 3 2 3" xfId="22456" xr:uid="{00000000-0005-0000-0000-000065A60000}"/>
    <cellStyle name="Percent 5 2 3 2 3 2" xfId="42376" xr:uid="{00000000-0005-0000-0000-000066A60000}"/>
    <cellStyle name="Percent 5 2 3 2 4" xfId="30071" xr:uid="{00000000-0005-0000-0000-000067A60000}"/>
    <cellStyle name="Percent 5 2 4" xfId="4590" xr:uid="{00000000-0005-0000-0000-000068A60000}"/>
    <cellStyle name="Percent 5 2 4 2" xfId="5374" xr:uid="{00000000-0005-0000-0000-000069A60000}"/>
    <cellStyle name="Percent 5 2 4 2 2" xfId="6999" xr:uid="{00000000-0005-0000-0000-00006AA60000}"/>
    <cellStyle name="Percent 5 2 4 2 2 2" xfId="10085" xr:uid="{00000000-0005-0000-0000-00006BA60000}"/>
    <cellStyle name="Percent 5 2 4 2 2 2 2" xfId="16278" xr:uid="{00000000-0005-0000-0000-00006CA60000}"/>
    <cellStyle name="Percent 5 2 4 2 2 2 2 2" xfId="36198" xr:uid="{00000000-0005-0000-0000-00006DA60000}"/>
    <cellStyle name="Percent 5 2 4 2 2 2 3" xfId="22430" xr:uid="{00000000-0005-0000-0000-00006EA60000}"/>
    <cellStyle name="Percent 5 2 4 2 2 2 3 2" xfId="42350" xr:uid="{00000000-0005-0000-0000-00006FA60000}"/>
    <cellStyle name="Percent 5 2 4 2 2 2 4" xfId="30045" xr:uid="{00000000-0005-0000-0000-000070A60000}"/>
    <cellStyle name="Percent 5 2 4 2 2 3" xfId="13212" xr:uid="{00000000-0005-0000-0000-000071A60000}"/>
    <cellStyle name="Percent 5 2 4 2 2 3 2" xfId="33132" xr:uid="{00000000-0005-0000-0000-000072A60000}"/>
    <cellStyle name="Percent 5 2 4 2 2 4" xfId="19364" xr:uid="{00000000-0005-0000-0000-000073A60000}"/>
    <cellStyle name="Percent 5 2 4 2 2 4 2" xfId="39284" xr:uid="{00000000-0005-0000-0000-000074A60000}"/>
    <cellStyle name="Percent 5 2 4 2 2 5" xfId="26979" xr:uid="{00000000-0005-0000-0000-000075A60000}"/>
    <cellStyle name="Percent 5 2 4 2 3" xfId="8550" xr:uid="{00000000-0005-0000-0000-000076A60000}"/>
    <cellStyle name="Percent 5 2 4 2 3 2" xfId="14744" xr:uid="{00000000-0005-0000-0000-000077A60000}"/>
    <cellStyle name="Percent 5 2 4 2 3 2 2" xfId="34664" xr:uid="{00000000-0005-0000-0000-000078A60000}"/>
    <cellStyle name="Percent 5 2 4 2 3 3" xfId="20896" xr:uid="{00000000-0005-0000-0000-000079A60000}"/>
    <cellStyle name="Percent 5 2 4 2 3 3 2" xfId="40816" xr:uid="{00000000-0005-0000-0000-00007AA60000}"/>
    <cellStyle name="Percent 5 2 4 2 3 4" xfId="28511" xr:uid="{00000000-0005-0000-0000-00007BA60000}"/>
    <cellStyle name="Percent 5 2 4 2 4" xfId="11678" xr:uid="{00000000-0005-0000-0000-00007CA60000}"/>
    <cellStyle name="Percent 5 2 4 2 4 2" xfId="31598" xr:uid="{00000000-0005-0000-0000-00007DA60000}"/>
    <cellStyle name="Percent 5 2 4 2 5" xfId="17830" xr:uid="{00000000-0005-0000-0000-00007EA60000}"/>
    <cellStyle name="Percent 5 2 4 2 5 2" xfId="37750" xr:uid="{00000000-0005-0000-0000-00007FA60000}"/>
    <cellStyle name="Percent 5 2 4 2 6" xfId="25445" xr:uid="{00000000-0005-0000-0000-000080A60000}"/>
    <cellStyle name="Percent 5 2 4 3" xfId="6230" xr:uid="{00000000-0005-0000-0000-000081A60000}"/>
    <cellStyle name="Percent 5 2 4 3 2" xfId="9316" xr:uid="{00000000-0005-0000-0000-000082A60000}"/>
    <cellStyle name="Percent 5 2 4 3 2 2" xfId="15509" xr:uid="{00000000-0005-0000-0000-000083A60000}"/>
    <cellStyle name="Percent 5 2 4 3 2 2 2" xfId="35429" xr:uid="{00000000-0005-0000-0000-000084A60000}"/>
    <cellStyle name="Percent 5 2 4 3 2 3" xfId="21661" xr:uid="{00000000-0005-0000-0000-000085A60000}"/>
    <cellStyle name="Percent 5 2 4 3 2 3 2" xfId="41581" xr:uid="{00000000-0005-0000-0000-000086A60000}"/>
    <cellStyle name="Percent 5 2 4 3 2 4" xfId="29276" xr:uid="{00000000-0005-0000-0000-000087A60000}"/>
    <cellStyle name="Percent 5 2 4 3 3" xfId="12443" xr:uid="{00000000-0005-0000-0000-000088A60000}"/>
    <cellStyle name="Percent 5 2 4 3 3 2" xfId="32363" xr:uid="{00000000-0005-0000-0000-000089A60000}"/>
    <cellStyle name="Percent 5 2 4 3 4" xfId="18595" xr:uid="{00000000-0005-0000-0000-00008AA60000}"/>
    <cellStyle name="Percent 5 2 4 3 4 2" xfId="38515" xr:uid="{00000000-0005-0000-0000-00008BA60000}"/>
    <cellStyle name="Percent 5 2 4 3 5" xfId="26210" xr:uid="{00000000-0005-0000-0000-00008CA60000}"/>
    <cellStyle name="Percent 5 2 4 4" xfId="7781" xr:uid="{00000000-0005-0000-0000-00008DA60000}"/>
    <cellStyle name="Percent 5 2 4 4 2" xfId="13975" xr:uid="{00000000-0005-0000-0000-00008EA60000}"/>
    <cellStyle name="Percent 5 2 4 4 2 2" xfId="33895" xr:uid="{00000000-0005-0000-0000-00008FA60000}"/>
    <cellStyle name="Percent 5 2 4 4 3" xfId="20127" xr:uid="{00000000-0005-0000-0000-000090A60000}"/>
    <cellStyle name="Percent 5 2 4 4 3 2" xfId="40047" xr:uid="{00000000-0005-0000-0000-000091A60000}"/>
    <cellStyle name="Percent 5 2 4 4 4" xfId="27742" xr:uid="{00000000-0005-0000-0000-000092A60000}"/>
    <cellStyle name="Percent 5 2 4 5" xfId="10909" xr:uid="{00000000-0005-0000-0000-000093A60000}"/>
    <cellStyle name="Percent 5 2 4 5 2" xfId="30829" xr:uid="{00000000-0005-0000-0000-000094A60000}"/>
    <cellStyle name="Percent 5 2 4 6" xfId="17061" xr:uid="{00000000-0005-0000-0000-000095A60000}"/>
    <cellStyle name="Percent 5 2 4 6 2" xfId="36981" xr:uid="{00000000-0005-0000-0000-000096A60000}"/>
    <cellStyle name="Percent 5 2 4 7" xfId="24676" xr:uid="{00000000-0005-0000-0000-000097A60000}"/>
    <cellStyle name="Percent 5 2 5" xfId="4369" xr:uid="{00000000-0005-0000-0000-000098A60000}"/>
    <cellStyle name="Percent 5 2 6" xfId="4632" xr:uid="{00000000-0005-0000-0000-000099A60000}"/>
    <cellStyle name="Percent 5 2 6 2" xfId="6257" xr:uid="{00000000-0005-0000-0000-00009AA60000}"/>
    <cellStyle name="Percent 5 2 6 2 2" xfId="9343" xr:uid="{00000000-0005-0000-0000-00009BA60000}"/>
    <cellStyle name="Percent 5 2 6 2 2 2" xfId="15536" xr:uid="{00000000-0005-0000-0000-00009CA60000}"/>
    <cellStyle name="Percent 5 2 6 2 2 2 2" xfId="35456" xr:uid="{00000000-0005-0000-0000-00009DA60000}"/>
    <cellStyle name="Percent 5 2 6 2 2 3" xfId="21688" xr:uid="{00000000-0005-0000-0000-00009EA60000}"/>
    <cellStyle name="Percent 5 2 6 2 2 3 2" xfId="41608" xr:uid="{00000000-0005-0000-0000-00009FA60000}"/>
    <cellStyle name="Percent 5 2 6 2 2 4" xfId="29303" xr:uid="{00000000-0005-0000-0000-0000A0A60000}"/>
    <cellStyle name="Percent 5 2 6 2 3" xfId="12470" xr:uid="{00000000-0005-0000-0000-0000A1A60000}"/>
    <cellStyle name="Percent 5 2 6 2 3 2" xfId="32390" xr:uid="{00000000-0005-0000-0000-0000A2A60000}"/>
    <cellStyle name="Percent 5 2 6 2 4" xfId="18622" xr:uid="{00000000-0005-0000-0000-0000A3A60000}"/>
    <cellStyle name="Percent 5 2 6 2 4 2" xfId="38542" xr:uid="{00000000-0005-0000-0000-0000A4A60000}"/>
    <cellStyle name="Percent 5 2 6 2 5" xfId="26237" xr:uid="{00000000-0005-0000-0000-0000A5A60000}"/>
    <cellStyle name="Percent 5 2 6 3" xfId="7808" xr:uid="{00000000-0005-0000-0000-0000A6A60000}"/>
    <cellStyle name="Percent 5 2 6 3 2" xfId="14002" xr:uid="{00000000-0005-0000-0000-0000A7A60000}"/>
    <cellStyle name="Percent 5 2 6 3 2 2" xfId="33922" xr:uid="{00000000-0005-0000-0000-0000A8A60000}"/>
    <cellStyle name="Percent 5 2 6 3 3" xfId="20154" xr:uid="{00000000-0005-0000-0000-0000A9A60000}"/>
    <cellStyle name="Percent 5 2 6 3 3 2" xfId="40074" xr:uid="{00000000-0005-0000-0000-0000AAA60000}"/>
    <cellStyle name="Percent 5 2 6 3 4" xfId="27769" xr:uid="{00000000-0005-0000-0000-0000ABA60000}"/>
    <cellStyle name="Percent 5 2 6 4" xfId="10936" xr:uid="{00000000-0005-0000-0000-0000ACA60000}"/>
    <cellStyle name="Percent 5 2 6 4 2" xfId="30856" xr:uid="{00000000-0005-0000-0000-0000ADA60000}"/>
    <cellStyle name="Percent 5 2 6 5" xfId="17088" xr:uid="{00000000-0005-0000-0000-0000AEA60000}"/>
    <cellStyle name="Percent 5 2 6 5 2" xfId="37008" xr:uid="{00000000-0005-0000-0000-0000AFA60000}"/>
    <cellStyle name="Percent 5 2 6 6" xfId="24703" xr:uid="{00000000-0005-0000-0000-0000B0A60000}"/>
    <cellStyle name="Percent 5 2 7" xfId="5470" xr:uid="{00000000-0005-0000-0000-0000B1A60000}"/>
    <cellStyle name="Percent 5 2 7 2" xfId="8574" xr:uid="{00000000-0005-0000-0000-0000B2A60000}"/>
    <cellStyle name="Percent 5 2 7 2 2" xfId="14767" xr:uid="{00000000-0005-0000-0000-0000B3A60000}"/>
    <cellStyle name="Percent 5 2 7 2 2 2" xfId="34687" xr:uid="{00000000-0005-0000-0000-0000B4A60000}"/>
    <cellStyle name="Percent 5 2 7 2 3" xfId="20919" xr:uid="{00000000-0005-0000-0000-0000B5A60000}"/>
    <cellStyle name="Percent 5 2 7 2 3 2" xfId="40839" xr:uid="{00000000-0005-0000-0000-0000B6A60000}"/>
    <cellStyle name="Percent 5 2 7 2 4" xfId="28534" xr:uid="{00000000-0005-0000-0000-0000B7A60000}"/>
    <cellStyle name="Percent 5 2 7 3" xfId="11701" xr:uid="{00000000-0005-0000-0000-0000B8A60000}"/>
    <cellStyle name="Percent 5 2 7 3 2" xfId="31621" xr:uid="{00000000-0005-0000-0000-0000B9A60000}"/>
    <cellStyle name="Percent 5 2 7 4" xfId="17853" xr:uid="{00000000-0005-0000-0000-0000BAA60000}"/>
    <cellStyle name="Percent 5 2 7 4 2" xfId="37773" xr:uid="{00000000-0005-0000-0000-0000BBA60000}"/>
    <cellStyle name="Percent 5 2 7 5" xfId="25468" xr:uid="{00000000-0005-0000-0000-0000BCA60000}"/>
    <cellStyle name="Percent 5 2 8" xfId="7039" xr:uid="{00000000-0005-0000-0000-0000BDA60000}"/>
    <cellStyle name="Percent 5 2 8 2" xfId="13233" xr:uid="{00000000-0005-0000-0000-0000BEA60000}"/>
    <cellStyle name="Percent 5 2 8 2 2" xfId="33153" xr:uid="{00000000-0005-0000-0000-0000BFA60000}"/>
    <cellStyle name="Percent 5 2 8 3" xfId="19385" xr:uid="{00000000-0005-0000-0000-0000C0A60000}"/>
    <cellStyle name="Percent 5 2 8 3 2" xfId="39305" xr:uid="{00000000-0005-0000-0000-0000C1A60000}"/>
    <cellStyle name="Percent 5 2 8 4" xfId="27000" xr:uid="{00000000-0005-0000-0000-0000C2A60000}"/>
    <cellStyle name="Percent 5 2 9" xfId="10121" xr:uid="{00000000-0005-0000-0000-0000C3A60000}"/>
    <cellStyle name="Percent 5 2 9 2" xfId="16295" xr:uid="{00000000-0005-0000-0000-0000C4A60000}"/>
    <cellStyle name="Percent 5 2 9 2 2" xfId="36215" xr:uid="{00000000-0005-0000-0000-0000C5A60000}"/>
    <cellStyle name="Percent 5 2 9 3" xfId="22447" xr:uid="{00000000-0005-0000-0000-0000C6A60000}"/>
    <cellStyle name="Percent 5 2 9 3 2" xfId="42367" xr:uid="{00000000-0005-0000-0000-0000C7A60000}"/>
    <cellStyle name="Percent 5 2 9 4" xfId="30062" xr:uid="{00000000-0005-0000-0000-0000C8A60000}"/>
    <cellStyle name="Percent 5 20" xfId="525" xr:uid="{00000000-0005-0000-0000-0000C9A60000}"/>
    <cellStyle name="Percent 5 20 2" xfId="906" xr:uid="{00000000-0005-0000-0000-0000CAA60000}"/>
    <cellStyle name="Percent 5 20 2 2" xfId="23788" xr:uid="{00000000-0005-0000-0000-0000CBA60000}"/>
    <cellStyle name="Percent 5 20 3" xfId="22608" xr:uid="{00000000-0005-0000-0000-0000CCA60000}"/>
    <cellStyle name="Percent 5 20 3 2" xfId="42519" xr:uid="{00000000-0005-0000-0000-0000CDA60000}"/>
    <cellStyle name="Percent 5 20 4" xfId="22871" xr:uid="{00000000-0005-0000-0000-0000CEA60000}"/>
    <cellStyle name="Percent 5 20 4 2" xfId="42782" xr:uid="{00000000-0005-0000-0000-0000CFA60000}"/>
    <cellStyle name="Percent 5 20 5" xfId="23174" xr:uid="{00000000-0005-0000-0000-0000D0A60000}"/>
    <cellStyle name="Percent 5 20 5 2" xfId="43085" xr:uid="{00000000-0005-0000-0000-0000D1A60000}"/>
    <cellStyle name="Percent 5 20 6" xfId="23485" xr:uid="{00000000-0005-0000-0000-0000D2A60000}"/>
    <cellStyle name="Percent 5 21" xfId="551" xr:uid="{00000000-0005-0000-0000-0000D3A60000}"/>
    <cellStyle name="Percent 5 21 2" xfId="922" xr:uid="{00000000-0005-0000-0000-0000D4A60000}"/>
    <cellStyle name="Percent 5 21 2 2" xfId="23804" xr:uid="{00000000-0005-0000-0000-0000D5A60000}"/>
    <cellStyle name="Percent 5 21 3" xfId="22634" xr:uid="{00000000-0005-0000-0000-0000D6A60000}"/>
    <cellStyle name="Percent 5 21 3 2" xfId="42545" xr:uid="{00000000-0005-0000-0000-0000D7A60000}"/>
    <cellStyle name="Percent 5 21 4" xfId="22887" xr:uid="{00000000-0005-0000-0000-0000D8A60000}"/>
    <cellStyle name="Percent 5 21 4 2" xfId="42798" xr:uid="{00000000-0005-0000-0000-0000D9A60000}"/>
    <cellStyle name="Percent 5 21 5" xfId="23190" xr:uid="{00000000-0005-0000-0000-0000DAA60000}"/>
    <cellStyle name="Percent 5 21 5 2" xfId="43101" xr:uid="{00000000-0005-0000-0000-0000DBA60000}"/>
    <cellStyle name="Percent 5 21 6" xfId="23501" xr:uid="{00000000-0005-0000-0000-0000DCA60000}"/>
    <cellStyle name="Percent 5 22" xfId="591" xr:uid="{00000000-0005-0000-0000-0000DDA60000}"/>
    <cellStyle name="Percent 5 22 2" xfId="938" xr:uid="{00000000-0005-0000-0000-0000DEA60000}"/>
    <cellStyle name="Percent 5 22 2 2" xfId="23820" xr:uid="{00000000-0005-0000-0000-0000DFA60000}"/>
    <cellStyle name="Percent 5 22 3" xfId="22525" xr:uid="{00000000-0005-0000-0000-0000E0A60000}"/>
    <cellStyle name="Percent 5 22 3 2" xfId="42436" xr:uid="{00000000-0005-0000-0000-0000E1A60000}"/>
    <cellStyle name="Percent 5 22 4" xfId="22903" xr:uid="{00000000-0005-0000-0000-0000E2A60000}"/>
    <cellStyle name="Percent 5 22 4 2" xfId="42814" xr:uid="{00000000-0005-0000-0000-0000E3A60000}"/>
    <cellStyle name="Percent 5 22 5" xfId="23206" xr:uid="{00000000-0005-0000-0000-0000E4A60000}"/>
    <cellStyle name="Percent 5 22 5 2" xfId="43117" xr:uid="{00000000-0005-0000-0000-0000E5A60000}"/>
    <cellStyle name="Percent 5 22 6" xfId="23517" xr:uid="{00000000-0005-0000-0000-0000E6A60000}"/>
    <cellStyle name="Percent 5 23" xfId="619" xr:uid="{00000000-0005-0000-0000-0000E7A60000}"/>
    <cellStyle name="Percent 5 23 2" xfId="954" xr:uid="{00000000-0005-0000-0000-0000E8A60000}"/>
    <cellStyle name="Percent 5 23 2 2" xfId="23836" xr:uid="{00000000-0005-0000-0000-0000E9A60000}"/>
    <cellStyle name="Percent 5 23 3" xfId="22618" xr:uid="{00000000-0005-0000-0000-0000EAA60000}"/>
    <cellStyle name="Percent 5 23 3 2" xfId="42529" xr:uid="{00000000-0005-0000-0000-0000EBA60000}"/>
    <cellStyle name="Percent 5 23 4" xfId="22919" xr:uid="{00000000-0005-0000-0000-0000ECA60000}"/>
    <cellStyle name="Percent 5 23 4 2" xfId="42830" xr:uid="{00000000-0005-0000-0000-0000EDA60000}"/>
    <cellStyle name="Percent 5 23 5" xfId="23222" xr:uid="{00000000-0005-0000-0000-0000EEA60000}"/>
    <cellStyle name="Percent 5 23 5 2" xfId="43133" xr:uid="{00000000-0005-0000-0000-0000EFA60000}"/>
    <cellStyle name="Percent 5 23 6" xfId="23533" xr:uid="{00000000-0005-0000-0000-0000F0A60000}"/>
    <cellStyle name="Percent 5 24" xfId="645" xr:uid="{00000000-0005-0000-0000-0000F1A60000}"/>
    <cellStyle name="Percent 5 24 2" xfId="970" xr:uid="{00000000-0005-0000-0000-0000F2A60000}"/>
    <cellStyle name="Percent 5 24 2 2" xfId="23852" xr:uid="{00000000-0005-0000-0000-0000F3A60000}"/>
    <cellStyle name="Percent 5 24 3" xfId="22586" xr:uid="{00000000-0005-0000-0000-0000F4A60000}"/>
    <cellStyle name="Percent 5 24 3 2" xfId="42497" xr:uid="{00000000-0005-0000-0000-0000F5A60000}"/>
    <cellStyle name="Percent 5 24 4" xfId="22935" xr:uid="{00000000-0005-0000-0000-0000F6A60000}"/>
    <cellStyle name="Percent 5 24 4 2" xfId="42846" xr:uid="{00000000-0005-0000-0000-0000F7A60000}"/>
    <cellStyle name="Percent 5 24 5" xfId="23238" xr:uid="{00000000-0005-0000-0000-0000F8A60000}"/>
    <cellStyle name="Percent 5 24 5 2" xfId="43149" xr:uid="{00000000-0005-0000-0000-0000F9A60000}"/>
    <cellStyle name="Percent 5 24 6" xfId="23549" xr:uid="{00000000-0005-0000-0000-0000FAA60000}"/>
    <cellStyle name="Percent 5 25" xfId="670" xr:uid="{00000000-0005-0000-0000-0000FBA60000}"/>
    <cellStyle name="Percent 5 25 2" xfId="986" xr:uid="{00000000-0005-0000-0000-0000FCA60000}"/>
    <cellStyle name="Percent 5 25 2 2" xfId="23868" xr:uid="{00000000-0005-0000-0000-0000FDA60000}"/>
    <cellStyle name="Percent 5 25 3" xfId="22531" xr:uid="{00000000-0005-0000-0000-0000FEA60000}"/>
    <cellStyle name="Percent 5 25 3 2" xfId="42442" xr:uid="{00000000-0005-0000-0000-0000FFA60000}"/>
    <cellStyle name="Percent 5 25 4" xfId="22951" xr:uid="{00000000-0005-0000-0000-000000A70000}"/>
    <cellStyle name="Percent 5 25 4 2" xfId="42862" xr:uid="{00000000-0005-0000-0000-000001A70000}"/>
    <cellStyle name="Percent 5 25 5" xfId="23254" xr:uid="{00000000-0005-0000-0000-000002A70000}"/>
    <cellStyle name="Percent 5 25 5 2" xfId="43165" xr:uid="{00000000-0005-0000-0000-000003A70000}"/>
    <cellStyle name="Percent 5 25 6" xfId="23565" xr:uid="{00000000-0005-0000-0000-000004A70000}"/>
    <cellStyle name="Percent 5 26" xfId="694" xr:uid="{00000000-0005-0000-0000-000005A70000}"/>
    <cellStyle name="Percent 5 26 2" xfId="1002" xr:uid="{00000000-0005-0000-0000-000006A70000}"/>
    <cellStyle name="Percent 5 26 2 2" xfId="23884" xr:uid="{00000000-0005-0000-0000-000007A70000}"/>
    <cellStyle name="Percent 5 26 3" xfId="22670" xr:uid="{00000000-0005-0000-0000-000008A70000}"/>
    <cellStyle name="Percent 5 26 3 2" xfId="42581" xr:uid="{00000000-0005-0000-0000-000009A70000}"/>
    <cellStyle name="Percent 5 26 4" xfId="22967" xr:uid="{00000000-0005-0000-0000-00000AA70000}"/>
    <cellStyle name="Percent 5 26 4 2" xfId="42878" xr:uid="{00000000-0005-0000-0000-00000BA70000}"/>
    <cellStyle name="Percent 5 26 5" xfId="23270" xr:uid="{00000000-0005-0000-0000-00000CA70000}"/>
    <cellStyle name="Percent 5 26 5 2" xfId="43181" xr:uid="{00000000-0005-0000-0000-00000DA70000}"/>
    <cellStyle name="Percent 5 26 6" xfId="23581" xr:uid="{00000000-0005-0000-0000-00000EA70000}"/>
    <cellStyle name="Percent 5 27" xfId="710" xr:uid="{00000000-0005-0000-0000-00000FA70000}"/>
    <cellStyle name="Percent 5 27 2" xfId="1018" xr:uid="{00000000-0005-0000-0000-000010A70000}"/>
    <cellStyle name="Percent 5 27 2 2" xfId="23900" xr:uid="{00000000-0005-0000-0000-000011A70000}"/>
    <cellStyle name="Percent 5 27 3" xfId="22591" xr:uid="{00000000-0005-0000-0000-000012A70000}"/>
    <cellStyle name="Percent 5 27 3 2" xfId="42502" xr:uid="{00000000-0005-0000-0000-000013A70000}"/>
    <cellStyle name="Percent 5 27 4" xfId="22983" xr:uid="{00000000-0005-0000-0000-000014A70000}"/>
    <cellStyle name="Percent 5 27 4 2" xfId="42894" xr:uid="{00000000-0005-0000-0000-000015A70000}"/>
    <cellStyle name="Percent 5 27 5" xfId="23286" xr:uid="{00000000-0005-0000-0000-000016A70000}"/>
    <cellStyle name="Percent 5 27 5 2" xfId="43197" xr:uid="{00000000-0005-0000-0000-000017A70000}"/>
    <cellStyle name="Percent 5 27 6" xfId="23597" xr:uid="{00000000-0005-0000-0000-000018A70000}"/>
    <cellStyle name="Percent 5 28" xfId="726" xr:uid="{00000000-0005-0000-0000-000019A70000}"/>
    <cellStyle name="Percent 5 28 2" xfId="1034" xr:uid="{00000000-0005-0000-0000-00001AA70000}"/>
    <cellStyle name="Percent 5 28 2 2" xfId="23916" xr:uid="{00000000-0005-0000-0000-00001BA70000}"/>
    <cellStyle name="Percent 5 28 3" xfId="22578" xr:uid="{00000000-0005-0000-0000-00001CA70000}"/>
    <cellStyle name="Percent 5 28 3 2" xfId="42489" xr:uid="{00000000-0005-0000-0000-00001DA70000}"/>
    <cellStyle name="Percent 5 28 4" xfId="22999" xr:uid="{00000000-0005-0000-0000-00001EA70000}"/>
    <cellStyle name="Percent 5 28 4 2" xfId="42910" xr:uid="{00000000-0005-0000-0000-00001FA70000}"/>
    <cellStyle name="Percent 5 28 5" xfId="23302" xr:uid="{00000000-0005-0000-0000-000020A70000}"/>
    <cellStyle name="Percent 5 28 5 2" xfId="43213" xr:uid="{00000000-0005-0000-0000-000021A70000}"/>
    <cellStyle name="Percent 5 28 6" xfId="23613" xr:uid="{00000000-0005-0000-0000-000022A70000}"/>
    <cellStyle name="Percent 5 3" xfId="201" xr:uid="{00000000-0005-0000-0000-000023A70000}"/>
    <cellStyle name="Percent 5 3 10" xfId="1189" xr:uid="{00000000-0005-0000-0000-000024A70000}"/>
    <cellStyle name="Percent 5 3 10 2" xfId="23939" xr:uid="{00000000-0005-0000-0000-000025A70000}"/>
    <cellStyle name="Percent 5 3 11" xfId="22742" xr:uid="{00000000-0005-0000-0000-000026A70000}"/>
    <cellStyle name="Percent 5 3 11 2" xfId="42653" xr:uid="{00000000-0005-0000-0000-000027A70000}"/>
    <cellStyle name="Percent 5 3 12" xfId="23045" xr:uid="{00000000-0005-0000-0000-000028A70000}"/>
    <cellStyle name="Percent 5 3 12 2" xfId="42956" xr:uid="{00000000-0005-0000-0000-000029A70000}"/>
    <cellStyle name="Percent 5 3 13" xfId="23356" xr:uid="{00000000-0005-0000-0000-00002AA70000}"/>
    <cellStyle name="Percent 5 3 2" xfId="777" xr:uid="{00000000-0005-0000-0000-00002BA70000}"/>
    <cellStyle name="Percent 5 3 2 2" xfId="5378" xr:uid="{00000000-0005-0000-0000-00002CA70000}"/>
    <cellStyle name="Percent 5 3 2 2 2" xfId="7003" xr:uid="{00000000-0005-0000-0000-00002DA70000}"/>
    <cellStyle name="Percent 5 3 2 2 2 2" xfId="10089" xr:uid="{00000000-0005-0000-0000-00002EA70000}"/>
    <cellStyle name="Percent 5 3 2 2 2 2 2" xfId="16282" xr:uid="{00000000-0005-0000-0000-00002FA70000}"/>
    <cellStyle name="Percent 5 3 2 2 2 2 2 2" xfId="36202" xr:uid="{00000000-0005-0000-0000-000030A70000}"/>
    <cellStyle name="Percent 5 3 2 2 2 2 3" xfId="22434" xr:uid="{00000000-0005-0000-0000-000031A70000}"/>
    <cellStyle name="Percent 5 3 2 2 2 2 3 2" xfId="42354" xr:uid="{00000000-0005-0000-0000-000032A70000}"/>
    <cellStyle name="Percent 5 3 2 2 2 2 4" xfId="30049" xr:uid="{00000000-0005-0000-0000-000033A70000}"/>
    <cellStyle name="Percent 5 3 2 2 2 3" xfId="13216" xr:uid="{00000000-0005-0000-0000-000034A70000}"/>
    <cellStyle name="Percent 5 3 2 2 2 3 2" xfId="33136" xr:uid="{00000000-0005-0000-0000-000035A70000}"/>
    <cellStyle name="Percent 5 3 2 2 2 4" xfId="19368" xr:uid="{00000000-0005-0000-0000-000036A70000}"/>
    <cellStyle name="Percent 5 3 2 2 2 4 2" xfId="39288" xr:uid="{00000000-0005-0000-0000-000037A70000}"/>
    <cellStyle name="Percent 5 3 2 2 2 5" xfId="26983" xr:uid="{00000000-0005-0000-0000-000038A70000}"/>
    <cellStyle name="Percent 5 3 2 2 3" xfId="8554" xr:uid="{00000000-0005-0000-0000-000039A70000}"/>
    <cellStyle name="Percent 5 3 2 2 3 2" xfId="14748" xr:uid="{00000000-0005-0000-0000-00003AA70000}"/>
    <cellStyle name="Percent 5 3 2 2 3 2 2" xfId="34668" xr:uid="{00000000-0005-0000-0000-00003BA70000}"/>
    <cellStyle name="Percent 5 3 2 2 3 3" xfId="20900" xr:uid="{00000000-0005-0000-0000-00003CA70000}"/>
    <cellStyle name="Percent 5 3 2 2 3 3 2" xfId="40820" xr:uid="{00000000-0005-0000-0000-00003DA70000}"/>
    <cellStyle name="Percent 5 3 2 2 3 4" xfId="28515" xr:uid="{00000000-0005-0000-0000-00003EA70000}"/>
    <cellStyle name="Percent 5 3 2 2 4" xfId="11682" xr:uid="{00000000-0005-0000-0000-00003FA70000}"/>
    <cellStyle name="Percent 5 3 2 2 4 2" xfId="31602" xr:uid="{00000000-0005-0000-0000-000040A70000}"/>
    <cellStyle name="Percent 5 3 2 2 5" xfId="17834" xr:uid="{00000000-0005-0000-0000-000041A70000}"/>
    <cellStyle name="Percent 5 3 2 2 5 2" xfId="37754" xr:uid="{00000000-0005-0000-0000-000042A70000}"/>
    <cellStyle name="Percent 5 3 2 2 6" xfId="25449" xr:uid="{00000000-0005-0000-0000-000043A70000}"/>
    <cellStyle name="Percent 5 3 2 3" xfId="6234" xr:uid="{00000000-0005-0000-0000-000044A70000}"/>
    <cellStyle name="Percent 5 3 2 3 2" xfId="9320" xr:uid="{00000000-0005-0000-0000-000045A70000}"/>
    <cellStyle name="Percent 5 3 2 3 2 2" xfId="15513" xr:uid="{00000000-0005-0000-0000-000046A70000}"/>
    <cellStyle name="Percent 5 3 2 3 2 2 2" xfId="35433" xr:uid="{00000000-0005-0000-0000-000047A70000}"/>
    <cellStyle name="Percent 5 3 2 3 2 3" xfId="21665" xr:uid="{00000000-0005-0000-0000-000048A70000}"/>
    <cellStyle name="Percent 5 3 2 3 2 3 2" xfId="41585" xr:uid="{00000000-0005-0000-0000-000049A70000}"/>
    <cellStyle name="Percent 5 3 2 3 2 4" xfId="29280" xr:uid="{00000000-0005-0000-0000-00004AA70000}"/>
    <cellStyle name="Percent 5 3 2 3 3" xfId="12447" xr:uid="{00000000-0005-0000-0000-00004BA70000}"/>
    <cellStyle name="Percent 5 3 2 3 3 2" xfId="32367" xr:uid="{00000000-0005-0000-0000-00004CA70000}"/>
    <cellStyle name="Percent 5 3 2 3 4" xfId="18599" xr:uid="{00000000-0005-0000-0000-00004DA70000}"/>
    <cellStyle name="Percent 5 3 2 3 4 2" xfId="38519" xr:uid="{00000000-0005-0000-0000-00004EA70000}"/>
    <cellStyle name="Percent 5 3 2 3 5" xfId="26214" xr:uid="{00000000-0005-0000-0000-00004FA70000}"/>
    <cellStyle name="Percent 5 3 2 4" xfId="7785" xr:uid="{00000000-0005-0000-0000-000050A70000}"/>
    <cellStyle name="Percent 5 3 2 4 2" xfId="13979" xr:uid="{00000000-0005-0000-0000-000051A70000}"/>
    <cellStyle name="Percent 5 3 2 4 2 2" xfId="33899" xr:uid="{00000000-0005-0000-0000-000052A70000}"/>
    <cellStyle name="Percent 5 3 2 4 3" xfId="20131" xr:uid="{00000000-0005-0000-0000-000053A70000}"/>
    <cellStyle name="Percent 5 3 2 4 3 2" xfId="40051" xr:uid="{00000000-0005-0000-0000-000054A70000}"/>
    <cellStyle name="Percent 5 3 2 4 4" xfId="27746" xr:uid="{00000000-0005-0000-0000-000055A70000}"/>
    <cellStyle name="Percent 5 3 2 5" xfId="10913" xr:uid="{00000000-0005-0000-0000-000056A70000}"/>
    <cellStyle name="Percent 5 3 2 5 2" xfId="30833" xr:uid="{00000000-0005-0000-0000-000057A70000}"/>
    <cellStyle name="Percent 5 3 2 6" xfId="17065" xr:uid="{00000000-0005-0000-0000-000058A70000}"/>
    <cellStyle name="Percent 5 3 2 6 2" xfId="36985" xr:uid="{00000000-0005-0000-0000-000059A70000}"/>
    <cellStyle name="Percent 5 3 2 7" xfId="4602" xr:uid="{00000000-0005-0000-0000-00005AA70000}"/>
    <cellStyle name="Percent 5 3 2 7 2" xfId="24680" xr:uid="{00000000-0005-0000-0000-00005BA70000}"/>
    <cellStyle name="Percent 5 3 2 8" xfId="23659" xr:uid="{00000000-0005-0000-0000-00005CA70000}"/>
    <cellStyle name="Percent 5 3 3" xfId="4372" xr:uid="{00000000-0005-0000-0000-00005DA70000}"/>
    <cellStyle name="Percent 5 3 4" xfId="4637" xr:uid="{00000000-0005-0000-0000-00005EA70000}"/>
    <cellStyle name="Percent 5 3 4 2" xfId="6262" xr:uid="{00000000-0005-0000-0000-00005FA70000}"/>
    <cellStyle name="Percent 5 3 4 2 2" xfId="9348" xr:uid="{00000000-0005-0000-0000-000060A70000}"/>
    <cellStyle name="Percent 5 3 4 2 2 2" xfId="15541" xr:uid="{00000000-0005-0000-0000-000061A70000}"/>
    <cellStyle name="Percent 5 3 4 2 2 2 2" xfId="35461" xr:uid="{00000000-0005-0000-0000-000062A70000}"/>
    <cellStyle name="Percent 5 3 4 2 2 3" xfId="21693" xr:uid="{00000000-0005-0000-0000-000063A70000}"/>
    <cellStyle name="Percent 5 3 4 2 2 3 2" xfId="41613" xr:uid="{00000000-0005-0000-0000-000064A70000}"/>
    <cellStyle name="Percent 5 3 4 2 2 4" xfId="29308" xr:uid="{00000000-0005-0000-0000-000065A70000}"/>
    <cellStyle name="Percent 5 3 4 2 3" xfId="12475" xr:uid="{00000000-0005-0000-0000-000066A70000}"/>
    <cellStyle name="Percent 5 3 4 2 3 2" xfId="32395" xr:uid="{00000000-0005-0000-0000-000067A70000}"/>
    <cellStyle name="Percent 5 3 4 2 4" xfId="18627" xr:uid="{00000000-0005-0000-0000-000068A70000}"/>
    <cellStyle name="Percent 5 3 4 2 4 2" xfId="38547" xr:uid="{00000000-0005-0000-0000-000069A70000}"/>
    <cellStyle name="Percent 5 3 4 2 5" xfId="26242" xr:uid="{00000000-0005-0000-0000-00006AA70000}"/>
    <cellStyle name="Percent 5 3 4 3" xfId="7813" xr:uid="{00000000-0005-0000-0000-00006BA70000}"/>
    <cellStyle name="Percent 5 3 4 3 2" xfId="14007" xr:uid="{00000000-0005-0000-0000-00006CA70000}"/>
    <cellStyle name="Percent 5 3 4 3 2 2" xfId="33927" xr:uid="{00000000-0005-0000-0000-00006DA70000}"/>
    <cellStyle name="Percent 5 3 4 3 3" xfId="20159" xr:uid="{00000000-0005-0000-0000-00006EA70000}"/>
    <cellStyle name="Percent 5 3 4 3 3 2" xfId="40079" xr:uid="{00000000-0005-0000-0000-00006FA70000}"/>
    <cellStyle name="Percent 5 3 4 3 4" xfId="27774" xr:uid="{00000000-0005-0000-0000-000070A70000}"/>
    <cellStyle name="Percent 5 3 4 4" xfId="10941" xr:uid="{00000000-0005-0000-0000-000071A70000}"/>
    <cellStyle name="Percent 5 3 4 4 2" xfId="30861" xr:uid="{00000000-0005-0000-0000-000072A70000}"/>
    <cellStyle name="Percent 5 3 4 5" xfId="17093" xr:uid="{00000000-0005-0000-0000-000073A70000}"/>
    <cellStyle name="Percent 5 3 4 5 2" xfId="37013" xr:uid="{00000000-0005-0000-0000-000074A70000}"/>
    <cellStyle name="Percent 5 3 4 6" xfId="24708" xr:uid="{00000000-0005-0000-0000-000075A70000}"/>
    <cellStyle name="Percent 5 3 5" xfId="5476" xr:uid="{00000000-0005-0000-0000-000076A70000}"/>
    <cellStyle name="Percent 5 3 5 2" xfId="8579" xr:uid="{00000000-0005-0000-0000-000077A70000}"/>
    <cellStyle name="Percent 5 3 5 2 2" xfId="14772" xr:uid="{00000000-0005-0000-0000-000078A70000}"/>
    <cellStyle name="Percent 5 3 5 2 2 2" xfId="34692" xr:uid="{00000000-0005-0000-0000-000079A70000}"/>
    <cellStyle name="Percent 5 3 5 2 3" xfId="20924" xr:uid="{00000000-0005-0000-0000-00007AA70000}"/>
    <cellStyle name="Percent 5 3 5 2 3 2" xfId="40844" xr:uid="{00000000-0005-0000-0000-00007BA70000}"/>
    <cellStyle name="Percent 5 3 5 2 4" xfId="28539" xr:uid="{00000000-0005-0000-0000-00007CA70000}"/>
    <cellStyle name="Percent 5 3 5 3" xfId="11706" xr:uid="{00000000-0005-0000-0000-00007DA70000}"/>
    <cellStyle name="Percent 5 3 5 3 2" xfId="31626" xr:uid="{00000000-0005-0000-0000-00007EA70000}"/>
    <cellStyle name="Percent 5 3 5 4" xfId="17858" xr:uid="{00000000-0005-0000-0000-00007FA70000}"/>
    <cellStyle name="Percent 5 3 5 4 2" xfId="37778" xr:uid="{00000000-0005-0000-0000-000080A70000}"/>
    <cellStyle name="Percent 5 3 5 5" xfId="25473" xr:uid="{00000000-0005-0000-0000-000081A70000}"/>
    <cellStyle name="Percent 5 3 6" xfId="7044" xr:uid="{00000000-0005-0000-0000-000082A70000}"/>
    <cellStyle name="Percent 5 3 6 2" xfId="13238" xr:uid="{00000000-0005-0000-0000-000083A70000}"/>
    <cellStyle name="Percent 5 3 6 2 2" xfId="33158" xr:uid="{00000000-0005-0000-0000-000084A70000}"/>
    <cellStyle name="Percent 5 3 6 3" xfId="19390" xr:uid="{00000000-0005-0000-0000-000085A70000}"/>
    <cellStyle name="Percent 5 3 6 3 2" xfId="39310" xr:uid="{00000000-0005-0000-0000-000086A70000}"/>
    <cellStyle name="Percent 5 3 6 4" xfId="27005" xr:uid="{00000000-0005-0000-0000-000087A70000}"/>
    <cellStyle name="Percent 5 3 7" xfId="10131" xr:uid="{00000000-0005-0000-0000-000088A70000}"/>
    <cellStyle name="Percent 5 3 7 2" xfId="16303" xr:uid="{00000000-0005-0000-0000-000089A70000}"/>
    <cellStyle name="Percent 5 3 7 2 2" xfId="36223" xr:uid="{00000000-0005-0000-0000-00008AA70000}"/>
    <cellStyle name="Percent 5 3 7 3" xfId="22455" xr:uid="{00000000-0005-0000-0000-00008BA70000}"/>
    <cellStyle name="Percent 5 3 7 3 2" xfId="42375" xr:uid="{00000000-0005-0000-0000-00008CA70000}"/>
    <cellStyle name="Percent 5 3 7 4" xfId="30070" xr:uid="{00000000-0005-0000-0000-00008DA70000}"/>
    <cellStyle name="Percent 5 3 8" xfId="10172" xr:uid="{00000000-0005-0000-0000-00008EA70000}"/>
    <cellStyle name="Percent 5 3 8 2" xfId="30092" xr:uid="{00000000-0005-0000-0000-00008FA70000}"/>
    <cellStyle name="Percent 5 3 9" xfId="16324" xr:uid="{00000000-0005-0000-0000-000090A70000}"/>
    <cellStyle name="Percent 5 3 9 2" xfId="36244" xr:uid="{00000000-0005-0000-0000-000091A70000}"/>
    <cellStyle name="Percent 5 4" xfId="216" xr:uid="{00000000-0005-0000-0000-000092A70000}"/>
    <cellStyle name="Percent 5 4 10" xfId="23359" xr:uid="{00000000-0005-0000-0000-000093A70000}"/>
    <cellStyle name="Percent 5 4 2" xfId="780" xr:uid="{00000000-0005-0000-0000-000094A70000}"/>
    <cellStyle name="Percent 5 4 2 2" xfId="6995" xr:uid="{00000000-0005-0000-0000-000095A70000}"/>
    <cellStyle name="Percent 5 4 2 2 2" xfId="10081" xr:uid="{00000000-0005-0000-0000-000096A70000}"/>
    <cellStyle name="Percent 5 4 2 2 2 2" xfId="16274" xr:uid="{00000000-0005-0000-0000-000097A70000}"/>
    <cellStyle name="Percent 5 4 2 2 2 2 2" xfId="36194" xr:uid="{00000000-0005-0000-0000-000098A70000}"/>
    <cellStyle name="Percent 5 4 2 2 2 3" xfId="22426" xr:uid="{00000000-0005-0000-0000-000099A70000}"/>
    <cellStyle name="Percent 5 4 2 2 2 3 2" xfId="42346" xr:uid="{00000000-0005-0000-0000-00009AA70000}"/>
    <cellStyle name="Percent 5 4 2 2 2 4" xfId="30041" xr:uid="{00000000-0005-0000-0000-00009BA70000}"/>
    <cellStyle name="Percent 5 4 2 2 3" xfId="13208" xr:uid="{00000000-0005-0000-0000-00009CA70000}"/>
    <cellStyle name="Percent 5 4 2 2 3 2" xfId="33128" xr:uid="{00000000-0005-0000-0000-00009DA70000}"/>
    <cellStyle name="Percent 5 4 2 2 4" xfId="19360" xr:uid="{00000000-0005-0000-0000-00009EA70000}"/>
    <cellStyle name="Percent 5 4 2 2 4 2" xfId="39280" xr:uid="{00000000-0005-0000-0000-00009FA70000}"/>
    <cellStyle name="Percent 5 4 2 2 5" xfId="26975" xr:uid="{00000000-0005-0000-0000-0000A0A70000}"/>
    <cellStyle name="Percent 5 4 2 3" xfId="8546" xr:uid="{00000000-0005-0000-0000-0000A1A70000}"/>
    <cellStyle name="Percent 5 4 2 3 2" xfId="14740" xr:uid="{00000000-0005-0000-0000-0000A2A70000}"/>
    <cellStyle name="Percent 5 4 2 3 2 2" xfId="34660" xr:uid="{00000000-0005-0000-0000-0000A3A70000}"/>
    <cellStyle name="Percent 5 4 2 3 3" xfId="20892" xr:uid="{00000000-0005-0000-0000-0000A4A70000}"/>
    <cellStyle name="Percent 5 4 2 3 3 2" xfId="40812" xr:uid="{00000000-0005-0000-0000-0000A5A70000}"/>
    <cellStyle name="Percent 5 4 2 3 4" xfId="28507" xr:uid="{00000000-0005-0000-0000-0000A6A70000}"/>
    <cellStyle name="Percent 5 4 2 4" xfId="11674" xr:uid="{00000000-0005-0000-0000-0000A7A70000}"/>
    <cellStyle name="Percent 5 4 2 4 2" xfId="31594" xr:uid="{00000000-0005-0000-0000-0000A8A70000}"/>
    <cellStyle name="Percent 5 4 2 5" xfId="17826" xr:uid="{00000000-0005-0000-0000-0000A9A70000}"/>
    <cellStyle name="Percent 5 4 2 5 2" xfId="37746" xr:uid="{00000000-0005-0000-0000-0000AAA70000}"/>
    <cellStyle name="Percent 5 4 2 6" xfId="5370" xr:uid="{00000000-0005-0000-0000-0000ABA70000}"/>
    <cellStyle name="Percent 5 4 2 6 2" xfId="25441" xr:uid="{00000000-0005-0000-0000-0000ACA70000}"/>
    <cellStyle name="Percent 5 4 2 7" xfId="23662" xr:uid="{00000000-0005-0000-0000-0000ADA70000}"/>
    <cellStyle name="Percent 5 4 3" xfId="6226" xr:uid="{00000000-0005-0000-0000-0000AEA70000}"/>
    <cellStyle name="Percent 5 4 3 2" xfId="9312" xr:uid="{00000000-0005-0000-0000-0000AFA70000}"/>
    <cellStyle name="Percent 5 4 3 2 2" xfId="15505" xr:uid="{00000000-0005-0000-0000-0000B0A70000}"/>
    <cellStyle name="Percent 5 4 3 2 2 2" xfId="35425" xr:uid="{00000000-0005-0000-0000-0000B1A70000}"/>
    <cellStyle name="Percent 5 4 3 2 3" xfId="21657" xr:uid="{00000000-0005-0000-0000-0000B2A70000}"/>
    <cellStyle name="Percent 5 4 3 2 3 2" xfId="41577" xr:uid="{00000000-0005-0000-0000-0000B3A70000}"/>
    <cellStyle name="Percent 5 4 3 2 4" xfId="29272" xr:uid="{00000000-0005-0000-0000-0000B4A70000}"/>
    <cellStyle name="Percent 5 4 3 3" xfId="12439" xr:uid="{00000000-0005-0000-0000-0000B5A70000}"/>
    <cellStyle name="Percent 5 4 3 3 2" xfId="32359" xr:uid="{00000000-0005-0000-0000-0000B6A70000}"/>
    <cellStyle name="Percent 5 4 3 4" xfId="18591" xr:uid="{00000000-0005-0000-0000-0000B7A70000}"/>
    <cellStyle name="Percent 5 4 3 4 2" xfId="38511" xr:uid="{00000000-0005-0000-0000-0000B8A70000}"/>
    <cellStyle name="Percent 5 4 3 5" xfId="26206" xr:uid="{00000000-0005-0000-0000-0000B9A70000}"/>
    <cellStyle name="Percent 5 4 4" xfId="7777" xr:uid="{00000000-0005-0000-0000-0000BAA70000}"/>
    <cellStyle name="Percent 5 4 4 2" xfId="13971" xr:uid="{00000000-0005-0000-0000-0000BBA70000}"/>
    <cellStyle name="Percent 5 4 4 2 2" xfId="33891" xr:uid="{00000000-0005-0000-0000-0000BCA70000}"/>
    <cellStyle name="Percent 5 4 4 3" xfId="20123" xr:uid="{00000000-0005-0000-0000-0000BDA70000}"/>
    <cellStyle name="Percent 5 4 4 3 2" xfId="40043" xr:uid="{00000000-0005-0000-0000-0000BEA70000}"/>
    <cellStyle name="Percent 5 4 4 4" xfId="27738" xr:uid="{00000000-0005-0000-0000-0000BFA70000}"/>
    <cellStyle name="Percent 5 4 5" xfId="10905" xr:uid="{00000000-0005-0000-0000-0000C0A70000}"/>
    <cellStyle name="Percent 5 4 5 2" xfId="30825" xr:uid="{00000000-0005-0000-0000-0000C1A70000}"/>
    <cellStyle name="Percent 5 4 6" xfId="17057" xr:uid="{00000000-0005-0000-0000-0000C2A70000}"/>
    <cellStyle name="Percent 5 4 6 2" xfId="36977" xr:uid="{00000000-0005-0000-0000-0000C3A70000}"/>
    <cellStyle name="Percent 5 4 7" xfId="4582" xr:uid="{00000000-0005-0000-0000-0000C4A70000}"/>
    <cellStyle name="Percent 5 4 7 2" xfId="24672" xr:uid="{00000000-0005-0000-0000-0000C5A70000}"/>
    <cellStyle name="Percent 5 4 8" xfId="22745" xr:uid="{00000000-0005-0000-0000-0000C6A70000}"/>
    <cellStyle name="Percent 5 4 8 2" xfId="42656" xr:uid="{00000000-0005-0000-0000-0000C7A70000}"/>
    <cellStyle name="Percent 5 4 9" xfId="23048" xr:uid="{00000000-0005-0000-0000-0000C8A70000}"/>
    <cellStyle name="Percent 5 4 9 2" xfId="42959" xr:uid="{00000000-0005-0000-0000-0000C9A70000}"/>
    <cellStyle name="Percent 5 5" xfId="230" xr:uid="{00000000-0005-0000-0000-0000CAA70000}"/>
    <cellStyle name="Percent 5 5 2" xfId="783" xr:uid="{00000000-0005-0000-0000-0000CBA70000}"/>
    <cellStyle name="Percent 5 5 2 2" xfId="23665" xr:uid="{00000000-0005-0000-0000-0000CCA70000}"/>
    <cellStyle name="Percent 5 5 3" xfId="4368" xr:uid="{00000000-0005-0000-0000-0000CDA70000}"/>
    <cellStyle name="Percent 5 5 4" xfId="22582" xr:uid="{00000000-0005-0000-0000-0000CEA70000}"/>
    <cellStyle name="Percent 5 5 4 2" xfId="42493" xr:uid="{00000000-0005-0000-0000-0000CFA70000}"/>
    <cellStyle name="Percent 5 5 5" xfId="22748" xr:uid="{00000000-0005-0000-0000-0000D0A70000}"/>
    <cellStyle name="Percent 5 5 5 2" xfId="42659" xr:uid="{00000000-0005-0000-0000-0000D1A70000}"/>
    <cellStyle name="Percent 5 5 6" xfId="23051" xr:uid="{00000000-0005-0000-0000-0000D2A70000}"/>
    <cellStyle name="Percent 5 5 6 2" xfId="42962" xr:uid="{00000000-0005-0000-0000-0000D3A70000}"/>
    <cellStyle name="Percent 5 5 7" xfId="23362" xr:uid="{00000000-0005-0000-0000-0000D4A70000}"/>
    <cellStyle name="Percent 5 6" xfId="246" xr:uid="{00000000-0005-0000-0000-0000D5A70000}"/>
    <cellStyle name="Percent 5 6 2" xfId="786" xr:uid="{00000000-0005-0000-0000-0000D6A70000}"/>
    <cellStyle name="Percent 5 6 2 2" xfId="9337" xr:uid="{00000000-0005-0000-0000-0000D7A70000}"/>
    <cellStyle name="Percent 5 6 2 2 2" xfId="15530" xr:uid="{00000000-0005-0000-0000-0000D8A70000}"/>
    <cellStyle name="Percent 5 6 2 2 2 2" xfId="35450" xr:uid="{00000000-0005-0000-0000-0000D9A70000}"/>
    <cellStyle name="Percent 5 6 2 2 3" xfId="21682" xr:uid="{00000000-0005-0000-0000-0000DAA70000}"/>
    <cellStyle name="Percent 5 6 2 2 3 2" xfId="41602" xr:uid="{00000000-0005-0000-0000-0000DBA70000}"/>
    <cellStyle name="Percent 5 6 2 2 4" xfId="29297" xr:uid="{00000000-0005-0000-0000-0000DCA70000}"/>
    <cellStyle name="Percent 5 6 2 3" xfId="12464" xr:uid="{00000000-0005-0000-0000-0000DDA70000}"/>
    <cellStyle name="Percent 5 6 2 3 2" xfId="32384" xr:uid="{00000000-0005-0000-0000-0000DEA70000}"/>
    <cellStyle name="Percent 5 6 2 4" xfId="18616" xr:uid="{00000000-0005-0000-0000-0000DFA70000}"/>
    <cellStyle name="Percent 5 6 2 4 2" xfId="38536" xr:uid="{00000000-0005-0000-0000-0000E0A70000}"/>
    <cellStyle name="Percent 5 6 2 5" xfId="6251" xr:uid="{00000000-0005-0000-0000-0000E1A70000}"/>
    <cellStyle name="Percent 5 6 2 5 2" xfId="26231" xr:uid="{00000000-0005-0000-0000-0000E2A70000}"/>
    <cellStyle name="Percent 5 6 2 6" xfId="23668" xr:uid="{00000000-0005-0000-0000-0000E3A70000}"/>
    <cellStyle name="Percent 5 6 3" xfId="7802" xr:uid="{00000000-0005-0000-0000-0000E4A70000}"/>
    <cellStyle name="Percent 5 6 3 2" xfId="13996" xr:uid="{00000000-0005-0000-0000-0000E5A70000}"/>
    <cellStyle name="Percent 5 6 3 2 2" xfId="33916" xr:uid="{00000000-0005-0000-0000-0000E6A70000}"/>
    <cellStyle name="Percent 5 6 3 3" xfId="20148" xr:uid="{00000000-0005-0000-0000-0000E7A70000}"/>
    <cellStyle name="Percent 5 6 3 3 2" xfId="40068" xr:uid="{00000000-0005-0000-0000-0000E8A70000}"/>
    <cellStyle name="Percent 5 6 3 4" xfId="27763" xr:uid="{00000000-0005-0000-0000-0000E9A70000}"/>
    <cellStyle name="Percent 5 6 4" xfId="10930" xr:uid="{00000000-0005-0000-0000-0000EAA70000}"/>
    <cellStyle name="Percent 5 6 4 2" xfId="30850" xr:uid="{00000000-0005-0000-0000-0000EBA70000}"/>
    <cellStyle name="Percent 5 6 5" xfId="17082" xr:uid="{00000000-0005-0000-0000-0000ECA70000}"/>
    <cellStyle name="Percent 5 6 5 2" xfId="37002" xr:uid="{00000000-0005-0000-0000-0000EDA70000}"/>
    <cellStyle name="Percent 5 6 6" xfId="4626" xr:uid="{00000000-0005-0000-0000-0000EEA70000}"/>
    <cellStyle name="Percent 5 6 6 2" xfId="24697" xr:uid="{00000000-0005-0000-0000-0000EFA70000}"/>
    <cellStyle name="Percent 5 6 7" xfId="22751" xr:uid="{00000000-0005-0000-0000-0000F0A70000}"/>
    <cellStyle name="Percent 5 6 7 2" xfId="42662" xr:uid="{00000000-0005-0000-0000-0000F1A70000}"/>
    <cellStyle name="Percent 5 6 8" xfId="23054" xr:uid="{00000000-0005-0000-0000-0000F2A70000}"/>
    <cellStyle name="Percent 5 6 8 2" xfId="42965" xr:uid="{00000000-0005-0000-0000-0000F3A70000}"/>
    <cellStyle name="Percent 5 6 9" xfId="23365" xr:uid="{00000000-0005-0000-0000-0000F4A70000}"/>
    <cellStyle name="Percent 5 7" xfId="261" xr:uid="{00000000-0005-0000-0000-0000F5A70000}"/>
    <cellStyle name="Percent 5 7 2" xfId="789" xr:uid="{00000000-0005-0000-0000-0000F6A70000}"/>
    <cellStyle name="Percent 5 7 2 2" xfId="14761" xr:uid="{00000000-0005-0000-0000-0000F7A70000}"/>
    <cellStyle name="Percent 5 7 2 2 2" xfId="34681" xr:uid="{00000000-0005-0000-0000-0000F8A70000}"/>
    <cellStyle name="Percent 5 7 2 3" xfId="20913" xr:uid="{00000000-0005-0000-0000-0000F9A70000}"/>
    <cellStyle name="Percent 5 7 2 3 2" xfId="40833" xr:uid="{00000000-0005-0000-0000-0000FAA70000}"/>
    <cellStyle name="Percent 5 7 2 4" xfId="8568" xr:uid="{00000000-0005-0000-0000-0000FBA70000}"/>
    <cellStyle name="Percent 5 7 2 4 2" xfId="28528" xr:uid="{00000000-0005-0000-0000-0000FCA70000}"/>
    <cellStyle name="Percent 5 7 2 5" xfId="23671" xr:uid="{00000000-0005-0000-0000-0000FDA70000}"/>
    <cellStyle name="Percent 5 7 3" xfId="11695" xr:uid="{00000000-0005-0000-0000-0000FEA70000}"/>
    <cellStyle name="Percent 5 7 3 2" xfId="31615" xr:uid="{00000000-0005-0000-0000-0000FFA70000}"/>
    <cellStyle name="Percent 5 7 4" xfId="17847" xr:uid="{00000000-0005-0000-0000-000000A80000}"/>
    <cellStyle name="Percent 5 7 4 2" xfId="37767" xr:uid="{00000000-0005-0000-0000-000001A80000}"/>
    <cellStyle name="Percent 5 7 5" xfId="5464" xr:uid="{00000000-0005-0000-0000-000002A80000}"/>
    <cellStyle name="Percent 5 7 5 2" xfId="25462" xr:uid="{00000000-0005-0000-0000-000003A80000}"/>
    <cellStyle name="Percent 5 7 6" xfId="22754" xr:uid="{00000000-0005-0000-0000-000004A80000}"/>
    <cellStyle name="Percent 5 7 6 2" xfId="42665" xr:uid="{00000000-0005-0000-0000-000005A80000}"/>
    <cellStyle name="Percent 5 7 7" xfId="23057" xr:uid="{00000000-0005-0000-0000-000006A80000}"/>
    <cellStyle name="Percent 5 7 7 2" xfId="42968" xr:uid="{00000000-0005-0000-0000-000007A80000}"/>
    <cellStyle name="Percent 5 7 8" xfId="23368" xr:uid="{00000000-0005-0000-0000-000008A80000}"/>
    <cellStyle name="Percent 5 8" xfId="277" xr:uid="{00000000-0005-0000-0000-000009A80000}"/>
    <cellStyle name="Percent 5 8 2" xfId="792" xr:uid="{00000000-0005-0000-0000-00000AA80000}"/>
    <cellStyle name="Percent 5 8 2 2" xfId="13227" xr:uid="{00000000-0005-0000-0000-00000BA80000}"/>
    <cellStyle name="Percent 5 8 2 2 2" xfId="33147" xr:uid="{00000000-0005-0000-0000-00000CA80000}"/>
    <cellStyle name="Percent 5 8 2 3" xfId="23674" xr:uid="{00000000-0005-0000-0000-00000DA80000}"/>
    <cellStyle name="Percent 5 8 3" xfId="19379" xr:uid="{00000000-0005-0000-0000-00000EA80000}"/>
    <cellStyle name="Percent 5 8 3 2" xfId="39299" xr:uid="{00000000-0005-0000-0000-00000FA80000}"/>
    <cellStyle name="Percent 5 8 4" xfId="7033" xr:uid="{00000000-0005-0000-0000-000010A80000}"/>
    <cellStyle name="Percent 5 8 4 2" xfId="26994" xr:uid="{00000000-0005-0000-0000-000011A80000}"/>
    <cellStyle name="Percent 5 8 5" xfId="22757" xr:uid="{00000000-0005-0000-0000-000012A80000}"/>
    <cellStyle name="Percent 5 8 5 2" xfId="42668" xr:uid="{00000000-0005-0000-0000-000013A80000}"/>
    <cellStyle name="Percent 5 8 6" xfId="23060" xr:uid="{00000000-0005-0000-0000-000014A80000}"/>
    <cellStyle name="Percent 5 8 6 2" xfId="42971" xr:uid="{00000000-0005-0000-0000-000015A80000}"/>
    <cellStyle name="Percent 5 8 7" xfId="23371" xr:uid="{00000000-0005-0000-0000-000016A80000}"/>
    <cellStyle name="Percent 5 9" xfId="290" xr:uid="{00000000-0005-0000-0000-000017A80000}"/>
    <cellStyle name="Percent 5 9 2" xfId="795" xr:uid="{00000000-0005-0000-0000-000018A80000}"/>
    <cellStyle name="Percent 5 9 2 2" xfId="16294" xr:uid="{00000000-0005-0000-0000-000019A80000}"/>
    <cellStyle name="Percent 5 9 2 2 2" xfId="36214" xr:uid="{00000000-0005-0000-0000-00001AA80000}"/>
    <cellStyle name="Percent 5 9 2 3" xfId="23677" xr:uid="{00000000-0005-0000-0000-00001BA80000}"/>
    <cellStyle name="Percent 5 9 3" xfId="22446" xr:uid="{00000000-0005-0000-0000-00001CA80000}"/>
    <cellStyle name="Percent 5 9 3 2" xfId="42366" xr:uid="{00000000-0005-0000-0000-00001DA80000}"/>
    <cellStyle name="Percent 5 9 4" xfId="10120" xr:uid="{00000000-0005-0000-0000-00001EA80000}"/>
    <cellStyle name="Percent 5 9 4 2" xfId="30061" xr:uid="{00000000-0005-0000-0000-00001FA80000}"/>
    <cellStyle name="Percent 5 9 5" xfId="22760" xr:uid="{00000000-0005-0000-0000-000020A80000}"/>
    <cellStyle name="Percent 5 9 5 2" xfId="42671" xr:uid="{00000000-0005-0000-0000-000021A80000}"/>
    <cellStyle name="Percent 5 9 6" xfId="23063" xr:uid="{00000000-0005-0000-0000-000022A80000}"/>
    <cellStyle name="Percent 5 9 6 2" xfId="42974" xr:uid="{00000000-0005-0000-0000-000023A80000}"/>
    <cellStyle name="Percent 5 9 7" xfId="23374" xr:uid="{00000000-0005-0000-0000-000024A80000}"/>
    <cellStyle name="Percent 50" xfId="4373" xr:uid="{00000000-0005-0000-0000-000025A80000}"/>
    <cellStyle name="Percent 51" xfId="4374" xr:uid="{00000000-0005-0000-0000-000026A80000}"/>
    <cellStyle name="Percent 52" xfId="4375" xr:uid="{00000000-0005-0000-0000-000027A80000}"/>
    <cellStyle name="Percent 53" xfId="4376" xr:uid="{00000000-0005-0000-0000-000028A80000}"/>
    <cellStyle name="Percent 54" xfId="4377" xr:uid="{00000000-0005-0000-0000-000029A80000}"/>
    <cellStyle name="Percent 55" xfId="4378" xr:uid="{00000000-0005-0000-0000-00002AA80000}"/>
    <cellStyle name="Percent 56" xfId="4379" xr:uid="{00000000-0005-0000-0000-00002BA80000}"/>
    <cellStyle name="Percent 57" xfId="4380" xr:uid="{00000000-0005-0000-0000-00002CA80000}"/>
    <cellStyle name="Percent 58" xfId="4381" xr:uid="{00000000-0005-0000-0000-00002DA80000}"/>
    <cellStyle name="Percent 59" xfId="4382" xr:uid="{00000000-0005-0000-0000-00002EA80000}"/>
    <cellStyle name="Percent 6" xfId="1168" xr:uid="{00000000-0005-0000-0000-00002FA80000}"/>
    <cellStyle name="Percent 6 2" xfId="4384" xr:uid="{00000000-0005-0000-0000-000030A80000}"/>
    <cellStyle name="Percent 6 2 2" xfId="4385" xr:uid="{00000000-0005-0000-0000-000031A80000}"/>
    <cellStyle name="Percent 6 2 3" xfId="4386" xr:uid="{00000000-0005-0000-0000-000032A80000}"/>
    <cellStyle name="Percent 6 3" xfId="4387" xr:uid="{00000000-0005-0000-0000-000033A80000}"/>
    <cellStyle name="Percent 6 4" xfId="4585" xr:uid="{00000000-0005-0000-0000-000034A80000}"/>
    <cellStyle name="Percent 6 5" xfId="4383" xr:uid="{00000000-0005-0000-0000-000035A80000}"/>
    <cellStyle name="Percent 60" xfId="4388" xr:uid="{00000000-0005-0000-0000-000036A80000}"/>
    <cellStyle name="Percent 61" xfId="4389" xr:uid="{00000000-0005-0000-0000-000037A80000}"/>
    <cellStyle name="Percent 62" xfId="4390" xr:uid="{00000000-0005-0000-0000-000038A80000}"/>
    <cellStyle name="Percent 63" xfId="4391" xr:uid="{00000000-0005-0000-0000-000039A80000}"/>
    <cellStyle name="Percent 64" xfId="4392" xr:uid="{00000000-0005-0000-0000-00003AA80000}"/>
    <cellStyle name="Percent 65" xfId="4393" xr:uid="{00000000-0005-0000-0000-00003BA80000}"/>
    <cellStyle name="Percent 66" xfId="4394" xr:uid="{00000000-0005-0000-0000-00003CA80000}"/>
    <cellStyle name="Percent 67" xfId="4395" xr:uid="{00000000-0005-0000-0000-00003DA80000}"/>
    <cellStyle name="Percent 68" xfId="4396" xr:uid="{00000000-0005-0000-0000-00003EA80000}"/>
    <cellStyle name="Percent 69" xfId="4397" xr:uid="{00000000-0005-0000-0000-00003FA80000}"/>
    <cellStyle name="Percent 7" xfId="4398" xr:uid="{00000000-0005-0000-0000-000040A80000}"/>
    <cellStyle name="Percent 7 2" xfId="4399" xr:uid="{00000000-0005-0000-0000-000041A80000}"/>
    <cellStyle name="Percent 7 2 2" xfId="4400" xr:uid="{00000000-0005-0000-0000-000042A80000}"/>
    <cellStyle name="Percent 7 2 3" xfId="4401" xr:uid="{00000000-0005-0000-0000-000043A80000}"/>
    <cellStyle name="Percent 7 3" xfId="4402" xr:uid="{00000000-0005-0000-0000-000044A80000}"/>
    <cellStyle name="Percent 7 4" xfId="4403" xr:uid="{00000000-0005-0000-0000-000045A80000}"/>
    <cellStyle name="Percent 70" xfId="4404" xr:uid="{00000000-0005-0000-0000-000046A80000}"/>
    <cellStyle name="Percent 71" xfId="4405" xr:uid="{00000000-0005-0000-0000-000047A80000}"/>
    <cellStyle name="Percent 72" xfId="4406" xr:uid="{00000000-0005-0000-0000-000048A80000}"/>
    <cellStyle name="Percent 73" xfId="4407" xr:uid="{00000000-0005-0000-0000-000049A80000}"/>
    <cellStyle name="Percent 74" xfId="4408" xr:uid="{00000000-0005-0000-0000-00004AA80000}"/>
    <cellStyle name="Percent 75" xfId="4409" xr:uid="{00000000-0005-0000-0000-00004BA80000}"/>
    <cellStyle name="Percent 76" xfId="4410" xr:uid="{00000000-0005-0000-0000-00004CA80000}"/>
    <cellStyle name="Percent 77" xfId="4411" xr:uid="{00000000-0005-0000-0000-00004DA80000}"/>
    <cellStyle name="Percent 78" xfId="4412" xr:uid="{00000000-0005-0000-0000-00004EA80000}"/>
    <cellStyle name="Percent 79" xfId="4413" xr:uid="{00000000-0005-0000-0000-00004FA80000}"/>
    <cellStyle name="Percent 8" xfId="4414" xr:uid="{00000000-0005-0000-0000-000050A80000}"/>
    <cellStyle name="Percent 8 2" xfId="4415" xr:uid="{00000000-0005-0000-0000-000051A80000}"/>
    <cellStyle name="Percent 8 2 2" xfId="4416" xr:uid="{00000000-0005-0000-0000-000052A80000}"/>
    <cellStyle name="Percent 8 2 3" xfId="4417" xr:uid="{00000000-0005-0000-0000-000053A80000}"/>
    <cellStyle name="Percent 8 2 4" xfId="10134" xr:uid="{00000000-0005-0000-0000-000054A80000}"/>
    <cellStyle name="Percent 8 2 4 2" xfId="16306" xr:uid="{00000000-0005-0000-0000-000055A80000}"/>
    <cellStyle name="Percent 8 2 4 2 2" xfId="36226" xr:uid="{00000000-0005-0000-0000-000056A80000}"/>
    <cellStyle name="Percent 8 2 4 3" xfId="22458" xr:uid="{00000000-0005-0000-0000-000057A80000}"/>
    <cellStyle name="Percent 8 2 4 3 2" xfId="42378" xr:uid="{00000000-0005-0000-0000-000058A80000}"/>
    <cellStyle name="Percent 8 2 4 4" xfId="30073" xr:uid="{00000000-0005-0000-0000-000059A80000}"/>
    <cellStyle name="Percent 8 3" xfId="10123" xr:uid="{00000000-0005-0000-0000-00005AA80000}"/>
    <cellStyle name="Percent 8 3 2" xfId="16297" xr:uid="{00000000-0005-0000-0000-00005BA80000}"/>
    <cellStyle name="Percent 8 3 2 2" xfId="36217" xr:uid="{00000000-0005-0000-0000-00005CA80000}"/>
    <cellStyle name="Percent 8 3 3" xfId="22449" xr:uid="{00000000-0005-0000-0000-00005DA80000}"/>
    <cellStyle name="Percent 8 3 3 2" xfId="42369" xr:uid="{00000000-0005-0000-0000-00005EA80000}"/>
    <cellStyle name="Percent 8 3 4" xfId="30064" xr:uid="{00000000-0005-0000-0000-00005FA80000}"/>
    <cellStyle name="Percent 80" xfId="4418" xr:uid="{00000000-0005-0000-0000-000060A80000}"/>
    <cellStyle name="Percent 81" xfId="4419" xr:uid="{00000000-0005-0000-0000-000061A80000}"/>
    <cellStyle name="Percent 82" xfId="4420" xr:uid="{00000000-0005-0000-0000-000062A80000}"/>
    <cellStyle name="Percent 83" xfId="4421" xr:uid="{00000000-0005-0000-0000-000063A80000}"/>
    <cellStyle name="Percent 84" xfId="4422" xr:uid="{00000000-0005-0000-0000-000064A80000}"/>
    <cellStyle name="Percent 85" xfId="4423" xr:uid="{00000000-0005-0000-0000-000065A80000}"/>
    <cellStyle name="Percent 86" xfId="4424" xr:uid="{00000000-0005-0000-0000-000066A80000}"/>
    <cellStyle name="Percent 87" xfId="4425" xr:uid="{00000000-0005-0000-0000-000067A80000}"/>
    <cellStyle name="Percent 88" xfId="4426" xr:uid="{00000000-0005-0000-0000-000068A80000}"/>
    <cellStyle name="Percent 89" xfId="4427" xr:uid="{00000000-0005-0000-0000-000069A80000}"/>
    <cellStyle name="Percent 9" xfId="4428" xr:uid="{00000000-0005-0000-0000-00006AA80000}"/>
    <cellStyle name="Percent 9 2" xfId="4429" xr:uid="{00000000-0005-0000-0000-00006BA80000}"/>
    <cellStyle name="Percent 9 2 2" xfId="4430" xr:uid="{00000000-0005-0000-0000-00006CA80000}"/>
    <cellStyle name="Percent 9 2 3" xfId="4431" xr:uid="{00000000-0005-0000-0000-00006DA80000}"/>
    <cellStyle name="Percent 90" xfId="4432" xr:uid="{00000000-0005-0000-0000-00006EA80000}"/>
    <cellStyle name="Percent 91" xfId="4433" xr:uid="{00000000-0005-0000-0000-00006FA80000}"/>
    <cellStyle name="Percent 92" xfId="4434" xr:uid="{00000000-0005-0000-0000-000070A80000}"/>
    <cellStyle name="Percent 93" xfId="4435" xr:uid="{00000000-0005-0000-0000-000071A80000}"/>
    <cellStyle name="Percent 94" xfId="4436" xr:uid="{00000000-0005-0000-0000-000072A80000}"/>
    <cellStyle name="Percent 95" xfId="4437" xr:uid="{00000000-0005-0000-0000-000073A80000}"/>
    <cellStyle name="Percent 96" xfId="4438" xr:uid="{00000000-0005-0000-0000-000074A80000}"/>
    <cellStyle name="Percent 97" xfId="4439" xr:uid="{00000000-0005-0000-0000-000075A80000}"/>
    <cellStyle name="Percent 98" xfId="4440" xr:uid="{00000000-0005-0000-0000-000076A80000}"/>
    <cellStyle name="Percent 99" xfId="4441" xr:uid="{00000000-0005-0000-0000-000077A80000}"/>
    <cellStyle name="placeholder" xfId="4442" xr:uid="{00000000-0005-0000-0000-000078A80000}"/>
    <cellStyle name="PS_Comma" xfId="36" xr:uid="{00000000-0005-0000-0000-000079A80000}"/>
    <cellStyle name="PSChar" xfId="37" xr:uid="{00000000-0005-0000-0000-00007AA80000}"/>
    <cellStyle name="PSDate" xfId="38" xr:uid="{00000000-0005-0000-0000-00007BA80000}"/>
    <cellStyle name="PSDec" xfId="39" xr:uid="{00000000-0005-0000-0000-00007CA80000}"/>
    <cellStyle name="PSHeading" xfId="40" xr:uid="{00000000-0005-0000-0000-00007DA80000}"/>
    <cellStyle name="PSInt" xfId="41" xr:uid="{00000000-0005-0000-0000-00007EA80000}"/>
    <cellStyle name="PSSpacer" xfId="42" xr:uid="{00000000-0005-0000-0000-00007FA80000}"/>
    <cellStyle name="ReportTitlePrompt" xfId="1143" xr:uid="{00000000-0005-0000-0000-000080A80000}"/>
    <cellStyle name="ReportTitleValue" xfId="1144" xr:uid="{00000000-0005-0000-0000-000081A80000}"/>
    <cellStyle name="Row Lvl 1" xfId="4443" xr:uid="{00000000-0005-0000-0000-000082A80000}"/>
    <cellStyle name="Row Lvl 2" xfId="4444" xr:uid="{00000000-0005-0000-0000-000083A80000}"/>
    <cellStyle name="RowAcctAbovePrompt" xfId="1145" xr:uid="{00000000-0005-0000-0000-000084A80000}"/>
    <cellStyle name="RowAcctSOBAbovePrompt" xfId="1146" xr:uid="{00000000-0005-0000-0000-000085A80000}"/>
    <cellStyle name="RowAcctSOBValue" xfId="1147" xr:uid="{00000000-0005-0000-0000-000086A80000}"/>
    <cellStyle name="RowAcctValue" xfId="1148" xr:uid="{00000000-0005-0000-0000-000087A80000}"/>
    <cellStyle name="RowAttrAbovePrompt" xfId="1149" xr:uid="{00000000-0005-0000-0000-000088A80000}"/>
    <cellStyle name="RowAttrValue" xfId="1150" xr:uid="{00000000-0005-0000-0000-000089A80000}"/>
    <cellStyle name="RowColSetAbovePrompt" xfId="1151" xr:uid="{00000000-0005-0000-0000-00008AA80000}"/>
    <cellStyle name="RowColSetLeftPrompt" xfId="1152" xr:uid="{00000000-0005-0000-0000-00008BA80000}"/>
    <cellStyle name="RowColSetValue" xfId="1153" xr:uid="{00000000-0005-0000-0000-00008CA80000}"/>
    <cellStyle name="RowLeftPrompt" xfId="1154" xr:uid="{00000000-0005-0000-0000-00008DA80000}"/>
    <cellStyle name="SampleUsingFormatMask" xfId="1155" xr:uid="{00000000-0005-0000-0000-00008EA80000}"/>
    <cellStyle name="SampleWithNoFormatMask" xfId="1156" xr:uid="{00000000-0005-0000-0000-00008FA80000}"/>
    <cellStyle name="STYLE1" xfId="4445" xr:uid="{00000000-0005-0000-0000-000090A80000}"/>
    <cellStyle name="STYLE1 2" xfId="4446" xr:uid="{00000000-0005-0000-0000-000091A80000}"/>
    <cellStyle name="STYLE1 2 2" xfId="4447" xr:uid="{00000000-0005-0000-0000-000092A80000}"/>
    <cellStyle name="STYLE1 2 3" xfId="4448" xr:uid="{00000000-0005-0000-0000-000093A80000}"/>
    <cellStyle name="STYLE1 3" xfId="4449" xr:uid="{00000000-0005-0000-0000-000094A80000}"/>
    <cellStyle name="STYLE1 4" xfId="4450" xr:uid="{00000000-0005-0000-0000-000095A80000}"/>
    <cellStyle name="STYLE1 5" xfId="4451" xr:uid="{00000000-0005-0000-0000-000096A80000}"/>
    <cellStyle name="STYLE2" xfId="4452" xr:uid="{00000000-0005-0000-0000-000097A80000}"/>
    <cellStyle name="STYLE2 2" xfId="4453" xr:uid="{00000000-0005-0000-0000-000098A80000}"/>
    <cellStyle name="STYLE2 2 2" xfId="4454" xr:uid="{00000000-0005-0000-0000-000099A80000}"/>
    <cellStyle name="STYLE2 2 3" xfId="4455" xr:uid="{00000000-0005-0000-0000-00009AA80000}"/>
    <cellStyle name="STYLE2 3" xfId="4456" xr:uid="{00000000-0005-0000-0000-00009BA80000}"/>
    <cellStyle name="STYLE2 4" xfId="4457" xr:uid="{00000000-0005-0000-0000-00009CA80000}"/>
    <cellStyle name="STYLE3" xfId="4458" xr:uid="{00000000-0005-0000-0000-00009DA80000}"/>
    <cellStyle name="STYLE3 2" xfId="4459" xr:uid="{00000000-0005-0000-0000-00009EA80000}"/>
    <cellStyle name="STYLE3 2 2" xfId="4460" xr:uid="{00000000-0005-0000-0000-00009FA80000}"/>
    <cellStyle name="STYLE3 2 3" xfId="4461" xr:uid="{00000000-0005-0000-0000-0000A0A80000}"/>
    <cellStyle name="STYLE3 3" xfId="4462" xr:uid="{00000000-0005-0000-0000-0000A1A80000}"/>
    <cellStyle name="STYLE3 4" xfId="4463" xr:uid="{00000000-0005-0000-0000-0000A2A80000}"/>
    <cellStyle name="STYLE3 5" xfId="4464" xr:uid="{00000000-0005-0000-0000-0000A3A80000}"/>
    <cellStyle name="STYLE4" xfId="4465" xr:uid="{00000000-0005-0000-0000-0000A4A80000}"/>
    <cellStyle name="STYLE4 2" xfId="4466" xr:uid="{00000000-0005-0000-0000-0000A5A80000}"/>
    <cellStyle name="STYLE4 3" xfId="4467" xr:uid="{00000000-0005-0000-0000-0000A6A80000}"/>
    <cellStyle name="STYLE5" xfId="4468" xr:uid="{00000000-0005-0000-0000-0000A7A80000}"/>
    <cellStyle name="STYLE6" xfId="4469" xr:uid="{00000000-0005-0000-0000-0000A8A80000}"/>
    <cellStyle name="STYLE7" xfId="4470" xr:uid="{00000000-0005-0000-0000-0000A9A80000}"/>
    <cellStyle name="Title" xfId="45" builtinId="15" customBuiltin="1"/>
    <cellStyle name="Title 2" xfId="4471" xr:uid="{00000000-0005-0000-0000-0000ABA80000}"/>
    <cellStyle name="Title 2 2" xfId="4472" xr:uid="{00000000-0005-0000-0000-0000ACA80000}"/>
    <cellStyle name="Title 3" xfId="4473" xr:uid="{00000000-0005-0000-0000-0000ADA80000}"/>
    <cellStyle name="Title 4" xfId="4474" xr:uid="{00000000-0005-0000-0000-0000AEA80000}"/>
    <cellStyle name="Title 5" xfId="4475" xr:uid="{00000000-0005-0000-0000-0000AFA80000}"/>
    <cellStyle name="Title 6" xfId="4476" xr:uid="{00000000-0005-0000-0000-0000B0A80000}"/>
    <cellStyle name="Title Left" xfId="4477" xr:uid="{00000000-0005-0000-0000-0000B1A80000}"/>
    <cellStyle name="Total" xfId="60" builtinId="25" customBuiltin="1"/>
    <cellStyle name="Total 2" xfId="4478" xr:uid="{00000000-0005-0000-0000-0000B3A80000}"/>
    <cellStyle name="Total 3" xfId="4479" xr:uid="{00000000-0005-0000-0000-0000B4A80000}"/>
    <cellStyle name="Total 4" xfId="4480" xr:uid="{00000000-0005-0000-0000-0000B5A80000}"/>
    <cellStyle name="Total 5" xfId="4481" xr:uid="{00000000-0005-0000-0000-0000B6A80000}"/>
    <cellStyle name="Total 5 2" xfId="5451" xr:uid="{00000000-0005-0000-0000-0000B7A80000}"/>
    <cellStyle name="Total 5 2 2" xfId="7010" xr:uid="{00000000-0005-0000-0000-0000B8A80000}"/>
    <cellStyle name="Total 5 3" xfId="5441" xr:uid="{00000000-0005-0000-0000-0000B9A80000}"/>
    <cellStyle name="Total 5 3 2" xfId="6184" xr:uid="{00000000-0005-0000-0000-0000BAA80000}"/>
    <cellStyle name="Total 5 4" xfId="5428" xr:uid="{00000000-0005-0000-0000-0000BBA80000}"/>
    <cellStyle name="Total 5 4 2" xfId="7014" xr:uid="{00000000-0005-0000-0000-0000BCA80000}"/>
    <cellStyle name="Total 5 5" xfId="5421" xr:uid="{00000000-0005-0000-0000-0000BDA80000}"/>
    <cellStyle name="Total 5 5 2" xfId="6108" xr:uid="{00000000-0005-0000-0000-0000BEA80000}"/>
    <cellStyle name="Total 5 6" xfId="5472" xr:uid="{00000000-0005-0000-0000-0000BFA80000}"/>
    <cellStyle name="Total 6" xfId="4482" xr:uid="{00000000-0005-0000-0000-0000C0A80000}"/>
    <cellStyle name="Total 6 2" xfId="5452" xr:uid="{00000000-0005-0000-0000-0000C1A80000}"/>
    <cellStyle name="Total 6 2 2" xfId="6203" xr:uid="{00000000-0005-0000-0000-0000C2A80000}"/>
    <cellStyle name="Total 6 3" xfId="5431" xr:uid="{00000000-0005-0000-0000-0000C3A80000}"/>
    <cellStyle name="Total 6 3 2" xfId="7013" xr:uid="{00000000-0005-0000-0000-0000C4A80000}"/>
    <cellStyle name="Total 6 4" xfId="5406" xr:uid="{00000000-0005-0000-0000-0000C5A80000}"/>
    <cellStyle name="Total 6 4 2" xfId="6086" xr:uid="{00000000-0005-0000-0000-0000C6A80000}"/>
    <cellStyle name="Total 6 5" xfId="5400" xr:uid="{00000000-0005-0000-0000-0000C7A80000}"/>
    <cellStyle name="Total 6 5 2" xfId="6085" xr:uid="{00000000-0005-0000-0000-0000C8A80000}"/>
    <cellStyle name="Total 6 6" xfId="5675" xr:uid="{00000000-0005-0000-0000-0000C9A80000}"/>
    <cellStyle name="UploadThisRowValue" xfId="1157" xr:uid="{00000000-0005-0000-0000-0000CAA80000}"/>
    <cellStyle name="Warning Text" xfId="58" builtinId="11" customBuiltin="1"/>
    <cellStyle name="Warning Text 2" xfId="4483" xr:uid="{00000000-0005-0000-0000-0000CCA80000}"/>
    <cellStyle name="Warning Text 3" xfId="4484" xr:uid="{00000000-0005-0000-0000-0000CDA80000}"/>
    <cellStyle name="Warning Text 4" xfId="4485" xr:uid="{00000000-0005-0000-0000-0000CEA80000}"/>
    <cellStyle name="Warning Text 5" xfId="4486" xr:uid="{00000000-0005-0000-0000-0000CFA80000}"/>
    <cellStyle name="warnings" xfId="4487" xr:uid="{00000000-0005-0000-0000-0000D0A80000}"/>
    <cellStyle name="WM_STANDARD" xfId="43" xr:uid="{00000000-0005-0000-0000-0000D1A80000}"/>
    <cellStyle name="WMI_Standard" xfId="44" xr:uid="{00000000-0005-0000-0000-0000D2A80000}"/>
    <cellStyle name="XComma" xfId="4488" xr:uid="{00000000-0005-0000-0000-0000D3A80000}"/>
    <cellStyle name="XComma 0.0" xfId="4489" xr:uid="{00000000-0005-0000-0000-0000D4A80000}"/>
    <cellStyle name="XComma 0.00" xfId="4490" xr:uid="{00000000-0005-0000-0000-0000D5A80000}"/>
    <cellStyle name="XComma 0.000" xfId="4491" xr:uid="{00000000-0005-0000-0000-0000D6A80000}"/>
    <cellStyle name="XCurrency" xfId="4492" xr:uid="{00000000-0005-0000-0000-0000D7A80000}"/>
    <cellStyle name="XCurrency 0.0" xfId="4493" xr:uid="{00000000-0005-0000-0000-0000D8A80000}"/>
    <cellStyle name="XCurrency 0.00" xfId="4494" xr:uid="{00000000-0005-0000-0000-0000D9A80000}"/>
    <cellStyle name="XCurrency 0.000" xfId="4495" xr:uid="{00000000-0005-0000-0000-0000DAA80000}"/>
    <cellStyle name="xstyle" xfId="4496" xr:uid="{00000000-0005-0000-0000-0000DBA80000}"/>
  </cellStyles>
  <dxfs count="33">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rgb="FFFF000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13"/>
        </patternFill>
      </fill>
    </dxf>
    <dxf>
      <fill>
        <patternFill>
          <bgColor indexed="29"/>
        </patternFill>
      </fill>
    </dxf>
    <dxf>
      <fill>
        <patternFill>
          <bgColor indexed="13"/>
        </patternFill>
      </fill>
    </dxf>
    <dxf>
      <fill>
        <patternFill>
          <bgColor indexed="29"/>
        </patternFill>
      </fill>
    </dxf>
    <dxf>
      <fill>
        <patternFill>
          <bgColor indexed="29"/>
        </patternFill>
      </fill>
    </dxf>
    <dxf>
      <fill>
        <patternFill>
          <bgColor indexed="13"/>
        </patternFill>
      </fill>
    </dxf>
    <dxf>
      <fill>
        <patternFill>
          <bgColor indexed="29"/>
        </patternFill>
      </fill>
    </dxf>
    <dxf>
      <fill>
        <patternFill>
          <bgColor indexed="29"/>
        </patternFill>
      </fill>
    </dxf>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xr9:uid="{00000000-0011-0000-FFFF-FFFF00000000}">
      <tableStyleElement type="wholeTable" dxfId="32"/>
      <tableStyleElement type="headerRow" dxfId="31"/>
    </tableStyle>
    <tableStyle name="Table Style 2" pivot="0" count="3" xr9:uid="{00000000-0011-0000-FFFF-FFFF01000000}">
      <tableStyleElement type="wholeTable" dxfId="30"/>
      <tableStyleElement type="headerRow" dxfId="29"/>
      <tableStyleElement type="totalRow" dxfId="28"/>
    </tableStyle>
  </tableStyles>
  <colors>
    <mruColors>
      <color rgb="FF0000FF"/>
      <color rgb="FFFFFF66"/>
      <color rgb="FFFAFE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15</xdr:col>
      <xdr:colOff>9525</xdr:colOff>
      <xdr:row>6</xdr:row>
      <xdr:rowOff>28575</xdr:rowOff>
    </xdr:from>
    <xdr:to>
      <xdr:col>15</xdr:col>
      <xdr:colOff>209550</xdr:colOff>
      <xdr:row>8</xdr:row>
      <xdr:rowOff>133350</xdr:rowOff>
    </xdr:to>
    <xdr:sp macro="" textlink="">
      <xdr:nvSpPr>
        <xdr:cNvPr id="1111" name="AutoShape 15">
          <a:extLst>
            <a:ext uri="{FF2B5EF4-FFF2-40B4-BE49-F238E27FC236}">
              <a16:creationId xmlns:a16="http://schemas.microsoft.com/office/drawing/2014/main" id="{00000000-0008-0000-0000-000057040000}"/>
            </a:ext>
          </a:extLst>
        </xdr:cNvPr>
        <xdr:cNvSpPr>
          <a:spLocks/>
        </xdr:cNvSpPr>
      </xdr:nvSpPr>
      <xdr:spPr bwMode="auto">
        <a:xfrm>
          <a:off x="9686925" y="885825"/>
          <a:ext cx="200025" cy="390525"/>
        </a:xfrm>
        <a:prstGeom prst="rightBrace">
          <a:avLst>
            <a:gd name="adj1" fmla="val 1627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381000</xdr:colOff>
      <xdr:row>76</xdr:row>
      <xdr:rowOff>76200</xdr:rowOff>
    </xdr:from>
    <xdr:to>
      <xdr:col>14</xdr:col>
      <xdr:colOff>352425</xdr:colOff>
      <xdr:row>79</xdr:row>
      <xdr:rowOff>104775</xdr:rowOff>
    </xdr:to>
    <xdr:sp macro="[0]!PercentageRateIncreaseCalc" textlink="">
      <xdr:nvSpPr>
        <xdr:cNvPr id="2" name="Rectangle: Rounded Corners 1">
          <a:extLst>
            <a:ext uri="{FF2B5EF4-FFF2-40B4-BE49-F238E27FC236}">
              <a16:creationId xmlns:a16="http://schemas.microsoft.com/office/drawing/2014/main" id="{7D18C819-D562-4A3E-927B-78B75E66D76D}"/>
            </a:ext>
          </a:extLst>
        </xdr:cNvPr>
        <xdr:cNvSpPr/>
      </xdr:nvSpPr>
      <xdr:spPr>
        <a:xfrm>
          <a:off x="13030200" y="12439650"/>
          <a:ext cx="1562100" cy="514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Run % Rate Increase Goal Seek</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6AD8C-77A6-40BD-8D4E-87207AEEEB38}">
  <dimension ref="A1:M40"/>
  <sheetViews>
    <sheetView tabSelected="1" zoomScale="130" zoomScaleNormal="130" workbookViewId="0">
      <selection activeCell="O18" sqref="O18"/>
    </sheetView>
  </sheetViews>
  <sheetFormatPr defaultRowHeight="12.5"/>
  <cols>
    <col min="2" max="2" width="0.81640625" customWidth="1"/>
    <col min="3" max="3" width="52.7265625" bestFit="1" customWidth="1"/>
    <col min="4" max="4" width="9.7265625" bestFit="1" customWidth="1"/>
    <col min="5" max="5" width="10.54296875" bestFit="1" customWidth="1"/>
    <col min="6" max="6" width="1.7265625" customWidth="1"/>
    <col min="7" max="7" width="9.7265625" bestFit="1" customWidth="1"/>
    <col min="8" max="8" width="10.54296875" bestFit="1" customWidth="1"/>
    <col min="9" max="9" width="1.7265625" customWidth="1"/>
    <col min="10" max="10" width="9.7265625" bestFit="1" customWidth="1"/>
    <col min="11" max="11" width="10.54296875" bestFit="1" customWidth="1"/>
    <col min="12" max="12" width="0.81640625" customWidth="1"/>
  </cols>
  <sheetData>
    <row r="1" spans="1:13" ht="13">
      <c r="A1" s="654" t="s">
        <v>1085</v>
      </c>
      <c r="B1" s="655"/>
      <c r="C1" s="656"/>
      <c r="D1" s="655"/>
      <c r="E1" s="655"/>
      <c r="F1" s="655"/>
      <c r="G1" s="655"/>
      <c r="H1" s="655"/>
      <c r="I1" s="655"/>
      <c r="J1" s="655"/>
      <c r="L1" s="657" t="s">
        <v>1065</v>
      </c>
      <c r="M1" s="655"/>
    </row>
    <row r="2" spans="1:13">
      <c r="A2" s="655"/>
      <c r="B2" s="655"/>
      <c r="C2" s="655"/>
      <c r="D2" s="655"/>
      <c r="E2" s="655"/>
      <c r="F2" s="655"/>
      <c r="G2" s="655"/>
      <c r="H2" s="655"/>
      <c r="I2" s="655"/>
      <c r="J2" s="655"/>
      <c r="L2" s="657" t="s">
        <v>1091</v>
      </c>
      <c r="M2" s="655"/>
    </row>
    <row r="3" spans="1:13">
      <c r="A3" s="655"/>
      <c r="B3" s="655"/>
      <c r="C3" s="655"/>
      <c r="D3" s="655"/>
      <c r="E3" s="655"/>
      <c r="F3" s="655"/>
      <c r="G3" s="655"/>
      <c r="H3" s="655"/>
      <c r="I3" s="655"/>
      <c r="J3" s="655"/>
      <c r="L3" s="657" t="s">
        <v>1084</v>
      </c>
      <c r="M3" s="655"/>
    </row>
    <row r="4" spans="1:13">
      <c r="A4" s="655"/>
      <c r="B4" s="655"/>
      <c r="C4" s="655"/>
      <c r="D4" s="655"/>
      <c r="E4" s="655"/>
      <c r="F4" s="655"/>
      <c r="G4" s="655"/>
      <c r="H4" s="655"/>
      <c r="I4" s="655"/>
      <c r="J4" s="655"/>
      <c r="K4" s="655"/>
      <c r="L4" s="655"/>
      <c r="M4" s="655"/>
    </row>
    <row r="5" spans="1:13">
      <c r="A5" s="655"/>
      <c r="B5" s="658"/>
      <c r="C5" s="658"/>
      <c r="D5" s="658"/>
      <c r="E5" s="658"/>
      <c r="F5" s="658"/>
      <c r="G5" s="658"/>
      <c r="H5" s="658"/>
      <c r="I5" s="658"/>
      <c r="J5" s="658"/>
      <c r="K5" s="658"/>
      <c r="L5" s="658"/>
      <c r="M5" s="655"/>
    </row>
    <row r="6" spans="1:13" ht="2.15" customHeight="1">
      <c r="A6" s="655"/>
      <c r="B6" s="659"/>
      <c r="C6" s="660"/>
      <c r="D6" s="660"/>
      <c r="E6" s="660"/>
      <c r="F6" s="660"/>
      <c r="G6" s="660"/>
      <c r="H6" s="660"/>
      <c r="I6" s="660"/>
      <c r="J6" s="660"/>
      <c r="K6" s="660"/>
      <c r="L6" s="661"/>
      <c r="M6" s="655"/>
    </row>
    <row r="7" spans="1:13" ht="8.15" customHeight="1">
      <c r="A7" s="655"/>
      <c r="B7" s="662"/>
      <c r="C7" s="663"/>
      <c r="D7" s="663"/>
      <c r="E7" s="663"/>
      <c r="F7" s="663"/>
      <c r="G7" s="663"/>
      <c r="H7" s="663"/>
      <c r="I7" s="663"/>
      <c r="J7" s="663"/>
      <c r="K7" s="663"/>
      <c r="L7" s="664"/>
      <c r="M7" s="655"/>
    </row>
    <row r="8" spans="1:13" ht="13">
      <c r="A8" s="655"/>
      <c r="B8" s="665"/>
      <c r="C8" s="666"/>
      <c r="D8" s="699" t="s">
        <v>1066</v>
      </c>
      <c r="E8" s="699"/>
      <c r="F8" s="667"/>
      <c r="G8" s="699" t="s">
        <v>1067</v>
      </c>
      <c r="H8" s="699"/>
      <c r="I8" s="667"/>
      <c r="J8" s="699" t="s">
        <v>1068</v>
      </c>
      <c r="K8" s="699"/>
      <c r="L8" s="668"/>
      <c r="M8" s="655"/>
    </row>
    <row r="9" spans="1:13" ht="13">
      <c r="A9" s="655"/>
      <c r="B9" s="665"/>
      <c r="C9" s="666"/>
      <c r="D9" s="697" t="s">
        <v>1069</v>
      </c>
      <c r="E9" s="697"/>
      <c r="F9" s="667"/>
      <c r="G9" s="700" t="s">
        <v>1070</v>
      </c>
      <c r="H9" s="700"/>
      <c r="I9" s="667"/>
      <c r="J9" s="700" t="s">
        <v>1071</v>
      </c>
      <c r="K9" s="700"/>
      <c r="L9" s="668"/>
      <c r="M9" s="655"/>
    </row>
    <row r="10" spans="1:13" ht="13">
      <c r="A10" s="655"/>
      <c r="B10" s="665"/>
      <c r="C10" s="666"/>
      <c r="D10" s="697" t="s">
        <v>1072</v>
      </c>
      <c r="E10" s="697"/>
      <c r="F10" s="667"/>
      <c r="G10" s="697" t="s">
        <v>1073</v>
      </c>
      <c r="H10" s="697"/>
      <c r="I10" s="667"/>
      <c r="J10" s="697" t="s">
        <v>1074</v>
      </c>
      <c r="K10" s="697"/>
      <c r="L10" s="668"/>
      <c r="M10" s="655"/>
    </row>
    <row r="11" spans="1:13" ht="8.15" customHeight="1">
      <c r="A11" s="655"/>
      <c r="B11" s="669"/>
      <c r="C11" s="670"/>
      <c r="D11" s="671"/>
      <c r="E11" s="671"/>
      <c r="F11" s="671"/>
      <c r="G11" s="671"/>
      <c r="H11" s="671"/>
      <c r="I11" s="671"/>
      <c r="J11" s="671"/>
      <c r="K11" s="671"/>
      <c r="L11" s="672"/>
      <c r="M11" s="655"/>
    </row>
    <row r="12" spans="1:13" ht="2.15" customHeight="1">
      <c r="A12" s="655"/>
      <c r="B12" s="659"/>
      <c r="C12" s="660"/>
      <c r="D12" s="673"/>
      <c r="E12" s="673"/>
      <c r="F12" s="673"/>
      <c r="G12" s="673"/>
      <c r="H12" s="673"/>
      <c r="I12" s="673"/>
      <c r="J12" s="673"/>
      <c r="K12" s="673"/>
      <c r="L12" s="661"/>
      <c r="M12" s="655"/>
    </row>
    <row r="13" spans="1:13" ht="8.15" customHeight="1">
      <c r="A13" s="655"/>
      <c r="B13" s="674"/>
      <c r="C13" s="675"/>
      <c r="D13" s="676"/>
      <c r="E13" s="676"/>
      <c r="F13" s="677"/>
      <c r="G13" s="677"/>
      <c r="H13" s="677"/>
      <c r="I13" s="677"/>
      <c r="J13" s="677"/>
      <c r="K13" s="677"/>
      <c r="L13" s="678"/>
      <c r="M13" s="655"/>
    </row>
    <row r="14" spans="1:13" ht="13">
      <c r="A14" s="655"/>
      <c r="B14" s="679"/>
      <c r="C14" s="687" t="s">
        <v>1075</v>
      </c>
      <c r="D14" s="698">
        <f>'Pres &amp; Prop Rev'!D23/'Pres &amp; Prop Rev'!D25</f>
        <v>944.77574655364231</v>
      </c>
      <c r="E14" s="698"/>
      <c r="F14" s="695"/>
      <c r="G14" s="698">
        <f>D14*2/3</f>
        <v>629.85049770242824</v>
      </c>
      <c r="H14" s="698"/>
      <c r="I14" s="695"/>
      <c r="J14" s="698">
        <f>D14*4/3</f>
        <v>1259.7009954048565</v>
      </c>
      <c r="K14" s="698"/>
      <c r="L14" s="680"/>
      <c r="M14" s="655"/>
    </row>
    <row r="15" spans="1:13">
      <c r="A15" s="655"/>
      <c r="B15" s="679"/>
      <c r="C15" s="658"/>
      <c r="D15" s="681" t="s">
        <v>246</v>
      </c>
      <c r="E15" s="681" t="s">
        <v>1076</v>
      </c>
      <c r="F15" s="658"/>
      <c r="G15" s="681" t="s">
        <v>246</v>
      </c>
      <c r="H15" s="681" t="s">
        <v>1076</v>
      </c>
      <c r="I15" s="658"/>
      <c r="J15" s="681" t="s">
        <v>246</v>
      </c>
      <c r="K15" s="681" t="s">
        <v>1076</v>
      </c>
      <c r="L15" s="682"/>
      <c r="M15" s="655"/>
    </row>
    <row r="16" spans="1:13" ht="13">
      <c r="A16" s="655"/>
      <c r="B16" s="679"/>
      <c r="C16" s="683" t="s">
        <v>1077</v>
      </c>
      <c r="D16" s="684"/>
      <c r="E16" s="684"/>
      <c r="F16" s="684"/>
      <c r="G16" s="684"/>
      <c r="H16" s="684"/>
      <c r="I16" s="684"/>
      <c r="J16" s="684"/>
      <c r="K16" s="684"/>
      <c r="L16" s="682"/>
      <c r="M16" s="655"/>
    </row>
    <row r="17" spans="1:13" ht="8.15" customHeight="1">
      <c r="A17" s="655"/>
      <c r="B17" s="679"/>
      <c r="C17" s="658"/>
      <c r="D17" s="658"/>
      <c r="E17" s="658"/>
      <c r="F17" s="658"/>
      <c r="G17" s="658"/>
      <c r="H17" s="658"/>
      <c r="I17" s="658"/>
      <c r="J17" s="658"/>
      <c r="K17" s="658"/>
      <c r="L17" s="682"/>
      <c r="M17" s="655"/>
    </row>
    <row r="18" spans="1:13">
      <c r="A18" s="655"/>
      <c r="B18" s="679"/>
      <c r="C18" s="658" t="s">
        <v>1078</v>
      </c>
      <c r="D18" s="685">
        <f>'JDM-4, pg 3'!F12</f>
        <v>9</v>
      </c>
      <c r="E18" s="685">
        <f>D18</f>
        <v>9</v>
      </c>
      <c r="F18" s="686"/>
      <c r="G18" s="685">
        <f>D18</f>
        <v>9</v>
      </c>
      <c r="H18" s="685">
        <f>G18</f>
        <v>9</v>
      </c>
      <c r="I18" s="686"/>
      <c r="J18" s="685">
        <f>G18</f>
        <v>9</v>
      </c>
      <c r="K18" s="685">
        <f>J18</f>
        <v>9</v>
      </c>
      <c r="L18" s="682"/>
      <c r="M18" s="655"/>
    </row>
    <row r="19" spans="1:13">
      <c r="A19" s="655"/>
      <c r="B19" s="679"/>
      <c r="C19" s="658" t="s">
        <v>1079</v>
      </c>
      <c r="D19" s="696">
        <f>'JDM-4, pg 3'!F14</f>
        <v>9.0960000000000013E-2</v>
      </c>
      <c r="E19" s="696">
        <f>IF(D14&gt;800,800*D19,D14*D19)</f>
        <v>72.768000000000015</v>
      </c>
      <c r="F19" s="696"/>
      <c r="G19" s="696">
        <f>D19</f>
        <v>9.0960000000000013E-2</v>
      </c>
      <c r="H19" s="696">
        <f>IF(G14&gt;800,800*G19,G14*G19)</f>
        <v>57.291201271012881</v>
      </c>
      <c r="I19" s="696"/>
      <c r="J19" s="696">
        <f>G19</f>
        <v>9.0960000000000013E-2</v>
      </c>
      <c r="K19" s="696">
        <f>IF(J14&gt;800,800*J19,J14*J19)</f>
        <v>72.768000000000015</v>
      </c>
      <c r="L19" s="682"/>
      <c r="M19" s="655"/>
    </row>
    <row r="20" spans="1:13">
      <c r="A20" s="655"/>
      <c r="B20" s="679"/>
      <c r="C20" s="658" t="s">
        <v>1086</v>
      </c>
      <c r="D20" s="696">
        <f>'JDM-4, pg 3'!F15</f>
        <v>0.10682000000000004</v>
      </c>
      <c r="E20" s="696">
        <f>IF(D14&lt;800,0,IF(D14&lt;1500,(D14-800)*D20,(1500-800)*D20))</f>
        <v>15.464945246860077</v>
      </c>
      <c r="F20" s="696"/>
      <c r="G20" s="696">
        <f>D20</f>
        <v>0.10682000000000004</v>
      </c>
      <c r="H20" s="696">
        <f>IF(G14&lt;800,0,IF(G14&lt;1500,(G14-800)*G20,(1500-800)*G20))</f>
        <v>0</v>
      </c>
      <c r="I20" s="696"/>
      <c r="J20" s="696">
        <f>G20</f>
        <v>0.10682000000000004</v>
      </c>
      <c r="K20" s="696">
        <f>IF(J14&lt;800,0,IF(J14&lt;1500,(J14-800)*J20,(1500-800)*J20))</f>
        <v>49.105260329146788</v>
      </c>
      <c r="L20" s="682"/>
      <c r="M20" s="655"/>
    </row>
    <row r="21" spans="1:13">
      <c r="A21" s="655"/>
      <c r="B21" s="679"/>
      <c r="C21" s="658" t="s">
        <v>1087</v>
      </c>
      <c r="D21" s="696">
        <f>'JDM-4, pg 3'!F16</f>
        <v>0.12635000000000005</v>
      </c>
      <c r="E21" s="696">
        <f>IF(D14&lt;1500,0,(D14-1500)*D21)</f>
        <v>0</v>
      </c>
      <c r="F21" s="696"/>
      <c r="G21" s="696">
        <f>D21</f>
        <v>0.12635000000000005</v>
      </c>
      <c r="H21" s="696">
        <f>IF(G14&lt;1500,0,(G14-1500)*G21)</f>
        <v>0</v>
      </c>
      <c r="I21" s="696"/>
      <c r="J21" s="696">
        <f>D21</f>
        <v>0.12635000000000005</v>
      </c>
      <c r="K21" s="696">
        <f>IF(J14&lt;1500,0,(J14-1500)*J21)</f>
        <v>0</v>
      </c>
      <c r="L21" s="682"/>
      <c r="M21" s="655"/>
    </row>
    <row r="22" spans="1:13" ht="8.15" customHeight="1">
      <c r="A22" s="655"/>
      <c r="B22" s="679"/>
      <c r="C22" s="658"/>
      <c r="D22" s="658"/>
      <c r="E22" s="658"/>
      <c r="F22" s="658"/>
      <c r="G22" s="658"/>
      <c r="H22" s="658"/>
      <c r="I22" s="658"/>
      <c r="J22" s="658"/>
      <c r="K22" s="658"/>
      <c r="L22" s="682"/>
      <c r="M22" s="655"/>
    </row>
    <row r="23" spans="1:13" ht="13">
      <c r="A23" s="655"/>
      <c r="B23" s="679"/>
      <c r="C23" s="687" t="s">
        <v>1080</v>
      </c>
      <c r="D23" s="688"/>
      <c r="E23" s="688">
        <f>E18+E19+E20+E21</f>
        <v>97.232945246860098</v>
      </c>
      <c r="F23" s="688"/>
      <c r="G23" s="688"/>
      <c r="H23" s="688">
        <f>H18+H19+H20+H21</f>
        <v>66.291201271012881</v>
      </c>
      <c r="I23" s="688"/>
      <c r="J23" s="688"/>
      <c r="K23" s="688">
        <f>K18+K19+K20+K21</f>
        <v>130.8732603291468</v>
      </c>
      <c r="L23" s="682"/>
      <c r="M23" s="655"/>
    </row>
    <row r="24" spans="1:13" ht="8.15" customHeight="1">
      <c r="A24" s="655"/>
      <c r="B24" s="679"/>
      <c r="C24" s="687"/>
      <c r="D24" s="688"/>
      <c r="E24" s="688"/>
      <c r="F24" s="688"/>
      <c r="G24" s="688"/>
      <c r="H24" s="688"/>
      <c r="I24" s="688"/>
      <c r="J24" s="688"/>
      <c r="K24" s="688"/>
      <c r="L24" s="682"/>
      <c r="M24" s="655"/>
    </row>
    <row r="25" spans="1:13" ht="8.15" customHeight="1">
      <c r="A25" s="655"/>
      <c r="B25" s="679"/>
      <c r="C25" s="658"/>
      <c r="D25" s="689"/>
      <c r="E25" s="689"/>
      <c r="F25" s="689"/>
      <c r="G25" s="689"/>
      <c r="H25" s="689"/>
      <c r="I25" s="689"/>
      <c r="J25" s="689"/>
      <c r="K25" s="689"/>
      <c r="L25" s="682"/>
      <c r="M25" s="655"/>
    </row>
    <row r="26" spans="1:13" ht="13">
      <c r="A26" s="655"/>
      <c r="B26" s="679"/>
      <c r="C26" s="683" t="s">
        <v>1081</v>
      </c>
      <c r="D26" s="689"/>
      <c r="E26" s="689"/>
      <c r="F26" s="689"/>
      <c r="G26" s="689"/>
      <c r="H26" s="689"/>
      <c r="I26" s="689"/>
      <c r="J26" s="689"/>
      <c r="K26" s="689"/>
      <c r="L26" s="682"/>
      <c r="M26" s="655"/>
    </row>
    <row r="27" spans="1:13" ht="8.15" customHeight="1">
      <c r="A27" s="655"/>
      <c r="B27" s="679"/>
      <c r="C27" s="658"/>
      <c r="D27" s="658"/>
      <c r="E27" s="658"/>
      <c r="F27" s="658"/>
      <c r="G27" s="658"/>
      <c r="H27" s="658"/>
      <c r="I27" s="658"/>
      <c r="J27" s="658"/>
      <c r="K27" s="658"/>
      <c r="L27" s="682"/>
      <c r="M27" s="655"/>
    </row>
    <row r="28" spans="1:13">
      <c r="A28" s="655"/>
      <c r="B28" s="679"/>
      <c r="C28" s="658" t="s">
        <v>1078</v>
      </c>
      <c r="D28" s="685">
        <f>'JDM-4, pg 3'!N12</f>
        <v>15</v>
      </c>
      <c r="E28" s="685">
        <f>D28</f>
        <v>15</v>
      </c>
      <c r="F28" s="685"/>
      <c r="G28" s="685">
        <f>D28</f>
        <v>15</v>
      </c>
      <c r="H28" s="685">
        <f>G28</f>
        <v>15</v>
      </c>
      <c r="I28" s="685"/>
      <c r="J28" s="685">
        <f>G28</f>
        <v>15</v>
      </c>
      <c r="K28" s="685">
        <f>J28</f>
        <v>15</v>
      </c>
      <c r="L28" s="682"/>
      <c r="M28" s="655"/>
    </row>
    <row r="29" spans="1:13">
      <c r="A29" s="655"/>
      <c r="B29" s="679"/>
      <c r="C29" s="658" t="s">
        <v>1079</v>
      </c>
      <c r="D29" s="696">
        <f>'JDM-4, pg 3'!N14</f>
        <v>9.7820000000000004E-2</v>
      </c>
      <c r="E29" s="696">
        <f>IF(D14&gt;800,800*D29,D14*D29)</f>
        <v>78.256</v>
      </c>
      <c r="F29" s="696"/>
      <c r="G29" s="696">
        <f>D29</f>
        <v>9.7820000000000004E-2</v>
      </c>
      <c r="H29" s="696">
        <f>IF(G14&gt;800,800*G29,G14*G29)</f>
        <v>61.611975685251537</v>
      </c>
      <c r="I29" s="696"/>
      <c r="J29" s="696">
        <f>G29</f>
        <v>9.7820000000000004E-2</v>
      </c>
      <c r="K29" s="696">
        <f>IF(J14&gt;800,800*J29,J14*J29)</f>
        <v>78.256</v>
      </c>
      <c r="L29" s="682"/>
      <c r="M29" s="655"/>
    </row>
    <row r="30" spans="1:13">
      <c r="A30" s="655"/>
      <c r="B30" s="679"/>
      <c r="C30" s="658" t="s">
        <v>1086</v>
      </c>
      <c r="D30" s="696">
        <f>'JDM-4, pg 3'!N15</f>
        <v>0.11493</v>
      </c>
      <c r="E30" s="696">
        <f>IF(D14&lt;800,0,IF(D14&lt;1500,(D14-800)*D30,(1500-800)*D30))</f>
        <v>16.63907655141011</v>
      </c>
      <c r="F30" s="696"/>
      <c r="G30" s="696">
        <f>D30</f>
        <v>0.11493</v>
      </c>
      <c r="H30" s="696">
        <f>IF(G14&lt;800,0,IF(G14&lt;1500,(G14-800)*G30,(1500-800)*G30))</f>
        <v>0</v>
      </c>
      <c r="I30" s="696"/>
      <c r="J30" s="696">
        <f>G30</f>
        <v>0.11493</v>
      </c>
      <c r="K30" s="696">
        <f>IF(J14&lt;800,0,IF(J14&lt;1500,(J14-800)*J30,(1500-800)*J30))</f>
        <v>52.833435401880159</v>
      </c>
      <c r="L30" s="682"/>
      <c r="M30" s="655"/>
    </row>
    <row r="31" spans="1:13">
      <c r="A31" s="655"/>
      <c r="B31" s="679"/>
      <c r="C31" s="658" t="s">
        <v>1087</v>
      </c>
      <c r="D31" s="696">
        <f>'JDM-4, pg 3'!N16</f>
        <v>0.13600000000000001</v>
      </c>
      <c r="E31" s="696">
        <f>IF(D14&lt;1500,0,(D14-1500)*D31)</f>
        <v>0</v>
      </c>
      <c r="F31" s="696"/>
      <c r="G31" s="696">
        <f>D31</f>
        <v>0.13600000000000001</v>
      </c>
      <c r="H31" s="696">
        <f>IF(G14&lt;1500,0,(G14-1500)*G31)</f>
        <v>0</v>
      </c>
      <c r="I31" s="696"/>
      <c r="J31" s="696">
        <f>D31</f>
        <v>0.13600000000000001</v>
      </c>
      <c r="K31" s="696">
        <f>IF(J14&lt;1500,0,(J14-1500)*J31)</f>
        <v>0</v>
      </c>
      <c r="L31" s="682"/>
      <c r="M31" s="655"/>
    </row>
    <row r="32" spans="1:13" ht="8.15" customHeight="1">
      <c r="A32" s="655"/>
      <c r="B32" s="679"/>
      <c r="C32" s="658"/>
      <c r="D32" s="658"/>
      <c r="E32" s="658"/>
      <c r="F32" s="658"/>
      <c r="G32" s="658"/>
      <c r="H32" s="658"/>
      <c r="I32" s="658"/>
      <c r="J32" s="658"/>
      <c r="K32" s="658"/>
      <c r="L32" s="682"/>
      <c r="M32" s="655"/>
    </row>
    <row r="33" spans="1:13" ht="13">
      <c r="A33" s="655"/>
      <c r="B33" s="679"/>
      <c r="C33" s="687" t="s">
        <v>1082</v>
      </c>
      <c r="D33" s="688"/>
      <c r="E33" s="688">
        <f>E28+E29+E30+E31</f>
        <v>109.89507655141011</v>
      </c>
      <c r="F33" s="688"/>
      <c r="G33" s="688"/>
      <c r="H33" s="688">
        <f>H28+H29+H30+H31</f>
        <v>76.611975685251537</v>
      </c>
      <c r="I33" s="688"/>
      <c r="J33" s="688"/>
      <c r="K33" s="688">
        <f>K28+K29+K30+K31</f>
        <v>146.08943540188017</v>
      </c>
      <c r="L33" s="682"/>
      <c r="M33" s="655"/>
    </row>
    <row r="34" spans="1:13" ht="13">
      <c r="A34" s="655"/>
      <c r="B34" s="679"/>
      <c r="C34" s="687" t="s">
        <v>1083</v>
      </c>
      <c r="D34" s="690"/>
      <c r="E34" s="690">
        <f>(E33-E23)/E23</f>
        <v>0.13022470184774032</v>
      </c>
      <c r="F34" s="690"/>
      <c r="G34" s="690"/>
      <c r="H34" s="690">
        <f>(H33-H23)/H23</f>
        <v>0.1556884505991237</v>
      </c>
      <c r="I34" s="690"/>
      <c r="J34" s="690"/>
      <c r="K34" s="690">
        <f>(K33-K23)/K23</f>
        <v>0.11626649351032151</v>
      </c>
      <c r="L34" s="682"/>
      <c r="M34" s="655"/>
    </row>
    <row r="35" spans="1:13" ht="8.15" customHeight="1" thickBot="1">
      <c r="A35" s="655"/>
      <c r="B35" s="691"/>
      <c r="C35" s="692"/>
      <c r="D35" s="693"/>
      <c r="E35" s="693"/>
      <c r="F35" s="693"/>
      <c r="G35" s="693"/>
      <c r="H35" s="693"/>
      <c r="I35" s="693"/>
      <c r="J35" s="693"/>
      <c r="K35" s="693"/>
      <c r="L35" s="694"/>
      <c r="M35" s="655"/>
    </row>
    <row r="36" spans="1:13" ht="13" thickTop="1">
      <c r="A36" s="655"/>
      <c r="B36" s="658"/>
      <c r="C36" s="658"/>
      <c r="D36" s="658"/>
      <c r="E36" s="658"/>
      <c r="F36" s="658"/>
      <c r="G36" s="658"/>
      <c r="H36" s="658"/>
      <c r="I36" s="658"/>
      <c r="J36" s="658"/>
      <c r="K36" s="658"/>
      <c r="L36" s="658"/>
      <c r="M36" s="655"/>
    </row>
    <row r="37" spans="1:13">
      <c r="A37" s="655"/>
      <c r="B37" s="658"/>
      <c r="C37" s="658" t="s">
        <v>1089</v>
      </c>
      <c r="D37" s="658"/>
      <c r="E37" s="658"/>
      <c r="F37" s="658"/>
      <c r="G37" s="658"/>
      <c r="H37" s="658"/>
      <c r="I37" s="658"/>
      <c r="J37" s="658"/>
      <c r="K37" s="658"/>
      <c r="L37" s="658"/>
      <c r="M37" s="655"/>
    </row>
    <row r="39" spans="1:13">
      <c r="B39" s="41" t="s">
        <v>1088</v>
      </c>
    </row>
    <row r="40" spans="1:13">
      <c r="B40" s="41" t="s">
        <v>1090</v>
      </c>
    </row>
  </sheetData>
  <mergeCells count="12">
    <mergeCell ref="D8:E8"/>
    <mergeCell ref="G8:H8"/>
    <mergeCell ref="J8:K8"/>
    <mergeCell ref="D9:E9"/>
    <mergeCell ref="G9:H9"/>
    <mergeCell ref="J9:K9"/>
    <mergeCell ref="D10:E10"/>
    <mergeCell ref="G10:H10"/>
    <mergeCell ref="J10:K10"/>
    <mergeCell ref="D14:E14"/>
    <mergeCell ref="G14:H14"/>
    <mergeCell ref="J14:K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114"/>
  <sheetViews>
    <sheetView showGridLines="0" zoomScale="145" zoomScaleNormal="145" zoomScaleSheetLayoutView="100" workbookViewId="0">
      <selection activeCell="A9" sqref="A9"/>
    </sheetView>
  </sheetViews>
  <sheetFormatPr defaultColWidth="10.7265625" defaultRowHeight="11.5"/>
  <cols>
    <col min="1" max="1" width="29.54296875" style="18" customWidth="1"/>
    <col min="2" max="5" width="14.7265625" style="18" customWidth="1"/>
    <col min="6" max="7" width="12.7265625" style="18" customWidth="1"/>
    <col min="8" max="16384" width="10.7265625" style="18"/>
  </cols>
  <sheetData>
    <row r="1" spans="1:17">
      <c r="A1" s="21" t="s">
        <v>78</v>
      </c>
      <c r="B1" s="195"/>
      <c r="C1" s="21"/>
      <c r="D1" s="195"/>
      <c r="E1" s="195"/>
      <c r="F1" s="195"/>
      <c r="G1" s="195"/>
    </row>
    <row r="2" spans="1:17">
      <c r="A2" s="21" t="s">
        <v>366</v>
      </c>
      <c r="B2" s="21"/>
      <c r="C2" s="21"/>
      <c r="D2" s="195"/>
      <c r="E2" s="21"/>
      <c r="F2" s="21"/>
      <c r="G2" s="21"/>
    </row>
    <row r="3" spans="1:17">
      <c r="A3" s="21" t="s">
        <v>328</v>
      </c>
      <c r="B3" s="195"/>
      <c r="C3" s="21"/>
      <c r="D3" s="195"/>
      <c r="E3" s="195"/>
      <c r="F3" s="195"/>
      <c r="G3" s="195"/>
    </row>
    <row r="4" spans="1:17">
      <c r="A4" s="21" t="s">
        <v>813</v>
      </c>
      <c r="B4" s="21"/>
      <c r="C4" s="21"/>
      <c r="D4" s="195"/>
      <c r="E4" s="21"/>
      <c r="F4" s="21"/>
      <c r="G4" s="21"/>
    </row>
    <row r="5" spans="1:17">
      <c r="A5" s="20"/>
      <c r="B5" s="21"/>
      <c r="C5" s="21"/>
      <c r="D5" s="21"/>
      <c r="E5" s="21"/>
      <c r="F5" s="21"/>
      <c r="G5" s="21"/>
    </row>
    <row r="6" spans="1:17">
      <c r="A6" s="20"/>
      <c r="B6" s="21"/>
      <c r="C6" s="21"/>
      <c r="D6" s="21"/>
      <c r="E6" s="21"/>
      <c r="F6" s="21"/>
      <c r="G6" s="21"/>
    </row>
    <row r="7" spans="1:17">
      <c r="B7" s="22"/>
    </row>
    <row r="8" spans="1:17">
      <c r="A8" s="23" t="s">
        <v>1029</v>
      </c>
      <c r="B8" s="24" t="s">
        <v>624</v>
      </c>
      <c r="C8" s="23" t="s">
        <v>625</v>
      </c>
      <c r="D8" s="24" t="s">
        <v>626</v>
      </c>
      <c r="E8" s="24" t="s">
        <v>627</v>
      </c>
      <c r="F8" s="24" t="s">
        <v>344</v>
      </c>
      <c r="I8" s="459"/>
      <c r="J8" s="460"/>
      <c r="K8" s="460"/>
      <c r="L8" s="460"/>
      <c r="M8" s="460"/>
      <c r="N8" s="460"/>
      <c r="O8" s="460"/>
      <c r="P8" s="460"/>
      <c r="Q8" s="460"/>
    </row>
    <row r="9" spans="1:17">
      <c r="A9" s="18" t="s">
        <v>748</v>
      </c>
      <c r="B9" s="19">
        <f>'Block Data'!O21</f>
        <v>1718630296.2747939</v>
      </c>
      <c r="C9" s="19">
        <f>'Block Data'!O22</f>
        <v>577659306.88565063</v>
      </c>
      <c r="D9" s="19">
        <f>'Block Data'!O23</f>
        <v>374095139.33183551</v>
      </c>
      <c r="E9" s="19">
        <f>B9+C9+D9</f>
        <v>2670384742.49228</v>
      </c>
      <c r="F9" s="19">
        <f>'REVRUNS 12ME0623'!P39</f>
        <v>2738172</v>
      </c>
      <c r="I9" s="459"/>
      <c r="J9" s="460"/>
      <c r="K9" s="460"/>
      <c r="L9" s="460"/>
      <c r="M9" s="460"/>
      <c r="N9" s="460"/>
      <c r="O9" s="460"/>
      <c r="P9" s="460"/>
      <c r="Q9" s="460"/>
    </row>
    <row r="10" spans="1:17" ht="14.5">
      <c r="A10" s="30" t="s">
        <v>749</v>
      </c>
      <c r="B10" s="19"/>
      <c r="D10" s="19"/>
      <c r="E10" s="25">
        <f>'Block Data'!O13</f>
        <v>2670384742.49228</v>
      </c>
      <c r="F10" s="19"/>
      <c r="I10" s="459"/>
      <c r="J10" s="460"/>
      <c r="K10" s="460"/>
      <c r="L10" s="460"/>
      <c r="M10" s="460"/>
      <c r="N10" s="460"/>
      <c r="O10" s="460"/>
      <c r="P10" s="460"/>
      <c r="Q10" s="460"/>
    </row>
    <row r="11" spans="1:17">
      <c r="A11" s="30" t="s">
        <v>623</v>
      </c>
      <c r="B11" s="19"/>
      <c r="D11" s="19"/>
      <c r="E11" s="26">
        <f>E10-E9</f>
        <v>0</v>
      </c>
      <c r="F11" s="19"/>
      <c r="I11" s="460"/>
      <c r="J11" s="460"/>
      <c r="K11" s="460"/>
      <c r="L11" s="460"/>
      <c r="M11" s="460"/>
      <c r="N11" s="460"/>
      <c r="O11" s="460"/>
      <c r="P11" s="460"/>
      <c r="Q11" s="460"/>
    </row>
    <row r="12" spans="1:17">
      <c r="A12" s="30"/>
      <c r="B12" s="19"/>
      <c r="D12" s="19"/>
      <c r="E12" s="87"/>
      <c r="F12" s="19"/>
      <c r="I12" s="459"/>
      <c r="J12" s="460"/>
      <c r="K12" s="460"/>
      <c r="L12" s="460"/>
      <c r="M12" s="460"/>
      <c r="N12" s="460"/>
      <c r="O12" s="460"/>
      <c r="P12" s="460"/>
      <c r="Q12" s="460"/>
    </row>
    <row r="13" spans="1:17">
      <c r="E13" s="27"/>
      <c r="I13" s="460"/>
      <c r="J13" s="460"/>
      <c r="K13" s="460"/>
      <c r="L13" s="460"/>
      <c r="M13" s="460"/>
      <c r="N13" s="460"/>
      <c r="O13" s="460"/>
      <c r="P13" s="460"/>
      <c r="Q13" s="460"/>
    </row>
    <row r="14" spans="1:17">
      <c r="A14" s="23" t="s">
        <v>806</v>
      </c>
      <c r="B14" s="24" t="s">
        <v>628</v>
      </c>
      <c r="C14" s="23" t="s">
        <v>629</v>
      </c>
      <c r="D14" s="24" t="s">
        <v>627</v>
      </c>
      <c r="E14" s="24" t="s">
        <v>424</v>
      </c>
      <c r="F14" s="24" t="s">
        <v>344</v>
      </c>
      <c r="G14" s="24" t="s">
        <v>425</v>
      </c>
    </row>
    <row r="15" spans="1:17">
      <c r="A15" s="18" t="s">
        <v>750</v>
      </c>
      <c r="B15" s="19">
        <f>'Block Data'!O38</f>
        <v>466372572.30339468</v>
      </c>
      <c r="C15" s="19">
        <f>'Block Data'!O39</f>
        <v>234380452.38748533</v>
      </c>
      <c r="D15" s="19">
        <f>B15+C15</f>
        <v>700753024.69088006</v>
      </c>
      <c r="E15" s="19">
        <f>'Block Data'!O45</f>
        <v>566912.83238095231</v>
      </c>
      <c r="F15" s="19">
        <f>'REVRUNS 12ME0623'!P40</f>
        <v>416737</v>
      </c>
      <c r="G15" s="19">
        <f>'Block Data'!O49</f>
        <v>0</v>
      </c>
    </row>
    <row r="16" spans="1:17" ht="13">
      <c r="A16" s="18" t="s">
        <v>764</v>
      </c>
      <c r="B16" s="295">
        <v>0</v>
      </c>
      <c r="C16" s="295">
        <v>0</v>
      </c>
      <c r="D16" s="28">
        <f>SUM(B16:C16)</f>
        <v>0</v>
      </c>
      <c r="E16" s="295">
        <v>0</v>
      </c>
      <c r="F16" s="297">
        <v>0</v>
      </c>
      <c r="G16" s="272">
        <v>0</v>
      </c>
    </row>
    <row r="17" spans="1:7">
      <c r="A17" s="18" t="s">
        <v>412</v>
      </c>
      <c r="B17" s="270">
        <f t="shared" ref="B17:G17" si="0">SUM(B15:B16)</f>
        <v>466372572.30339468</v>
      </c>
      <c r="C17" s="270">
        <f t="shared" si="0"/>
        <v>234380452.38748533</v>
      </c>
      <c r="D17" s="270">
        <f t="shared" si="0"/>
        <v>700753024.69088006</v>
      </c>
      <c r="E17" s="270">
        <f t="shared" si="0"/>
        <v>566912.83238095231</v>
      </c>
      <c r="F17" s="270">
        <f t="shared" si="0"/>
        <v>416737</v>
      </c>
      <c r="G17" s="270">
        <f t="shared" si="0"/>
        <v>0</v>
      </c>
    </row>
    <row r="18" spans="1:7" ht="14.5">
      <c r="A18" s="30" t="s">
        <v>749</v>
      </c>
      <c r="B18" s="87"/>
      <c r="C18" s="88"/>
      <c r="D18" s="25">
        <f>'Block Data'!O31</f>
        <v>700753024.69088006</v>
      </c>
      <c r="F18" s="19"/>
    </row>
    <row r="19" spans="1:7">
      <c r="A19" s="30" t="s">
        <v>764</v>
      </c>
      <c r="B19" s="87"/>
      <c r="C19" s="88"/>
      <c r="D19" s="270">
        <f>D16</f>
        <v>0</v>
      </c>
      <c r="F19" s="19"/>
    </row>
    <row r="20" spans="1:7" ht="14.5">
      <c r="A20" s="30" t="s">
        <v>630</v>
      </c>
      <c r="B20" s="87"/>
      <c r="C20" s="88"/>
      <c r="D20" s="25">
        <f>D18+D19</f>
        <v>700753024.69088006</v>
      </c>
      <c r="F20" s="19"/>
    </row>
    <row r="21" spans="1:7">
      <c r="A21" s="30" t="s">
        <v>623</v>
      </c>
      <c r="B21" s="19"/>
      <c r="D21" s="26">
        <f>D20-D17</f>
        <v>0</v>
      </c>
      <c r="F21" s="19"/>
    </row>
    <row r="22" spans="1:7">
      <c r="A22" s="30"/>
      <c r="B22" s="19"/>
      <c r="D22" s="87"/>
      <c r="E22" s="87"/>
      <c r="F22" s="19"/>
    </row>
    <row r="23" spans="1:7">
      <c r="D23" s="27"/>
    </row>
    <row r="24" spans="1:7">
      <c r="A24" s="491" t="s">
        <v>757</v>
      </c>
      <c r="B24" s="24" t="s">
        <v>773</v>
      </c>
      <c r="C24" s="494" t="s">
        <v>774</v>
      </c>
      <c r="D24" s="24" t="s">
        <v>627</v>
      </c>
      <c r="E24" s="24"/>
      <c r="F24" s="24" t="s">
        <v>344</v>
      </c>
      <c r="G24" s="24" t="s">
        <v>425</v>
      </c>
    </row>
    <row r="25" spans="1:7">
      <c r="A25" s="460" t="s">
        <v>750</v>
      </c>
      <c r="B25" s="492">
        <f>'Block Data'!O54*0.24963</f>
        <v>92517.214073099996</v>
      </c>
      <c r="C25" s="492">
        <f>'Block Data'!O54*0.75037</f>
        <v>278100.15592689998</v>
      </c>
      <c r="D25" s="19">
        <f>B25+C25</f>
        <v>370617.37</v>
      </c>
      <c r="E25" s="19">
        <v>0</v>
      </c>
      <c r="F25" s="19">
        <f>'REVRUNS 12ME0623'!P41</f>
        <v>152</v>
      </c>
      <c r="G25" s="19">
        <f>'Block Data'!O76</f>
        <v>0</v>
      </c>
    </row>
    <row r="26" spans="1:7" ht="13">
      <c r="A26" s="460" t="s">
        <v>764</v>
      </c>
      <c r="B26" s="272">
        <v>0</v>
      </c>
      <c r="C26" s="272">
        <v>0</v>
      </c>
      <c r="D26" s="28">
        <f>SUM(B26:C26)</f>
        <v>0</v>
      </c>
      <c r="E26" s="295">
        <v>0</v>
      </c>
      <c r="F26" s="297">
        <v>0</v>
      </c>
      <c r="G26" s="295">
        <v>0</v>
      </c>
    </row>
    <row r="27" spans="1:7">
      <c r="A27" s="460" t="s">
        <v>412</v>
      </c>
      <c r="B27" s="273">
        <f t="shared" ref="B27:G27" si="1">SUM(B25:B26)</f>
        <v>92517.214073099996</v>
      </c>
      <c r="C27" s="273">
        <f t="shared" si="1"/>
        <v>278100.15592689998</v>
      </c>
      <c r="D27" s="270">
        <f t="shared" si="1"/>
        <v>370617.37</v>
      </c>
      <c r="E27" s="270">
        <f t="shared" si="1"/>
        <v>0</v>
      </c>
      <c r="F27" s="270">
        <f t="shared" si="1"/>
        <v>152</v>
      </c>
      <c r="G27" s="270">
        <f t="shared" si="1"/>
        <v>0</v>
      </c>
    </row>
    <row r="28" spans="1:7" ht="14.5">
      <c r="A28" s="30" t="s">
        <v>749</v>
      </c>
      <c r="B28" s="87"/>
      <c r="C28" s="88"/>
      <c r="D28" s="25">
        <f>'Block Data'!O58</f>
        <v>370616.37</v>
      </c>
      <c r="F28" s="19"/>
    </row>
    <row r="29" spans="1:7">
      <c r="A29" s="30" t="s">
        <v>764</v>
      </c>
      <c r="B29" s="87"/>
      <c r="C29" s="88"/>
      <c r="D29" s="270">
        <f>D26</f>
        <v>0</v>
      </c>
      <c r="F29" s="19"/>
    </row>
    <row r="30" spans="1:7" ht="14.5">
      <c r="A30" s="30" t="s">
        <v>630</v>
      </c>
      <c r="B30" s="87"/>
      <c r="C30" s="88"/>
      <c r="D30" s="25">
        <f>D28+D29</f>
        <v>370616.37</v>
      </c>
      <c r="F30" s="19"/>
    </row>
    <row r="31" spans="1:7">
      <c r="A31" s="30" t="s">
        <v>623</v>
      </c>
      <c r="B31" s="19"/>
      <c r="D31" s="26">
        <f>D30-D27</f>
        <v>-1</v>
      </c>
      <c r="F31" s="19"/>
    </row>
    <row r="32" spans="1:7">
      <c r="A32" s="30"/>
      <c r="B32" s="19"/>
      <c r="D32" s="87"/>
      <c r="E32" s="87"/>
      <c r="F32" s="19"/>
    </row>
    <row r="33" spans="1:7">
      <c r="D33" s="27"/>
    </row>
    <row r="34" spans="1:7">
      <c r="A34" s="23" t="s">
        <v>807</v>
      </c>
      <c r="B34" s="24" t="s">
        <v>631</v>
      </c>
      <c r="C34" s="23" t="s">
        <v>632</v>
      </c>
      <c r="D34" s="24" t="s">
        <v>627</v>
      </c>
      <c r="E34" s="24" t="s">
        <v>426</v>
      </c>
      <c r="F34" s="24" t="s">
        <v>344</v>
      </c>
      <c r="G34" s="24" t="s">
        <v>425</v>
      </c>
    </row>
    <row r="35" spans="1:7">
      <c r="A35" s="18" t="s">
        <v>750</v>
      </c>
      <c r="B35" s="19">
        <f>'Block Data'!O91</f>
        <v>1181273588.82234</v>
      </c>
      <c r="C35" s="19">
        <f>'Block Data'!O92</f>
        <v>144121754.80867997</v>
      </c>
      <c r="D35" s="19">
        <f>B35+C35</f>
        <v>1325395343.6310201</v>
      </c>
      <c r="E35" s="19">
        <f>'Block Data'!O98</f>
        <v>2600000.3744761907</v>
      </c>
      <c r="F35" s="19">
        <f>'REVRUNS 12ME0623'!P42</f>
        <v>20410</v>
      </c>
      <c r="G35" s="19">
        <f>'Block Data'!O102</f>
        <v>310587.31999999995</v>
      </c>
    </row>
    <row r="36" spans="1:7">
      <c r="A36" s="18" t="s">
        <v>790</v>
      </c>
      <c r="B36" s="87">
        <v>0</v>
      </c>
      <c r="C36" s="87">
        <f>-SUM('WA Sch 25'!P32)-B36</f>
        <v>0</v>
      </c>
      <c r="D36" s="19">
        <f>SUM(B36:C36)</f>
        <v>0</v>
      </c>
      <c r="E36" s="293">
        <v>0</v>
      </c>
      <c r="F36" s="294">
        <v>0</v>
      </c>
      <c r="G36" s="293">
        <v>0</v>
      </c>
    </row>
    <row r="37" spans="1:7" ht="13">
      <c r="A37" s="18" t="s">
        <v>764</v>
      </c>
      <c r="B37" s="295">
        <v>0</v>
      </c>
      <c r="C37" s="295">
        <v>0</v>
      </c>
      <c r="D37" s="28">
        <f>SUM(B37:C37)</f>
        <v>0</v>
      </c>
      <c r="E37" s="295">
        <v>0</v>
      </c>
      <c r="F37" s="297">
        <v>0</v>
      </c>
      <c r="G37" s="272">
        <v>0</v>
      </c>
    </row>
    <row r="38" spans="1:7" ht="13">
      <c r="A38" s="18" t="s">
        <v>64</v>
      </c>
      <c r="B38" s="19">
        <f>SUM(B35:B37)</f>
        <v>1181273588.82234</v>
      </c>
      <c r="C38" s="19">
        <f>SUM(C35:C37)</f>
        <v>144121754.80867997</v>
      </c>
      <c r="D38" s="28">
        <f>SUM(B38:C38)</f>
        <v>1325395343.6310201</v>
      </c>
      <c r="E38" s="273">
        <f>SUM(E35:E37)</f>
        <v>2600000.3744761907</v>
      </c>
      <c r="F38" s="273">
        <f>SUM(F35:F37)</f>
        <v>20410</v>
      </c>
      <c r="G38" s="273">
        <f>SUM(G35:G37)</f>
        <v>310587.31999999995</v>
      </c>
    </row>
    <row r="39" spans="1:7" ht="14.5">
      <c r="A39" s="30" t="s">
        <v>749</v>
      </c>
      <c r="B39" s="19"/>
      <c r="D39" s="25">
        <f>'Block Data'!O84</f>
        <v>1325395343.6310201</v>
      </c>
      <c r="E39" s="26"/>
      <c r="F39" s="26"/>
      <c r="G39" s="26"/>
    </row>
    <row r="40" spans="1:7">
      <c r="A40" s="30" t="s">
        <v>764</v>
      </c>
      <c r="B40" s="19"/>
      <c r="D40" s="270">
        <f>D36</f>
        <v>0</v>
      </c>
      <c r="F40" s="19"/>
    </row>
    <row r="41" spans="1:7">
      <c r="A41" s="30" t="s">
        <v>764</v>
      </c>
      <c r="B41" s="19"/>
      <c r="D41" s="270">
        <f>D37</f>
        <v>0</v>
      </c>
      <c r="F41" s="19"/>
    </row>
    <row r="42" spans="1:7" ht="14.5">
      <c r="A42" s="30" t="s">
        <v>633</v>
      </c>
      <c r="B42" s="19"/>
      <c r="D42" s="25">
        <f>D39+D40+D41</f>
        <v>1325395343.6310201</v>
      </c>
      <c r="F42" s="19"/>
    </row>
    <row r="43" spans="1:7">
      <c r="A43" s="30" t="s">
        <v>623</v>
      </c>
      <c r="B43" s="19"/>
      <c r="D43" s="26">
        <f>D42-D38</f>
        <v>0</v>
      </c>
      <c r="F43" s="19"/>
    </row>
    <row r="44" spans="1:7">
      <c r="A44" s="30"/>
      <c r="B44" s="19"/>
      <c r="D44" s="87"/>
      <c r="E44" s="87"/>
      <c r="F44" s="19"/>
    </row>
    <row r="45" spans="1:7">
      <c r="B45" s="19"/>
      <c r="C45" s="19"/>
      <c r="D45" s="19"/>
    </row>
    <row r="46" spans="1:7">
      <c r="A46" s="491" t="s">
        <v>758</v>
      </c>
      <c r="B46" s="24" t="s">
        <v>773</v>
      </c>
      <c r="C46" s="494" t="s">
        <v>774</v>
      </c>
      <c r="D46" s="24" t="s">
        <v>627</v>
      </c>
      <c r="E46" s="24"/>
      <c r="F46" s="24" t="s">
        <v>344</v>
      </c>
      <c r="G46" s="24" t="s">
        <v>425</v>
      </c>
    </row>
    <row r="47" spans="1:7">
      <c r="A47" s="460" t="s">
        <v>750</v>
      </c>
      <c r="B47" s="492">
        <f>'Block Data'!O107*0.243117</f>
        <v>109802.19577130998</v>
      </c>
      <c r="C47" s="492">
        <f>'Block Data'!O107*0.756883</f>
        <v>341841.23422868992</v>
      </c>
      <c r="D47" s="19">
        <f>B47+C47</f>
        <v>451643.42999999993</v>
      </c>
      <c r="E47" s="19">
        <v>0</v>
      </c>
      <c r="F47" s="19">
        <f>'REVRUNS 12ME0623'!P43</f>
        <v>37</v>
      </c>
      <c r="G47" s="19">
        <f>'Block Data'!O129</f>
        <v>0</v>
      </c>
    </row>
    <row r="48" spans="1:7" ht="13">
      <c r="A48" s="460" t="s">
        <v>764</v>
      </c>
      <c r="B48" s="493">
        <v>0</v>
      </c>
      <c r="C48" s="493">
        <v>0</v>
      </c>
      <c r="D48" s="28">
        <f>SUM(B48:C48)</f>
        <v>0</v>
      </c>
      <c r="E48" s="296">
        <v>0</v>
      </c>
      <c r="F48" s="296">
        <v>0</v>
      </c>
      <c r="G48" s="296">
        <v>0</v>
      </c>
    </row>
    <row r="49" spans="1:7" ht="13">
      <c r="A49" s="18" t="s">
        <v>64</v>
      </c>
      <c r="B49" s="19">
        <f>SUM(B47:B48)</f>
        <v>109802.19577130998</v>
      </c>
      <c r="C49" s="19">
        <f>SUM(C47:C48)</f>
        <v>341841.23422868992</v>
      </c>
      <c r="D49" s="28">
        <f>SUM(B49:C49)</f>
        <v>451643.42999999993</v>
      </c>
      <c r="E49" s="270">
        <f>SUM(E47:E48)</f>
        <v>0</v>
      </c>
      <c r="F49" s="270">
        <f>SUM(F47:F48)</f>
        <v>37</v>
      </c>
      <c r="G49" s="270">
        <f>SUM(G47:G48)</f>
        <v>0</v>
      </c>
    </row>
    <row r="50" spans="1:7" ht="14.5">
      <c r="A50" s="30" t="s">
        <v>749</v>
      </c>
      <c r="B50" s="19"/>
      <c r="D50" s="25">
        <f>'Block Data'!O95</f>
        <v>0</v>
      </c>
      <c r="E50" s="26"/>
      <c r="F50" s="26"/>
      <c r="G50" s="26"/>
    </row>
    <row r="51" spans="1:7">
      <c r="A51" s="30" t="s">
        <v>764</v>
      </c>
      <c r="B51" s="19"/>
      <c r="D51" s="270">
        <f>D47</f>
        <v>451643.42999999993</v>
      </c>
      <c r="F51" s="19"/>
    </row>
    <row r="52" spans="1:7">
      <c r="A52" s="30" t="s">
        <v>764</v>
      </c>
      <c r="B52" s="19"/>
      <c r="D52" s="270">
        <f>D48</f>
        <v>0</v>
      </c>
      <c r="F52" s="19"/>
    </row>
    <row r="53" spans="1:7" ht="14.5">
      <c r="A53" s="30" t="s">
        <v>633</v>
      </c>
      <c r="B53" s="19"/>
      <c r="D53" s="25">
        <f>D50+D51+D52</f>
        <v>451643.42999999993</v>
      </c>
      <c r="F53" s="19"/>
    </row>
    <row r="54" spans="1:7">
      <c r="A54" s="30" t="s">
        <v>623</v>
      </c>
      <c r="B54" s="19"/>
      <c r="D54" s="26">
        <f>D53-D49</f>
        <v>0</v>
      </c>
      <c r="F54" s="19"/>
    </row>
    <row r="55" spans="1:7">
      <c r="A55" s="30"/>
      <c r="B55" s="19"/>
      <c r="D55" s="87"/>
      <c r="E55" s="87"/>
      <c r="F55" s="19"/>
    </row>
    <row r="56" spans="1:7">
      <c r="B56" s="19"/>
      <c r="C56" s="19"/>
      <c r="D56" s="19"/>
    </row>
    <row r="57" spans="1:7">
      <c r="A57" s="23" t="s">
        <v>423</v>
      </c>
      <c r="B57" s="24" t="s">
        <v>634</v>
      </c>
      <c r="C57" s="23" t="s">
        <v>635</v>
      </c>
      <c r="D57" s="193" t="s">
        <v>636</v>
      </c>
      <c r="E57" s="24" t="s">
        <v>627</v>
      </c>
      <c r="F57" s="24" t="s">
        <v>63</v>
      </c>
      <c r="G57" s="24" t="s">
        <v>344</v>
      </c>
    </row>
    <row r="58" spans="1:7">
      <c r="A58" s="18" t="s">
        <v>64</v>
      </c>
      <c r="B58" s="19">
        <f>'WA Sch 25'!Q25</f>
        <v>126000000</v>
      </c>
      <c r="C58" s="19">
        <f>'WA Sch 25'!R25</f>
        <v>484064827.46600002</v>
      </c>
      <c r="D58" s="19">
        <f>'WA Sch 25'!S25</f>
        <v>17780158.700999975</v>
      </c>
      <c r="E58" s="19">
        <f>SUM(B58:D58)</f>
        <v>627844986.16700006</v>
      </c>
      <c r="F58" s="19">
        <f>'WA Sch 25'!P91</f>
        <v>600031.76899999997</v>
      </c>
      <c r="G58" s="381">
        <f>(21*12)</f>
        <v>252</v>
      </c>
    </row>
    <row r="59" spans="1:7">
      <c r="A59" s="30"/>
      <c r="B59" s="19"/>
      <c r="D59" s="87"/>
      <c r="E59" s="87"/>
      <c r="F59" s="87"/>
    </row>
    <row r="60" spans="1:7">
      <c r="F60" s="22"/>
    </row>
    <row r="61" spans="1:7">
      <c r="A61" s="23" t="s">
        <v>759</v>
      </c>
      <c r="B61" s="24" t="s">
        <v>634</v>
      </c>
      <c r="C61" s="23" t="s">
        <v>635</v>
      </c>
      <c r="D61" s="193" t="s">
        <v>636</v>
      </c>
      <c r="E61" s="24" t="s">
        <v>627</v>
      </c>
      <c r="F61" s="24" t="s">
        <v>63</v>
      </c>
      <c r="G61" s="24" t="s">
        <v>344</v>
      </c>
    </row>
    <row r="62" spans="1:7">
      <c r="A62" s="18" t="s">
        <v>64</v>
      </c>
      <c r="B62" s="19">
        <f>'WA Sch 25'!Q40</f>
        <v>6000000</v>
      </c>
      <c r="C62" s="19">
        <f>'WA Sch 25'!R40</f>
        <v>66000000</v>
      </c>
      <c r="D62" s="19">
        <f>'WA Sch 25'!S40</f>
        <v>357788232</v>
      </c>
      <c r="E62" s="19">
        <f>SUM(B62:D62)</f>
        <v>429788232</v>
      </c>
      <c r="F62" s="19">
        <f>'WA Sch 25'!P95</f>
        <v>709647.84</v>
      </c>
      <c r="G62" s="381">
        <v>12</v>
      </c>
    </row>
    <row r="63" spans="1:7">
      <c r="A63" s="30"/>
      <c r="B63" s="19"/>
      <c r="D63" s="87"/>
      <c r="E63" s="87"/>
      <c r="F63" s="87"/>
    </row>
    <row r="64" spans="1:7">
      <c r="F64" s="22"/>
    </row>
    <row r="65" spans="1:7">
      <c r="A65" s="23" t="s">
        <v>65</v>
      </c>
      <c r="B65" s="24" t="s">
        <v>637</v>
      </c>
      <c r="C65" s="24" t="s">
        <v>638</v>
      </c>
      <c r="D65" s="24" t="s">
        <v>639</v>
      </c>
      <c r="E65" s="24" t="s">
        <v>627</v>
      </c>
      <c r="F65" s="24" t="s">
        <v>344</v>
      </c>
      <c r="G65" s="24" t="s">
        <v>425</v>
      </c>
    </row>
    <row r="66" spans="1:7">
      <c r="A66" s="18" t="s">
        <v>751</v>
      </c>
      <c r="B66" s="19">
        <f>'Block Data'!O146</f>
        <v>36033351.45358</v>
      </c>
      <c r="C66" s="19">
        <f>'Block Data'!O147</f>
        <v>11726158.205860002</v>
      </c>
      <c r="D66" s="19">
        <f>'Block Data'!O148</f>
        <v>99721955.801750004</v>
      </c>
      <c r="E66" s="19">
        <f>B66+C66+D66</f>
        <v>147481465.46119002</v>
      </c>
      <c r="F66" s="19">
        <f>'REVRUNS 12ME0623'!P46</f>
        <v>30627</v>
      </c>
      <c r="G66" s="19">
        <f>'Block Data'!O153</f>
        <v>0</v>
      </c>
    </row>
    <row r="67" spans="1:7" ht="13">
      <c r="A67" s="18" t="s">
        <v>764</v>
      </c>
      <c r="B67" s="28">
        <v>0</v>
      </c>
      <c r="C67" s="28">
        <v>0</v>
      </c>
      <c r="D67" s="28">
        <f>-B67-C67</f>
        <v>0</v>
      </c>
      <c r="E67" s="28">
        <f>SUM(B67:D67)</f>
        <v>0</v>
      </c>
      <c r="F67" s="19"/>
      <c r="G67" s="19"/>
    </row>
    <row r="68" spans="1:7">
      <c r="A68" s="30" t="s">
        <v>193</v>
      </c>
      <c r="B68" s="350">
        <f>B66+B67</f>
        <v>36033351.45358</v>
      </c>
      <c r="C68" s="350">
        <f>C66+C67</f>
        <v>11726158.205860002</v>
      </c>
      <c r="D68" s="350">
        <f>D66+D67</f>
        <v>99721955.801750004</v>
      </c>
      <c r="E68" s="19">
        <f>E66+E67</f>
        <v>147481465.46119002</v>
      </c>
      <c r="F68" s="19"/>
      <c r="G68" s="19"/>
    </row>
    <row r="69" spans="1:7">
      <c r="A69" s="30" t="s">
        <v>749</v>
      </c>
      <c r="B69" s="19"/>
      <c r="C69" s="19"/>
      <c r="E69" s="351">
        <f>'Block Data'!O138</f>
        <v>147481465.46119002</v>
      </c>
      <c r="G69" s="29"/>
    </row>
    <row r="70" spans="1:7">
      <c r="A70" s="30" t="s">
        <v>640</v>
      </c>
      <c r="B70" s="19"/>
      <c r="C70" s="19"/>
      <c r="E70" s="19">
        <f>E69-E68</f>
        <v>0</v>
      </c>
    </row>
    <row r="71" spans="1:7">
      <c r="A71" s="30"/>
      <c r="B71" s="19"/>
      <c r="D71" s="87"/>
      <c r="E71" s="87"/>
    </row>
    <row r="72" spans="1:7" ht="12.5">
      <c r="E72"/>
    </row>
    <row r="87" spans="1:4" ht="12" thickBot="1">
      <c r="A87" s="18" t="s">
        <v>66</v>
      </c>
      <c r="B87" s="203">
        <f>E10+D18+D39+E69+E58+D28+D51+E62</f>
        <v>5902470054.2423706</v>
      </c>
    </row>
    <row r="88" spans="1:4" ht="12" thickTop="1">
      <c r="B88" s="26"/>
    </row>
    <row r="89" spans="1:4">
      <c r="A89" s="18" t="s">
        <v>810</v>
      </c>
      <c r="B89" s="26">
        <f>'REVRUNS 12ME0623'!P344</f>
        <v>5916159239.9301805</v>
      </c>
    </row>
    <row r="90" spans="1:4">
      <c r="A90" s="30" t="s">
        <v>67</v>
      </c>
    </row>
    <row r="91" spans="1:4">
      <c r="A91" s="30" t="s">
        <v>440</v>
      </c>
      <c r="B91" s="26">
        <f>'REVRUNS 12ME0623'!P340-'Bill Determ'!E58</f>
        <v>-1549196.4700000286</v>
      </c>
      <c r="C91" s="79"/>
    </row>
    <row r="92" spans="1:4">
      <c r="A92" s="30"/>
      <c r="B92" s="26"/>
      <c r="C92" s="79"/>
    </row>
    <row r="93" spans="1:4">
      <c r="A93" s="30" t="s">
        <v>441</v>
      </c>
      <c r="B93" s="26">
        <f>D36</f>
        <v>0</v>
      </c>
      <c r="C93" s="79"/>
    </row>
    <row r="94" spans="1:4">
      <c r="A94" s="30" t="s">
        <v>335</v>
      </c>
      <c r="B94" s="26">
        <f>'REVRUNS 12ME0623'!P343</f>
        <v>16029420.157809999</v>
      </c>
      <c r="C94" s="79"/>
      <c r="D94" s="79"/>
    </row>
    <row r="95" spans="1:4">
      <c r="A95" s="30" t="s">
        <v>812</v>
      </c>
      <c r="B95" s="26">
        <f>-'REVRUNS 12ME0623'!P403</f>
        <v>-791036</v>
      </c>
      <c r="C95" s="79" t="s">
        <v>1026</v>
      </c>
      <c r="D95" s="79"/>
    </row>
    <row r="96" spans="1:4" ht="12" thickBot="1">
      <c r="B96" s="204">
        <f>B89-SUM(B91:B95)</f>
        <v>5902470052.2423706</v>
      </c>
      <c r="C96" s="79"/>
      <c r="D96" s="79"/>
    </row>
    <row r="97" spans="1:3" ht="12" thickTop="1">
      <c r="A97" s="18" t="s">
        <v>68</v>
      </c>
      <c r="B97" s="510">
        <f>B87-B96</f>
        <v>2</v>
      </c>
    </row>
    <row r="99" spans="1:3">
      <c r="A99" s="18" t="s">
        <v>402</v>
      </c>
      <c r="B99" s="205">
        <f>'Pres &amp; Prop Rev'!C20-'Pres &amp; Prop Rev'!C15</f>
        <v>5918499475.4001799</v>
      </c>
    </row>
    <row r="100" spans="1:3">
      <c r="A100" s="18" t="s">
        <v>337</v>
      </c>
      <c r="B100" s="26">
        <f>B87+B94+B93</f>
        <v>5918499474.4001808</v>
      </c>
    </row>
    <row r="101" spans="1:3">
      <c r="A101" s="18" t="s">
        <v>68</v>
      </c>
      <c r="B101" s="206">
        <f>B99-B100</f>
        <v>0.99999904632568359</v>
      </c>
    </row>
    <row r="104" spans="1:3">
      <c r="A104" s="18" t="s">
        <v>338</v>
      </c>
      <c r="B104" s="205">
        <f>'REVRUNS 12ME0623'!P48</f>
        <v>3212383</v>
      </c>
    </row>
    <row r="105" spans="1:3">
      <c r="A105" s="30" t="s">
        <v>67</v>
      </c>
      <c r="B105" s="205"/>
    </row>
    <row r="106" spans="1:3">
      <c r="A106" s="30" t="s">
        <v>370</v>
      </c>
      <c r="B106" s="205">
        <f>'REVRUNS 12ME0623'!P44-G58</f>
        <v>0</v>
      </c>
      <c r="C106" s="79"/>
    </row>
    <row r="107" spans="1:3">
      <c r="A107" s="30" t="s">
        <v>442</v>
      </c>
      <c r="B107" s="205">
        <f>-F36</f>
        <v>0</v>
      </c>
      <c r="C107" s="79"/>
    </row>
    <row r="108" spans="1:3">
      <c r="A108" s="30" t="s">
        <v>335</v>
      </c>
      <c r="B108" s="205">
        <f>'REVRUNS 12ME0623'!P47</f>
        <v>5984</v>
      </c>
      <c r="C108" s="79"/>
    </row>
    <row r="109" spans="1:3" ht="12" thickBot="1">
      <c r="B109" s="204">
        <f>B104-SUM(B105:B108)</f>
        <v>3206399</v>
      </c>
    </row>
    <row r="110" spans="1:3" ht="12" thickTop="1">
      <c r="B110" s="26"/>
    </row>
    <row r="111" spans="1:3" ht="12" thickBot="1">
      <c r="A111" s="18" t="s">
        <v>336</v>
      </c>
      <c r="B111" s="207">
        <f>SUM('Pres &amp; Prop Rev'!D25:L25)</f>
        <v>3206399</v>
      </c>
    </row>
    <row r="112" spans="1:3" ht="12" thickTop="1">
      <c r="A112" s="18" t="s">
        <v>68</v>
      </c>
      <c r="B112" s="26">
        <f>B109-B111</f>
        <v>0</v>
      </c>
    </row>
    <row r="113" spans="2:2">
      <c r="B113" s="205"/>
    </row>
    <row r="114" spans="2:2">
      <c r="B114" s="205"/>
    </row>
  </sheetData>
  <phoneticPr fontId="0" type="noConversion"/>
  <conditionalFormatting sqref="B97 B101 B112">
    <cfRule type="expression" dxfId="15" priority="1" stopIfTrue="1">
      <formula>ABS(B97)&gt;0.5</formula>
    </cfRule>
  </conditionalFormatting>
  <pageMargins left="0.5" right="0.5" top="1" bottom="1" header="0.25" footer="0.5"/>
  <pageSetup scale="1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DA123-499A-43B8-9DFE-02D6CDD38810}">
  <dimension ref="A1:Y26"/>
  <sheetViews>
    <sheetView workbookViewId="0">
      <selection activeCell="X16" sqref="X16"/>
    </sheetView>
  </sheetViews>
  <sheetFormatPr defaultRowHeight="12.5"/>
  <cols>
    <col min="1" max="1" width="29.7265625" customWidth="1"/>
    <col min="2" max="3" width="0" hidden="1" customWidth="1"/>
    <col min="4" max="4" width="9.7265625" bestFit="1" customWidth="1"/>
    <col min="5" max="5" width="13.54296875" bestFit="1" customWidth="1"/>
    <col min="6" max="6" width="14.81640625" bestFit="1" customWidth="1"/>
    <col min="8" max="8" width="15" bestFit="1" customWidth="1"/>
    <col min="9" max="9" width="12" bestFit="1" customWidth="1"/>
    <col min="10" max="10" width="14.81640625" bestFit="1" customWidth="1"/>
    <col min="12" max="12" width="11.81640625" bestFit="1" customWidth="1"/>
    <col min="13" max="14" width="12.26953125" hidden="1" customWidth="1"/>
    <col min="20" max="20" width="11.7265625" bestFit="1" customWidth="1"/>
    <col min="22" max="22" width="11.26953125" bestFit="1" customWidth="1"/>
  </cols>
  <sheetData>
    <row r="1" spans="1:24">
      <c r="A1" s="41" t="s">
        <v>880</v>
      </c>
    </row>
    <row r="2" spans="1:24">
      <c r="A2" s="41" t="s">
        <v>963</v>
      </c>
    </row>
    <row r="5" spans="1:24" ht="13">
      <c r="D5" s="709" t="s">
        <v>728</v>
      </c>
      <c r="E5" s="709"/>
      <c r="F5" s="709"/>
      <c r="H5" s="709" t="s">
        <v>880</v>
      </c>
      <c r="I5" s="709"/>
      <c r="J5" s="709"/>
    </row>
    <row r="6" spans="1:24">
      <c r="D6" s="180" t="s">
        <v>255</v>
      </c>
      <c r="E6" s="32"/>
      <c r="F6" s="180" t="s">
        <v>294</v>
      </c>
      <c r="H6" s="180" t="s">
        <v>257</v>
      </c>
      <c r="I6" s="32"/>
      <c r="J6" s="180" t="s">
        <v>257</v>
      </c>
    </row>
    <row r="7" spans="1:24">
      <c r="D7" s="180" t="s">
        <v>200</v>
      </c>
      <c r="E7" s="180" t="s">
        <v>296</v>
      </c>
      <c r="F7" s="180" t="s">
        <v>254</v>
      </c>
      <c r="H7" s="180" t="s">
        <v>880</v>
      </c>
      <c r="I7" s="180" t="s">
        <v>296</v>
      </c>
      <c r="J7" s="180" t="s">
        <v>880</v>
      </c>
      <c r="M7" s="180" t="s">
        <v>859</v>
      </c>
      <c r="N7" s="180" t="s">
        <v>964</v>
      </c>
      <c r="R7" s="41" t="s">
        <v>965</v>
      </c>
    </row>
    <row r="8" spans="1:24">
      <c r="D8" s="255" t="s">
        <v>297</v>
      </c>
      <c r="E8" s="180" t="s">
        <v>413</v>
      </c>
      <c r="F8" s="255" t="s">
        <v>83</v>
      </c>
      <c r="H8" s="255" t="s">
        <v>246</v>
      </c>
      <c r="I8" s="180" t="s">
        <v>413</v>
      </c>
      <c r="J8" s="255" t="s">
        <v>246</v>
      </c>
    </row>
    <row r="9" spans="1:24" ht="13">
      <c r="A9" s="172" t="s">
        <v>966</v>
      </c>
      <c r="B9" s="41"/>
      <c r="C9" s="41"/>
      <c r="D9" s="41"/>
      <c r="H9" s="41"/>
    </row>
    <row r="10" spans="1:24">
      <c r="A10" s="41" t="s">
        <v>301</v>
      </c>
      <c r="B10" s="41"/>
      <c r="C10" s="41"/>
      <c r="D10" s="41"/>
      <c r="H10" s="41"/>
      <c r="T10" s="41" t="s">
        <v>878</v>
      </c>
      <c r="V10" s="41" t="s">
        <v>869</v>
      </c>
      <c r="X10" s="41" t="s">
        <v>879</v>
      </c>
    </row>
    <row r="11" spans="1:24">
      <c r="A11" s="240" t="s">
        <v>967</v>
      </c>
      <c r="B11" s="41"/>
      <c r="C11" s="41"/>
      <c r="D11" s="176">
        <f>'JDM-4, pg 3'!D99</f>
        <v>4.7840000000000001E-2</v>
      </c>
      <c r="E11" s="44">
        <f>'Bill Determ'!B62</f>
        <v>6000000</v>
      </c>
      <c r="F11" s="278">
        <f>D11*E11</f>
        <v>287040</v>
      </c>
      <c r="H11" s="176">
        <f>'JDM-4, pg 3'!N99</f>
        <v>5.4309999999999997E-2</v>
      </c>
      <c r="I11" s="44">
        <f>E11</f>
        <v>6000000</v>
      </c>
      <c r="J11" s="278">
        <f>H11*I11</f>
        <v>325860</v>
      </c>
      <c r="M11" s="278">
        <f>0.00093*I11</f>
        <v>5580</v>
      </c>
      <c r="N11" s="278">
        <f>0.00182*I11</f>
        <v>10920</v>
      </c>
      <c r="R11" s="41" t="s">
        <v>728</v>
      </c>
      <c r="T11" s="194">
        <f>'Rate Spread GRC'!F74</f>
        <v>45108846.983799994</v>
      </c>
      <c r="V11" s="421">
        <f>'Rate Spread GRC'!H74</f>
        <v>620117.68591500004</v>
      </c>
      <c r="X11">
        <f>T11/V11</f>
        <v>72.742397142311304</v>
      </c>
    </row>
    <row r="12" spans="1:24">
      <c r="A12" s="240" t="s">
        <v>968</v>
      </c>
      <c r="B12" s="41"/>
      <c r="C12" s="41"/>
      <c r="D12" s="176">
        <f>'JDM-4, pg 3'!D100</f>
        <v>4.299E-2</v>
      </c>
      <c r="E12" s="44">
        <f>'Bill Determ'!C62</f>
        <v>66000000</v>
      </c>
      <c r="F12" s="278">
        <f t="shared" ref="F12:F20" si="0">D12*E12</f>
        <v>2837340</v>
      </c>
      <c r="H12" s="176">
        <f>'JDM-4, pg 3'!N100</f>
        <v>4.8799999999999996E-2</v>
      </c>
      <c r="I12" s="44">
        <f t="shared" ref="I12:I13" si="1">E12</f>
        <v>66000000</v>
      </c>
      <c r="J12" s="278">
        <f t="shared" ref="J12" si="2">H12*I12</f>
        <v>3220799.9999999995</v>
      </c>
      <c r="M12" s="278">
        <f>0.00093*I12</f>
        <v>61380</v>
      </c>
      <c r="N12" s="278">
        <f t="shared" ref="N12:N13" si="3">0.00182*I12</f>
        <v>120120</v>
      </c>
      <c r="V12" s="421"/>
    </row>
    <row r="13" spans="1:24">
      <c r="A13" s="240" t="s">
        <v>969</v>
      </c>
      <c r="B13" s="41"/>
      <c r="C13" s="41"/>
      <c r="D13" s="176">
        <f>'JDM-4, pg 3'!D101</f>
        <v>3.6670000000000001E-2</v>
      </c>
      <c r="E13" s="44">
        <f>'Bill Determ'!D62</f>
        <v>357788232</v>
      </c>
      <c r="F13" s="278">
        <f t="shared" si="0"/>
        <v>13120094.46744</v>
      </c>
      <c r="H13" s="176">
        <f>'JDM-4, pg 3'!N101</f>
        <v>4.163E-2</v>
      </c>
      <c r="I13" s="44">
        <f t="shared" si="1"/>
        <v>357788232</v>
      </c>
      <c r="J13" s="278">
        <f>H13*I13</f>
        <v>14894724.098160001</v>
      </c>
      <c r="N13" s="278">
        <f t="shared" si="3"/>
        <v>651174.58224000002</v>
      </c>
      <c r="R13" s="41" t="s">
        <v>880</v>
      </c>
      <c r="T13" s="194">
        <f>'Rate Spread GRC'!F76</f>
        <v>21357310.436499998</v>
      </c>
      <c r="V13" s="421">
        <f>'Rate Spread GRC'!H76</f>
        <v>451099.44799999997</v>
      </c>
      <c r="X13">
        <f t="shared" ref="X13" si="4">T13/V13</f>
        <v>47.345015674902797</v>
      </c>
    </row>
    <row r="14" spans="1:24">
      <c r="A14" s="240"/>
      <c r="B14" s="41"/>
      <c r="C14" s="41"/>
      <c r="D14" s="176"/>
      <c r="E14" s="44">
        <v>0</v>
      </c>
      <c r="F14" s="278"/>
      <c r="H14" s="176"/>
      <c r="I14" s="44"/>
      <c r="J14" s="278"/>
      <c r="M14" s="53">
        <f>SUM(M11:M13)</f>
        <v>66960</v>
      </c>
      <c r="N14" s="53">
        <f>SUM(N11:N13)</f>
        <v>782214.58224000002</v>
      </c>
    </row>
    <row r="15" spans="1:24">
      <c r="A15" s="41" t="s">
        <v>303</v>
      </c>
      <c r="B15" s="41"/>
      <c r="C15" s="41"/>
      <c r="D15" s="41"/>
      <c r="H15" s="41"/>
      <c r="M15" s="53"/>
      <c r="N15" s="53"/>
    </row>
    <row r="16" spans="1:24">
      <c r="A16" s="240" t="s">
        <v>970</v>
      </c>
      <c r="B16" s="41"/>
      <c r="C16" s="41"/>
      <c r="D16" s="182">
        <v>30650</v>
      </c>
      <c r="E16" s="352">
        <v>12</v>
      </c>
      <c r="F16" s="278">
        <f>D16*E16</f>
        <v>367800</v>
      </c>
      <c r="H16" s="182">
        <v>30650</v>
      </c>
      <c r="I16" s="352">
        <f>E16</f>
        <v>12</v>
      </c>
      <c r="J16" s="278">
        <f t="shared" ref="J16" si="5">H16*I16</f>
        <v>367800</v>
      </c>
      <c r="X16" s="289">
        <f>X13/X11</f>
        <v>0.65085861251284116</v>
      </c>
    </row>
    <row r="17" spans="1:25">
      <c r="A17" s="240" t="s">
        <v>971</v>
      </c>
      <c r="B17" s="41"/>
      <c r="C17" s="41"/>
      <c r="D17" s="184">
        <v>8.3000000000000007</v>
      </c>
      <c r="E17" s="352">
        <f>'Pres &amp; Prop Rev'!J50</f>
        <v>709647.84</v>
      </c>
      <c r="F17" s="278">
        <f>D17*E17</f>
        <v>5890077.0720000006</v>
      </c>
      <c r="H17" s="184">
        <v>9</v>
      </c>
      <c r="I17" s="352">
        <f>E17</f>
        <v>709647.84</v>
      </c>
      <c r="J17" s="278">
        <f>H17*I17</f>
        <v>6386830.5599999996</v>
      </c>
    </row>
    <row r="18" spans="1:25">
      <c r="A18" s="240"/>
      <c r="B18" s="41"/>
      <c r="C18" s="41"/>
      <c r="D18" s="184"/>
      <c r="E18" s="352">
        <v>0</v>
      </c>
      <c r="F18" s="278"/>
      <c r="H18" s="184"/>
      <c r="I18" s="352"/>
      <c r="J18" s="278"/>
    </row>
    <row r="19" spans="1:25">
      <c r="A19" s="41" t="s">
        <v>323</v>
      </c>
      <c r="B19" s="41"/>
      <c r="C19" s="41"/>
      <c r="D19" s="41"/>
      <c r="H19" s="41"/>
    </row>
    <row r="20" spans="1:25">
      <c r="A20" s="240" t="s">
        <v>324</v>
      </c>
      <c r="B20" s="41"/>
      <c r="C20" s="41"/>
      <c r="D20" s="184">
        <v>0.2</v>
      </c>
      <c r="E20" s="352">
        <v>0</v>
      </c>
      <c r="F20" s="278">
        <f t="shared" si="0"/>
        <v>0</v>
      </c>
      <c r="H20" s="184">
        <v>0.2</v>
      </c>
      <c r="I20" s="352">
        <f>E20</f>
        <v>0</v>
      </c>
      <c r="J20" s="278">
        <f t="shared" ref="J20" si="6">H20*I20</f>
        <v>0</v>
      </c>
    </row>
    <row r="21" spans="1:25">
      <c r="A21" s="240" t="s">
        <v>325</v>
      </c>
      <c r="B21" s="41"/>
      <c r="C21" s="41"/>
      <c r="D21" s="184">
        <v>1.52</v>
      </c>
      <c r="E21" s="186">
        <f>'WA Sch 25'!P121</f>
        <v>99837.113421052622</v>
      </c>
      <c r="F21" s="278">
        <f>-D21*E21</f>
        <v>-151752.4124</v>
      </c>
      <c r="H21" s="184">
        <v>1.52</v>
      </c>
      <c r="I21" s="352">
        <f t="shared" ref="I21:I22" si="7">E21</f>
        <v>99837.113421052622</v>
      </c>
      <c r="J21" s="278">
        <f>-H21*I21</f>
        <v>-151752.4124</v>
      </c>
    </row>
    <row r="22" spans="1:25">
      <c r="A22" s="240" t="s">
        <v>326</v>
      </c>
      <c r="B22" s="41"/>
      <c r="C22" s="41"/>
      <c r="D22" s="184">
        <v>1.93</v>
      </c>
      <c r="E22" s="186">
        <f>'WA Sch 25'!P123</f>
        <v>646064.96849740949</v>
      </c>
      <c r="F22" s="278">
        <f>-D22*E22</f>
        <v>-1246905.3892000003</v>
      </c>
      <c r="H22" s="184">
        <v>1.93</v>
      </c>
      <c r="I22" s="352">
        <f t="shared" si="7"/>
        <v>646064.96849740949</v>
      </c>
      <c r="J22" s="278">
        <f>-H22*I22</f>
        <v>-1246905.3892000003</v>
      </c>
    </row>
    <row r="23" spans="1:25">
      <c r="A23" s="41"/>
      <c r="B23" s="41"/>
      <c r="C23" s="41"/>
      <c r="D23" s="181"/>
      <c r="H23" s="181"/>
    </row>
    <row r="24" spans="1:25" ht="13">
      <c r="D24" s="97" t="s">
        <v>972</v>
      </c>
      <c r="E24" s="572"/>
      <c r="F24" s="422">
        <f>SUM(F11:F22)</f>
        <v>21103693.737839997</v>
      </c>
      <c r="G24" s="97"/>
      <c r="H24" s="97" t="s">
        <v>973</v>
      </c>
      <c r="I24" s="97"/>
      <c r="J24" s="422">
        <f>SUM(J11:J22)</f>
        <v>23797356.856559996</v>
      </c>
      <c r="L24" s="53">
        <f>J24-F24</f>
        <v>2693663.1187199987</v>
      </c>
    </row>
    <row r="26" spans="1:25" ht="59.25" customHeight="1">
      <c r="A26" s="708"/>
      <c r="B26" s="708"/>
      <c r="C26" s="708"/>
      <c r="D26" s="708"/>
      <c r="E26" s="708"/>
      <c r="F26" s="708"/>
      <c r="G26" s="708"/>
      <c r="R26" s="573"/>
      <c r="S26" s="573"/>
      <c r="T26" s="573"/>
      <c r="U26" s="573"/>
      <c r="V26" s="573"/>
      <c r="W26" s="573"/>
      <c r="X26" s="573"/>
      <c r="Y26" s="573"/>
    </row>
  </sheetData>
  <mergeCells count="3">
    <mergeCell ref="D5:F5"/>
    <mergeCell ref="H5:J5"/>
    <mergeCell ref="A26:G2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C1D58-DBD8-4BDE-8B78-1123F7D04F39}">
  <dimension ref="A3:U37"/>
  <sheetViews>
    <sheetView workbookViewId="0">
      <selection activeCell="L19" sqref="L19"/>
    </sheetView>
  </sheetViews>
  <sheetFormatPr defaultRowHeight="12.5"/>
  <cols>
    <col min="1" max="1" width="5.81640625" customWidth="1"/>
    <col min="2" max="2" width="11.7265625" customWidth="1"/>
    <col min="3" max="4" width="9.7265625" bestFit="1" customWidth="1"/>
    <col min="5" max="5" width="9.26953125" bestFit="1" customWidth="1"/>
    <col min="7" max="7" width="11.7265625" customWidth="1"/>
    <col min="8" max="9" width="10.1796875" bestFit="1" customWidth="1"/>
    <col min="10" max="10" width="9.26953125" bestFit="1" customWidth="1"/>
    <col min="12" max="13" width="9.26953125" bestFit="1" customWidth="1"/>
    <col min="20" max="20" width="10.26953125" bestFit="1" customWidth="1"/>
  </cols>
  <sheetData>
    <row r="3" spans="1:21" ht="15.5">
      <c r="A3" s="555" t="s">
        <v>959</v>
      </c>
      <c r="B3" s="556"/>
      <c r="C3" s="556"/>
      <c r="D3" s="556"/>
      <c r="E3" s="556"/>
      <c r="F3" s="556"/>
      <c r="G3" s="556"/>
      <c r="H3" s="556"/>
      <c r="I3" s="556"/>
      <c r="J3" s="556"/>
      <c r="K3" s="556"/>
      <c r="L3" s="556"/>
      <c r="M3" s="556"/>
    </row>
    <row r="7" spans="1:21" ht="13">
      <c r="A7" s="557" t="s">
        <v>960</v>
      </c>
      <c r="B7" s="557"/>
      <c r="C7" s="556"/>
      <c r="D7" s="556"/>
      <c r="E7" s="556"/>
      <c r="F7" s="556"/>
      <c r="G7" s="557" t="s">
        <v>961</v>
      </c>
      <c r="H7" s="557"/>
      <c r="I7" s="556"/>
      <c r="J7" s="556"/>
      <c r="K7" s="556"/>
      <c r="L7" s="556"/>
      <c r="M7" s="556"/>
    </row>
    <row r="8" spans="1:21">
      <c r="A8" s="556"/>
      <c r="B8" s="556" t="s">
        <v>237</v>
      </c>
      <c r="C8" s="556" t="s">
        <v>457</v>
      </c>
      <c r="D8" s="556" t="s">
        <v>458</v>
      </c>
      <c r="E8" s="556" t="s">
        <v>962</v>
      </c>
      <c r="F8" s="556"/>
      <c r="G8" s="556" t="s">
        <v>237</v>
      </c>
      <c r="H8" s="556" t="s">
        <v>457</v>
      </c>
      <c r="I8" s="556" t="s">
        <v>458</v>
      </c>
      <c r="J8" s="556" t="s">
        <v>962</v>
      </c>
      <c r="K8" s="556"/>
      <c r="L8" s="556" t="s">
        <v>958</v>
      </c>
      <c r="M8" s="556" t="s">
        <v>383</v>
      </c>
    </row>
    <row r="9" spans="1:21">
      <c r="A9" s="556"/>
      <c r="B9" s="558">
        <f>'JDM-4, pg 3'!F12</f>
        <v>9</v>
      </c>
      <c r="C9" s="559">
        <f>'JDM-4, pg 3'!F14</f>
        <v>9.0960000000000013E-2</v>
      </c>
      <c r="D9" s="559">
        <f>'JDM-4, pg 3'!F15</f>
        <v>0.10682000000000004</v>
      </c>
      <c r="E9" s="307"/>
      <c r="F9" s="560"/>
      <c r="G9" s="558">
        <f>'JDM-4, pg 3'!M12</f>
        <v>15</v>
      </c>
      <c r="H9" s="559">
        <f>'JDM-4, pg 3'!M14</f>
        <v>9.8110000000000017E-2</v>
      </c>
      <c r="I9" s="559">
        <f>'JDM-4, pg 3'!M15</f>
        <v>0.11522000000000004</v>
      </c>
      <c r="J9" s="556"/>
      <c r="K9" s="556"/>
      <c r="L9" s="556"/>
      <c r="M9" s="556"/>
      <c r="R9" s="41"/>
    </row>
    <row r="10" spans="1:21" ht="13">
      <c r="A10" s="556">
        <v>100</v>
      </c>
      <c r="B10" s="561">
        <f>$B$9</f>
        <v>9</v>
      </c>
      <c r="C10" s="560">
        <f t="shared" ref="C10:C17" si="0">A10*$C$9</f>
        <v>9.0960000000000019</v>
      </c>
      <c r="D10" s="560"/>
      <c r="E10" s="561">
        <f>SUM(B10:D10)</f>
        <v>18.096000000000004</v>
      </c>
      <c r="F10" s="560"/>
      <c r="G10" s="561">
        <f>$G$9</f>
        <v>15</v>
      </c>
      <c r="H10" s="560">
        <f t="shared" ref="H10:H16" si="1">A10*$H$9</f>
        <v>9.8110000000000017</v>
      </c>
      <c r="I10" s="560"/>
      <c r="J10" s="562">
        <f>SUM(G10:I10)</f>
        <v>24.811</v>
      </c>
      <c r="K10" s="556"/>
      <c r="L10" s="563">
        <f>J10-E10</f>
        <v>6.7149999999999963</v>
      </c>
      <c r="M10" s="308">
        <f>L10/E10</f>
        <v>0.37107648099027379</v>
      </c>
    </row>
    <row r="11" spans="1:21" ht="13">
      <c r="A11" s="556">
        <v>200</v>
      </c>
      <c r="B11" s="561">
        <f>$B$9</f>
        <v>9</v>
      </c>
      <c r="C11" s="560">
        <f t="shared" si="0"/>
        <v>18.192000000000004</v>
      </c>
      <c r="D11" s="560"/>
      <c r="E11" s="561">
        <f>SUM(B11:D11)</f>
        <v>27.192000000000004</v>
      </c>
      <c r="F11" s="560"/>
      <c r="G11" s="561">
        <f>$G$9</f>
        <v>15</v>
      </c>
      <c r="H11" s="560">
        <f t="shared" si="1"/>
        <v>19.622000000000003</v>
      </c>
      <c r="I11" s="560"/>
      <c r="J11" s="562">
        <f>SUM(G11:I11)</f>
        <v>34.622</v>
      </c>
      <c r="K11" s="556"/>
      <c r="L11" s="563">
        <f t="shared" ref="L11:L24" si="2">J11-E11</f>
        <v>7.4299999999999962</v>
      </c>
      <c r="M11" s="308">
        <f>L11/E11</f>
        <v>0.27324213003824638</v>
      </c>
      <c r="S11" s="41"/>
      <c r="T11" s="41"/>
      <c r="U11" s="41"/>
    </row>
    <row r="12" spans="1:21" ht="13">
      <c r="A12" s="556">
        <v>300</v>
      </c>
      <c r="B12" s="561">
        <f>$B$9</f>
        <v>9</v>
      </c>
      <c r="C12" s="560">
        <f t="shared" si="0"/>
        <v>27.288000000000004</v>
      </c>
      <c r="D12" s="560"/>
      <c r="E12" s="561">
        <f>SUM(B12:D12)</f>
        <v>36.288000000000004</v>
      </c>
      <c r="F12" s="560"/>
      <c r="G12" s="561">
        <f>$G$9</f>
        <v>15</v>
      </c>
      <c r="H12" s="560">
        <f t="shared" si="1"/>
        <v>29.433000000000003</v>
      </c>
      <c r="I12" s="560"/>
      <c r="J12" s="562">
        <f>SUM(G12:I12)</f>
        <v>44.433000000000007</v>
      </c>
      <c r="K12" s="556"/>
      <c r="L12" s="563">
        <f t="shared" si="2"/>
        <v>8.1450000000000031</v>
      </c>
      <c r="M12" s="308">
        <f>L12/E12</f>
        <v>0.22445436507936514</v>
      </c>
      <c r="S12" s="564"/>
      <c r="T12" s="327"/>
      <c r="U12" s="327"/>
    </row>
    <row r="13" spans="1:21" ht="13">
      <c r="A13" s="556">
        <v>400</v>
      </c>
      <c r="B13" s="561">
        <f>$B$9</f>
        <v>9</v>
      </c>
      <c r="C13" s="560">
        <f t="shared" si="0"/>
        <v>36.384000000000007</v>
      </c>
      <c r="D13" s="560"/>
      <c r="E13" s="561">
        <f>SUM(B13:D13)</f>
        <v>45.384000000000007</v>
      </c>
      <c r="F13" s="560"/>
      <c r="G13" s="561">
        <f>$G$9</f>
        <v>15</v>
      </c>
      <c r="H13" s="560">
        <f t="shared" si="1"/>
        <v>39.244000000000007</v>
      </c>
      <c r="I13" s="560"/>
      <c r="J13" s="562">
        <f>SUM(G13:I13)</f>
        <v>54.244000000000007</v>
      </c>
      <c r="K13" s="556"/>
      <c r="L13" s="563">
        <f t="shared" si="2"/>
        <v>8.86</v>
      </c>
      <c r="M13" s="308">
        <f>L13/E13</f>
        <v>0.1952229860743874</v>
      </c>
      <c r="S13" s="237"/>
      <c r="T13" s="327"/>
      <c r="U13" s="327"/>
    </row>
    <row r="14" spans="1:21" ht="13">
      <c r="A14" s="556">
        <v>500</v>
      </c>
      <c r="B14" s="561">
        <f>$B$9</f>
        <v>9</v>
      </c>
      <c r="C14" s="560">
        <f t="shared" si="0"/>
        <v>45.480000000000004</v>
      </c>
      <c r="D14" s="560"/>
      <c r="E14" s="561">
        <f>SUM(B14:D14)</f>
        <v>54.480000000000004</v>
      </c>
      <c r="F14" s="560"/>
      <c r="G14" s="561">
        <f>$G$9</f>
        <v>15</v>
      </c>
      <c r="H14" s="560">
        <f t="shared" si="1"/>
        <v>49.055000000000007</v>
      </c>
      <c r="I14" s="560"/>
      <c r="J14" s="562">
        <f>SUM(G14:I14)</f>
        <v>64.055000000000007</v>
      </c>
      <c r="K14" s="556"/>
      <c r="L14" s="563">
        <f t="shared" si="2"/>
        <v>9.5750000000000028</v>
      </c>
      <c r="M14" s="308">
        <f>L14/E14</f>
        <v>0.17575256975036715</v>
      </c>
      <c r="S14" s="237"/>
      <c r="T14" s="327"/>
      <c r="U14" s="327"/>
    </row>
    <row r="15" spans="1:21" ht="13">
      <c r="A15" s="556">
        <v>600</v>
      </c>
      <c r="B15" s="561">
        <f t="shared" ref="B15:B24" si="3">$B$9</f>
        <v>9</v>
      </c>
      <c r="C15" s="560">
        <f t="shared" si="0"/>
        <v>54.576000000000008</v>
      </c>
      <c r="D15" s="560"/>
      <c r="E15" s="561">
        <f t="shared" ref="E15:E24" si="4">SUM(B15:D15)</f>
        <v>63.576000000000008</v>
      </c>
      <c r="F15" s="560"/>
      <c r="G15" s="561">
        <f t="shared" ref="G15:G24" si="5">$G$9</f>
        <v>15</v>
      </c>
      <c r="H15" s="560">
        <f t="shared" si="1"/>
        <v>58.866000000000007</v>
      </c>
      <c r="I15" s="560"/>
      <c r="J15" s="562">
        <f t="shared" ref="J15:J24" si="6">SUM(G15:I15)</f>
        <v>73.866000000000014</v>
      </c>
      <c r="K15" s="556"/>
      <c r="L15" s="563">
        <f t="shared" si="2"/>
        <v>10.290000000000006</v>
      </c>
      <c r="M15" s="308">
        <f t="shared" ref="M15:M24" si="7">L15/E15</f>
        <v>0.16185352963382416</v>
      </c>
    </row>
    <row r="16" spans="1:21" ht="13">
      <c r="A16" s="556">
        <v>700</v>
      </c>
      <c r="B16" s="561">
        <f t="shared" si="3"/>
        <v>9</v>
      </c>
      <c r="C16" s="560">
        <f t="shared" si="0"/>
        <v>63.672000000000011</v>
      </c>
      <c r="D16" s="560"/>
      <c r="E16" s="561">
        <f>SUM(B16:D16)</f>
        <v>72.672000000000011</v>
      </c>
      <c r="F16" s="560"/>
      <c r="G16" s="561">
        <f t="shared" si="5"/>
        <v>15</v>
      </c>
      <c r="H16" s="560">
        <f t="shared" si="1"/>
        <v>68.677000000000007</v>
      </c>
      <c r="I16" s="560"/>
      <c r="J16" s="562">
        <f>SUM(G16:I16)</f>
        <v>83.677000000000007</v>
      </c>
      <c r="K16" s="556"/>
      <c r="L16" s="563">
        <f t="shared" si="2"/>
        <v>11.004999999999995</v>
      </c>
      <c r="M16" s="308">
        <f>L16/E16</f>
        <v>0.15143383971818575</v>
      </c>
    </row>
    <row r="17" spans="1:18" ht="13.5" thickBot="1">
      <c r="A17" s="556">
        <v>800</v>
      </c>
      <c r="B17" s="561">
        <f t="shared" si="3"/>
        <v>9</v>
      </c>
      <c r="C17" s="560">
        <f t="shared" si="0"/>
        <v>72.768000000000015</v>
      </c>
      <c r="D17" s="560"/>
      <c r="E17" s="561">
        <f t="shared" si="4"/>
        <v>81.768000000000015</v>
      </c>
      <c r="F17" s="560"/>
      <c r="G17" s="561">
        <f t="shared" si="5"/>
        <v>15</v>
      </c>
      <c r="H17" s="560">
        <f>A17*$H$9</f>
        <v>78.488000000000014</v>
      </c>
      <c r="I17" s="560"/>
      <c r="J17" s="562">
        <f t="shared" si="6"/>
        <v>93.488000000000014</v>
      </c>
      <c r="K17" s="556"/>
      <c r="L17" s="563">
        <f t="shared" si="2"/>
        <v>11.719999999999999</v>
      </c>
      <c r="M17" s="308">
        <f t="shared" si="7"/>
        <v>0.14333235495548377</v>
      </c>
    </row>
    <row r="18" spans="1:18" ht="13.5" thickBot="1">
      <c r="A18" s="571">
        <f>ROUND('Pres &amp; Prop Rev'!D46/'Pres &amp; Prop Rev'!D48,0)</f>
        <v>945</v>
      </c>
      <c r="B18" s="565">
        <f t="shared" si="3"/>
        <v>9</v>
      </c>
      <c r="C18" s="566">
        <f>ROUND($C$17,2)</f>
        <v>72.77</v>
      </c>
      <c r="D18" s="566">
        <f>ROUND((A18-$A$17)*$D$9,2)</f>
        <v>15.49</v>
      </c>
      <c r="E18" s="565">
        <f t="shared" si="4"/>
        <v>97.259999999999991</v>
      </c>
      <c r="F18" s="566"/>
      <c r="G18" s="565">
        <f t="shared" si="5"/>
        <v>15</v>
      </c>
      <c r="H18" s="566">
        <f>ROUND($H$17,2)</f>
        <v>78.489999999999995</v>
      </c>
      <c r="I18" s="566">
        <f>ROUND((A18-$A$17)*$I$9,2)</f>
        <v>16.71</v>
      </c>
      <c r="J18" s="567">
        <f>SUM(G18:I18)</f>
        <v>110.19999999999999</v>
      </c>
      <c r="K18" s="568"/>
      <c r="L18" s="569">
        <f t="shared" si="2"/>
        <v>12.939999999999998</v>
      </c>
      <c r="M18" s="570">
        <f>L18/E18</f>
        <v>0.13304544519843717</v>
      </c>
      <c r="P18" s="327"/>
      <c r="Q18" s="564"/>
      <c r="R18" s="306"/>
    </row>
    <row r="19" spans="1:18" ht="13">
      <c r="A19" s="556">
        <v>1000</v>
      </c>
      <c r="B19" s="561">
        <f t="shared" si="3"/>
        <v>9</v>
      </c>
      <c r="C19" s="560">
        <f>ROUND($C$17,2)</f>
        <v>72.77</v>
      </c>
      <c r="D19" s="560">
        <f>ROUND((A19-$A$17)*$D$9,2)</f>
        <v>21.36</v>
      </c>
      <c r="E19" s="561">
        <f t="shared" si="4"/>
        <v>103.13</v>
      </c>
      <c r="F19" s="560"/>
      <c r="G19" s="561">
        <f t="shared" si="5"/>
        <v>15</v>
      </c>
      <c r="H19" s="560">
        <f>ROUND($H$17,2)</f>
        <v>78.489999999999995</v>
      </c>
      <c r="I19" s="560">
        <f>ROUND((A19-$A$17)*$I$9,2)</f>
        <v>23.04</v>
      </c>
      <c r="J19" s="562">
        <f t="shared" si="6"/>
        <v>116.53</v>
      </c>
      <c r="K19" s="556"/>
      <c r="L19" s="563">
        <f t="shared" si="2"/>
        <v>13.400000000000006</v>
      </c>
      <c r="M19" s="308">
        <f t="shared" si="7"/>
        <v>0.12993309415301083</v>
      </c>
    </row>
    <row r="20" spans="1:18" ht="13">
      <c r="A20" s="556">
        <v>1100</v>
      </c>
      <c r="B20" s="561">
        <f t="shared" si="3"/>
        <v>9</v>
      </c>
      <c r="C20" s="560">
        <f>$C$17</f>
        <v>72.768000000000015</v>
      </c>
      <c r="D20" s="560">
        <f>(A20-$A$17)*$D$9</f>
        <v>32.046000000000014</v>
      </c>
      <c r="E20" s="561">
        <f>SUM(B20:D20)</f>
        <v>113.81400000000002</v>
      </c>
      <c r="F20" s="560"/>
      <c r="G20" s="561">
        <f t="shared" si="5"/>
        <v>15</v>
      </c>
      <c r="H20" s="560">
        <f>$H$17</f>
        <v>78.488000000000014</v>
      </c>
      <c r="I20" s="560">
        <f>(A20-$A$17)*$I$9</f>
        <v>34.566000000000017</v>
      </c>
      <c r="J20" s="562">
        <f>SUM(G20:I20)</f>
        <v>128.05400000000003</v>
      </c>
      <c r="K20" s="556"/>
      <c r="L20" s="563">
        <f t="shared" si="2"/>
        <v>14.240000000000009</v>
      </c>
      <c r="M20" s="308">
        <f>L20/E20</f>
        <v>0.12511641801535844</v>
      </c>
    </row>
    <row r="21" spans="1:18" ht="13">
      <c r="A21" s="556">
        <v>1200</v>
      </c>
      <c r="B21" s="561">
        <f t="shared" si="3"/>
        <v>9</v>
      </c>
      <c r="C21" s="560">
        <f>$C$17</f>
        <v>72.768000000000015</v>
      </c>
      <c r="D21" s="560">
        <f>(A21-$A$17)*$D$9</f>
        <v>42.728000000000016</v>
      </c>
      <c r="E21" s="561">
        <f t="shared" si="4"/>
        <v>124.49600000000004</v>
      </c>
      <c r="F21" s="560"/>
      <c r="G21" s="561">
        <f t="shared" si="5"/>
        <v>15</v>
      </c>
      <c r="H21" s="560">
        <f>$H$17</f>
        <v>78.488000000000014</v>
      </c>
      <c r="I21" s="560">
        <f>(A21-$A$17)*$I$9</f>
        <v>46.088000000000015</v>
      </c>
      <c r="J21" s="562">
        <f t="shared" si="6"/>
        <v>139.57600000000002</v>
      </c>
      <c r="K21" s="556"/>
      <c r="L21" s="563">
        <f t="shared" si="2"/>
        <v>15.079999999999984</v>
      </c>
      <c r="M21" s="308">
        <f t="shared" si="7"/>
        <v>0.12112838966713774</v>
      </c>
    </row>
    <row r="22" spans="1:18" ht="13">
      <c r="A22" s="556">
        <v>1300</v>
      </c>
      <c r="B22" s="561">
        <f t="shared" si="3"/>
        <v>9</v>
      </c>
      <c r="C22" s="560">
        <f>$C$17</f>
        <v>72.768000000000015</v>
      </c>
      <c r="D22" s="560">
        <f>(A22-$A$17)*$D$9</f>
        <v>53.410000000000018</v>
      </c>
      <c r="E22" s="561">
        <f>SUM(B22:D22)</f>
        <v>135.17800000000003</v>
      </c>
      <c r="F22" s="560"/>
      <c r="G22" s="561">
        <f t="shared" si="5"/>
        <v>15</v>
      </c>
      <c r="H22" s="560">
        <f>$H$17</f>
        <v>78.488000000000014</v>
      </c>
      <c r="I22" s="560">
        <f>(A22-$A$17)*$I$9</f>
        <v>57.610000000000021</v>
      </c>
      <c r="J22" s="562">
        <f>SUM(G22:I22)</f>
        <v>151.09800000000004</v>
      </c>
      <c r="K22" s="556"/>
      <c r="L22" s="563">
        <f t="shared" si="2"/>
        <v>15.920000000000016</v>
      </c>
      <c r="M22" s="308">
        <f>L22/E22</f>
        <v>0.11777064315199229</v>
      </c>
    </row>
    <row r="23" spans="1:18" ht="13">
      <c r="A23" s="556">
        <v>1400</v>
      </c>
      <c r="B23" s="561">
        <f t="shared" si="3"/>
        <v>9</v>
      </c>
      <c r="C23" s="560">
        <f>$C$17</f>
        <v>72.768000000000015</v>
      </c>
      <c r="D23" s="560">
        <f>(A23-$A$17)*$D$9</f>
        <v>64.092000000000027</v>
      </c>
      <c r="E23" s="561">
        <f>SUM(B23:D23)</f>
        <v>145.86000000000004</v>
      </c>
      <c r="F23" s="560"/>
      <c r="G23" s="561">
        <f t="shared" si="5"/>
        <v>15</v>
      </c>
      <c r="H23" s="560">
        <f>$H$17</f>
        <v>78.488000000000014</v>
      </c>
      <c r="I23" s="560">
        <f>(A23-$A$17)*$I$9</f>
        <v>69.132000000000033</v>
      </c>
      <c r="J23" s="562">
        <f>SUM(G23:I23)</f>
        <v>162.62000000000006</v>
      </c>
      <c r="K23" s="556"/>
      <c r="L23" s="563">
        <f t="shared" si="2"/>
        <v>16.760000000000019</v>
      </c>
      <c r="M23" s="308">
        <f>L23/E23</f>
        <v>0.11490470313999736</v>
      </c>
    </row>
    <row r="24" spans="1:18" ht="13">
      <c r="A24" s="556">
        <v>1500</v>
      </c>
      <c r="B24" s="561">
        <f t="shared" si="3"/>
        <v>9</v>
      </c>
      <c r="C24" s="560">
        <f>$C$17</f>
        <v>72.768000000000015</v>
      </c>
      <c r="D24" s="560">
        <f>(A24-$A$17)*$D$9</f>
        <v>74.774000000000029</v>
      </c>
      <c r="E24" s="561">
        <f t="shared" si="4"/>
        <v>156.54200000000003</v>
      </c>
      <c r="F24" s="560"/>
      <c r="G24" s="561">
        <f t="shared" si="5"/>
        <v>15</v>
      </c>
      <c r="H24" s="560">
        <f>$H$17</f>
        <v>78.488000000000014</v>
      </c>
      <c r="I24" s="560">
        <f>(A24-$A$17)*$I$9</f>
        <v>80.654000000000025</v>
      </c>
      <c r="J24" s="562">
        <f t="shared" si="6"/>
        <v>174.14200000000005</v>
      </c>
      <c r="K24" s="556"/>
      <c r="L24" s="563">
        <f t="shared" si="2"/>
        <v>17.600000000000023</v>
      </c>
      <c r="M24" s="308">
        <f t="shared" si="7"/>
        <v>0.11242989101966258</v>
      </c>
    </row>
    <row r="25" spans="1:18" ht="13">
      <c r="A25" s="556"/>
      <c r="B25" s="561"/>
      <c r="C25" s="560"/>
      <c r="D25" s="560"/>
      <c r="E25" s="561"/>
      <c r="F25" s="560"/>
      <c r="G25" s="561"/>
      <c r="H25" s="560"/>
      <c r="I25" s="560"/>
      <c r="J25" s="562"/>
      <c r="K25" s="556"/>
      <c r="L25" s="563"/>
      <c r="M25" s="308"/>
    </row>
    <row r="26" spans="1:18" ht="13">
      <c r="A26" s="556"/>
      <c r="B26" s="561"/>
      <c r="C26" s="560"/>
      <c r="D26" s="560"/>
      <c r="E26" s="561"/>
      <c r="F26" s="560"/>
      <c r="G26" s="561"/>
      <c r="H26" s="560"/>
      <c r="I26" s="560"/>
      <c r="J26" s="562"/>
      <c r="K26" s="556"/>
      <c r="L26" s="563"/>
      <c r="M26" s="308"/>
    </row>
    <row r="27" spans="1:18" ht="13">
      <c r="A27" s="556"/>
      <c r="B27" s="561"/>
      <c r="C27" s="560"/>
      <c r="D27" s="560"/>
      <c r="E27" s="561"/>
      <c r="F27" s="560"/>
      <c r="G27" s="561"/>
      <c r="H27" s="560"/>
      <c r="I27" s="560"/>
      <c r="J27" s="562"/>
      <c r="K27" s="556"/>
      <c r="L27" s="563"/>
      <c r="M27" s="308"/>
    </row>
    <row r="28" spans="1:18" ht="13">
      <c r="A28" s="556"/>
      <c r="B28" s="561"/>
      <c r="C28" s="560"/>
      <c r="D28" s="560"/>
      <c r="E28" s="561"/>
      <c r="F28" s="560"/>
      <c r="G28" s="561"/>
      <c r="H28" s="560"/>
      <c r="I28" s="560"/>
      <c r="J28" s="562"/>
      <c r="K28" s="556"/>
      <c r="L28" s="563"/>
      <c r="M28" s="308"/>
    </row>
    <row r="29" spans="1:18" ht="13">
      <c r="A29" s="556"/>
      <c r="B29" s="561"/>
      <c r="C29" s="560"/>
      <c r="D29" s="560"/>
      <c r="E29" s="561"/>
      <c r="F29" s="560"/>
      <c r="G29" s="561"/>
      <c r="H29" s="560"/>
      <c r="I29" s="560"/>
      <c r="J29" s="562"/>
      <c r="K29" s="556"/>
      <c r="L29" s="563"/>
      <c r="M29" s="308"/>
    </row>
    <row r="30" spans="1:18" ht="13">
      <c r="A30" s="556"/>
      <c r="B30" s="561"/>
      <c r="C30" s="560"/>
      <c r="D30" s="560"/>
      <c r="E30" s="561"/>
      <c r="F30" s="560"/>
      <c r="G30" s="561"/>
      <c r="H30" s="560"/>
      <c r="I30" s="560"/>
      <c r="J30" s="562"/>
      <c r="K30" s="556"/>
      <c r="L30" s="563"/>
      <c r="M30" s="308"/>
    </row>
    <row r="31" spans="1:18" ht="13">
      <c r="A31" s="556"/>
      <c r="B31" s="561"/>
      <c r="C31" s="560"/>
      <c r="D31" s="560"/>
      <c r="E31" s="561"/>
      <c r="F31" s="560"/>
      <c r="G31" s="561"/>
      <c r="H31" s="560"/>
      <c r="I31" s="560"/>
      <c r="J31" s="562"/>
      <c r="K31" s="556"/>
      <c r="L31" s="563"/>
      <c r="M31" s="308"/>
    </row>
    <row r="32" spans="1:18" ht="13">
      <c r="A32" s="556"/>
      <c r="B32" s="561"/>
      <c r="C32" s="560"/>
      <c r="D32" s="560"/>
      <c r="E32" s="561"/>
      <c r="F32" s="560"/>
      <c r="G32" s="561"/>
      <c r="H32" s="560"/>
      <c r="I32" s="560"/>
      <c r="J32" s="562"/>
      <c r="K32" s="556"/>
      <c r="L32" s="563"/>
      <c r="M32" s="308"/>
    </row>
    <row r="33" spans="5:13">
      <c r="E33" s="561"/>
    </row>
    <row r="36" spans="5:13">
      <c r="G36" s="237">
        <f>(G9-B9)</f>
        <v>6</v>
      </c>
      <c r="H36" s="443">
        <f>(H9-C9)*800</f>
        <v>5.7200000000000024</v>
      </c>
      <c r="I36" s="443">
        <f>(I9-D9)*145</f>
        <v>1.2180000000000006</v>
      </c>
      <c r="L36" s="237"/>
      <c r="M36" s="306"/>
    </row>
    <row r="37" spans="5:13">
      <c r="G37" s="237"/>
      <c r="H37" s="327"/>
      <c r="I37" s="327"/>
      <c r="L37" s="237"/>
      <c r="M37" s="30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AK179"/>
  <sheetViews>
    <sheetView showGridLines="0" zoomScale="190" zoomScaleNormal="190" workbookViewId="0">
      <pane xSplit="3" ySplit="3" topLeftCell="D13" activePane="bottomRight" state="frozenSplit"/>
      <selection activeCell="G27" sqref="G27"/>
      <selection pane="topRight" activeCell="G27" sqref="G27"/>
      <selection pane="bottomLeft" activeCell="G27" sqref="G27"/>
      <selection pane="bottomRight" activeCell="Q30" sqref="Q30"/>
    </sheetView>
  </sheetViews>
  <sheetFormatPr defaultRowHeight="12.5"/>
  <cols>
    <col min="1" max="1" width="4.26953125" customWidth="1"/>
    <col min="2" max="2" width="24.7265625" customWidth="1"/>
    <col min="3" max="3" width="11" bestFit="1" customWidth="1"/>
    <col min="4" max="4" width="12.7265625" bestFit="1" customWidth="1"/>
    <col min="5" max="5" width="13.26953125" customWidth="1"/>
    <col min="6" max="6" width="13.26953125" bestFit="1" customWidth="1"/>
    <col min="7" max="7" width="13.453125" bestFit="1" customWidth="1"/>
    <col min="8" max="8" width="12.7265625" bestFit="1" customWidth="1"/>
    <col min="9" max="11" width="13.26953125" bestFit="1" customWidth="1"/>
    <col min="12" max="12" width="13" bestFit="1" customWidth="1"/>
    <col min="13" max="13" width="12.54296875" bestFit="1" customWidth="1"/>
    <col min="14" max="15" width="12.7265625" bestFit="1" customWidth="1"/>
    <col min="16" max="16" width="14.54296875" bestFit="1" customWidth="1"/>
    <col min="17" max="18" width="12.7265625" bestFit="1" customWidth="1"/>
    <col min="19" max="19" width="13.26953125" bestFit="1" customWidth="1"/>
    <col min="20" max="20" width="12.81640625" bestFit="1" customWidth="1"/>
    <col min="22" max="22" width="11.81640625" bestFit="1" customWidth="1"/>
    <col min="28" max="28" width="10.81640625" bestFit="1" customWidth="1"/>
  </cols>
  <sheetData>
    <row r="1" spans="1:19" ht="14">
      <c r="A1" s="57" t="s">
        <v>69</v>
      </c>
      <c r="Q1" s="42" t="s">
        <v>332</v>
      </c>
      <c r="R1" s="197">
        <f>Q2</f>
        <v>500000</v>
      </c>
      <c r="S1" s="197">
        <f>R2</f>
        <v>6000000</v>
      </c>
    </row>
    <row r="2" spans="1:19" ht="13">
      <c r="P2" s="32" t="s">
        <v>362</v>
      </c>
      <c r="Q2" s="130">
        <v>500000</v>
      </c>
      <c r="R2" s="130">
        <v>6000000</v>
      </c>
      <c r="S2" s="198">
        <v>99999999</v>
      </c>
    </row>
    <row r="3" spans="1:19" ht="13">
      <c r="A3" s="97" t="s">
        <v>363</v>
      </c>
      <c r="B3" s="97"/>
      <c r="C3" s="41" t="s">
        <v>71</v>
      </c>
      <c r="D3" s="291">
        <v>44773</v>
      </c>
      <c r="E3" s="291">
        <f t="shared" ref="E3:O3" si="0">EOMONTH(D3,1)</f>
        <v>44804</v>
      </c>
      <c r="F3" s="291">
        <f t="shared" si="0"/>
        <v>44834</v>
      </c>
      <c r="G3" s="291">
        <f t="shared" si="0"/>
        <v>44865</v>
      </c>
      <c r="H3" s="291">
        <f t="shared" si="0"/>
        <v>44895</v>
      </c>
      <c r="I3" s="291">
        <f t="shared" si="0"/>
        <v>44926</v>
      </c>
      <c r="J3" s="291">
        <f t="shared" si="0"/>
        <v>44957</v>
      </c>
      <c r="K3" s="291">
        <f t="shared" si="0"/>
        <v>44985</v>
      </c>
      <c r="L3" s="291">
        <f t="shared" si="0"/>
        <v>45016</v>
      </c>
      <c r="M3" s="291">
        <f t="shared" si="0"/>
        <v>45046</v>
      </c>
      <c r="N3" s="291">
        <f t="shared" si="0"/>
        <v>45077</v>
      </c>
      <c r="O3" s="291">
        <f t="shared" si="0"/>
        <v>45107</v>
      </c>
      <c r="P3" s="32" t="s">
        <v>64</v>
      </c>
      <c r="Q3" s="199" t="s">
        <v>333</v>
      </c>
      <c r="R3" s="199" t="s">
        <v>333</v>
      </c>
      <c r="S3" s="199" t="s">
        <v>333</v>
      </c>
    </row>
    <row r="4" spans="1:19">
      <c r="A4">
        <v>1</v>
      </c>
      <c r="B4" s="517" t="s">
        <v>814</v>
      </c>
      <c r="C4" s="518" t="s">
        <v>815</v>
      </c>
      <c r="D4" s="323">
        <v>3511258.8</v>
      </c>
      <c r="E4" s="323">
        <v>3186867.6</v>
      </c>
      <c r="F4" s="323">
        <v>3055896.9</v>
      </c>
      <c r="G4" s="323">
        <v>3104642.1</v>
      </c>
      <c r="H4" s="323">
        <v>3011175.3</v>
      </c>
      <c r="I4" s="323">
        <v>2268634.2000000002</v>
      </c>
      <c r="J4" s="323">
        <v>3063419.1</v>
      </c>
      <c r="K4" s="323">
        <v>3234638.4</v>
      </c>
      <c r="L4" s="323">
        <v>3061333.8</v>
      </c>
      <c r="M4" s="322">
        <v>2825350.5</v>
      </c>
      <c r="N4" s="322">
        <v>2878801.8</v>
      </c>
      <c r="O4" s="322">
        <v>2673388.2000000002</v>
      </c>
      <c r="P4" s="34">
        <f t="shared" ref="P4:P22" si="1">SUM(D4:O4)</f>
        <v>35875406.700000003</v>
      </c>
      <c r="Q4" s="144">
        <f>Q$2*12-SUMPRODUCT(--($D4:$O4&lt;=Q$2),Q$2-$D4:$O4)</f>
        <v>6000000</v>
      </c>
      <c r="R4" s="144">
        <f>R$2*12-SUM($Q4:Q4)-SUMPRODUCT(--($D4:$O4&lt;=R$2),R$2-$D4:$O4)</f>
        <v>29875406.700000003</v>
      </c>
      <c r="S4" s="144">
        <f>S$2*12-SUM($Q4:R4)-SUMPRODUCT(--($D4:$O4&lt;=S$2),S$2-$D4:$O4)</f>
        <v>0</v>
      </c>
    </row>
    <row r="5" spans="1:19">
      <c r="A5">
        <v>2</v>
      </c>
      <c r="B5" s="517" t="s">
        <v>816</v>
      </c>
      <c r="C5" s="518" t="s">
        <v>817</v>
      </c>
      <c r="D5" s="323">
        <v>2928523.5</v>
      </c>
      <c r="E5" s="323">
        <v>3001309.5</v>
      </c>
      <c r="F5" s="323">
        <v>2828135.1</v>
      </c>
      <c r="G5" s="323">
        <v>2928804.9</v>
      </c>
      <c r="H5" s="323">
        <v>2429800.7999999998</v>
      </c>
      <c r="I5" s="323">
        <v>2414840.4</v>
      </c>
      <c r="J5" s="323">
        <v>2974032.6</v>
      </c>
      <c r="K5" s="323">
        <v>2756651.1</v>
      </c>
      <c r="L5" s="323">
        <v>3054668.4040000001</v>
      </c>
      <c r="M5" s="322">
        <v>2912332.5</v>
      </c>
      <c r="N5" s="322">
        <v>2840705.7</v>
      </c>
      <c r="O5" s="322">
        <v>2802084.6</v>
      </c>
      <c r="P5" s="34">
        <f t="shared" si="1"/>
        <v>33871889.104000002</v>
      </c>
      <c r="Q5" s="144">
        <f t="shared" ref="Q5:Q22" si="2">Q$2*12-SUMPRODUCT(--($D5:$O5&lt;=Q$2),Q$2-$D5:$O5)</f>
        <v>6000000</v>
      </c>
      <c r="R5" s="144">
        <f>R$2*12-SUM($Q5:Q5)-SUMPRODUCT(--($D5:$O5&lt;=R$2),R$2-$D5:$O5)</f>
        <v>27871889.104000002</v>
      </c>
      <c r="S5" s="144">
        <f>S$2*12-SUM($Q5:R5)-SUMPRODUCT(--($D5:$O5&lt;=S$2),S$2-$D5:$O5)</f>
        <v>0</v>
      </c>
    </row>
    <row r="6" spans="1:19">
      <c r="A6">
        <v>3</v>
      </c>
      <c r="B6" s="517" t="s">
        <v>818</v>
      </c>
      <c r="C6" s="518" t="s">
        <v>819</v>
      </c>
      <c r="D6" s="323">
        <v>856988.3</v>
      </c>
      <c r="E6" s="323">
        <v>906492.3</v>
      </c>
      <c r="F6" s="323">
        <v>807755.9</v>
      </c>
      <c r="G6" s="323">
        <v>917759.5</v>
      </c>
      <c r="H6" s="323">
        <v>1147274.1000000001</v>
      </c>
      <c r="I6" s="323">
        <v>1246434.7</v>
      </c>
      <c r="J6" s="323">
        <v>1330445.2</v>
      </c>
      <c r="K6" s="323">
        <v>1263465.7</v>
      </c>
      <c r="L6" s="323">
        <v>1312467.1040000001</v>
      </c>
      <c r="M6" s="322">
        <v>1213285.5</v>
      </c>
      <c r="N6" s="322">
        <v>1166237.1000000001</v>
      </c>
      <c r="O6" s="322">
        <v>1198017.8</v>
      </c>
      <c r="P6" s="34">
        <f t="shared" si="1"/>
        <v>13366623.204</v>
      </c>
      <c r="Q6" s="144">
        <f t="shared" si="2"/>
        <v>6000000</v>
      </c>
      <c r="R6" s="144">
        <f>R$2*12-SUM($Q6:Q6)-SUMPRODUCT(--($D6:$O6&lt;=R$2),R$2-$D6:$O6)</f>
        <v>7366623.2040000036</v>
      </c>
      <c r="S6" s="144">
        <f>S$2*12-SUM($Q6:R6)-SUMPRODUCT(--($D6:$O6&lt;=S$2),S$2-$D6:$O6)</f>
        <v>0</v>
      </c>
    </row>
    <row r="7" spans="1:19">
      <c r="A7">
        <v>4</v>
      </c>
      <c r="B7" s="517" t="s">
        <v>820</v>
      </c>
      <c r="C7" s="518" t="s">
        <v>821</v>
      </c>
      <c r="D7" s="323">
        <v>1797020.4</v>
      </c>
      <c r="E7" s="323">
        <v>1812660.15</v>
      </c>
      <c r="F7" s="323">
        <v>1685865.3</v>
      </c>
      <c r="G7" s="323">
        <v>1751905.05</v>
      </c>
      <c r="H7" s="323">
        <v>1815625.875</v>
      </c>
      <c r="I7" s="323">
        <v>1977956.4</v>
      </c>
      <c r="J7" s="323">
        <v>2137982.7000000002</v>
      </c>
      <c r="K7" s="323">
        <v>1835071.35</v>
      </c>
      <c r="L7" s="323">
        <v>2042431.6470000001</v>
      </c>
      <c r="M7" s="322">
        <v>1829402.4</v>
      </c>
      <c r="N7" s="322">
        <v>1938142.5</v>
      </c>
      <c r="O7" s="322">
        <v>1816371.9</v>
      </c>
      <c r="P7" s="34">
        <f t="shared" si="1"/>
        <v>22440435.671999998</v>
      </c>
      <c r="Q7" s="144">
        <f t="shared" si="2"/>
        <v>6000000</v>
      </c>
      <c r="R7" s="144">
        <f>R$2*12-SUM($Q7:Q7)-SUMPRODUCT(--($D7:$O7&lt;=R$2),R$2-$D7:$O7)</f>
        <v>16440435.671999998</v>
      </c>
      <c r="S7" s="144">
        <f>S$2*12-SUM($Q7:R7)-SUMPRODUCT(--($D7:$O7&lt;=S$2),S$2-$D7:$O7)</f>
        <v>0</v>
      </c>
    </row>
    <row r="8" spans="1:19">
      <c r="A8">
        <v>5</v>
      </c>
      <c r="B8" s="517" t="s">
        <v>822</v>
      </c>
      <c r="C8" s="518" t="s">
        <v>823</v>
      </c>
      <c r="D8" s="323">
        <v>1984929.45</v>
      </c>
      <c r="E8" s="323">
        <v>1948687.65</v>
      </c>
      <c r="F8" s="323">
        <v>1688457.75</v>
      </c>
      <c r="G8" s="323">
        <v>1528496.55</v>
      </c>
      <c r="H8" s="323">
        <v>1503093.899</v>
      </c>
      <c r="I8" s="323">
        <v>1615868.1</v>
      </c>
      <c r="J8" s="323">
        <v>1565022.9</v>
      </c>
      <c r="K8" s="323">
        <v>1469498.1</v>
      </c>
      <c r="L8" s="323">
        <v>1613875.1980000001</v>
      </c>
      <c r="M8" s="322">
        <v>1547398.65</v>
      </c>
      <c r="N8" s="322">
        <v>1800175.65</v>
      </c>
      <c r="O8" s="322">
        <v>1814316</v>
      </c>
      <c r="P8" s="34">
        <f t="shared" si="1"/>
        <v>20079819.897</v>
      </c>
      <c r="Q8" s="144">
        <f t="shared" si="2"/>
        <v>6000000</v>
      </c>
      <c r="R8" s="144">
        <f>R$2*12-SUM($Q8:Q8)-SUMPRODUCT(--($D8:$O8&lt;=R$2),R$2-$D8:$O8)</f>
        <v>14079819.896999992</v>
      </c>
      <c r="S8" s="144">
        <f>S$2*12-SUM($Q8:R8)-SUMPRODUCT(--($D8:$O8&lt;=S$2),S$2-$D8:$O8)</f>
        <v>0</v>
      </c>
    </row>
    <row r="9" spans="1:19">
      <c r="A9">
        <v>6</v>
      </c>
      <c r="B9" s="517" t="s">
        <v>824</v>
      </c>
      <c r="C9" s="518" t="s">
        <v>825</v>
      </c>
      <c r="D9" s="323">
        <v>1952676.6</v>
      </c>
      <c r="E9" s="323">
        <v>2201875.2000000002</v>
      </c>
      <c r="F9" s="323">
        <v>2155521.2000000002</v>
      </c>
      <c r="G9" s="323">
        <v>2100320.6</v>
      </c>
      <c r="H9" s="323">
        <v>2299484.6</v>
      </c>
      <c r="I9" s="323">
        <v>2499722.4</v>
      </c>
      <c r="J9" s="323">
        <v>2293355.4</v>
      </c>
      <c r="K9" s="323">
        <v>2237482.7999999998</v>
      </c>
      <c r="L9" s="323">
        <v>2192150.8030000003</v>
      </c>
      <c r="M9" s="322">
        <v>2020271.4</v>
      </c>
      <c r="N9" s="322">
        <v>1854825</v>
      </c>
      <c r="O9" s="322">
        <v>1634442.6</v>
      </c>
      <c r="P9" s="34">
        <f t="shared" si="1"/>
        <v>25442128.603</v>
      </c>
      <c r="Q9" s="144">
        <f t="shared" si="2"/>
        <v>6000000</v>
      </c>
      <c r="R9" s="144">
        <f>R$2*12-SUM($Q9:Q9)-SUMPRODUCT(--($D9:$O9&lt;=R$2),R$2-$D9:$O9)</f>
        <v>19442128.603</v>
      </c>
      <c r="S9" s="144">
        <f>S$2*12-SUM($Q9:R9)-SUMPRODUCT(--($D9:$O9&lt;=S$2),S$2-$D9:$O9)</f>
        <v>0</v>
      </c>
    </row>
    <row r="10" spans="1:19">
      <c r="A10">
        <v>7</v>
      </c>
      <c r="B10" s="517" t="s">
        <v>826</v>
      </c>
      <c r="C10" s="518" t="s">
        <v>827</v>
      </c>
      <c r="D10" s="323">
        <v>1925037.8</v>
      </c>
      <c r="E10" s="323">
        <v>2026042.9</v>
      </c>
      <c r="F10" s="323">
        <v>1860335.4</v>
      </c>
      <c r="G10" s="323">
        <v>1826521.9</v>
      </c>
      <c r="H10" s="323">
        <v>1734973.1</v>
      </c>
      <c r="I10" s="323">
        <v>1821462.3</v>
      </c>
      <c r="J10" s="323">
        <v>1779115.1</v>
      </c>
      <c r="K10" s="323">
        <v>1523330.9</v>
      </c>
      <c r="L10" s="323">
        <v>1665314.6939999999</v>
      </c>
      <c r="M10" s="322">
        <v>1560686.4</v>
      </c>
      <c r="N10" s="322">
        <v>1448044.5</v>
      </c>
      <c r="O10" s="322">
        <v>1533830.2</v>
      </c>
      <c r="P10" s="34">
        <f t="shared" si="1"/>
        <v>20704695.193999998</v>
      </c>
      <c r="Q10" s="144">
        <f t="shared" si="2"/>
        <v>6000000</v>
      </c>
      <c r="R10" s="144">
        <f>R$2*12-SUM($Q10:Q10)-SUMPRODUCT(--($D10:$O10&lt;=R$2),R$2-$D10:$O10)</f>
        <v>14704695.193999998</v>
      </c>
      <c r="S10" s="144">
        <f>S$2*12-SUM($Q10:R10)-SUMPRODUCT(--($D10:$O10&lt;=S$2),S$2-$D10:$O10)</f>
        <v>0</v>
      </c>
    </row>
    <row r="11" spans="1:19">
      <c r="A11">
        <v>8</v>
      </c>
      <c r="B11" s="517" t="s">
        <v>828</v>
      </c>
      <c r="C11" s="518" t="s">
        <v>829</v>
      </c>
      <c r="D11" s="323">
        <v>1109087.7</v>
      </c>
      <c r="E11" s="323">
        <v>1274903.7</v>
      </c>
      <c r="F11" s="323">
        <v>1162347.8999999999</v>
      </c>
      <c r="G11" s="323">
        <v>1044405.6</v>
      </c>
      <c r="H11" s="323">
        <v>1000465.2</v>
      </c>
      <c r="I11" s="323">
        <v>976697.4</v>
      </c>
      <c r="J11" s="323">
        <v>926994.6</v>
      </c>
      <c r="K11" s="323">
        <v>848901.9</v>
      </c>
      <c r="L11" s="323">
        <v>955495.804</v>
      </c>
      <c r="M11" s="322">
        <v>897579.9</v>
      </c>
      <c r="N11" s="322">
        <v>997117.8</v>
      </c>
      <c r="O11" s="322">
        <v>1026072.6</v>
      </c>
      <c r="P11" s="34">
        <f t="shared" si="1"/>
        <v>12220070.104</v>
      </c>
      <c r="Q11" s="144">
        <f t="shared" si="2"/>
        <v>6000000</v>
      </c>
      <c r="R11" s="144">
        <f>R$2*12-SUM($Q11:Q11)-SUMPRODUCT(--($D11:$O11&lt;=R$2),R$2-$D11:$O11)</f>
        <v>6220070.1039999947</v>
      </c>
      <c r="S11" s="144">
        <f>S$2*12-SUM($Q11:R11)-SUMPRODUCT(--($D11:$O11&lt;=S$2),S$2-$D11:$O11)</f>
        <v>0</v>
      </c>
    </row>
    <row r="12" spans="1:19">
      <c r="A12">
        <v>9</v>
      </c>
      <c r="B12" s="517" t="s">
        <v>830</v>
      </c>
      <c r="C12" s="518" t="s">
        <v>831</v>
      </c>
      <c r="D12" s="323">
        <v>4120636.8</v>
      </c>
      <c r="E12" s="323">
        <v>5653424.7000000002</v>
      </c>
      <c r="F12" s="323">
        <v>5512867.5</v>
      </c>
      <c r="G12" s="323">
        <v>5579605.5</v>
      </c>
      <c r="H12" s="323">
        <v>5118815.0999999996</v>
      </c>
      <c r="I12" s="323">
        <v>4425432.9000000004</v>
      </c>
      <c r="J12" s="323">
        <v>5296254.5999999996</v>
      </c>
      <c r="K12" s="323">
        <v>4825751.7</v>
      </c>
      <c r="L12" s="323">
        <v>5407283.7010000004</v>
      </c>
      <c r="M12" s="322">
        <v>5340518.4000000004</v>
      </c>
      <c r="N12" s="322">
        <v>4509894.9000000004</v>
      </c>
      <c r="O12" s="322">
        <v>5508087.9000000004</v>
      </c>
      <c r="P12" s="34">
        <f t="shared" si="1"/>
        <v>61298573.700999998</v>
      </c>
      <c r="Q12" s="144">
        <f t="shared" si="2"/>
        <v>6000000</v>
      </c>
      <c r="R12" s="144">
        <f>R$2*12-SUM($Q12:Q12)-SUMPRODUCT(--($D12:$O12&lt;=R$2),R$2-$D12:$O12)</f>
        <v>55298573.701000005</v>
      </c>
      <c r="S12" s="144">
        <f>S$2*12-SUM($Q12:R12)-SUMPRODUCT(--($D12:$O12&lt;=S$2),S$2-$D12:$O12)</f>
        <v>0</v>
      </c>
    </row>
    <row r="13" spans="1:19">
      <c r="A13">
        <v>10</v>
      </c>
      <c r="B13" s="517" t="s">
        <v>832</v>
      </c>
      <c r="C13" s="518" t="s">
        <v>833</v>
      </c>
      <c r="D13" s="323">
        <v>5170571.7</v>
      </c>
      <c r="E13" s="323">
        <v>8261138.2000000002</v>
      </c>
      <c r="F13" s="323">
        <v>8188160.4000000004</v>
      </c>
      <c r="G13" s="323">
        <v>7816944.0999999996</v>
      </c>
      <c r="H13" s="323">
        <v>6661612.2999999998</v>
      </c>
      <c r="I13" s="323">
        <v>6015684.5</v>
      </c>
      <c r="J13" s="323">
        <v>8242483.2000000002</v>
      </c>
      <c r="K13" s="323">
        <v>7336605.5</v>
      </c>
      <c r="L13" s="323">
        <v>7273936.6009999998</v>
      </c>
      <c r="M13" s="322">
        <v>7351281</v>
      </c>
      <c r="N13" s="322">
        <v>8152636.7999999998</v>
      </c>
      <c r="O13" s="322">
        <v>8479676.0999999996</v>
      </c>
      <c r="P13" s="34">
        <f t="shared" si="1"/>
        <v>88950730.400999993</v>
      </c>
      <c r="Q13" s="144">
        <f t="shared" si="2"/>
        <v>6000000</v>
      </c>
      <c r="R13" s="144">
        <f>R$2*12-SUM($Q13:Q13)-SUMPRODUCT(--($D13:$O13&lt;=R$2),R$2-$D13:$O13)</f>
        <v>65170571.700000003</v>
      </c>
      <c r="S13" s="144">
        <f>S$2*12-SUM($Q13:R13)-SUMPRODUCT(--($D13:$O13&lt;=S$2),S$2-$D13:$O13)</f>
        <v>17780158.700999975</v>
      </c>
    </row>
    <row r="14" spans="1:19">
      <c r="A14">
        <v>11</v>
      </c>
      <c r="B14" s="517" t="s">
        <v>834</v>
      </c>
      <c r="C14" s="518" t="s">
        <v>835</v>
      </c>
      <c r="D14" s="323">
        <v>4021673.25</v>
      </c>
      <c r="E14" s="323">
        <v>4154551.8</v>
      </c>
      <c r="F14" s="323">
        <v>3463632.9</v>
      </c>
      <c r="G14" s="323">
        <v>3208639.35</v>
      </c>
      <c r="H14" s="323">
        <v>3005124.1490000002</v>
      </c>
      <c r="I14" s="323">
        <v>3123847.65</v>
      </c>
      <c r="J14" s="323">
        <v>3038070</v>
      </c>
      <c r="K14" s="323">
        <v>2765902.65</v>
      </c>
      <c r="L14" s="323">
        <v>3065599.9739999999</v>
      </c>
      <c r="M14" s="322">
        <v>3005830.8</v>
      </c>
      <c r="N14" s="322">
        <v>3541195.35</v>
      </c>
      <c r="O14" s="322">
        <v>3558683.1</v>
      </c>
      <c r="P14" s="34">
        <f t="shared" si="1"/>
        <v>39952750.972999997</v>
      </c>
      <c r="Q14" s="144">
        <f t="shared" si="2"/>
        <v>6000000</v>
      </c>
      <c r="R14" s="144">
        <f>R$2*12-SUM($Q14:Q14)-SUMPRODUCT(--($D14:$O14&lt;=R$2),R$2-$D14:$O14)</f>
        <v>33952750.973000005</v>
      </c>
      <c r="S14" s="144">
        <f>S$2*12-SUM($Q14:R14)-SUMPRODUCT(--($D14:$O14&lt;=S$2),S$2-$D14:$O14)</f>
        <v>0</v>
      </c>
    </row>
    <row r="15" spans="1:19">
      <c r="A15">
        <v>12</v>
      </c>
      <c r="B15" s="517" t="s">
        <v>836</v>
      </c>
      <c r="C15" s="518" t="s">
        <v>837</v>
      </c>
      <c r="D15" s="323">
        <v>1229254.95</v>
      </c>
      <c r="E15" s="323">
        <v>1302681.45</v>
      </c>
      <c r="F15" s="323">
        <v>1112624.1000000001</v>
      </c>
      <c r="G15" s="323">
        <v>1003809.45</v>
      </c>
      <c r="H15" s="323">
        <v>866227.95</v>
      </c>
      <c r="I15" s="323">
        <v>929797.05</v>
      </c>
      <c r="J15" s="323">
        <v>929140.8</v>
      </c>
      <c r="K15" s="323">
        <v>837446.4</v>
      </c>
      <c r="L15" s="323">
        <v>918053.85600000003</v>
      </c>
      <c r="M15" s="322">
        <v>899236.8</v>
      </c>
      <c r="N15" s="322">
        <v>1161149.8500000001</v>
      </c>
      <c r="O15" s="322">
        <v>1173304.6499999999</v>
      </c>
      <c r="P15" s="34">
        <f t="shared" si="1"/>
        <v>12362727.306000002</v>
      </c>
      <c r="Q15" s="144">
        <f t="shared" si="2"/>
        <v>6000000</v>
      </c>
      <c r="R15" s="144">
        <f>R$2*12-SUM($Q15:Q15)-SUMPRODUCT(--($D15:$O15&lt;=R$2),R$2-$D15:$O15)</f>
        <v>6362727.3059999943</v>
      </c>
      <c r="S15" s="144">
        <f>S$2*12-SUM($Q15:R15)-SUMPRODUCT(--($D15:$O15&lt;=S$2),S$2-$D15:$O15)</f>
        <v>0</v>
      </c>
    </row>
    <row r="16" spans="1:19">
      <c r="A16">
        <v>13</v>
      </c>
      <c r="B16" s="517" t="s">
        <v>838</v>
      </c>
      <c r="C16" s="518" t="s">
        <v>839</v>
      </c>
      <c r="D16" s="323">
        <v>1000721.1</v>
      </c>
      <c r="E16" s="323">
        <v>1036725</v>
      </c>
      <c r="F16" s="323">
        <v>915138.3</v>
      </c>
      <c r="G16" s="323">
        <v>969222</v>
      </c>
      <c r="H16" s="323">
        <v>996378.45</v>
      </c>
      <c r="I16" s="323">
        <v>912984.3</v>
      </c>
      <c r="J16" s="323">
        <v>1184713.5</v>
      </c>
      <c r="K16" s="323">
        <v>1022634.3</v>
      </c>
      <c r="L16" s="323">
        <v>1132960.7889999999</v>
      </c>
      <c r="M16" s="322">
        <v>939020.4</v>
      </c>
      <c r="N16" s="322">
        <v>921342.6</v>
      </c>
      <c r="O16" s="322">
        <v>900782.4</v>
      </c>
      <c r="P16" s="34">
        <f t="shared" si="1"/>
        <v>11932623.139</v>
      </c>
      <c r="Q16" s="144">
        <f t="shared" si="2"/>
        <v>6000000</v>
      </c>
      <c r="R16" s="144">
        <f>R$2*12-SUM($Q16:Q16)-SUMPRODUCT(--($D16:$O16&lt;=R$2),R$2-$D16:$O16)</f>
        <v>5932623.1389999911</v>
      </c>
      <c r="S16" s="144">
        <f>S$2*12-SUM($Q16:R16)-SUMPRODUCT(--($D16:$O16&lt;=S$2),S$2-$D16:$O16)</f>
        <v>0</v>
      </c>
    </row>
    <row r="17" spans="1:37">
      <c r="A17">
        <v>14</v>
      </c>
      <c r="B17" s="517" t="s">
        <v>840</v>
      </c>
      <c r="C17" s="518" t="s">
        <v>841</v>
      </c>
      <c r="D17" s="323">
        <v>1626755.2</v>
      </c>
      <c r="E17" s="323">
        <v>1699199.6</v>
      </c>
      <c r="F17" s="323">
        <v>1200827.6000000001</v>
      </c>
      <c r="G17" s="323">
        <v>1775426.8</v>
      </c>
      <c r="H17" s="323">
        <v>1950790.7990000001</v>
      </c>
      <c r="I17" s="323">
        <v>1894396</v>
      </c>
      <c r="J17" s="323">
        <v>2092776</v>
      </c>
      <c r="K17" s="323">
        <v>1895969.6</v>
      </c>
      <c r="L17" s="323">
        <v>2047808</v>
      </c>
      <c r="M17" s="322">
        <v>1903053.6</v>
      </c>
      <c r="N17" s="322">
        <v>1637476.4</v>
      </c>
      <c r="O17" s="322">
        <v>1426454.4</v>
      </c>
      <c r="P17" s="34">
        <f t="shared" si="1"/>
        <v>21150933.998999998</v>
      </c>
      <c r="Q17" s="144">
        <f t="shared" si="2"/>
        <v>6000000</v>
      </c>
      <c r="R17" s="144">
        <f>R$2*12-SUM($Q17:Q17)-SUMPRODUCT(--($D17:$O17&lt;=R$2),R$2-$D17:$O17)</f>
        <v>15150933.998999998</v>
      </c>
      <c r="S17" s="144">
        <f>S$2*12-SUM($Q17:R17)-SUMPRODUCT(--($D17:$O17&lt;=S$2),S$2-$D17:$O17)</f>
        <v>0</v>
      </c>
    </row>
    <row r="18" spans="1:37">
      <c r="A18">
        <v>15</v>
      </c>
      <c r="B18" s="517" t="s">
        <v>842</v>
      </c>
      <c r="C18" s="518" t="s">
        <v>843</v>
      </c>
      <c r="D18" s="323">
        <v>2231182.7999999998</v>
      </c>
      <c r="E18" s="323">
        <v>2339316</v>
      </c>
      <c r="F18" s="323">
        <v>2286905.6</v>
      </c>
      <c r="G18" s="323">
        <v>2358106.7999999998</v>
      </c>
      <c r="H18" s="323">
        <v>2419482.7990000001</v>
      </c>
      <c r="I18" s="323">
        <v>2374811.6</v>
      </c>
      <c r="J18" s="323">
        <v>2380380.7999999998</v>
      </c>
      <c r="K18" s="323">
        <v>2227458.7999999998</v>
      </c>
      <c r="L18" s="323">
        <v>2363544.4</v>
      </c>
      <c r="M18" s="322">
        <v>2247949.7600000002</v>
      </c>
      <c r="N18" s="322">
        <v>2170445.2000000002</v>
      </c>
      <c r="O18" s="322">
        <v>2109396.71</v>
      </c>
      <c r="P18" s="34">
        <f t="shared" si="1"/>
        <v>27508981.269000001</v>
      </c>
      <c r="Q18" s="144">
        <f t="shared" si="2"/>
        <v>6000000</v>
      </c>
      <c r="R18" s="144">
        <f>R$2*12-SUM($Q18:Q18)-SUMPRODUCT(--($D18:$O18&lt;=R$2),R$2-$D18:$O18)</f>
        <v>21508981.269000001</v>
      </c>
      <c r="S18" s="144">
        <f>S$2*12-SUM($Q18:R18)-SUMPRODUCT(--($D18:$O18&lt;=S$2),S$2-$D18:$O18)</f>
        <v>0</v>
      </c>
    </row>
    <row r="19" spans="1:37">
      <c r="A19">
        <v>16</v>
      </c>
      <c r="B19" s="517" t="s">
        <v>844</v>
      </c>
      <c r="C19" s="518" t="s">
        <v>845</v>
      </c>
      <c r="D19" s="323">
        <v>5078423.53</v>
      </c>
      <c r="E19" s="323">
        <v>5436065.71</v>
      </c>
      <c r="F19" s="323">
        <v>4198212.71</v>
      </c>
      <c r="G19" s="323">
        <v>3637543.8</v>
      </c>
      <c r="H19" s="323">
        <v>3420787.42</v>
      </c>
      <c r="I19" s="323">
        <v>3665818.33</v>
      </c>
      <c r="J19" s="323">
        <v>3633320.85</v>
      </c>
      <c r="K19" s="323">
        <v>3266305.98</v>
      </c>
      <c r="L19" s="323">
        <v>3756475.61</v>
      </c>
      <c r="M19" s="322">
        <v>3620754.19</v>
      </c>
      <c r="N19" s="322">
        <v>4308114.21</v>
      </c>
      <c r="O19" s="322">
        <v>4421650.9399999995</v>
      </c>
      <c r="P19" s="34">
        <f t="shared" si="1"/>
        <v>48443473.280000001</v>
      </c>
      <c r="Q19" s="144">
        <f t="shared" si="2"/>
        <v>6000000</v>
      </c>
      <c r="R19" s="144">
        <f>R$2*12-SUM($Q19:Q19)-SUMPRODUCT(--($D19:$O19&lt;=R$2),R$2-$D19:$O19)</f>
        <v>42443473.280000001</v>
      </c>
      <c r="S19" s="144">
        <f>S$2*12-SUM($Q19:R19)-SUMPRODUCT(--($D19:$O19&lt;=S$2),S$2-$D19:$O19)</f>
        <v>0</v>
      </c>
    </row>
    <row r="20" spans="1:37">
      <c r="A20">
        <v>17</v>
      </c>
      <c r="B20" s="517" t="s">
        <v>846</v>
      </c>
      <c r="C20" s="518" t="s">
        <v>847</v>
      </c>
      <c r="D20" s="323">
        <v>2812998.3</v>
      </c>
      <c r="E20" s="323">
        <v>2858826.6</v>
      </c>
      <c r="F20" s="323">
        <v>2819817</v>
      </c>
      <c r="G20" s="323">
        <v>2972930.1</v>
      </c>
      <c r="H20" s="323">
        <v>3074927.1</v>
      </c>
      <c r="I20" s="323">
        <v>3223151.4</v>
      </c>
      <c r="J20" s="323">
        <v>3242091.3</v>
      </c>
      <c r="K20" s="323">
        <v>2788590</v>
      </c>
      <c r="L20" s="323">
        <v>2834997.9070000001</v>
      </c>
      <c r="M20" s="322">
        <v>2514447.6</v>
      </c>
      <c r="N20" s="322">
        <v>2542360.7999999998</v>
      </c>
      <c r="O20" s="322">
        <v>2389409.4</v>
      </c>
      <c r="P20" s="34">
        <f t="shared" si="1"/>
        <v>34074547.507000007</v>
      </c>
      <c r="Q20" s="144">
        <f t="shared" si="2"/>
        <v>6000000</v>
      </c>
      <c r="R20" s="144">
        <f>R$2*12-SUM($Q20:Q20)-SUMPRODUCT(--($D20:$O20&lt;=R$2),R$2-$D20:$O20)</f>
        <v>28074547.506999999</v>
      </c>
      <c r="S20" s="144">
        <f>S$2*12-SUM($Q20:R20)-SUMPRODUCT(--($D20:$O20&lt;=S$2),S$2-$D20:$O20)</f>
        <v>0</v>
      </c>
    </row>
    <row r="21" spans="1:37">
      <c r="A21">
        <v>18</v>
      </c>
      <c r="B21" s="517" t="s">
        <v>848</v>
      </c>
      <c r="C21" s="518" t="s">
        <v>849</v>
      </c>
      <c r="D21" s="323">
        <v>2252556</v>
      </c>
      <c r="E21" s="323">
        <v>2340004</v>
      </c>
      <c r="F21" s="323">
        <v>2349484</v>
      </c>
      <c r="G21" s="323">
        <v>2436460</v>
      </c>
      <c r="H21" s="323">
        <v>2701436</v>
      </c>
      <c r="I21" s="323">
        <v>2832684</v>
      </c>
      <c r="J21" s="323">
        <v>2681960</v>
      </c>
      <c r="K21" s="323">
        <v>2521624</v>
      </c>
      <c r="L21" s="323">
        <v>2706560.0049999999</v>
      </c>
      <c r="M21" s="322">
        <v>2415816</v>
      </c>
      <c r="N21" s="322">
        <v>2203720</v>
      </c>
      <c r="O21" s="322">
        <v>2098284</v>
      </c>
      <c r="P21" s="34">
        <f t="shared" si="1"/>
        <v>29540588.004999999</v>
      </c>
      <c r="Q21" s="144">
        <f t="shared" si="2"/>
        <v>6000000</v>
      </c>
      <c r="R21" s="144">
        <f>R$2*12-SUM($Q21:Q21)-SUMPRODUCT(--($D21:$O21&lt;=R$2),R$2-$D21:$O21)</f>
        <v>23540588.004999995</v>
      </c>
      <c r="S21" s="144">
        <f>S$2*12-SUM($Q21:R21)-SUMPRODUCT(--($D21:$O21&lt;=S$2),S$2-$D21:$O21)</f>
        <v>0</v>
      </c>
    </row>
    <row r="22" spans="1:37">
      <c r="A22">
        <v>19</v>
      </c>
      <c r="B22" s="517" t="s">
        <v>850</v>
      </c>
      <c r="C22" s="518" t="s">
        <v>851</v>
      </c>
      <c r="D22" s="323">
        <v>3092532.8</v>
      </c>
      <c r="E22" s="323">
        <v>3419180.8</v>
      </c>
      <c r="F22" s="323">
        <v>2982862.398</v>
      </c>
      <c r="G22" s="323">
        <v>2576316.4</v>
      </c>
      <c r="H22" s="323">
        <v>1889022.8</v>
      </c>
      <c r="I22" s="323">
        <v>1824893</v>
      </c>
      <c r="J22" s="323">
        <v>1904504</v>
      </c>
      <c r="K22" s="323">
        <v>1826638.8</v>
      </c>
      <c r="L22" s="323">
        <v>1916412.4010000001</v>
      </c>
      <c r="M22" s="323">
        <v>1962220.4</v>
      </c>
      <c r="N22" s="323">
        <v>2326511.6</v>
      </c>
      <c r="O22" s="323">
        <v>2809906.4</v>
      </c>
      <c r="P22" s="34">
        <f t="shared" si="1"/>
        <v>28531001.798999999</v>
      </c>
      <c r="Q22" s="144">
        <f t="shared" si="2"/>
        <v>6000000</v>
      </c>
      <c r="R22" s="144">
        <f>R$2*12-SUM($Q22:Q22)-SUMPRODUCT(--($D22:$O22&lt;=R$2),R$2-$D22:$O22)</f>
        <v>22531001.799000002</v>
      </c>
      <c r="S22" s="144">
        <f>S$2*12-SUM($Q22:R22)-SUMPRODUCT(--($D22:$O22&lt;=S$2),S$2-$D22:$O22)</f>
        <v>0</v>
      </c>
    </row>
    <row r="23" spans="1:37">
      <c r="A23">
        <v>20</v>
      </c>
      <c r="B23" s="517" t="s">
        <v>852</v>
      </c>
      <c r="C23" s="518">
        <v>2311155858</v>
      </c>
      <c r="D23" s="323">
        <v>2618775.6</v>
      </c>
      <c r="E23" s="323">
        <v>2466228.7999999998</v>
      </c>
      <c r="F23" s="323">
        <v>2677374</v>
      </c>
      <c r="G23" s="323">
        <v>2642166.7999999998</v>
      </c>
      <c r="H23" s="323">
        <v>2901285.8</v>
      </c>
      <c r="I23" s="323">
        <v>1758761.2</v>
      </c>
      <c r="J23" s="323">
        <v>3071020.4</v>
      </c>
      <c r="K23" s="323">
        <v>2436182</v>
      </c>
      <c r="L23" s="323">
        <v>2526554.8080000002</v>
      </c>
      <c r="M23" s="322">
        <v>2511793.2000000002</v>
      </c>
      <c r="N23" s="322">
        <v>2308535.6</v>
      </c>
      <c r="O23" s="322">
        <v>2660677.6</v>
      </c>
      <c r="P23" s="227">
        <f>SUM(D23:O23)</f>
        <v>30579355.808000002</v>
      </c>
      <c r="Q23" s="144">
        <f>Q$2*12-SUMPRODUCT(--($D23:$O23&lt;=Q$2),Q$2-$D23:$O23)</f>
        <v>6000000</v>
      </c>
      <c r="R23" s="144">
        <f>R$2*12-SUM($Q23:Q23)-SUMPRODUCT(--($D23:$O23&lt;=R$2),R$2-$D23:$O23)</f>
        <v>24579355.808000006</v>
      </c>
      <c r="S23" s="144">
        <f>S$2*12-SUM($Q23:R23)-SUMPRODUCT(--($D23:$O23&lt;=S$2),S$2-$D23:$O23)</f>
        <v>0</v>
      </c>
    </row>
    <row r="24" spans="1:37">
      <c r="A24">
        <v>21</v>
      </c>
      <c r="B24" s="517" t="s">
        <v>853</v>
      </c>
      <c r="C24" s="518">
        <v>7600951015</v>
      </c>
      <c r="D24" s="323">
        <v>715818.6</v>
      </c>
      <c r="E24" s="323">
        <v>766483.2</v>
      </c>
      <c r="F24" s="323">
        <v>691366.2</v>
      </c>
      <c r="G24" s="323">
        <v>738360</v>
      </c>
      <c r="H24" s="323">
        <v>836276.7</v>
      </c>
      <c r="I24" s="323">
        <v>847761.6</v>
      </c>
      <c r="J24" s="323">
        <v>888816.6</v>
      </c>
      <c r="K24" s="323">
        <v>833366.1</v>
      </c>
      <c r="L24" s="323">
        <v>921173.402</v>
      </c>
      <c r="M24" s="322">
        <v>757948.8</v>
      </c>
      <c r="N24" s="322">
        <v>740604.9</v>
      </c>
      <c r="O24" s="322">
        <v>779654.4</v>
      </c>
      <c r="P24" s="34">
        <f>SUM(D24:O24)</f>
        <v>9517630.5019999985</v>
      </c>
      <c r="Q24" s="144">
        <f>Q$2*12-SUMPRODUCT(--($D24:$O24&lt;=Q$2),Q$2-$D24:$O24)</f>
        <v>6000000</v>
      </c>
      <c r="R24" s="144">
        <f>R$2*12-SUM($Q24:Q24)-SUMPRODUCT(--($D24:$O24&lt;=R$2),R$2-$D24:$O24)</f>
        <v>3517630.5019999966</v>
      </c>
      <c r="S24" s="144">
        <f>S$2*12-SUM($Q24:R24)-SUMPRODUCT(--($D24:$O24&lt;=S$2),S$2-$D24:$O24)</f>
        <v>0</v>
      </c>
    </row>
    <row r="25" spans="1:37" ht="13" thickBot="1">
      <c r="B25" t="s">
        <v>331</v>
      </c>
      <c r="D25" s="196">
        <f t="shared" ref="D25:O25" si="3">SUM(D4:D24)</f>
        <v>52037423.179999992</v>
      </c>
      <c r="E25" s="196">
        <f t="shared" si="3"/>
        <v>58092664.859999999</v>
      </c>
      <c r="F25" s="196">
        <f t="shared" si="3"/>
        <v>53643588.158000007</v>
      </c>
      <c r="G25" s="196">
        <f t="shared" si="3"/>
        <v>52918387.299999997</v>
      </c>
      <c r="H25" s="196">
        <f t="shared" si="3"/>
        <v>50784060.240999997</v>
      </c>
      <c r="I25" s="196">
        <f t="shared" si="3"/>
        <v>48651639.43</v>
      </c>
      <c r="J25" s="196">
        <f t="shared" si="3"/>
        <v>54655899.649999999</v>
      </c>
      <c r="K25" s="196">
        <f t="shared" si="3"/>
        <v>49753516.079999991</v>
      </c>
      <c r="L25" s="196">
        <f t="shared" si="3"/>
        <v>52769098.908</v>
      </c>
      <c r="M25" s="196">
        <f t="shared" si="3"/>
        <v>50276178.199999996</v>
      </c>
      <c r="N25" s="196">
        <f t="shared" si="3"/>
        <v>51448038.260000013</v>
      </c>
      <c r="O25" s="196">
        <f t="shared" si="3"/>
        <v>52814491.899999991</v>
      </c>
      <c r="P25" s="201">
        <f>IF(ROUND(SUM(P4:P24),0)&lt;&gt;ROUND(SUM(D25:O25),0),#VALUE!,SUM(P4:P24))</f>
        <v>627844986.16700006</v>
      </c>
      <c r="Q25" s="200">
        <f>SUM(Q4:Q24)</f>
        <v>126000000</v>
      </c>
      <c r="R25" s="200">
        <f>SUM(R4:R24)</f>
        <v>484064827.46600002</v>
      </c>
      <c r="S25" s="200">
        <f>SUM(S4:S24)</f>
        <v>17780158.700999975</v>
      </c>
    </row>
    <row r="26" spans="1:37" ht="13" thickTop="1">
      <c r="Q26" s="186"/>
      <c r="R26" s="186"/>
      <c r="S26" s="67">
        <f>SUM(Q25:S25)</f>
        <v>627844986.16700006</v>
      </c>
    </row>
    <row r="27" spans="1:37" ht="12.75" customHeight="1">
      <c r="B27" t="s">
        <v>72</v>
      </c>
      <c r="D27" s="323">
        <v>51265295.43</v>
      </c>
      <c r="E27" s="323">
        <v>52037423.18</v>
      </c>
      <c r="F27" s="323">
        <v>58092664.859999999</v>
      </c>
      <c r="G27" s="323">
        <v>53643588.158</v>
      </c>
      <c r="H27" s="323">
        <v>52918387.299999997</v>
      </c>
      <c r="I27" s="323">
        <v>50784060.240999997</v>
      </c>
      <c r="J27" s="323">
        <v>97536235.530000001</v>
      </c>
      <c r="K27" s="323">
        <v>5771303.5499999998</v>
      </c>
      <c r="L27" s="323">
        <v>49753516.079999998</v>
      </c>
      <c r="M27" s="323">
        <v>52769098.908</v>
      </c>
      <c r="N27" s="323">
        <v>50328800.840000004</v>
      </c>
      <c r="O27" s="323">
        <v>51395415.619999997</v>
      </c>
      <c r="P27" s="34">
        <f>SUM(D27:O27)</f>
        <v>626295789.69700003</v>
      </c>
      <c r="S27" s="67"/>
    </row>
    <row r="28" spans="1:37" ht="12.75" customHeight="1">
      <c r="B28" s="245" t="s">
        <v>406</v>
      </c>
      <c r="D28" s="323">
        <v>-50629514</v>
      </c>
      <c r="E28" s="323">
        <v>-52372708</v>
      </c>
      <c r="F28" s="323">
        <v>-56109089</v>
      </c>
      <c r="G28" s="323">
        <v>-55143471</v>
      </c>
      <c r="H28" s="323">
        <v>-53140833</v>
      </c>
      <c r="I28" s="323">
        <v>-51049441</v>
      </c>
      <c r="J28" s="323">
        <v>-48873135</v>
      </c>
      <c r="K28" s="323">
        <v>-33456990</v>
      </c>
      <c r="L28" s="323">
        <v>-49912722</v>
      </c>
      <c r="M28" s="323">
        <v>-53023642</v>
      </c>
      <c r="N28" s="323">
        <v>-50432893</v>
      </c>
      <c r="O28" s="323">
        <v>-51607236</v>
      </c>
      <c r="P28" s="34">
        <f t="shared" ref="P28:P33" si="4">SUM(D28:O28)</f>
        <v>-605751674</v>
      </c>
    </row>
    <row r="29" spans="1:37" ht="12.75" customHeight="1">
      <c r="B29" s="245" t="s">
        <v>407</v>
      </c>
      <c r="D29" s="323">
        <v>52372708</v>
      </c>
      <c r="E29" s="323">
        <v>56109089</v>
      </c>
      <c r="F29" s="323">
        <v>55143471</v>
      </c>
      <c r="G29" s="323">
        <v>53140833</v>
      </c>
      <c r="H29" s="323">
        <v>51049441</v>
      </c>
      <c r="I29" s="323">
        <v>48873135</v>
      </c>
      <c r="J29" s="323">
        <v>33456990</v>
      </c>
      <c r="K29" s="323">
        <v>49912722</v>
      </c>
      <c r="L29" s="323">
        <v>53023642</v>
      </c>
      <c r="M29" s="323">
        <v>50432893</v>
      </c>
      <c r="N29" s="323">
        <v>51607236</v>
      </c>
      <c r="O29" s="323">
        <v>52910605</v>
      </c>
      <c r="P29" s="34">
        <f t="shared" si="4"/>
        <v>608032765</v>
      </c>
    </row>
    <row r="30" spans="1:37" ht="12.75" customHeight="1">
      <c r="B30" s="245" t="s">
        <v>408</v>
      </c>
      <c r="D30" s="323">
        <f t="shared" ref="D30:O30" si="5">D25-D27-D28-D29-D31-D32-D33</f>
        <v>-335284.82000000775</v>
      </c>
      <c r="E30" s="323">
        <f t="shared" si="5"/>
        <v>1983575.8599999994</v>
      </c>
      <c r="F30" s="323">
        <f t="shared" si="5"/>
        <v>-1499882.8419999927</v>
      </c>
      <c r="G30" s="323">
        <f t="shared" si="5"/>
        <v>-222445.70000000298</v>
      </c>
      <c r="H30" s="323">
        <f t="shared" si="5"/>
        <v>-265380.75900000334</v>
      </c>
      <c r="I30" s="323">
        <f t="shared" si="5"/>
        <v>-221495.5700000003</v>
      </c>
      <c r="J30" s="323">
        <f t="shared" si="5"/>
        <v>21198909.649999999</v>
      </c>
      <c r="K30" s="323">
        <f t="shared" si="5"/>
        <v>-159205.91999999806</v>
      </c>
      <c r="L30" s="323">
        <f t="shared" si="5"/>
        <v>-254543.09200000018</v>
      </c>
      <c r="M30" s="323">
        <f t="shared" si="5"/>
        <v>-156714.80000000447</v>
      </c>
      <c r="N30" s="323">
        <f t="shared" si="5"/>
        <v>-159197.73999998719</v>
      </c>
      <c r="O30" s="323">
        <f t="shared" si="5"/>
        <v>-96113.100000008941</v>
      </c>
      <c r="P30" s="34">
        <f>SUM(D30:O30)</f>
        <v>19812221.166999992</v>
      </c>
    </row>
    <row r="31" spans="1:37" ht="12.75" customHeight="1">
      <c r="B31" s="245" t="s">
        <v>409</v>
      </c>
      <c r="D31" s="323">
        <f t="shared" ref="D31:O31" si="6">-(D27+D28)</f>
        <v>-635781.4299999997</v>
      </c>
      <c r="E31" s="323">
        <f t="shared" si="6"/>
        <v>335284.8200000003</v>
      </c>
      <c r="F31" s="323">
        <f t="shared" si="6"/>
        <v>-1983575.8599999994</v>
      </c>
      <c r="G31" s="323">
        <f t="shared" si="6"/>
        <v>1499882.8420000002</v>
      </c>
      <c r="H31" s="323">
        <f t="shared" si="6"/>
        <v>222445.70000000298</v>
      </c>
      <c r="I31" s="323">
        <f t="shared" si="6"/>
        <v>265380.75900000334</v>
      </c>
      <c r="J31" s="323">
        <f t="shared" si="6"/>
        <v>-48663100.530000001</v>
      </c>
      <c r="K31" s="323">
        <f t="shared" si="6"/>
        <v>27685686.449999999</v>
      </c>
      <c r="L31" s="323">
        <f t="shared" si="6"/>
        <v>159205.92000000179</v>
      </c>
      <c r="M31" s="323">
        <f t="shared" si="6"/>
        <v>254543.09200000018</v>
      </c>
      <c r="N31" s="323">
        <f t="shared" si="6"/>
        <v>104092.15999999642</v>
      </c>
      <c r="O31" s="323">
        <f t="shared" si="6"/>
        <v>211820.38000000268</v>
      </c>
      <c r="P31" s="34">
        <f t="shared" si="4"/>
        <v>-20544115.696999993</v>
      </c>
    </row>
    <row r="32" spans="1:37" ht="12.75" customHeight="1">
      <c r="B32" s="470" t="s">
        <v>779</v>
      </c>
      <c r="C32" s="450"/>
      <c r="D32" s="472"/>
      <c r="E32" s="472"/>
      <c r="F32" s="472"/>
      <c r="G32" s="472"/>
      <c r="H32" s="472"/>
      <c r="I32" s="472"/>
      <c r="J32" s="472"/>
      <c r="K32" s="472"/>
      <c r="L32" s="472"/>
      <c r="M32" s="472"/>
      <c r="N32" s="472"/>
      <c r="O32" s="472"/>
      <c r="P32" s="34">
        <f t="shared" si="4"/>
        <v>0</v>
      </c>
      <c r="AB32" s="40"/>
      <c r="AC32" s="40"/>
      <c r="AD32" s="40"/>
      <c r="AE32" s="40"/>
      <c r="AF32" s="40"/>
      <c r="AG32" s="40"/>
      <c r="AH32" s="40"/>
      <c r="AI32" s="40"/>
      <c r="AJ32" s="40"/>
      <c r="AK32" s="40"/>
    </row>
    <row r="33" spans="1:37" ht="12.75" customHeight="1">
      <c r="B33" s="470" t="s">
        <v>778</v>
      </c>
      <c r="C33" s="450"/>
      <c r="D33" s="471"/>
      <c r="E33" s="471"/>
      <c r="F33" s="471"/>
      <c r="G33" s="471"/>
      <c r="H33" s="471"/>
      <c r="I33" s="471"/>
      <c r="J33" s="471"/>
      <c r="K33" s="471"/>
      <c r="L33" s="471"/>
      <c r="M33" s="471"/>
      <c r="N33" s="471"/>
      <c r="O33" s="471"/>
      <c r="P33" s="34">
        <f t="shared" si="4"/>
        <v>0</v>
      </c>
      <c r="Q33" s="473"/>
      <c r="R33" s="450"/>
      <c r="S33" s="450"/>
      <c r="T33" s="450"/>
      <c r="U33" s="450"/>
      <c r="V33" s="450"/>
      <c r="AB33" s="40"/>
      <c r="AC33" s="40"/>
      <c r="AD33" s="40"/>
      <c r="AE33" s="40"/>
      <c r="AF33" s="40"/>
      <c r="AG33" s="40"/>
      <c r="AH33" s="40"/>
      <c r="AI33" s="40"/>
      <c r="AJ33" s="40"/>
      <c r="AK33" s="40"/>
    </row>
    <row r="34" spans="1:37" ht="12.75" customHeight="1" thickBot="1">
      <c r="B34" s="121" t="s">
        <v>334</v>
      </c>
      <c r="D34" s="196">
        <f>SUM(D27:D33)</f>
        <v>52037423.179999992</v>
      </c>
      <c r="E34" s="196">
        <f t="shared" ref="E34:J34" si="7">SUM(E27:E33)</f>
        <v>58092664.859999999</v>
      </c>
      <c r="F34" s="196">
        <f t="shared" si="7"/>
        <v>53643588.158000007</v>
      </c>
      <c r="G34" s="196">
        <f>SUM(G27:G33)</f>
        <v>52918387.299999997</v>
      </c>
      <c r="H34" s="196">
        <f t="shared" si="7"/>
        <v>50784060.240999997</v>
      </c>
      <c r="I34" s="196">
        <f t="shared" si="7"/>
        <v>48651639.43</v>
      </c>
      <c r="J34" s="196">
        <f t="shared" si="7"/>
        <v>54655899.650000006</v>
      </c>
      <c r="K34" s="196">
        <f>SUM(K27:K33)</f>
        <v>49753516.079999998</v>
      </c>
      <c r="L34" s="196">
        <f>SUM(L27:L33)</f>
        <v>52769098.908</v>
      </c>
      <c r="M34" s="196">
        <f>SUM(M27:M33)</f>
        <v>50276178.199999996</v>
      </c>
      <c r="N34" s="196">
        <f>SUM(N27:N33)</f>
        <v>51448038.260000013</v>
      </c>
      <c r="O34" s="196">
        <f>SUM(O27:O33)</f>
        <v>52814491.899999991</v>
      </c>
      <c r="P34" s="202">
        <f>IF(ROUND(SUM(P27:P33),0)&lt;&gt;ROUND(SUM(D34:O34),0),#VALUE!,SUM(P27:P33))</f>
        <v>627844986.16699994</v>
      </c>
    </row>
    <row r="35" spans="1:37" ht="12.75" customHeight="1" thickTop="1">
      <c r="B35" s="121"/>
      <c r="D35" s="64">
        <f>D34-D25</f>
        <v>0</v>
      </c>
      <c r="E35" s="64">
        <f t="shared" ref="E35:P35" si="8">E34-E25</f>
        <v>0</v>
      </c>
      <c r="F35" s="64">
        <f t="shared" si="8"/>
        <v>0</v>
      </c>
      <c r="G35" s="64">
        <f>G34-G25</f>
        <v>0</v>
      </c>
      <c r="H35" s="64">
        <f t="shared" si="8"/>
        <v>0</v>
      </c>
      <c r="I35" s="64">
        <f t="shared" si="8"/>
        <v>0</v>
      </c>
      <c r="J35" s="64">
        <f t="shared" si="8"/>
        <v>0</v>
      </c>
      <c r="K35" s="64">
        <f t="shared" si="8"/>
        <v>0</v>
      </c>
      <c r="L35" s="64">
        <f t="shared" si="8"/>
        <v>0</v>
      </c>
      <c r="M35" s="64">
        <f t="shared" si="8"/>
        <v>0</v>
      </c>
      <c r="N35" s="64">
        <f t="shared" si="8"/>
        <v>0</v>
      </c>
      <c r="O35" s="64">
        <f t="shared" si="8"/>
        <v>0</v>
      </c>
      <c r="P35" s="64">
        <f t="shared" si="8"/>
        <v>0</v>
      </c>
    </row>
    <row r="36" spans="1:37">
      <c r="B36" s="38"/>
      <c r="C36" s="38"/>
      <c r="D36" s="368"/>
      <c r="E36" s="368"/>
      <c r="F36" s="368"/>
      <c r="G36" s="368"/>
      <c r="H36" s="368"/>
      <c r="I36" s="368"/>
      <c r="J36" s="368"/>
      <c r="K36" s="368"/>
      <c r="L36" s="368"/>
      <c r="M36" s="368"/>
      <c r="N36" s="368"/>
      <c r="O36" s="368"/>
      <c r="P36" s="194"/>
    </row>
    <row r="37" spans="1:37" ht="13">
      <c r="A37" s="97" t="s">
        <v>765</v>
      </c>
      <c r="B37" s="407"/>
      <c r="C37" s="38"/>
      <c r="D37" s="368"/>
      <c r="E37" s="368"/>
      <c r="F37" s="368"/>
      <c r="G37" s="368"/>
      <c r="H37" s="368"/>
      <c r="I37" s="368"/>
      <c r="J37" s="368"/>
      <c r="K37" s="368"/>
      <c r="L37" s="368"/>
      <c r="M37" s="368"/>
      <c r="N37" s="368"/>
      <c r="O37" s="368"/>
      <c r="P37" s="194"/>
    </row>
    <row r="38" spans="1:37">
      <c r="A38" s="408">
        <v>1</v>
      </c>
      <c r="B38" s="369" t="s">
        <v>315</v>
      </c>
      <c r="C38" s="431" t="s">
        <v>653</v>
      </c>
      <c r="D38" s="323">
        <v>37568812</v>
      </c>
      <c r="E38" s="323">
        <v>39286006</v>
      </c>
      <c r="F38" s="323">
        <v>36341294</v>
      </c>
      <c r="G38" s="323">
        <v>37705990</v>
      </c>
      <c r="H38" s="323">
        <v>38401122</v>
      </c>
      <c r="I38" s="472">
        <v>37639530</v>
      </c>
      <c r="J38" s="323">
        <v>35055858</v>
      </c>
      <c r="K38" s="323">
        <v>36143840</v>
      </c>
      <c r="L38" s="323">
        <v>30120374</v>
      </c>
      <c r="M38" s="322">
        <v>31359532</v>
      </c>
      <c r="N38" s="322">
        <v>33105658</v>
      </c>
      <c r="O38" s="322">
        <v>37060216</v>
      </c>
      <c r="P38" s="412">
        <f>SUM(D38:O38)</f>
        <v>429788232</v>
      </c>
      <c r="Q38" s="144">
        <f t="shared" ref="Q38:Q39" si="9">Q$2*12-SUMPRODUCT(--($D38:$O38&lt;=Q$2),Q$2-$D38:$O38)</f>
        <v>6000000</v>
      </c>
      <c r="R38" s="144">
        <f>R$2*12-SUM($Q38:Q38)-SUMPRODUCT(--($D38:$O38&lt;=R$2),R$2-$D38:$O38)</f>
        <v>66000000</v>
      </c>
      <c r="S38" s="144">
        <f>S$2*12-SUM($Q38:R38)-SUMPRODUCT(--($D38:$O38&lt;=S$2),S$2-$D38:$O38)</f>
        <v>357788232</v>
      </c>
    </row>
    <row r="39" spans="1:37">
      <c r="A39" s="408"/>
      <c r="B39" s="409"/>
      <c r="C39" s="38"/>
      <c r="D39" s="411"/>
      <c r="E39" s="411"/>
      <c r="F39" s="411"/>
      <c r="G39" s="411"/>
      <c r="H39" s="411"/>
      <c r="I39" s="411"/>
      <c r="J39" s="411"/>
      <c r="K39" s="411"/>
      <c r="L39" s="411"/>
      <c r="M39" s="411"/>
      <c r="N39" s="411"/>
      <c r="O39" s="411"/>
      <c r="P39" s="412">
        <f>SUM(D39:O39)</f>
        <v>0</v>
      </c>
      <c r="Q39" s="144">
        <f t="shared" si="9"/>
        <v>0</v>
      </c>
      <c r="R39" s="144">
        <f>R$2*12-SUM($Q39:Q39)-SUMPRODUCT(--($D39:$O39&lt;=R$2),R$2-$D39:$O39)</f>
        <v>0</v>
      </c>
      <c r="S39" s="144">
        <f>S$2*12-SUM($Q39:R39)-SUMPRODUCT(--($D39:$O39&lt;=S$2),S$2-$D39:$O39)</f>
        <v>0</v>
      </c>
    </row>
    <row r="40" spans="1:37" ht="13" thickBot="1">
      <c r="A40" s="408"/>
      <c r="B40" t="s">
        <v>766</v>
      </c>
      <c r="C40" s="38"/>
      <c r="D40" s="413"/>
      <c r="E40" s="413"/>
      <c r="F40" s="413"/>
      <c r="G40" s="413"/>
      <c r="H40" s="413"/>
      <c r="I40" s="413"/>
      <c r="J40" s="413"/>
      <c r="K40" s="413"/>
      <c r="L40" s="413"/>
      <c r="M40" s="413"/>
      <c r="N40" s="413"/>
      <c r="O40" s="413"/>
      <c r="P40" s="414">
        <f>SUM(P38:P39)</f>
        <v>429788232</v>
      </c>
      <c r="Q40" s="200">
        <f>SUM(Q38:Q39)</f>
        <v>6000000</v>
      </c>
      <c r="R40" s="200">
        <f>SUM(R38:R39)</f>
        <v>66000000</v>
      </c>
      <c r="S40" s="200">
        <f>SUM(S38:S39)</f>
        <v>357788232</v>
      </c>
    </row>
    <row r="41" spans="1:37" ht="13" thickTop="1">
      <c r="B41" s="410"/>
      <c r="C41" s="38"/>
      <c r="D41" s="415"/>
      <c r="E41" s="415"/>
      <c r="F41" s="415"/>
      <c r="G41" s="415"/>
      <c r="H41" s="415"/>
      <c r="I41" s="415"/>
      <c r="J41" s="415"/>
      <c r="K41" s="415"/>
      <c r="L41" s="415"/>
      <c r="M41" s="415"/>
      <c r="N41" s="415"/>
      <c r="O41" s="415"/>
      <c r="P41" s="368">
        <f>'REVRUNS 12ME0623'!P341</f>
        <v>428997196</v>
      </c>
    </row>
    <row r="42" spans="1:37">
      <c r="B42" s="41" t="s">
        <v>72</v>
      </c>
      <c r="C42" s="38"/>
      <c r="D42" s="38"/>
      <c r="E42" s="38"/>
      <c r="F42" s="38"/>
      <c r="G42" s="38"/>
      <c r="H42" s="38"/>
      <c r="I42" s="38"/>
      <c r="J42" s="38"/>
      <c r="K42" s="38"/>
      <c r="L42" s="38"/>
      <c r="M42" s="38"/>
      <c r="N42" s="38"/>
      <c r="O42" s="39"/>
    </row>
    <row r="43" spans="1:37">
      <c r="B43" s="41"/>
      <c r="C43" s="38"/>
      <c r="D43" s="38"/>
      <c r="E43" s="38"/>
      <c r="F43" s="38"/>
      <c r="G43" s="38"/>
      <c r="H43" s="38"/>
      <c r="I43" s="38"/>
      <c r="J43" s="38"/>
      <c r="K43" s="38"/>
      <c r="L43" s="38"/>
      <c r="M43" s="38"/>
      <c r="N43" s="38"/>
      <c r="O43" s="39"/>
    </row>
    <row r="44" spans="1:37" ht="13">
      <c r="B44" s="97" t="s">
        <v>364</v>
      </c>
      <c r="D44" s="226">
        <f>D$3</f>
        <v>44773</v>
      </c>
      <c r="E44" s="226">
        <f t="shared" ref="E44:O44" si="10">E$3</f>
        <v>44804</v>
      </c>
      <c r="F44" s="226">
        <f t="shared" si="10"/>
        <v>44834</v>
      </c>
      <c r="G44" s="226">
        <f t="shared" si="10"/>
        <v>44865</v>
      </c>
      <c r="H44" s="226">
        <f t="shared" si="10"/>
        <v>44895</v>
      </c>
      <c r="I44" s="226">
        <f t="shared" si="10"/>
        <v>44926</v>
      </c>
      <c r="J44" s="226">
        <f t="shared" si="10"/>
        <v>44957</v>
      </c>
      <c r="K44" s="226">
        <f t="shared" si="10"/>
        <v>44985</v>
      </c>
      <c r="L44" s="226">
        <f t="shared" si="10"/>
        <v>45016</v>
      </c>
      <c r="M44" s="226">
        <f t="shared" si="10"/>
        <v>45046</v>
      </c>
      <c r="N44" s="226">
        <f t="shared" si="10"/>
        <v>45077</v>
      </c>
      <c r="O44" s="226">
        <f t="shared" si="10"/>
        <v>45107</v>
      </c>
      <c r="P44" s="32" t="s">
        <v>64</v>
      </c>
      <c r="Q44" s="42" t="s">
        <v>395</v>
      </c>
      <c r="R44" s="42" t="s">
        <v>396</v>
      </c>
      <c r="S44" s="42"/>
    </row>
    <row r="45" spans="1:37">
      <c r="A45">
        <v>1</v>
      </c>
      <c r="B45" s="245" t="str">
        <f t="shared" ref="B45:B65" si="11">B4</f>
        <v>Goodrich - North 2311008572</v>
      </c>
      <c r="C45" s="432"/>
      <c r="D45" s="323">
        <v>6253.4040000000005</v>
      </c>
      <c r="E45" s="322">
        <v>6044.6409999999996</v>
      </c>
      <c r="F45" s="322">
        <v>6425.9250000000002</v>
      </c>
      <c r="G45" s="323">
        <v>6171.9549999999999</v>
      </c>
      <c r="H45" s="323">
        <v>6238.6909999999998</v>
      </c>
      <c r="I45" s="323">
        <v>5378.0680000000002</v>
      </c>
      <c r="J45" s="323">
        <v>5220.0779999999995</v>
      </c>
      <c r="K45" s="323">
        <v>7368.98</v>
      </c>
      <c r="L45" s="323">
        <v>5534.4989999999998</v>
      </c>
      <c r="M45" s="323">
        <v>6006.7280000000001</v>
      </c>
      <c r="N45" s="323">
        <v>5907.7269999999999</v>
      </c>
      <c r="O45" s="323">
        <v>5832.7420000000002</v>
      </c>
      <c r="P45" s="34">
        <f t="shared" ref="P45:P65" si="12">SUM(D45:O45)</f>
        <v>72383.437999999995</v>
      </c>
      <c r="Q45" s="40">
        <f>MAX(D45:O45)</f>
        <v>7368.98</v>
      </c>
      <c r="R45" s="244">
        <f t="shared" ref="R45:R63" si="13">INDEX($D$44:$O$44,MATCH(Q45,$D45:$O45,0))</f>
        <v>44985</v>
      </c>
      <c r="S45" s="32"/>
    </row>
    <row r="46" spans="1:37">
      <c r="A46">
        <v>2</v>
      </c>
      <c r="B46" s="245" t="str">
        <f t="shared" si="11"/>
        <v>Boise Cascade Plywood</v>
      </c>
      <c r="C46" s="432"/>
      <c r="D46" s="322">
        <v>5197.5030000000006</v>
      </c>
      <c r="E46" s="322">
        <v>5197.79</v>
      </c>
      <c r="F46" s="322">
        <v>5228.7690000000002</v>
      </c>
      <c r="G46" s="323">
        <v>5131.4480000000003</v>
      </c>
      <c r="H46" s="323">
        <v>5305.3119999999999</v>
      </c>
      <c r="I46" s="323">
        <v>5269.42</v>
      </c>
      <c r="J46" s="323">
        <v>5230.3140000000003</v>
      </c>
      <c r="K46" s="323">
        <v>5286.866</v>
      </c>
      <c r="L46" s="323">
        <v>5195.1469999999999</v>
      </c>
      <c r="M46" s="323">
        <v>5317.1880000000001</v>
      </c>
      <c r="N46" s="323">
        <v>5211.6869999999999</v>
      </c>
      <c r="O46" s="323">
        <v>5191.8130000000001</v>
      </c>
      <c r="P46" s="34">
        <f t="shared" si="12"/>
        <v>62763.256999999998</v>
      </c>
      <c r="Q46" s="40">
        <f>MAX(D46:O46)</f>
        <v>5317.1880000000001</v>
      </c>
      <c r="R46" s="244">
        <f t="shared" si="13"/>
        <v>45046</v>
      </c>
      <c r="S46" s="32"/>
    </row>
    <row r="47" spans="1:37">
      <c r="A47">
        <v>3</v>
      </c>
      <c r="B47" s="245" t="str">
        <f t="shared" si="11"/>
        <v>Boise Cascade Sawmill</v>
      </c>
      <c r="C47" s="432"/>
      <c r="D47" s="322">
        <v>2450.634</v>
      </c>
      <c r="E47" s="322">
        <v>2302.0369999999998</v>
      </c>
      <c r="F47" s="322">
        <v>2386.9209999999998</v>
      </c>
      <c r="G47" s="323">
        <v>2500.6970000000001</v>
      </c>
      <c r="H47" s="323">
        <v>2671.6120000000001</v>
      </c>
      <c r="I47" s="323">
        <v>2869.8110000000001</v>
      </c>
      <c r="J47" s="323">
        <v>2840.8870000000002</v>
      </c>
      <c r="K47" s="323">
        <v>2852.924</v>
      </c>
      <c r="L47" s="323">
        <v>2795.0830000000001</v>
      </c>
      <c r="M47" s="323">
        <v>2720.5630000000001</v>
      </c>
      <c r="N47" s="323">
        <v>2504.5120000000002</v>
      </c>
      <c r="O47" s="323">
        <v>2451.6529999999998</v>
      </c>
      <c r="P47" s="34">
        <f t="shared" si="12"/>
        <v>31347.333999999999</v>
      </c>
      <c r="Q47" s="40">
        <f t="shared" ref="Q47:Q63" si="14">MAX(D47:O47)</f>
        <v>2869.8110000000001</v>
      </c>
      <c r="R47" s="244">
        <f t="shared" si="13"/>
        <v>44926</v>
      </c>
      <c r="S47" s="32"/>
    </row>
    <row r="48" spans="1:37">
      <c r="A48">
        <v>4</v>
      </c>
      <c r="B48" s="245" t="str">
        <f t="shared" si="11"/>
        <v>City of Spokane</v>
      </c>
      <c r="C48" s="432"/>
      <c r="D48" s="322">
        <v>3553.3739999999998</v>
      </c>
      <c r="E48" s="322">
        <v>3528.183</v>
      </c>
      <c r="F48" s="322">
        <v>3821.77</v>
      </c>
      <c r="G48" s="323">
        <v>3861.43</v>
      </c>
      <c r="H48" s="323">
        <v>3455.1889999999999</v>
      </c>
      <c r="I48" s="323">
        <v>3812.99</v>
      </c>
      <c r="J48" s="323">
        <v>3902.77</v>
      </c>
      <c r="K48" s="323">
        <v>3759.7910000000002</v>
      </c>
      <c r="L48" s="323">
        <v>4407.049</v>
      </c>
      <c r="M48" s="323">
        <v>4077.7249999999999</v>
      </c>
      <c r="N48" s="323">
        <v>3960.1950000000002</v>
      </c>
      <c r="O48" s="323">
        <v>3969.2469999999998</v>
      </c>
      <c r="P48" s="34">
        <f t="shared" si="12"/>
        <v>46109.713000000003</v>
      </c>
      <c r="Q48" s="40">
        <f t="shared" si="14"/>
        <v>4407.049</v>
      </c>
      <c r="R48" s="244">
        <f t="shared" si="13"/>
        <v>45016</v>
      </c>
      <c r="S48" s="32"/>
    </row>
    <row r="49" spans="1:19">
      <c r="A49">
        <v>5</v>
      </c>
      <c r="B49" s="245" t="str">
        <f t="shared" si="11"/>
        <v>Empire Health Services</v>
      </c>
      <c r="C49" s="432"/>
      <c r="D49" s="322">
        <v>3587.2539999999999</v>
      </c>
      <c r="E49" s="322">
        <v>3600.7820000000002</v>
      </c>
      <c r="F49" s="322">
        <v>3634.7020000000002</v>
      </c>
      <c r="G49" s="323">
        <v>2963.77</v>
      </c>
      <c r="H49" s="323">
        <v>2621.8029999999999</v>
      </c>
      <c r="I49" s="323">
        <v>2699.578</v>
      </c>
      <c r="J49" s="323">
        <v>2708.8620000000001</v>
      </c>
      <c r="K49" s="323">
        <v>2728.8270000000002</v>
      </c>
      <c r="L49" s="323">
        <v>2670.971</v>
      </c>
      <c r="M49" s="323">
        <v>3044.51</v>
      </c>
      <c r="N49" s="323">
        <v>3561.6210000000001</v>
      </c>
      <c r="O49" s="323">
        <v>3569.4</v>
      </c>
      <c r="P49" s="34">
        <f t="shared" si="12"/>
        <v>37392.080000000009</v>
      </c>
      <c r="Q49" s="40">
        <f t="shared" si="14"/>
        <v>3634.7020000000002</v>
      </c>
      <c r="R49" s="244">
        <f t="shared" si="13"/>
        <v>44834</v>
      </c>
      <c r="S49" s="32"/>
    </row>
    <row r="50" spans="1:19">
      <c r="A50">
        <v>6</v>
      </c>
      <c r="B50" s="245" t="str">
        <f t="shared" si="11"/>
        <v>Gonzaga University</v>
      </c>
      <c r="C50" s="432"/>
      <c r="D50" s="322">
        <v>4972.0940000000001</v>
      </c>
      <c r="E50" s="322">
        <v>6121.1669999999995</v>
      </c>
      <c r="F50" s="322">
        <v>6047.6660000000002</v>
      </c>
      <c r="G50" s="323">
        <v>5169.4070000000002</v>
      </c>
      <c r="H50" s="323">
        <v>4810.1239999999998</v>
      </c>
      <c r="I50" s="323">
        <v>4860.66</v>
      </c>
      <c r="J50" s="323">
        <v>4839.57</v>
      </c>
      <c r="K50" s="323">
        <v>5091.3289999999997</v>
      </c>
      <c r="L50" s="323">
        <v>4460.1639999999998</v>
      </c>
      <c r="M50" s="323">
        <v>4657.4920000000002</v>
      </c>
      <c r="N50" s="323">
        <v>5337.5470000000005</v>
      </c>
      <c r="O50" s="323">
        <v>4296.8459999999995</v>
      </c>
      <c r="P50" s="34">
        <f t="shared" si="12"/>
        <v>60664.065999999984</v>
      </c>
      <c r="Q50" s="40">
        <f t="shared" si="14"/>
        <v>6121.1669999999995</v>
      </c>
      <c r="R50" s="244">
        <f t="shared" si="13"/>
        <v>44804</v>
      </c>
      <c r="S50" s="32"/>
    </row>
    <row r="51" spans="1:19">
      <c r="A51">
        <v>7</v>
      </c>
      <c r="B51" s="245" t="str">
        <f t="shared" si="11"/>
        <v>Honeywell Electronics</v>
      </c>
      <c r="C51" s="432"/>
      <c r="D51" s="322">
        <v>4205.8189999999995</v>
      </c>
      <c r="E51" s="322">
        <v>4207.692</v>
      </c>
      <c r="F51" s="322">
        <v>4156.1310000000003</v>
      </c>
      <c r="G51" s="323">
        <v>3768.1469999999999</v>
      </c>
      <c r="H51" s="323">
        <v>3660.2829999999999</v>
      </c>
      <c r="I51" s="323">
        <v>3839.895</v>
      </c>
      <c r="J51" s="323">
        <v>3882.0889999999999</v>
      </c>
      <c r="K51" s="323">
        <v>3620.393</v>
      </c>
      <c r="L51" s="323">
        <v>3502.4989999999998</v>
      </c>
      <c r="M51" s="323">
        <v>3313.431</v>
      </c>
      <c r="N51" s="323">
        <v>3207.28</v>
      </c>
      <c r="O51" s="323">
        <v>3932.1889999999999</v>
      </c>
      <c r="P51" s="34">
        <f t="shared" si="12"/>
        <v>45295.847999999998</v>
      </c>
      <c r="Q51" s="40">
        <f t="shared" si="14"/>
        <v>4207.692</v>
      </c>
      <c r="R51" s="244">
        <f t="shared" si="13"/>
        <v>44804</v>
      </c>
      <c r="S51" s="32"/>
    </row>
    <row r="52" spans="1:19">
      <c r="A52">
        <v>8</v>
      </c>
      <c r="B52" s="245" t="str">
        <f t="shared" si="11"/>
        <v>Huntwood Industries</v>
      </c>
      <c r="C52" s="432"/>
      <c r="D52" s="322">
        <v>4486.1229999999996</v>
      </c>
      <c r="E52" s="322">
        <v>4544.4889999999996</v>
      </c>
      <c r="F52" s="322">
        <v>4381.8580000000002</v>
      </c>
      <c r="G52" s="323">
        <v>4234.585</v>
      </c>
      <c r="H52" s="323">
        <v>4249.4470000000001</v>
      </c>
      <c r="I52" s="323">
        <v>4176.5339999999997</v>
      </c>
      <c r="J52" s="323">
        <v>3947.4210000000003</v>
      </c>
      <c r="K52" s="323">
        <v>3952.5209999999997</v>
      </c>
      <c r="L52" s="323">
        <v>4638.7039999999997</v>
      </c>
      <c r="M52" s="323">
        <v>4015.3249999999998</v>
      </c>
      <c r="N52" s="323">
        <v>4122.4769999999999</v>
      </c>
      <c r="O52" s="323">
        <v>4179.5820000000003</v>
      </c>
      <c r="P52" s="34">
        <f t="shared" si="12"/>
        <v>50929.065999999999</v>
      </c>
      <c r="Q52" s="40">
        <f t="shared" si="14"/>
        <v>4638.7039999999997</v>
      </c>
      <c r="R52" s="244">
        <f t="shared" si="13"/>
        <v>45016</v>
      </c>
      <c r="S52" s="32"/>
    </row>
    <row r="53" spans="1:19">
      <c r="A53">
        <v>9</v>
      </c>
      <c r="B53" s="245" t="str">
        <f t="shared" si="11"/>
        <v>Simplot - Othello</v>
      </c>
      <c r="C53" s="432"/>
      <c r="D53" s="322">
        <v>8671.7799999999988</v>
      </c>
      <c r="E53" s="322">
        <v>8668.755000000001</v>
      </c>
      <c r="F53" s="322">
        <v>8603.1110000000008</v>
      </c>
      <c r="G53" s="323">
        <v>8590.6689999999999</v>
      </c>
      <c r="H53" s="323">
        <v>8560.7759999999998</v>
      </c>
      <c r="I53" s="323">
        <v>8205.0780000000013</v>
      </c>
      <c r="J53" s="323">
        <v>8209.5659999999989</v>
      </c>
      <c r="K53" s="323">
        <v>8249.76</v>
      </c>
      <c r="L53" s="323">
        <v>8267.0730000000003</v>
      </c>
      <c r="M53" s="323">
        <v>8326.5590000000011</v>
      </c>
      <c r="N53" s="323">
        <v>8663.7530000000006</v>
      </c>
      <c r="O53" s="323">
        <v>8733.134</v>
      </c>
      <c r="P53" s="34">
        <f t="shared" si="12"/>
        <v>101750.01400000001</v>
      </c>
      <c r="Q53" s="40">
        <f t="shared" si="14"/>
        <v>8733.134</v>
      </c>
      <c r="R53" s="244">
        <f t="shared" si="13"/>
        <v>45107</v>
      </c>
      <c r="S53" s="32"/>
    </row>
    <row r="54" spans="1:19">
      <c r="A54">
        <v>10</v>
      </c>
      <c r="B54" s="245" t="str">
        <f t="shared" si="11"/>
        <v>McCaine Foods Inc</v>
      </c>
      <c r="C54" s="432"/>
      <c r="D54" s="322">
        <v>14251.241</v>
      </c>
      <c r="E54" s="322">
        <v>13849.226000000001</v>
      </c>
      <c r="F54" s="322">
        <v>13731.156000000001</v>
      </c>
      <c r="G54" s="323">
        <v>13644.708000000001</v>
      </c>
      <c r="H54" s="323">
        <v>13593.383</v>
      </c>
      <c r="I54" s="323">
        <v>13635.251</v>
      </c>
      <c r="J54" s="323">
        <v>14050.071</v>
      </c>
      <c r="K54" s="323">
        <v>13910.715</v>
      </c>
      <c r="L54" s="323">
        <v>14091.816999999999</v>
      </c>
      <c r="M54" s="323">
        <v>14110.764999999999</v>
      </c>
      <c r="N54" s="323">
        <v>14569.848</v>
      </c>
      <c r="O54" s="323">
        <v>14451.04</v>
      </c>
      <c r="P54" s="34">
        <f t="shared" si="12"/>
        <v>167889.22099999999</v>
      </c>
      <c r="Q54" s="40">
        <f t="shared" si="14"/>
        <v>14569.848</v>
      </c>
      <c r="R54" s="244">
        <f t="shared" si="13"/>
        <v>45077</v>
      </c>
      <c r="S54" s="32"/>
    </row>
    <row r="55" spans="1:19">
      <c r="A55">
        <v>11</v>
      </c>
      <c r="B55" s="245" t="str">
        <f t="shared" si="11"/>
        <v>Sacred Heart Medical Center</v>
      </c>
      <c r="C55" s="432"/>
      <c r="D55" s="322">
        <v>7632.5680000000002</v>
      </c>
      <c r="E55" s="322">
        <v>7417.067</v>
      </c>
      <c r="F55" s="322">
        <v>6895.1880000000001</v>
      </c>
      <c r="G55" s="323">
        <v>6040.5030000000006</v>
      </c>
      <c r="H55" s="323">
        <v>4877.5039999999999</v>
      </c>
      <c r="I55" s="323">
        <v>4872.8119999999999</v>
      </c>
      <c r="J55" s="323">
        <v>4714.1909999999998</v>
      </c>
      <c r="K55" s="323">
        <v>4867.8109999999997</v>
      </c>
      <c r="L55" s="323">
        <v>4781.1000000000004</v>
      </c>
      <c r="M55" s="323">
        <v>5558.6869999999999</v>
      </c>
      <c r="N55" s="323">
        <v>6626.616</v>
      </c>
      <c r="O55" s="323">
        <v>6670.15</v>
      </c>
      <c r="P55" s="34">
        <f t="shared" si="12"/>
        <v>70954.197</v>
      </c>
      <c r="Q55" s="40">
        <f t="shared" si="14"/>
        <v>7632.5680000000002</v>
      </c>
      <c r="R55" s="244">
        <f t="shared" si="13"/>
        <v>44773</v>
      </c>
      <c r="S55" s="32"/>
    </row>
    <row r="56" spans="1:19">
      <c r="A56">
        <v>12</v>
      </c>
      <c r="B56" s="245" t="str">
        <f t="shared" si="11"/>
        <v>Spokane County Combined Master</v>
      </c>
      <c r="C56" s="432"/>
      <c r="D56" s="322">
        <v>2772.768</v>
      </c>
      <c r="E56" s="322">
        <v>2742.038</v>
      </c>
      <c r="F56" s="322">
        <v>2562.7959999999998</v>
      </c>
      <c r="G56" s="323">
        <v>2353.748</v>
      </c>
      <c r="H56" s="323">
        <v>1693.0129999999999</v>
      </c>
      <c r="I56" s="323">
        <v>1746.2760000000001</v>
      </c>
      <c r="J56" s="323">
        <v>1730.1110000000001</v>
      </c>
      <c r="K56" s="323">
        <v>1704.529</v>
      </c>
      <c r="L56" s="323">
        <v>1695.845</v>
      </c>
      <c r="M56" s="323">
        <v>1989.5250000000001</v>
      </c>
      <c r="N56" s="323">
        <v>2451.0889999999999</v>
      </c>
      <c r="O56" s="323">
        <v>2495.8440000000001</v>
      </c>
      <c r="P56" s="34">
        <f t="shared" si="12"/>
        <v>25937.582000000006</v>
      </c>
      <c r="Q56" s="40">
        <f t="shared" si="14"/>
        <v>2772.768</v>
      </c>
      <c r="R56" s="244">
        <f t="shared" si="13"/>
        <v>44773</v>
      </c>
      <c r="S56" s="32"/>
    </row>
    <row r="57" spans="1:19">
      <c r="A57">
        <v>13</v>
      </c>
      <c r="B57" s="245" t="str">
        <f t="shared" si="11"/>
        <v>Spokane Industries</v>
      </c>
      <c r="C57" s="432"/>
      <c r="D57" s="322">
        <v>6303.8270000000002</v>
      </c>
      <c r="E57" s="322">
        <v>6510.3240000000005</v>
      </c>
      <c r="F57" s="322">
        <v>6485.8510000000006</v>
      </c>
      <c r="G57" s="323">
        <v>6099.973</v>
      </c>
      <c r="H57" s="323">
        <v>6489.7929999999997</v>
      </c>
      <c r="I57" s="323">
        <v>6612.3510000000006</v>
      </c>
      <c r="J57" s="323">
        <v>6601.6859999999997</v>
      </c>
      <c r="K57" s="323">
        <v>6386.018</v>
      </c>
      <c r="L57" s="323">
        <v>6302.3670000000002</v>
      </c>
      <c r="M57" s="323">
        <v>6245.1379999999999</v>
      </c>
      <c r="N57" s="323">
        <v>6257.2569999999996</v>
      </c>
      <c r="O57" s="323">
        <v>6151.7790000000005</v>
      </c>
      <c r="P57" s="34">
        <f t="shared" si="12"/>
        <v>76446.364000000001</v>
      </c>
      <c r="Q57" s="40">
        <f t="shared" si="14"/>
        <v>6612.3510000000006</v>
      </c>
      <c r="R57" s="244">
        <f t="shared" si="13"/>
        <v>44926</v>
      </c>
      <c r="S57" s="32"/>
    </row>
    <row r="58" spans="1:19">
      <c r="A58">
        <v>14</v>
      </c>
      <c r="B58" s="245" t="str">
        <f t="shared" si="11"/>
        <v>Vaagen Brothers Lumber</v>
      </c>
      <c r="C58" s="432"/>
      <c r="D58" s="322">
        <v>4103.5740000000005</v>
      </c>
      <c r="E58" s="322">
        <v>3947.2649999999999</v>
      </c>
      <c r="F58" s="322">
        <v>3855.3919999999998</v>
      </c>
      <c r="G58" s="323">
        <v>4109.8510000000006</v>
      </c>
      <c r="H58" s="323">
        <v>4709.79</v>
      </c>
      <c r="I58" s="323">
        <v>4331.7870000000003</v>
      </c>
      <c r="J58" s="323">
        <v>4757.68</v>
      </c>
      <c r="K58" s="323">
        <v>4337.3980000000001</v>
      </c>
      <c r="L58" s="323">
        <v>4573.5959999999995</v>
      </c>
      <c r="M58" s="323">
        <v>4440.4290000000001</v>
      </c>
      <c r="N58" s="323">
        <v>4053.6260000000002</v>
      </c>
      <c r="O58" s="323">
        <v>3907.1030000000001</v>
      </c>
      <c r="P58" s="34">
        <f t="shared" si="12"/>
        <v>51127.491000000009</v>
      </c>
      <c r="Q58" s="40">
        <f t="shared" si="14"/>
        <v>4757.68</v>
      </c>
      <c r="R58" s="244">
        <f t="shared" si="13"/>
        <v>44957</v>
      </c>
      <c r="S58" s="32"/>
    </row>
    <row r="59" spans="1:19">
      <c r="A59">
        <v>15</v>
      </c>
      <c r="B59" s="245" t="str">
        <f t="shared" si="11"/>
        <v xml:space="preserve">WSU - MP-A South Campus Feeder </v>
      </c>
      <c r="C59" s="432"/>
      <c r="D59" s="322">
        <v>3562.7840000000001</v>
      </c>
      <c r="E59" s="322">
        <v>3939.5509999999999</v>
      </c>
      <c r="F59" s="322">
        <v>3942.9610000000002</v>
      </c>
      <c r="G59" s="323">
        <v>3858.2049999999999</v>
      </c>
      <c r="H59" s="323">
        <v>4107.6409999999996</v>
      </c>
      <c r="I59" s="323">
        <v>4022.4139999999998</v>
      </c>
      <c r="J59" s="323">
        <v>3943.49</v>
      </c>
      <c r="K59" s="323">
        <v>4005.6440000000002</v>
      </c>
      <c r="L59" s="323">
        <v>3966.18</v>
      </c>
      <c r="M59" s="323">
        <v>3987.2830000000004</v>
      </c>
      <c r="N59" s="323">
        <v>3678.8249999999998</v>
      </c>
      <c r="O59" s="323">
        <v>3451.277</v>
      </c>
      <c r="P59" s="34">
        <f t="shared" si="12"/>
        <v>46466.255000000005</v>
      </c>
      <c r="Q59" s="40">
        <f t="shared" si="14"/>
        <v>4107.6409999999996</v>
      </c>
      <c r="R59" s="244">
        <f t="shared" si="13"/>
        <v>44895</v>
      </c>
      <c r="S59" s="32"/>
    </row>
    <row r="60" spans="1:19">
      <c r="A60">
        <v>16</v>
      </c>
      <c r="B60" s="245" t="str">
        <f t="shared" si="11"/>
        <v xml:space="preserve">WSU - MP-B East Campus EA </v>
      </c>
      <c r="C60" s="432"/>
      <c r="D60" s="322">
        <v>10403.950000000001</v>
      </c>
      <c r="E60" s="322">
        <v>10312.77</v>
      </c>
      <c r="F60" s="322">
        <v>9675.76</v>
      </c>
      <c r="G60" s="323">
        <v>8129.17</v>
      </c>
      <c r="H60" s="323">
        <v>6467.42</v>
      </c>
      <c r="I60" s="323">
        <v>6365.73</v>
      </c>
      <c r="J60" s="323">
        <v>6425.32</v>
      </c>
      <c r="K60" s="323">
        <v>6451.55</v>
      </c>
      <c r="L60" s="323">
        <v>6792.0599999999995</v>
      </c>
      <c r="M60" s="323">
        <v>6999.07</v>
      </c>
      <c r="N60" s="323">
        <v>9082.1899999999987</v>
      </c>
      <c r="O60" s="323">
        <v>9934.9</v>
      </c>
      <c r="P60" s="34">
        <f t="shared" si="12"/>
        <v>97039.890000000014</v>
      </c>
      <c r="Q60" s="40">
        <f t="shared" si="14"/>
        <v>10403.950000000001</v>
      </c>
      <c r="R60" s="244">
        <f t="shared" si="13"/>
        <v>44773</v>
      </c>
      <c r="S60" s="32"/>
    </row>
    <row r="61" spans="1:19">
      <c r="A61">
        <v>17</v>
      </c>
      <c r="B61" s="245" t="str">
        <f t="shared" si="11"/>
        <v xml:space="preserve">WSU - MP-C East Campus EB </v>
      </c>
      <c r="C61" s="432"/>
      <c r="D61" s="322">
        <v>4429.5209999999997</v>
      </c>
      <c r="E61" s="322">
        <v>4937.6180000000004</v>
      </c>
      <c r="F61" s="322">
        <v>4978.6779999999999</v>
      </c>
      <c r="G61" s="323">
        <v>5327.2289999999994</v>
      </c>
      <c r="H61" s="323">
        <v>5449.6419999999998</v>
      </c>
      <c r="I61" s="323">
        <v>5453.3029999999999</v>
      </c>
      <c r="J61" s="323">
        <v>5262.6450000000004</v>
      </c>
      <c r="K61" s="323">
        <v>5034.09</v>
      </c>
      <c r="L61" s="323">
        <v>4834.3389999999999</v>
      </c>
      <c r="M61" s="323">
        <v>4344.2420000000002</v>
      </c>
      <c r="N61" s="323">
        <v>4276.9629999999997</v>
      </c>
      <c r="O61" s="323">
        <v>4423.22</v>
      </c>
      <c r="P61" s="34">
        <f t="shared" si="12"/>
        <v>58751.489999999991</v>
      </c>
      <c r="Q61" s="40">
        <f t="shared" si="14"/>
        <v>5453.3029999999999</v>
      </c>
      <c r="R61" s="244">
        <f t="shared" si="13"/>
        <v>44926</v>
      </c>
      <c r="S61" s="32"/>
    </row>
    <row r="62" spans="1:19">
      <c r="A62">
        <v>18</v>
      </c>
      <c r="B62" s="245" t="str">
        <f t="shared" si="11"/>
        <v>WSU - MP -D Casp East (no PVD)</v>
      </c>
      <c r="C62" s="432"/>
      <c r="D62" s="322">
        <v>4115.7650000000003</v>
      </c>
      <c r="E62" s="322">
        <v>4303.9849999999997</v>
      </c>
      <c r="F62" s="322">
        <v>4390.375</v>
      </c>
      <c r="G62" s="323">
        <v>4480.1139999999996</v>
      </c>
      <c r="H62" s="323">
        <v>5126.3590000000004</v>
      </c>
      <c r="I62" s="323">
        <v>6375.92</v>
      </c>
      <c r="J62" s="323">
        <v>4951.8639999999996</v>
      </c>
      <c r="K62" s="323">
        <v>4956.5150000000003</v>
      </c>
      <c r="L62" s="323">
        <v>4906.1589999999997</v>
      </c>
      <c r="M62" s="323">
        <v>4775.43</v>
      </c>
      <c r="N62" s="323">
        <v>5033.1890000000003</v>
      </c>
      <c r="O62" s="323">
        <v>4037.71</v>
      </c>
      <c r="P62" s="34">
        <f t="shared" si="12"/>
        <v>57453.385000000002</v>
      </c>
      <c r="Q62" s="40">
        <f t="shared" si="14"/>
        <v>6375.92</v>
      </c>
      <c r="R62" s="244">
        <f t="shared" si="13"/>
        <v>44926</v>
      </c>
      <c r="S62" s="32"/>
    </row>
    <row r="63" spans="1:19">
      <c r="A63">
        <v>19</v>
      </c>
      <c r="B63" s="245" t="str">
        <f t="shared" si="11"/>
        <v>WSU - MP-E Casp West (no PVD)</v>
      </c>
      <c r="C63" s="432"/>
      <c r="D63" s="322">
        <v>5893.5659999999998</v>
      </c>
      <c r="E63" s="322">
        <v>6503.223</v>
      </c>
      <c r="F63" s="322">
        <v>6129.442</v>
      </c>
      <c r="G63" s="323">
        <v>6389.1679999999997</v>
      </c>
      <c r="H63" s="323">
        <v>3859.7330000000002</v>
      </c>
      <c r="I63" s="323">
        <v>3904.6179999999999</v>
      </c>
      <c r="J63" s="323">
        <v>3940.5740000000001</v>
      </c>
      <c r="K63" s="323">
        <v>3928.415</v>
      </c>
      <c r="L63" s="323">
        <v>3746.605</v>
      </c>
      <c r="M63" s="323">
        <v>4747.2150000000001</v>
      </c>
      <c r="N63" s="323">
        <v>7247.3950000000004</v>
      </c>
      <c r="O63" s="323">
        <v>5920.1219999999994</v>
      </c>
      <c r="P63" s="34">
        <f t="shared" si="12"/>
        <v>62210.076000000001</v>
      </c>
      <c r="Q63" s="40">
        <f t="shared" si="14"/>
        <v>7247.3950000000004</v>
      </c>
      <c r="R63" s="244">
        <f t="shared" si="13"/>
        <v>45077</v>
      </c>
      <c r="S63" s="32"/>
    </row>
    <row r="64" spans="1:19">
      <c r="A64">
        <v>20</v>
      </c>
      <c r="B64" s="245" t="str">
        <f t="shared" si="11"/>
        <v>Goodrich - South 2311155858 (No PVD)</v>
      </c>
      <c r="C64" s="432"/>
      <c r="D64" s="322">
        <v>5691.2119999999995</v>
      </c>
      <c r="E64" s="322">
        <v>5527.4520000000002</v>
      </c>
      <c r="F64" s="322">
        <v>5829.7719999999999</v>
      </c>
      <c r="G64" s="323">
        <v>5293.0929999999998</v>
      </c>
      <c r="H64" s="323">
        <v>5841.799</v>
      </c>
      <c r="I64" s="323">
        <v>5861.1239999999998</v>
      </c>
      <c r="J64" s="323">
        <v>6561.5010000000002</v>
      </c>
      <c r="K64" s="323">
        <v>5609.1759999999995</v>
      </c>
      <c r="L64" s="323">
        <v>6220.0450000000001</v>
      </c>
      <c r="M64" s="323">
        <v>5413.08</v>
      </c>
      <c r="N64" s="323">
        <v>5848.4699999999993</v>
      </c>
      <c r="O64" s="323">
        <v>5970.4560000000001</v>
      </c>
      <c r="P64" s="34">
        <f t="shared" si="12"/>
        <v>69667.180000000008</v>
      </c>
      <c r="Q64" s="40">
        <f t="shared" ref="Q64:Q65" si="15">MAX(D64:O64)</f>
        <v>6561.5010000000002</v>
      </c>
      <c r="R64" s="244">
        <f t="shared" ref="R64:R65" si="16">INDEX($D$44:$O$44,MATCH(Q64,$D64:$O64,0))</f>
        <v>44957</v>
      </c>
      <c r="S64" s="32"/>
    </row>
    <row r="65" spans="1:19">
      <c r="A65">
        <v>21</v>
      </c>
      <c r="B65" s="245" t="str">
        <f t="shared" si="11"/>
        <v>Boise Cascade LLC Inland Region</v>
      </c>
      <c r="C65" s="432"/>
      <c r="D65" s="322">
        <v>3813.3589999999999</v>
      </c>
      <c r="E65" s="322">
        <v>3805.221</v>
      </c>
      <c r="F65" s="322">
        <v>3789.8249999999998</v>
      </c>
      <c r="G65" s="323">
        <v>3742.1059999999998</v>
      </c>
      <c r="H65" s="323">
        <v>4108.7290000000003</v>
      </c>
      <c r="I65" s="323">
        <v>4107.4049999999997</v>
      </c>
      <c r="J65" s="323">
        <v>4040.69</v>
      </c>
      <c r="K65" s="323">
        <v>3938.8249999999998</v>
      </c>
      <c r="L65" s="323">
        <v>4116.9709999999995</v>
      </c>
      <c r="M65" s="323">
        <v>3795.761</v>
      </c>
      <c r="N65" s="323">
        <v>3879.0770000000002</v>
      </c>
      <c r="O65" s="323">
        <v>3994.58</v>
      </c>
      <c r="P65" s="34">
        <f t="shared" si="12"/>
        <v>47132.548999999992</v>
      </c>
      <c r="Q65" s="40">
        <f t="shared" si="15"/>
        <v>4116.9709999999995</v>
      </c>
      <c r="R65" s="244">
        <f t="shared" si="16"/>
        <v>45016</v>
      </c>
      <c r="S65" s="32"/>
    </row>
    <row r="66" spans="1:19">
      <c r="B66" t="s">
        <v>331</v>
      </c>
      <c r="D66" s="36">
        <f t="shared" ref="D66:O66" si="17">SUM(D45:D65)</f>
        <v>116352.12000000001</v>
      </c>
      <c r="E66" s="36">
        <f t="shared" si="17"/>
        <v>118011.27600000001</v>
      </c>
      <c r="F66" s="36">
        <f t="shared" si="17"/>
        <v>116954.04899999998</v>
      </c>
      <c r="G66" s="36">
        <f t="shared" si="17"/>
        <v>111859.976</v>
      </c>
      <c r="H66" s="36">
        <f t="shared" si="17"/>
        <v>107898.04299999999</v>
      </c>
      <c r="I66" s="36">
        <f t="shared" si="17"/>
        <v>108401.02499999999</v>
      </c>
      <c r="J66" s="36">
        <f t="shared" si="17"/>
        <v>107761.38</v>
      </c>
      <c r="K66" s="36">
        <f t="shared" si="17"/>
        <v>108042.077</v>
      </c>
      <c r="L66" s="36">
        <f t="shared" si="17"/>
        <v>107498.27299999999</v>
      </c>
      <c r="M66" s="36">
        <f t="shared" si="17"/>
        <v>107886.14599999999</v>
      </c>
      <c r="N66" s="36">
        <f t="shared" si="17"/>
        <v>115481.34400000001</v>
      </c>
      <c r="O66" s="36">
        <f t="shared" si="17"/>
        <v>113564.78700000001</v>
      </c>
      <c r="P66" s="36">
        <f>IF(ROUND(SUM(P45:P65),0)&lt;&gt;ROUND(SUM(D66:O66),0),#VALUE!,SUM(P45:P65))</f>
        <v>1339710.4960000003</v>
      </c>
    </row>
    <row r="67" spans="1:19">
      <c r="D67" s="40"/>
      <c r="E67" s="40"/>
      <c r="F67" s="40"/>
      <c r="G67" s="40"/>
      <c r="H67" s="40"/>
      <c r="I67" s="40"/>
      <c r="J67" s="40"/>
      <c r="K67" s="40"/>
      <c r="L67" s="40"/>
      <c r="M67" s="40"/>
      <c r="N67" s="40"/>
      <c r="O67" s="40"/>
      <c r="P67" s="40"/>
    </row>
    <row r="68" spans="1:19">
      <c r="P68" s="32" t="str">
        <f>P$2</f>
        <v>12-mo Ended</v>
      </c>
    </row>
    <row r="69" spans="1:19" ht="13">
      <c r="B69" s="97" t="s">
        <v>365</v>
      </c>
      <c r="D69" s="226">
        <f>D$3</f>
        <v>44773</v>
      </c>
      <c r="E69" s="226">
        <f t="shared" ref="E69:O69" si="18">E$3</f>
        <v>44804</v>
      </c>
      <c r="F69" s="226">
        <f t="shared" si="18"/>
        <v>44834</v>
      </c>
      <c r="G69" s="226">
        <f t="shared" si="18"/>
        <v>44865</v>
      </c>
      <c r="H69" s="226">
        <f t="shared" si="18"/>
        <v>44895</v>
      </c>
      <c r="I69" s="226">
        <f t="shared" si="18"/>
        <v>44926</v>
      </c>
      <c r="J69" s="226">
        <f t="shared" si="18"/>
        <v>44957</v>
      </c>
      <c r="K69" s="226">
        <f t="shared" si="18"/>
        <v>44985</v>
      </c>
      <c r="L69" s="226">
        <f t="shared" si="18"/>
        <v>45016</v>
      </c>
      <c r="M69" s="226">
        <f t="shared" si="18"/>
        <v>45046</v>
      </c>
      <c r="N69" s="226">
        <f t="shared" si="18"/>
        <v>45077</v>
      </c>
      <c r="O69" s="226">
        <f t="shared" si="18"/>
        <v>45107</v>
      </c>
      <c r="P69" s="32" t="s">
        <v>64</v>
      </c>
    </row>
    <row r="70" spans="1:19">
      <c r="A70">
        <v>1</v>
      </c>
      <c r="B70" s="41" t="str">
        <f t="shared" ref="B70:B90" si="19">B45</f>
        <v>Goodrich - North 2311008572</v>
      </c>
      <c r="C70" s="250"/>
      <c r="D70" s="227">
        <f t="shared" ref="D70:F90" si="20">IF(D45&gt;3000,D45-3000,0)</f>
        <v>3253.4040000000005</v>
      </c>
      <c r="E70" s="227">
        <f t="shared" si="20"/>
        <v>3044.6409999999996</v>
      </c>
      <c r="F70" s="227">
        <f t="shared" si="20"/>
        <v>3425.9250000000002</v>
      </c>
      <c r="G70" s="227">
        <f t="shared" ref="G70:O70" si="21">MAX(0,G45-3000)</f>
        <v>3171.9549999999999</v>
      </c>
      <c r="H70" s="227">
        <f t="shared" si="21"/>
        <v>3238.6909999999998</v>
      </c>
      <c r="I70" s="227">
        <f t="shared" si="21"/>
        <v>2378.0680000000002</v>
      </c>
      <c r="J70" s="227">
        <f t="shared" si="21"/>
        <v>2220.0779999999995</v>
      </c>
      <c r="K70" s="227">
        <f t="shared" si="21"/>
        <v>4368.9799999999996</v>
      </c>
      <c r="L70" s="227">
        <f t="shared" si="21"/>
        <v>2534.4989999999998</v>
      </c>
      <c r="M70" s="227">
        <f t="shared" si="21"/>
        <v>3006.7280000000001</v>
      </c>
      <c r="N70" s="227">
        <f t="shared" si="21"/>
        <v>2907.7269999999999</v>
      </c>
      <c r="O70" s="227">
        <f t="shared" si="21"/>
        <v>2832.7420000000002</v>
      </c>
      <c r="P70" s="34">
        <f t="shared" ref="P70:P88" si="22">SUM(D70:O70)</f>
        <v>36383.438000000002</v>
      </c>
    </row>
    <row r="71" spans="1:19">
      <c r="A71">
        <v>2</v>
      </c>
      <c r="B71" s="41" t="str">
        <f t="shared" si="19"/>
        <v>Boise Cascade Plywood</v>
      </c>
      <c r="C71" s="250"/>
      <c r="D71" s="227">
        <f t="shared" si="20"/>
        <v>2197.5030000000006</v>
      </c>
      <c r="E71" s="227">
        <f t="shared" si="20"/>
        <v>2197.79</v>
      </c>
      <c r="F71" s="227">
        <f t="shared" si="20"/>
        <v>2228.7690000000002</v>
      </c>
      <c r="G71" s="227">
        <f t="shared" ref="G71:O71" si="23">MAX(0,G46-3000)</f>
        <v>2131.4480000000003</v>
      </c>
      <c r="H71" s="227">
        <f t="shared" si="23"/>
        <v>2305.3119999999999</v>
      </c>
      <c r="I71" s="227">
        <f t="shared" si="23"/>
        <v>2269.42</v>
      </c>
      <c r="J71" s="227">
        <f t="shared" si="23"/>
        <v>2230.3140000000003</v>
      </c>
      <c r="K71" s="227">
        <f t="shared" si="23"/>
        <v>2286.866</v>
      </c>
      <c r="L71" s="227">
        <f t="shared" si="23"/>
        <v>2195.1469999999999</v>
      </c>
      <c r="M71" s="227">
        <f t="shared" si="23"/>
        <v>2317.1880000000001</v>
      </c>
      <c r="N71" s="227">
        <f t="shared" si="23"/>
        <v>2211.6869999999999</v>
      </c>
      <c r="O71" s="227">
        <f t="shared" si="23"/>
        <v>2191.8130000000001</v>
      </c>
      <c r="P71" s="34">
        <f t="shared" si="22"/>
        <v>26763.257000000005</v>
      </c>
    </row>
    <row r="72" spans="1:19">
      <c r="A72">
        <v>3</v>
      </c>
      <c r="B72" s="41" t="str">
        <f t="shared" si="19"/>
        <v>Boise Cascade Sawmill</v>
      </c>
      <c r="C72" s="250"/>
      <c r="D72" s="227">
        <f t="shared" si="20"/>
        <v>0</v>
      </c>
      <c r="E72" s="227">
        <f t="shared" si="20"/>
        <v>0</v>
      </c>
      <c r="F72" s="227">
        <f t="shared" si="20"/>
        <v>0</v>
      </c>
      <c r="G72" s="227">
        <f t="shared" ref="G72:O72" si="24">MAX(0,G47-3000)</f>
        <v>0</v>
      </c>
      <c r="H72" s="227">
        <f t="shared" si="24"/>
        <v>0</v>
      </c>
      <c r="I72" s="227">
        <f t="shared" si="24"/>
        <v>0</v>
      </c>
      <c r="J72" s="227">
        <f t="shared" si="24"/>
        <v>0</v>
      </c>
      <c r="K72" s="227">
        <f t="shared" si="24"/>
        <v>0</v>
      </c>
      <c r="L72" s="227">
        <f t="shared" si="24"/>
        <v>0</v>
      </c>
      <c r="M72" s="227">
        <f t="shared" si="24"/>
        <v>0</v>
      </c>
      <c r="N72" s="227">
        <f t="shared" si="24"/>
        <v>0</v>
      </c>
      <c r="O72" s="227">
        <f t="shared" si="24"/>
        <v>0</v>
      </c>
      <c r="P72" s="34">
        <f t="shared" si="22"/>
        <v>0</v>
      </c>
    </row>
    <row r="73" spans="1:19">
      <c r="A73">
        <v>4</v>
      </c>
      <c r="B73" s="41" t="str">
        <f t="shared" si="19"/>
        <v>City of Spokane</v>
      </c>
      <c r="C73" s="250"/>
      <c r="D73" s="227">
        <f t="shared" si="20"/>
        <v>553.3739999999998</v>
      </c>
      <c r="E73" s="227">
        <f t="shared" si="20"/>
        <v>528.18299999999999</v>
      </c>
      <c r="F73" s="227">
        <f t="shared" si="20"/>
        <v>821.77</v>
      </c>
      <c r="G73" s="227">
        <f t="shared" ref="G73:O73" si="25">MAX(0,G48-3000)</f>
        <v>861.42999999999984</v>
      </c>
      <c r="H73" s="227">
        <f t="shared" si="25"/>
        <v>455.18899999999985</v>
      </c>
      <c r="I73" s="227">
        <f t="shared" si="25"/>
        <v>812.98999999999978</v>
      </c>
      <c r="J73" s="227">
        <f t="shared" si="25"/>
        <v>902.77</v>
      </c>
      <c r="K73" s="227">
        <f t="shared" si="25"/>
        <v>759.79100000000017</v>
      </c>
      <c r="L73" s="227">
        <f t="shared" si="25"/>
        <v>1407.049</v>
      </c>
      <c r="M73" s="227">
        <f t="shared" si="25"/>
        <v>1077.7249999999999</v>
      </c>
      <c r="N73" s="227">
        <f t="shared" si="25"/>
        <v>960.19500000000016</v>
      </c>
      <c r="O73" s="227">
        <f t="shared" si="25"/>
        <v>969.24699999999984</v>
      </c>
      <c r="P73" s="34">
        <f t="shared" si="22"/>
        <v>10109.712999999998</v>
      </c>
    </row>
    <row r="74" spans="1:19">
      <c r="A74">
        <v>5</v>
      </c>
      <c r="B74" s="41" t="str">
        <f t="shared" si="19"/>
        <v>Empire Health Services</v>
      </c>
      <c r="C74" s="250"/>
      <c r="D74" s="227">
        <f t="shared" si="20"/>
        <v>587.25399999999991</v>
      </c>
      <c r="E74" s="227">
        <f t="shared" si="20"/>
        <v>600.78200000000015</v>
      </c>
      <c r="F74" s="227">
        <f t="shared" si="20"/>
        <v>634.70200000000023</v>
      </c>
      <c r="G74" s="227">
        <f t="shared" ref="G74:O74" si="26">MAX(0,G49-3000)</f>
        <v>0</v>
      </c>
      <c r="H74" s="227">
        <f t="shared" si="26"/>
        <v>0</v>
      </c>
      <c r="I74" s="227">
        <f t="shared" si="26"/>
        <v>0</v>
      </c>
      <c r="J74" s="227">
        <f t="shared" si="26"/>
        <v>0</v>
      </c>
      <c r="K74" s="227">
        <f t="shared" si="26"/>
        <v>0</v>
      </c>
      <c r="L74" s="227">
        <f t="shared" si="26"/>
        <v>0</v>
      </c>
      <c r="M74" s="227">
        <f t="shared" si="26"/>
        <v>44.510000000000218</v>
      </c>
      <c r="N74" s="227">
        <f t="shared" si="26"/>
        <v>561.62100000000009</v>
      </c>
      <c r="O74" s="227">
        <f t="shared" si="26"/>
        <v>569.40000000000009</v>
      </c>
      <c r="P74" s="34">
        <f t="shared" si="22"/>
        <v>2998.2690000000007</v>
      </c>
    </row>
    <row r="75" spans="1:19">
      <c r="A75">
        <v>6</v>
      </c>
      <c r="B75" s="41" t="str">
        <f t="shared" si="19"/>
        <v>Gonzaga University</v>
      </c>
      <c r="C75" s="250"/>
      <c r="D75" s="227">
        <f t="shared" si="20"/>
        <v>1972.0940000000001</v>
      </c>
      <c r="E75" s="227">
        <f t="shared" si="20"/>
        <v>3121.1669999999995</v>
      </c>
      <c r="F75" s="227">
        <f t="shared" si="20"/>
        <v>3047.6660000000002</v>
      </c>
      <c r="G75" s="227">
        <f t="shared" ref="G75:O75" si="27">MAX(0,G50-3000)</f>
        <v>2169.4070000000002</v>
      </c>
      <c r="H75" s="227">
        <f t="shared" si="27"/>
        <v>1810.1239999999998</v>
      </c>
      <c r="I75" s="227">
        <f t="shared" si="27"/>
        <v>1860.6599999999999</v>
      </c>
      <c r="J75" s="227">
        <f t="shared" si="27"/>
        <v>1839.5699999999997</v>
      </c>
      <c r="K75" s="227">
        <f t="shared" si="27"/>
        <v>2091.3289999999997</v>
      </c>
      <c r="L75" s="227">
        <f t="shared" si="27"/>
        <v>1460.1639999999998</v>
      </c>
      <c r="M75" s="227">
        <f t="shared" si="27"/>
        <v>1657.4920000000002</v>
      </c>
      <c r="N75" s="227">
        <f t="shared" si="27"/>
        <v>2337.5470000000005</v>
      </c>
      <c r="O75" s="227">
        <f t="shared" si="27"/>
        <v>1296.8459999999995</v>
      </c>
      <c r="P75" s="34">
        <f t="shared" si="22"/>
        <v>24664.065999999999</v>
      </c>
    </row>
    <row r="76" spans="1:19">
      <c r="A76">
        <v>7</v>
      </c>
      <c r="B76" s="41" t="str">
        <f t="shared" si="19"/>
        <v>Honeywell Electronics</v>
      </c>
      <c r="C76" s="250"/>
      <c r="D76" s="227">
        <f t="shared" si="20"/>
        <v>1205.8189999999995</v>
      </c>
      <c r="E76" s="227">
        <f t="shared" si="20"/>
        <v>1207.692</v>
      </c>
      <c r="F76" s="227">
        <f t="shared" si="20"/>
        <v>1156.1310000000003</v>
      </c>
      <c r="G76" s="227">
        <f t="shared" ref="G76:O76" si="28">MAX(0,G51-3000)</f>
        <v>768.14699999999993</v>
      </c>
      <c r="H76" s="227">
        <f t="shared" si="28"/>
        <v>660.2829999999999</v>
      </c>
      <c r="I76" s="227">
        <f t="shared" si="28"/>
        <v>839.89499999999998</v>
      </c>
      <c r="J76" s="227">
        <f t="shared" si="28"/>
        <v>882.08899999999994</v>
      </c>
      <c r="K76" s="227">
        <f t="shared" si="28"/>
        <v>620.39300000000003</v>
      </c>
      <c r="L76" s="227">
        <f t="shared" si="28"/>
        <v>502.4989999999998</v>
      </c>
      <c r="M76" s="227">
        <f t="shared" si="28"/>
        <v>313.43100000000004</v>
      </c>
      <c r="N76" s="227">
        <f t="shared" si="28"/>
        <v>207.2800000000002</v>
      </c>
      <c r="O76" s="227">
        <f t="shared" si="28"/>
        <v>932.18899999999985</v>
      </c>
      <c r="P76" s="34">
        <f t="shared" si="22"/>
        <v>9295.8480000000018</v>
      </c>
    </row>
    <row r="77" spans="1:19">
      <c r="A77">
        <v>8</v>
      </c>
      <c r="B77" s="41" t="str">
        <f t="shared" si="19"/>
        <v>Huntwood Industries</v>
      </c>
      <c r="C77" s="250"/>
      <c r="D77" s="227">
        <f t="shared" si="20"/>
        <v>1486.1229999999996</v>
      </c>
      <c r="E77" s="227">
        <f t="shared" si="20"/>
        <v>1544.4889999999996</v>
      </c>
      <c r="F77" s="227">
        <f t="shared" si="20"/>
        <v>1381.8580000000002</v>
      </c>
      <c r="G77" s="227">
        <f t="shared" ref="G77:O77" si="29">MAX(0,G52-3000)</f>
        <v>1234.585</v>
      </c>
      <c r="H77" s="227">
        <f t="shared" si="29"/>
        <v>1249.4470000000001</v>
      </c>
      <c r="I77" s="227">
        <f t="shared" si="29"/>
        <v>1176.5339999999997</v>
      </c>
      <c r="J77" s="227">
        <f t="shared" si="29"/>
        <v>947.42100000000028</v>
      </c>
      <c r="K77" s="227">
        <f t="shared" si="29"/>
        <v>952.52099999999973</v>
      </c>
      <c r="L77" s="227">
        <f t="shared" si="29"/>
        <v>1638.7039999999997</v>
      </c>
      <c r="M77" s="227">
        <f t="shared" si="29"/>
        <v>1015.3249999999998</v>
      </c>
      <c r="N77" s="227">
        <f t="shared" si="29"/>
        <v>1122.4769999999999</v>
      </c>
      <c r="O77" s="227">
        <f t="shared" si="29"/>
        <v>1179.5820000000003</v>
      </c>
      <c r="P77" s="34">
        <f t="shared" si="22"/>
        <v>14929.065999999997</v>
      </c>
    </row>
    <row r="78" spans="1:19">
      <c r="A78">
        <v>9</v>
      </c>
      <c r="B78" s="41" t="str">
        <f t="shared" si="19"/>
        <v>Simplot - Othello</v>
      </c>
      <c r="C78" s="250"/>
      <c r="D78" s="227">
        <f t="shared" si="20"/>
        <v>5671.7799999999988</v>
      </c>
      <c r="E78" s="227">
        <f t="shared" si="20"/>
        <v>5668.755000000001</v>
      </c>
      <c r="F78" s="227">
        <f t="shared" si="20"/>
        <v>5603.1110000000008</v>
      </c>
      <c r="G78" s="227">
        <f t="shared" ref="G78:O78" si="30">MAX(0,G53-3000)</f>
        <v>5590.6689999999999</v>
      </c>
      <c r="H78" s="227">
        <f t="shared" si="30"/>
        <v>5560.7759999999998</v>
      </c>
      <c r="I78" s="227">
        <f t="shared" si="30"/>
        <v>5205.0780000000013</v>
      </c>
      <c r="J78" s="227">
        <f t="shared" si="30"/>
        <v>5209.5659999999989</v>
      </c>
      <c r="K78" s="227">
        <f t="shared" si="30"/>
        <v>5249.76</v>
      </c>
      <c r="L78" s="227">
        <f t="shared" si="30"/>
        <v>5267.0730000000003</v>
      </c>
      <c r="M78" s="227">
        <f t="shared" si="30"/>
        <v>5326.5590000000011</v>
      </c>
      <c r="N78" s="227">
        <f t="shared" si="30"/>
        <v>5663.7530000000006</v>
      </c>
      <c r="O78" s="227">
        <f t="shared" si="30"/>
        <v>5733.134</v>
      </c>
      <c r="P78" s="34">
        <f t="shared" si="22"/>
        <v>65750.01400000001</v>
      </c>
    </row>
    <row r="79" spans="1:19">
      <c r="A79">
        <v>10</v>
      </c>
      <c r="B79" s="41" t="str">
        <f t="shared" si="19"/>
        <v>McCaine Foods Inc</v>
      </c>
      <c r="C79" s="250"/>
      <c r="D79" s="227">
        <f t="shared" si="20"/>
        <v>11251.241</v>
      </c>
      <c r="E79" s="227">
        <f t="shared" si="20"/>
        <v>10849.226000000001</v>
      </c>
      <c r="F79" s="227">
        <f t="shared" si="20"/>
        <v>10731.156000000001</v>
      </c>
      <c r="G79" s="227">
        <f t="shared" ref="G79:O79" si="31">MAX(0,G54-3000)</f>
        <v>10644.708000000001</v>
      </c>
      <c r="H79" s="227">
        <f t="shared" si="31"/>
        <v>10593.383</v>
      </c>
      <c r="I79" s="227">
        <f t="shared" si="31"/>
        <v>10635.251</v>
      </c>
      <c r="J79" s="227">
        <f t="shared" si="31"/>
        <v>11050.071</v>
      </c>
      <c r="K79" s="227">
        <f t="shared" si="31"/>
        <v>10910.715</v>
      </c>
      <c r="L79" s="227">
        <f t="shared" si="31"/>
        <v>11091.816999999999</v>
      </c>
      <c r="M79" s="227">
        <f t="shared" si="31"/>
        <v>11110.764999999999</v>
      </c>
      <c r="N79" s="227">
        <f t="shared" si="31"/>
        <v>11569.848</v>
      </c>
      <c r="O79" s="227">
        <f t="shared" si="31"/>
        <v>11451.04</v>
      </c>
      <c r="P79" s="34">
        <f t="shared" si="22"/>
        <v>131889.22099999999</v>
      </c>
    </row>
    <row r="80" spans="1:19">
      <c r="A80">
        <v>11</v>
      </c>
      <c r="B80" s="41" t="str">
        <f t="shared" si="19"/>
        <v>Sacred Heart Medical Center</v>
      </c>
      <c r="C80" s="250"/>
      <c r="D80" s="227">
        <f t="shared" si="20"/>
        <v>4632.5680000000002</v>
      </c>
      <c r="E80" s="227">
        <f t="shared" si="20"/>
        <v>4417.067</v>
      </c>
      <c r="F80" s="227">
        <f t="shared" si="20"/>
        <v>3895.1880000000001</v>
      </c>
      <c r="G80" s="227">
        <f t="shared" ref="G80:O80" si="32">MAX(0,G55-3000)</f>
        <v>3040.5030000000006</v>
      </c>
      <c r="H80" s="227">
        <f t="shared" si="32"/>
        <v>1877.5039999999999</v>
      </c>
      <c r="I80" s="227">
        <f t="shared" si="32"/>
        <v>1872.8119999999999</v>
      </c>
      <c r="J80" s="227">
        <f t="shared" si="32"/>
        <v>1714.1909999999998</v>
      </c>
      <c r="K80" s="227">
        <f t="shared" si="32"/>
        <v>1867.8109999999997</v>
      </c>
      <c r="L80" s="227">
        <f t="shared" si="32"/>
        <v>1781.1000000000004</v>
      </c>
      <c r="M80" s="227">
        <f t="shared" si="32"/>
        <v>2558.6869999999999</v>
      </c>
      <c r="N80" s="227">
        <f t="shared" si="32"/>
        <v>3626.616</v>
      </c>
      <c r="O80" s="227">
        <f t="shared" si="32"/>
        <v>3670.1499999999996</v>
      </c>
      <c r="P80" s="34">
        <f t="shared" si="22"/>
        <v>34954.197</v>
      </c>
    </row>
    <row r="81" spans="1:16">
      <c r="A81">
        <v>12</v>
      </c>
      <c r="B81" s="41" t="str">
        <f t="shared" si="19"/>
        <v>Spokane County Combined Master</v>
      </c>
      <c r="C81" s="250"/>
      <c r="D81" s="227">
        <f t="shared" si="20"/>
        <v>0</v>
      </c>
      <c r="E81" s="227">
        <f t="shared" si="20"/>
        <v>0</v>
      </c>
      <c r="F81" s="227">
        <f t="shared" si="20"/>
        <v>0</v>
      </c>
      <c r="G81" s="227">
        <f t="shared" ref="G81:O81" si="33">MAX(0,G56-3000)</f>
        <v>0</v>
      </c>
      <c r="H81" s="227">
        <f t="shared" si="33"/>
        <v>0</v>
      </c>
      <c r="I81" s="227">
        <f t="shared" si="33"/>
        <v>0</v>
      </c>
      <c r="J81" s="227">
        <f t="shared" si="33"/>
        <v>0</v>
      </c>
      <c r="K81" s="227">
        <f t="shared" si="33"/>
        <v>0</v>
      </c>
      <c r="L81" s="227">
        <f t="shared" si="33"/>
        <v>0</v>
      </c>
      <c r="M81" s="227">
        <f t="shared" si="33"/>
        <v>0</v>
      </c>
      <c r="N81" s="227">
        <f t="shared" si="33"/>
        <v>0</v>
      </c>
      <c r="O81" s="227">
        <f t="shared" si="33"/>
        <v>0</v>
      </c>
      <c r="P81" s="34">
        <f t="shared" si="22"/>
        <v>0</v>
      </c>
    </row>
    <row r="82" spans="1:16">
      <c r="A82">
        <v>13</v>
      </c>
      <c r="B82" s="41" t="str">
        <f t="shared" si="19"/>
        <v>Spokane Industries</v>
      </c>
      <c r="C82" s="250"/>
      <c r="D82" s="227">
        <f t="shared" si="20"/>
        <v>3303.8270000000002</v>
      </c>
      <c r="E82" s="227">
        <f t="shared" si="20"/>
        <v>3510.3240000000005</v>
      </c>
      <c r="F82" s="227">
        <f t="shared" si="20"/>
        <v>3485.8510000000006</v>
      </c>
      <c r="G82" s="227">
        <f t="shared" ref="G82:O82" si="34">MAX(0,G57-3000)</f>
        <v>3099.973</v>
      </c>
      <c r="H82" s="227">
        <f t="shared" si="34"/>
        <v>3489.7929999999997</v>
      </c>
      <c r="I82" s="227">
        <f t="shared" si="34"/>
        <v>3612.3510000000006</v>
      </c>
      <c r="J82" s="227">
        <f t="shared" si="34"/>
        <v>3601.6859999999997</v>
      </c>
      <c r="K82" s="227">
        <f t="shared" si="34"/>
        <v>3386.018</v>
      </c>
      <c r="L82" s="227">
        <f t="shared" si="34"/>
        <v>3302.3670000000002</v>
      </c>
      <c r="M82" s="227">
        <f t="shared" si="34"/>
        <v>3245.1379999999999</v>
      </c>
      <c r="N82" s="227">
        <f t="shared" si="34"/>
        <v>3257.2569999999996</v>
      </c>
      <c r="O82" s="227">
        <f t="shared" si="34"/>
        <v>3151.7790000000005</v>
      </c>
      <c r="P82" s="34">
        <f t="shared" si="22"/>
        <v>40446.364000000001</v>
      </c>
    </row>
    <row r="83" spans="1:16">
      <c r="A83">
        <v>14</v>
      </c>
      <c r="B83" s="41" t="str">
        <f t="shared" si="19"/>
        <v>Vaagen Brothers Lumber</v>
      </c>
      <c r="C83" s="250"/>
      <c r="D83" s="227">
        <f t="shared" si="20"/>
        <v>1103.5740000000005</v>
      </c>
      <c r="E83" s="227">
        <f t="shared" si="20"/>
        <v>947.26499999999987</v>
      </c>
      <c r="F83" s="227">
        <f t="shared" si="20"/>
        <v>855.39199999999983</v>
      </c>
      <c r="G83" s="227">
        <f t="shared" ref="G83:O83" si="35">MAX(0,G58-3000)</f>
        <v>1109.8510000000006</v>
      </c>
      <c r="H83" s="227">
        <f t="shared" si="35"/>
        <v>1709.79</v>
      </c>
      <c r="I83" s="227">
        <f t="shared" si="35"/>
        <v>1331.7870000000003</v>
      </c>
      <c r="J83" s="227">
        <f t="shared" si="35"/>
        <v>1757.6800000000003</v>
      </c>
      <c r="K83" s="227">
        <f t="shared" si="35"/>
        <v>1337.3980000000001</v>
      </c>
      <c r="L83" s="227">
        <f t="shared" si="35"/>
        <v>1573.5959999999995</v>
      </c>
      <c r="M83" s="227">
        <f t="shared" si="35"/>
        <v>1440.4290000000001</v>
      </c>
      <c r="N83" s="227">
        <f t="shared" si="35"/>
        <v>1053.6260000000002</v>
      </c>
      <c r="O83" s="227">
        <f t="shared" si="35"/>
        <v>907.10300000000007</v>
      </c>
      <c r="P83" s="34">
        <f t="shared" si="22"/>
        <v>15127.491000000002</v>
      </c>
    </row>
    <row r="84" spans="1:16">
      <c r="A84">
        <v>15</v>
      </c>
      <c r="B84" s="41" t="str">
        <f t="shared" si="19"/>
        <v xml:space="preserve">WSU - MP-A South Campus Feeder </v>
      </c>
      <c r="C84" s="250"/>
      <c r="D84" s="227">
        <f t="shared" si="20"/>
        <v>562.78400000000011</v>
      </c>
      <c r="E84" s="227">
        <f t="shared" si="20"/>
        <v>939.55099999999993</v>
      </c>
      <c r="F84" s="227">
        <f t="shared" si="20"/>
        <v>942.96100000000024</v>
      </c>
      <c r="G84" s="227">
        <f t="shared" ref="G84:O84" si="36">MAX(0,G59-3000)</f>
        <v>858.20499999999993</v>
      </c>
      <c r="H84" s="227">
        <f t="shared" si="36"/>
        <v>1107.6409999999996</v>
      </c>
      <c r="I84" s="227">
        <f t="shared" si="36"/>
        <v>1022.4139999999998</v>
      </c>
      <c r="J84" s="227">
        <f t="shared" si="36"/>
        <v>943.48999999999978</v>
      </c>
      <c r="K84" s="227">
        <f t="shared" si="36"/>
        <v>1005.6440000000002</v>
      </c>
      <c r="L84" s="227">
        <f t="shared" si="36"/>
        <v>966.17999999999984</v>
      </c>
      <c r="M84" s="227">
        <f t="shared" si="36"/>
        <v>987.28300000000036</v>
      </c>
      <c r="N84" s="227">
        <f t="shared" si="36"/>
        <v>678.82499999999982</v>
      </c>
      <c r="O84" s="227">
        <f t="shared" si="36"/>
        <v>451.27700000000004</v>
      </c>
      <c r="P84" s="34">
        <f t="shared" si="22"/>
        <v>10466.254999999999</v>
      </c>
    </row>
    <row r="85" spans="1:16">
      <c r="A85">
        <v>16</v>
      </c>
      <c r="B85" s="41" t="str">
        <f t="shared" si="19"/>
        <v xml:space="preserve">WSU - MP-B East Campus EA </v>
      </c>
      <c r="C85" s="250"/>
      <c r="D85" s="227">
        <f t="shared" si="20"/>
        <v>7403.9500000000007</v>
      </c>
      <c r="E85" s="227">
        <f t="shared" si="20"/>
        <v>7312.77</v>
      </c>
      <c r="F85" s="227">
        <f t="shared" si="20"/>
        <v>6675.76</v>
      </c>
      <c r="G85" s="227">
        <f t="shared" ref="G85:O85" si="37">MAX(0,G60-3000)</f>
        <v>5129.17</v>
      </c>
      <c r="H85" s="227">
        <f t="shared" si="37"/>
        <v>3467.42</v>
      </c>
      <c r="I85" s="227">
        <f t="shared" si="37"/>
        <v>3365.7299999999996</v>
      </c>
      <c r="J85" s="227">
        <f t="shared" si="37"/>
        <v>3425.3199999999997</v>
      </c>
      <c r="K85" s="227">
        <f t="shared" si="37"/>
        <v>3451.55</v>
      </c>
      <c r="L85" s="227">
        <f t="shared" si="37"/>
        <v>3792.0599999999995</v>
      </c>
      <c r="M85" s="227">
        <f t="shared" si="37"/>
        <v>3999.0699999999997</v>
      </c>
      <c r="N85" s="227">
        <f t="shared" si="37"/>
        <v>6082.1899999999987</v>
      </c>
      <c r="O85" s="227">
        <f t="shared" si="37"/>
        <v>6934.9</v>
      </c>
      <c r="P85" s="34">
        <f t="shared" si="22"/>
        <v>61039.890000000007</v>
      </c>
    </row>
    <row r="86" spans="1:16">
      <c r="A86">
        <v>17</v>
      </c>
      <c r="B86" s="41" t="str">
        <f t="shared" si="19"/>
        <v xml:space="preserve">WSU - MP-C East Campus EB </v>
      </c>
      <c r="C86" s="250"/>
      <c r="D86" s="227">
        <f t="shared" si="20"/>
        <v>1429.5209999999997</v>
      </c>
      <c r="E86" s="227">
        <f t="shared" si="20"/>
        <v>1937.6180000000004</v>
      </c>
      <c r="F86" s="227">
        <f t="shared" si="20"/>
        <v>1978.6779999999999</v>
      </c>
      <c r="G86" s="227">
        <f t="shared" ref="G86:O86" si="38">MAX(0,G61-3000)</f>
        <v>2327.2289999999994</v>
      </c>
      <c r="H86" s="227">
        <f t="shared" si="38"/>
        <v>2449.6419999999998</v>
      </c>
      <c r="I86" s="227">
        <f t="shared" si="38"/>
        <v>2453.3029999999999</v>
      </c>
      <c r="J86" s="227">
        <f t="shared" si="38"/>
        <v>2262.6450000000004</v>
      </c>
      <c r="K86" s="227">
        <f t="shared" si="38"/>
        <v>2034.0900000000001</v>
      </c>
      <c r="L86" s="227">
        <f t="shared" si="38"/>
        <v>1834.3389999999999</v>
      </c>
      <c r="M86" s="227">
        <f t="shared" si="38"/>
        <v>1344.2420000000002</v>
      </c>
      <c r="N86" s="227">
        <f t="shared" si="38"/>
        <v>1276.9629999999997</v>
      </c>
      <c r="O86" s="227">
        <f t="shared" si="38"/>
        <v>1423.2200000000003</v>
      </c>
      <c r="P86" s="34">
        <f t="shared" si="22"/>
        <v>22751.49</v>
      </c>
    </row>
    <row r="87" spans="1:16">
      <c r="A87">
        <v>18</v>
      </c>
      <c r="B87" s="41" t="str">
        <f t="shared" si="19"/>
        <v>WSU - MP -D Casp East (no PVD)</v>
      </c>
      <c r="C87" s="250"/>
      <c r="D87" s="227">
        <f t="shared" si="20"/>
        <v>1115.7650000000003</v>
      </c>
      <c r="E87" s="227">
        <f t="shared" si="20"/>
        <v>1303.9849999999997</v>
      </c>
      <c r="F87" s="227">
        <f t="shared" si="20"/>
        <v>1390.375</v>
      </c>
      <c r="G87" s="227">
        <f t="shared" ref="G87:O87" si="39">MAX(0,G62-3000)</f>
        <v>1480.1139999999996</v>
      </c>
      <c r="H87" s="227">
        <f t="shared" si="39"/>
        <v>2126.3590000000004</v>
      </c>
      <c r="I87" s="227">
        <f t="shared" si="39"/>
        <v>3375.92</v>
      </c>
      <c r="J87" s="227">
        <f t="shared" si="39"/>
        <v>1951.8639999999996</v>
      </c>
      <c r="K87" s="227">
        <f t="shared" si="39"/>
        <v>1956.5150000000003</v>
      </c>
      <c r="L87" s="227">
        <f t="shared" si="39"/>
        <v>1906.1589999999997</v>
      </c>
      <c r="M87" s="227">
        <f t="shared" si="39"/>
        <v>1775.4300000000003</v>
      </c>
      <c r="N87" s="227">
        <f t="shared" si="39"/>
        <v>2033.1890000000003</v>
      </c>
      <c r="O87" s="227">
        <f t="shared" si="39"/>
        <v>1037.71</v>
      </c>
      <c r="P87" s="34">
        <f t="shared" si="22"/>
        <v>21453.385000000002</v>
      </c>
    </row>
    <row r="88" spans="1:16">
      <c r="A88">
        <v>19</v>
      </c>
      <c r="B88" s="41" t="str">
        <f t="shared" si="19"/>
        <v>WSU - MP-E Casp West (no PVD)</v>
      </c>
      <c r="C88" s="250"/>
      <c r="D88" s="227">
        <f t="shared" si="20"/>
        <v>2893.5659999999998</v>
      </c>
      <c r="E88" s="227">
        <f t="shared" si="20"/>
        <v>3503.223</v>
      </c>
      <c r="F88" s="227">
        <f t="shared" si="20"/>
        <v>3129.442</v>
      </c>
      <c r="G88" s="227">
        <f t="shared" ref="G88:O88" si="40">MAX(0,G63-3000)</f>
        <v>3389.1679999999997</v>
      </c>
      <c r="H88" s="227">
        <f t="shared" si="40"/>
        <v>859.73300000000017</v>
      </c>
      <c r="I88" s="227">
        <f t="shared" si="40"/>
        <v>904.61799999999994</v>
      </c>
      <c r="J88" s="227">
        <f t="shared" si="40"/>
        <v>940.57400000000007</v>
      </c>
      <c r="K88" s="227">
        <f t="shared" si="40"/>
        <v>928.41499999999996</v>
      </c>
      <c r="L88" s="227">
        <f t="shared" si="40"/>
        <v>746.60500000000002</v>
      </c>
      <c r="M88" s="227">
        <f t="shared" si="40"/>
        <v>1747.2150000000001</v>
      </c>
      <c r="N88" s="227">
        <f t="shared" si="40"/>
        <v>4247.3950000000004</v>
      </c>
      <c r="O88" s="227">
        <f t="shared" si="40"/>
        <v>2920.1219999999994</v>
      </c>
      <c r="P88" s="34">
        <f t="shared" si="22"/>
        <v>26210.076000000001</v>
      </c>
    </row>
    <row r="89" spans="1:16">
      <c r="A89">
        <v>20</v>
      </c>
      <c r="B89" s="41" t="str">
        <f t="shared" si="19"/>
        <v>Goodrich - South 2311155858 (No PVD)</v>
      </c>
      <c r="C89" s="250"/>
      <c r="D89" s="227">
        <f t="shared" si="20"/>
        <v>2691.2119999999995</v>
      </c>
      <c r="E89" s="227">
        <f t="shared" si="20"/>
        <v>2527.4520000000002</v>
      </c>
      <c r="F89" s="227">
        <f t="shared" si="20"/>
        <v>2829.7719999999999</v>
      </c>
      <c r="G89" s="227">
        <f t="shared" ref="G89:O89" si="41">MAX(0,G64-3000)</f>
        <v>2293.0929999999998</v>
      </c>
      <c r="H89" s="227">
        <f t="shared" si="41"/>
        <v>2841.799</v>
      </c>
      <c r="I89" s="227">
        <f t="shared" si="41"/>
        <v>2861.1239999999998</v>
      </c>
      <c r="J89" s="227">
        <f t="shared" si="41"/>
        <v>3561.5010000000002</v>
      </c>
      <c r="K89" s="227">
        <f t="shared" si="41"/>
        <v>2609.1759999999995</v>
      </c>
      <c r="L89" s="227">
        <f t="shared" si="41"/>
        <v>3220.0450000000001</v>
      </c>
      <c r="M89" s="227">
        <f t="shared" si="41"/>
        <v>2413.08</v>
      </c>
      <c r="N89" s="227">
        <f t="shared" si="41"/>
        <v>2848.4699999999993</v>
      </c>
      <c r="O89" s="227">
        <f t="shared" si="41"/>
        <v>2970.4560000000001</v>
      </c>
      <c r="P89" s="34">
        <f t="shared" ref="P89:P90" si="42">SUM(D89:O89)</f>
        <v>33667.18</v>
      </c>
    </row>
    <row r="90" spans="1:16">
      <c r="A90">
        <v>21</v>
      </c>
      <c r="B90" s="41" t="str">
        <f t="shared" si="19"/>
        <v>Boise Cascade LLC Inland Region</v>
      </c>
      <c r="C90" s="250"/>
      <c r="D90" s="227">
        <f t="shared" si="20"/>
        <v>813.35899999999992</v>
      </c>
      <c r="E90" s="227">
        <f t="shared" si="20"/>
        <v>805.221</v>
      </c>
      <c r="F90" s="227">
        <f t="shared" si="20"/>
        <v>789.82499999999982</v>
      </c>
      <c r="G90" s="227">
        <f t="shared" ref="G90:O90" si="43">MAX(0,G65-3000)</f>
        <v>742.10599999999977</v>
      </c>
      <c r="H90" s="227">
        <f t="shared" si="43"/>
        <v>1108.7290000000003</v>
      </c>
      <c r="I90" s="227">
        <f t="shared" si="43"/>
        <v>1107.4049999999997</v>
      </c>
      <c r="J90" s="227">
        <f t="shared" si="43"/>
        <v>1040.69</v>
      </c>
      <c r="K90" s="227">
        <f t="shared" si="43"/>
        <v>938.82499999999982</v>
      </c>
      <c r="L90" s="227">
        <f t="shared" si="43"/>
        <v>1116.9709999999995</v>
      </c>
      <c r="M90" s="227">
        <f t="shared" si="43"/>
        <v>795.76099999999997</v>
      </c>
      <c r="N90" s="227">
        <f t="shared" si="43"/>
        <v>879.07700000000023</v>
      </c>
      <c r="O90" s="227">
        <f t="shared" si="43"/>
        <v>994.57999999999993</v>
      </c>
      <c r="P90" s="34">
        <f t="shared" si="42"/>
        <v>11132.548999999997</v>
      </c>
    </row>
    <row r="91" spans="1:16">
      <c r="B91" t="s">
        <v>331</v>
      </c>
      <c r="C91" s="33"/>
      <c r="D91" s="228">
        <f t="shared" ref="D91:O91" si="44">SUM(D70:D90)</f>
        <v>54128.717999999993</v>
      </c>
      <c r="E91" s="228">
        <f t="shared" si="44"/>
        <v>55967.201000000001</v>
      </c>
      <c r="F91" s="228">
        <f t="shared" si="44"/>
        <v>55004.332000000009</v>
      </c>
      <c r="G91" s="228">
        <f t="shared" si="44"/>
        <v>50041.761000000006</v>
      </c>
      <c r="H91" s="228">
        <f t="shared" si="44"/>
        <v>46911.615000000005</v>
      </c>
      <c r="I91" s="228">
        <f t="shared" si="44"/>
        <v>47085.36</v>
      </c>
      <c r="J91" s="228">
        <f t="shared" si="44"/>
        <v>46481.520000000004</v>
      </c>
      <c r="K91" s="228">
        <f t="shared" si="44"/>
        <v>46755.797000000006</v>
      </c>
      <c r="L91" s="228">
        <f t="shared" si="44"/>
        <v>46336.373999999989</v>
      </c>
      <c r="M91" s="228">
        <f t="shared" si="44"/>
        <v>46176.058000000005</v>
      </c>
      <c r="N91" s="228">
        <f t="shared" si="44"/>
        <v>53525.743000000009</v>
      </c>
      <c r="O91" s="228">
        <f t="shared" si="44"/>
        <v>51617.290000000015</v>
      </c>
      <c r="P91" s="35">
        <f>IF(ROUND(SUM(P70:P90),0)&lt;&gt;ROUND(SUM(D91:O91),0),#VALUE!,SUM(P70:P90))</f>
        <v>600031.76899999997</v>
      </c>
    </row>
    <row r="92" spans="1:16">
      <c r="C92" s="33"/>
      <c r="D92" s="227"/>
      <c r="E92" s="227"/>
      <c r="F92" s="227"/>
      <c r="G92" s="227"/>
      <c r="H92" s="227"/>
      <c r="I92" s="227"/>
      <c r="J92" s="227"/>
      <c r="K92" s="227"/>
      <c r="L92" s="227"/>
      <c r="M92" s="34"/>
      <c r="N92" s="34"/>
      <c r="O92" s="34"/>
      <c r="P92" s="34"/>
    </row>
    <row r="93" spans="1:16" ht="13">
      <c r="A93" s="416" t="s">
        <v>767</v>
      </c>
      <c r="B93" s="408"/>
      <c r="D93" s="186"/>
      <c r="E93" s="186"/>
      <c r="F93" s="186"/>
      <c r="G93" s="186"/>
      <c r="H93" s="186"/>
      <c r="I93" s="186"/>
      <c r="J93" s="186"/>
      <c r="K93" s="186"/>
      <c r="L93" s="186"/>
      <c r="M93" s="186"/>
      <c r="N93" s="186"/>
      <c r="O93" s="186"/>
      <c r="P93" s="186"/>
    </row>
    <row r="94" spans="1:16">
      <c r="A94" s="408"/>
      <c r="B94" s="454" t="s">
        <v>768</v>
      </c>
      <c r="D94" s="322">
        <v>59114.98</v>
      </c>
      <c r="E94" s="322">
        <v>64579.57</v>
      </c>
      <c r="F94" s="322">
        <v>62205.78</v>
      </c>
      <c r="G94" s="323">
        <v>63460.71</v>
      </c>
      <c r="H94" s="323">
        <v>62142.92</v>
      </c>
      <c r="I94" s="323">
        <v>62496.81</v>
      </c>
      <c r="J94" s="323">
        <v>61974.77</v>
      </c>
      <c r="K94" s="323">
        <v>63570.66</v>
      </c>
      <c r="L94" s="323">
        <v>62951.45</v>
      </c>
      <c r="M94" s="323">
        <v>60309.31</v>
      </c>
      <c r="N94" s="323">
        <v>61089.11</v>
      </c>
      <c r="O94" s="323">
        <v>61751.77</v>
      </c>
      <c r="P94" s="412">
        <f>SUM(D94:O94)</f>
        <v>745647.84</v>
      </c>
    </row>
    <row r="95" spans="1:16">
      <c r="A95" s="408"/>
      <c r="B95" s="408" t="s">
        <v>775</v>
      </c>
      <c r="D95" s="417">
        <f t="shared" ref="D95:O95" si="45">MAX(0,D94-3000)</f>
        <v>56114.98</v>
      </c>
      <c r="E95" s="417">
        <f t="shared" si="45"/>
        <v>61579.57</v>
      </c>
      <c r="F95" s="417">
        <f t="shared" si="45"/>
        <v>59205.78</v>
      </c>
      <c r="G95" s="417">
        <f t="shared" si="45"/>
        <v>60460.71</v>
      </c>
      <c r="H95" s="417">
        <f t="shared" si="45"/>
        <v>59142.92</v>
      </c>
      <c r="I95" s="417">
        <f t="shared" si="45"/>
        <v>59496.81</v>
      </c>
      <c r="J95" s="417">
        <f t="shared" si="45"/>
        <v>58974.77</v>
      </c>
      <c r="K95" s="417">
        <f t="shared" si="45"/>
        <v>60570.66</v>
      </c>
      <c r="L95" s="417">
        <f t="shared" si="45"/>
        <v>59951.45</v>
      </c>
      <c r="M95" s="417">
        <f t="shared" si="45"/>
        <v>57309.31</v>
      </c>
      <c r="N95" s="417">
        <f t="shared" si="45"/>
        <v>58089.11</v>
      </c>
      <c r="O95" s="417">
        <f t="shared" si="45"/>
        <v>58751.77</v>
      </c>
      <c r="P95" s="417">
        <f>SUM(D95:O95)</f>
        <v>709647.84</v>
      </c>
    </row>
    <row r="96" spans="1:16">
      <c r="D96" s="229"/>
      <c r="E96" s="229"/>
      <c r="F96" s="229"/>
      <c r="G96" s="229"/>
      <c r="H96" s="229"/>
      <c r="I96" s="229"/>
      <c r="J96" s="229"/>
      <c r="K96" s="229"/>
      <c r="L96" s="229"/>
      <c r="M96" s="43"/>
      <c r="N96" s="43"/>
      <c r="O96" s="43"/>
      <c r="P96" s="43"/>
    </row>
    <row r="97" spans="1:16">
      <c r="D97" s="229"/>
      <c r="E97" s="229"/>
      <c r="F97" s="229"/>
      <c r="G97" s="229"/>
      <c r="H97" s="229"/>
      <c r="I97" s="229"/>
      <c r="J97" s="229"/>
      <c r="K97" s="229"/>
      <c r="L97" s="229"/>
      <c r="M97" s="43"/>
      <c r="N97" s="43"/>
      <c r="O97" s="43"/>
      <c r="P97" s="40"/>
    </row>
    <row r="98" spans="1:16" ht="13">
      <c r="A98" s="449" t="s">
        <v>780</v>
      </c>
      <c r="B98" s="449"/>
      <c r="C98" s="450"/>
    </row>
    <row r="99" spans="1:16">
      <c r="A99" s="450"/>
      <c r="B99" s="450" t="s">
        <v>75</v>
      </c>
      <c r="C99" s="474">
        <v>-0.2</v>
      </c>
      <c r="D99" s="230">
        <f>(D66-D62-D63-D64)*$C99</f>
        <v>-20130.315400000003</v>
      </c>
      <c r="E99" s="230">
        <f t="shared" ref="E99:O99" si="46">(E66-E62-E63-E64)*$C99</f>
        <v>-20335.323200000003</v>
      </c>
      <c r="F99" s="230">
        <f t="shared" si="46"/>
        <v>-20120.892</v>
      </c>
      <c r="G99" s="230">
        <f t="shared" si="46"/>
        <v>-19139.520199999999</v>
      </c>
      <c r="H99" s="230">
        <f t="shared" si="46"/>
        <v>-18614.0304</v>
      </c>
      <c r="I99" s="230">
        <f t="shared" si="46"/>
        <v>-18451.872599999999</v>
      </c>
      <c r="J99" s="230">
        <f t="shared" si="46"/>
        <v>-18461.488200000003</v>
      </c>
      <c r="K99" s="230">
        <f t="shared" si="46"/>
        <v>-18709.594200000003</v>
      </c>
      <c r="L99" s="230">
        <f t="shared" si="46"/>
        <v>-18525.092799999999</v>
      </c>
      <c r="M99" s="230">
        <f t="shared" si="46"/>
        <v>-18590.084199999998</v>
      </c>
      <c r="N99" s="230">
        <f t="shared" si="46"/>
        <v>-19470.458000000002</v>
      </c>
      <c r="O99" s="230">
        <f t="shared" si="46"/>
        <v>-19527.299800000001</v>
      </c>
      <c r="P99" s="46">
        <f>SUM(D99:O99)</f>
        <v>-230075.97100000002</v>
      </c>
    </row>
    <row r="100" spans="1:16">
      <c r="A100" s="450"/>
      <c r="B100" s="450" t="s">
        <v>76</v>
      </c>
      <c r="C100" s="474">
        <f>-1.52</f>
        <v>-1.52</v>
      </c>
      <c r="D100" s="230">
        <v>0</v>
      </c>
      <c r="E100" s="230">
        <v>0</v>
      </c>
      <c r="F100" s="230">
        <v>0</v>
      </c>
      <c r="G100" s="230">
        <v>0</v>
      </c>
      <c r="H100" s="230">
        <v>0</v>
      </c>
      <c r="I100" s="230">
        <v>0</v>
      </c>
      <c r="J100" s="230">
        <v>0</v>
      </c>
      <c r="K100" s="230">
        <v>0</v>
      </c>
      <c r="L100" s="230">
        <v>0</v>
      </c>
      <c r="M100" s="230">
        <v>0</v>
      </c>
      <c r="N100" s="230">
        <v>0</v>
      </c>
      <c r="O100" s="230">
        <v>0</v>
      </c>
      <c r="P100" s="46">
        <f>SUM(D100:O100)</f>
        <v>0</v>
      </c>
    </row>
    <row r="101" spans="1:16">
      <c r="A101" s="450"/>
      <c r="B101" s="450" t="s">
        <v>77</v>
      </c>
      <c r="C101" s="474">
        <v>-1.93</v>
      </c>
      <c r="D101" s="230">
        <v>0</v>
      </c>
      <c r="E101" s="230">
        <v>0</v>
      </c>
      <c r="F101" s="230">
        <v>0</v>
      </c>
      <c r="G101" s="230">
        <v>0</v>
      </c>
      <c r="H101" s="230">
        <v>0</v>
      </c>
      <c r="I101" s="230">
        <v>0</v>
      </c>
      <c r="J101" s="230">
        <v>0</v>
      </c>
      <c r="K101" s="230">
        <v>0</v>
      </c>
      <c r="L101" s="230">
        <v>0</v>
      </c>
      <c r="M101" s="230">
        <v>0</v>
      </c>
      <c r="N101" s="230">
        <v>0</v>
      </c>
      <c r="O101" s="230">
        <v>0</v>
      </c>
      <c r="P101" s="46">
        <f>SUM(D101:O101)</f>
        <v>0</v>
      </c>
    </row>
    <row r="102" spans="1:16">
      <c r="A102" s="450"/>
      <c r="B102" s="450"/>
      <c r="C102" s="450"/>
      <c r="D102" s="47">
        <f t="shared" ref="D102:P102" si="47">SUM(D99:D101)</f>
        <v>-20130.315400000003</v>
      </c>
      <c r="E102" s="47">
        <f t="shared" si="47"/>
        <v>-20335.323200000003</v>
      </c>
      <c r="F102" s="47">
        <f t="shared" si="47"/>
        <v>-20120.892</v>
      </c>
      <c r="G102" s="47">
        <f t="shared" si="47"/>
        <v>-19139.520199999999</v>
      </c>
      <c r="H102" s="47">
        <f t="shared" si="47"/>
        <v>-18614.0304</v>
      </c>
      <c r="I102" s="47">
        <f t="shared" si="47"/>
        <v>-18451.872599999999</v>
      </c>
      <c r="J102" s="47">
        <f t="shared" si="47"/>
        <v>-18461.488200000003</v>
      </c>
      <c r="K102" s="47">
        <f t="shared" si="47"/>
        <v>-18709.594200000003</v>
      </c>
      <c r="L102" s="47">
        <f t="shared" si="47"/>
        <v>-18525.092799999999</v>
      </c>
      <c r="M102" s="47">
        <f t="shared" si="47"/>
        <v>-18590.084199999998</v>
      </c>
      <c r="N102" s="47">
        <f t="shared" si="47"/>
        <v>-19470.458000000002</v>
      </c>
      <c r="O102" s="47">
        <f t="shared" si="47"/>
        <v>-19527.299800000001</v>
      </c>
      <c r="P102" s="47">
        <f t="shared" si="47"/>
        <v>-230075.97100000002</v>
      </c>
    </row>
    <row r="103" spans="1:16" ht="13">
      <c r="A103" s="449" t="s">
        <v>781</v>
      </c>
      <c r="B103" s="449"/>
      <c r="C103" s="450"/>
    </row>
    <row r="104" spans="1:16">
      <c r="A104" s="450"/>
      <c r="B104" s="450" t="s">
        <v>75</v>
      </c>
      <c r="C104" s="474">
        <v>-0.2</v>
      </c>
      <c r="D104" s="230">
        <f>(D66-D62-D63-D64)*$C104</f>
        <v>-20130.315400000003</v>
      </c>
      <c r="E104" s="230">
        <f t="shared" ref="E104:O104" si="48">(E66-E62-E63-E64)*$C104</f>
        <v>-20335.323200000003</v>
      </c>
      <c r="F104" s="230">
        <f t="shared" si="48"/>
        <v>-20120.892</v>
      </c>
      <c r="G104" s="230">
        <f t="shared" si="48"/>
        <v>-19139.520199999999</v>
      </c>
      <c r="H104" s="230">
        <f t="shared" si="48"/>
        <v>-18614.0304</v>
      </c>
      <c r="I104" s="230">
        <f t="shared" si="48"/>
        <v>-18451.872599999999</v>
      </c>
      <c r="J104" s="230">
        <f t="shared" si="48"/>
        <v>-18461.488200000003</v>
      </c>
      <c r="K104" s="230">
        <f t="shared" si="48"/>
        <v>-18709.594200000003</v>
      </c>
      <c r="L104" s="230">
        <f t="shared" si="48"/>
        <v>-18525.092799999999</v>
      </c>
      <c r="M104" s="230">
        <f t="shared" si="48"/>
        <v>-18590.084199999998</v>
      </c>
      <c r="N104" s="230">
        <f t="shared" si="48"/>
        <v>-19470.458000000002</v>
      </c>
      <c r="O104" s="230">
        <f t="shared" si="48"/>
        <v>-19527.299800000001</v>
      </c>
      <c r="P104" s="46">
        <f>SUM(D104:O104)</f>
        <v>-230075.97100000002</v>
      </c>
    </row>
    <row r="105" spans="1:16">
      <c r="A105" s="450"/>
      <c r="B105" s="450" t="s">
        <v>76</v>
      </c>
      <c r="C105" s="474">
        <v>-1.52</v>
      </c>
      <c r="D105" s="230">
        <v>0</v>
      </c>
      <c r="E105" s="230">
        <v>0</v>
      </c>
      <c r="F105" s="230">
        <v>0</v>
      </c>
      <c r="G105" s="230">
        <v>0</v>
      </c>
      <c r="H105" s="230">
        <v>0</v>
      </c>
      <c r="I105" s="230">
        <v>0</v>
      </c>
      <c r="J105" s="230">
        <v>0</v>
      </c>
      <c r="K105" s="230">
        <v>0</v>
      </c>
      <c r="L105" s="230">
        <v>0</v>
      </c>
      <c r="M105" s="230">
        <v>0</v>
      </c>
      <c r="N105" s="230">
        <v>0</v>
      </c>
      <c r="O105" s="230">
        <v>0</v>
      </c>
      <c r="P105" s="46">
        <f>SUM(D105:O105)</f>
        <v>0</v>
      </c>
    </row>
    <row r="106" spans="1:16">
      <c r="A106" s="450"/>
      <c r="B106" s="450" t="s">
        <v>77</v>
      </c>
      <c r="C106" s="474">
        <v>-1.93</v>
      </c>
      <c r="D106" s="230">
        <v>0</v>
      </c>
      <c r="E106" s="230">
        <v>0</v>
      </c>
      <c r="F106" s="230">
        <v>0</v>
      </c>
      <c r="G106" s="230">
        <v>0</v>
      </c>
      <c r="H106" s="230">
        <v>0</v>
      </c>
      <c r="I106" s="230">
        <v>0</v>
      </c>
      <c r="J106" s="230">
        <v>0</v>
      </c>
      <c r="K106" s="230">
        <v>0</v>
      </c>
      <c r="L106" s="230">
        <v>0</v>
      </c>
      <c r="M106" s="230">
        <v>0</v>
      </c>
      <c r="N106" s="230">
        <v>0</v>
      </c>
      <c r="O106" s="230">
        <v>0</v>
      </c>
      <c r="P106" s="46">
        <f>SUM(D106:O106)</f>
        <v>0</v>
      </c>
    </row>
    <row r="107" spans="1:16">
      <c r="A107" s="450"/>
      <c r="B107" s="450"/>
      <c r="C107" s="450"/>
      <c r="D107" s="47">
        <f t="shared" ref="D107:P107" si="49">SUM(D104:D106)</f>
        <v>-20130.315400000003</v>
      </c>
      <c r="E107" s="47">
        <f t="shared" si="49"/>
        <v>-20335.323200000003</v>
      </c>
      <c r="F107" s="47">
        <f t="shared" si="49"/>
        <v>-20120.892</v>
      </c>
      <c r="G107" s="47">
        <f t="shared" si="49"/>
        <v>-19139.520199999999</v>
      </c>
      <c r="H107" s="47">
        <f t="shared" si="49"/>
        <v>-18614.0304</v>
      </c>
      <c r="I107" s="47">
        <f t="shared" si="49"/>
        <v>-18451.872599999999</v>
      </c>
      <c r="J107" s="47">
        <f t="shared" si="49"/>
        <v>-18461.488200000003</v>
      </c>
      <c r="K107" s="47">
        <f t="shared" si="49"/>
        <v>-18709.594200000003</v>
      </c>
      <c r="L107" s="47">
        <f t="shared" si="49"/>
        <v>-18525.092799999999</v>
      </c>
      <c r="M107" s="47">
        <f t="shared" si="49"/>
        <v>-18590.084199999998</v>
      </c>
      <c r="N107" s="47">
        <f t="shared" si="49"/>
        <v>-19470.458000000002</v>
      </c>
      <c r="O107" s="47">
        <f t="shared" si="49"/>
        <v>-19527.299800000001</v>
      </c>
      <c r="P107" s="47">
        <f t="shared" si="49"/>
        <v>-230075.97100000002</v>
      </c>
    </row>
    <row r="108" spans="1:16">
      <c r="A108" s="450"/>
      <c r="B108" s="450"/>
      <c r="C108" s="450"/>
      <c r="D108" s="186"/>
      <c r="E108" s="186"/>
      <c r="F108" s="186"/>
      <c r="G108" s="186"/>
      <c r="H108" s="186"/>
      <c r="I108" s="186"/>
      <c r="J108" s="186"/>
      <c r="K108" s="186"/>
      <c r="L108" s="186"/>
      <c r="M108" s="186"/>
      <c r="N108" s="186"/>
      <c r="O108" s="186"/>
      <c r="P108" s="186"/>
    </row>
    <row r="109" spans="1:16" ht="13">
      <c r="A109" s="449" t="s">
        <v>782</v>
      </c>
      <c r="B109" s="449"/>
      <c r="C109" s="450"/>
    </row>
    <row r="110" spans="1:16">
      <c r="A110" s="450"/>
      <c r="B110" s="450" t="s">
        <v>75</v>
      </c>
      <c r="C110" s="474">
        <v>-0.2</v>
      </c>
      <c r="D110" s="230">
        <v>0</v>
      </c>
      <c r="E110" s="230">
        <v>0</v>
      </c>
      <c r="F110" s="230">
        <v>0</v>
      </c>
      <c r="G110" s="230">
        <v>0</v>
      </c>
      <c r="H110" s="230">
        <v>0</v>
      </c>
      <c r="I110" s="230">
        <v>0</v>
      </c>
      <c r="J110" s="230">
        <v>0</v>
      </c>
      <c r="K110" s="230">
        <v>0</v>
      </c>
      <c r="L110" s="230">
        <v>0</v>
      </c>
      <c r="M110" s="230">
        <v>0</v>
      </c>
      <c r="N110" s="230">
        <v>0</v>
      </c>
      <c r="O110" s="230">
        <v>0</v>
      </c>
      <c r="P110" s="46">
        <f>SUM(D110:O110)</f>
        <v>0</v>
      </c>
    </row>
    <row r="111" spans="1:16">
      <c r="A111" s="450"/>
      <c r="B111" s="450" t="s">
        <v>76</v>
      </c>
      <c r="C111" s="474">
        <f>-1.52</f>
        <v>-1.52</v>
      </c>
      <c r="D111" s="230">
        <f>$C111*D$121</f>
        <v>-13141.57</v>
      </c>
      <c r="E111" s="230">
        <f t="shared" ref="E111:O111" si="50">$C111*E$121</f>
        <v>-13206.69</v>
      </c>
      <c r="F111" s="230">
        <f t="shared" si="50"/>
        <v>-12251.05</v>
      </c>
      <c r="G111" s="230">
        <f t="shared" si="50"/>
        <v>-12295.45</v>
      </c>
      <c r="H111" s="230">
        <f t="shared" si="50"/>
        <v>-12006.65</v>
      </c>
      <c r="I111" s="230">
        <f t="shared" si="50"/>
        <v>-12173.21</v>
      </c>
      <c r="J111" s="230">
        <f t="shared" si="50"/>
        <v>-11137.63</v>
      </c>
      <c r="K111" s="230">
        <f t="shared" si="50"/>
        <v>-12684.78</v>
      </c>
      <c r="L111" s="230">
        <f t="shared" si="50"/>
        <v>-11734.22</v>
      </c>
      <c r="M111" s="230">
        <f t="shared" si="50"/>
        <v>-11482.86</v>
      </c>
      <c r="N111" s="230">
        <f t="shared" si="50"/>
        <v>-11496.16</v>
      </c>
      <c r="O111" s="230">
        <f t="shared" si="50"/>
        <v>-18142.142400000001</v>
      </c>
      <c r="P111" s="46">
        <f>SUM(D111:O111)</f>
        <v>-151752.4124</v>
      </c>
    </row>
    <row r="112" spans="1:16">
      <c r="A112" s="450"/>
      <c r="B112" s="450" t="s">
        <v>77</v>
      </c>
      <c r="C112" s="474">
        <v>-1.93</v>
      </c>
      <c r="D112" s="230">
        <f t="shared" ref="D112:O112" si="51">$C112*D$123</f>
        <v>-97136.61</v>
      </c>
      <c r="E112" s="230">
        <f t="shared" si="51"/>
        <v>-105717.87</v>
      </c>
      <c r="F112" s="230">
        <f t="shared" si="51"/>
        <v>-106063.9</v>
      </c>
      <c r="G112" s="230">
        <f t="shared" si="51"/>
        <v>-104867.3</v>
      </c>
      <c r="H112" s="230">
        <f t="shared" si="51"/>
        <v>-106281.97</v>
      </c>
      <c r="I112" s="230">
        <f t="shared" si="51"/>
        <v>-106549.7</v>
      </c>
      <c r="J112" s="230">
        <f t="shared" si="51"/>
        <v>-104946.82</v>
      </c>
      <c r="K112" s="230">
        <f t="shared" si="51"/>
        <v>-105742.35</v>
      </c>
      <c r="L112" s="230">
        <f t="shared" si="51"/>
        <v>-106311.66</v>
      </c>
      <c r="M112" s="230">
        <f t="shared" si="51"/>
        <v>-102223.67</v>
      </c>
      <c r="N112" s="230">
        <f t="shared" si="51"/>
        <v>-102958.86</v>
      </c>
      <c r="O112" s="230">
        <f t="shared" si="51"/>
        <v>-98104.679199999999</v>
      </c>
      <c r="P112" s="46">
        <f>SUM(D112:O112)</f>
        <v>-1246905.3891999999</v>
      </c>
    </row>
    <row r="113" spans="1:20">
      <c r="A113" s="450"/>
      <c r="B113" s="450"/>
      <c r="C113" s="450"/>
      <c r="D113" s="47">
        <f t="shared" ref="D113:P113" si="52">SUM(D110:D112)</f>
        <v>-110278.18</v>
      </c>
      <c r="E113" s="47">
        <f t="shared" si="52"/>
        <v>-118924.56</v>
      </c>
      <c r="F113" s="47">
        <f t="shared" si="52"/>
        <v>-118314.95</v>
      </c>
      <c r="G113" s="47">
        <f t="shared" si="52"/>
        <v>-117162.75</v>
      </c>
      <c r="H113" s="47">
        <f t="shared" si="52"/>
        <v>-118288.62</v>
      </c>
      <c r="I113" s="47">
        <f t="shared" si="52"/>
        <v>-118722.91</v>
      </c>
      <c r="J113" s="47">
        <f t="shared" si="52"/>
        <v>-116084.45000000001</v>
      </c>
      <c r="K113" s="47">
        <f t="shared" si="52"/>
        <v>-118427.13</v>
      </c>
      <c r="L113" s="47">
        <f t="shared" si="52"/>
        <v>-118045.88</v>
      </c>
      <c r="M113" s="47">
        <f t="shared" si="52"/>
        <v>-113706.53</v>
      </c>
      <c r="N113" s="47">
        <f t="shared" si="52"/>
        <v>-114455.02</v>
      </c>
      <c r="O113" s="47">
        <f t="shared" si="52"/>
        <v>-116246.8216</v>
      </c>
      <c r="P113" s="47">
        <f t="shared" si="52"/>
        <v>-1398657.8015999999</v>
      </c>
    </row>
    <row r="114" spans="1:20" ht="13">
      <c r="A114" s="449" t="s">
        <v>789</v>
      </c>
      <c r="B114" s="449"/>
      <c r="C114" s="450"/>
    </row>
    <row r="115" spans="1:20">
      <c r="A115" s="450"/>
      <c r="B115" s="450" t="s">
        <v>75</v>
      </c>
      <c r="C115" s="474">
        <v>-0.2</v>
      </c>
      <c r="D115" s="230">
        <v>0</v>
      </c>
      <c r="E115" s="230">
        <v>0</v>
      </c>
      <c r="F115" s="230">
        <v>0</v>
      </c>
      <c r="G115" s="230">
        <v>0</v>
      </c>
      <c r="H115" s="230">
        <v>0</v>
      </c>
      <c r="I115" s="230">
        <v>0</v>
      </c>
      <c r="J115" s="230">
        <v>0</v>
      </c>
      <c r="K115" s="230">
        <v>0</v>
      </c>
      <c r="L115" s="230">
        <v>0</v>
      </c>
      <c r="M115" s="230">
        <v>0</v>
      </c>
      <c r="N115" s="230">
        <v>0</v>
      </c>
      <c r="O115" s="230">
        <v>0</v>
      </c>
      <c r="P115" s="46">
        <f>SUM(D115:O115)</f>
        <v>0</v>
      </c>
    </row>
    <row r="116" spans="1:20">
      <c r="A116" s="450"/>
      <c r="B116" s="450" t="s">
        <v>76</v>
      </c>
      <c r="C116" s="474">
        <v>-1.52</v>
      </c>
      <c r="D116" s="230">
        <f t="shared" ref="D116:O116" si="53">$C116*D$121</f>
        <v>-13141.57</v>
      </c>
      <c r="E116" s="230">
        <f t="shared" si="53"/>
        <v>-13206.69</v>
      </c>
      <c r="F116" s="230">
        <f t="shared" si="53"/>
        <v>-12251.05</v>
      </c>
      <c r="G116" s="230">
        <f>$C116*G$121</f>
        <v>-12295.45</v>
      </c>
      <c r="H116" s="230">
        <f t="shared" si="53"/>
        <v>-12006.65</v>
      </c>
      <c r="I116" s="230">
        <f t="shared" si="53"/>
        <v>-12173.21</v>
      </c>
      <c r="J116" s="230">
        <f t="shared" si="53"/>
        <v>-11137.63</v>
      </c>
      <c r="K116" s="230">
        <f t="shared" si="53"/>
        <v>-12684.78</v>
      </c>
      <c r="L116" s="230">
        <f t="shared" si="53"/>
        <v>-11734.22</v>
      </c>
      <c r="M116" s="230">
        <f t="shared" si="53"/>
        <v>-11482.86</v>
      </c>
      <c r="N116" s="230">
        <f t="shared" si="53"/>
        <v>-11496.16</v>
      </c>
      <c r="O116" s="230">
        <f t="shared" si="53"/>
        <v>-18142.142400000001</v>
      </c>
      <c r="P116" s="46">
        <f>SUM(D116:O116)</f>
        <v>-151752.4124</v>
      </c>
    </row>
    <row r="117" spans="1:20">
      <c r="A117" s="450"/>
      <c r="B117" s="450" t="s">
        <v>77</v>
      </c>
      <c r="C117" s="474">
        <v>-1.93</v>
      </c>
      <c r="D117" s="230">
        <f t="shared" ref="D117:O117" si="54">$C117*D$123</f>
        <v>-97136.61</v>
      </c>
      <c r="E117" s="230">
        <f t="shared" si="54"/>
        <v>-105717.87</v>
      </c>
      <c r="F117" s="230">
        <f t="shared" si="54"/>
        <v>-106063.9</v>
      </c>
      <c r="G117" s="230">
        <f t="shared" si="54"/>
        <v>-104867.3</v>
      </c>
      <c r="H117" s="230">
        <f t="shared" si="54"/>
        <v>-106281.97</v>
      </c>
      <c r="I117" s="230">
        <f t="shared" si="54"/>
        <v>-106549.7</v>
      </c>
      <c r="J117" s="230">
        <f t="shared" si="54"/>
        <v>-104946.82</v>
      </c>
      <c r="K117" s="230">
        <f t="shared" si="54"/>
        <v>-105742.35</v>
      </c>
      <c r="L117" s="230">
        <f t="shared" si="54"/>
        <v>-106311.66</v>
      </c>
      <c r="M117" s="230">
        <f t="shared" si="54"/>
        <v>-102223.67</v>
      </c>
      <c r="N117" s="230">
        <f t="shared" si="54"/>
        <v>-102958.86</v>
      </c>
      <c r="O117" s="230">
        <f t="shared" si="54"/>
        <v>-98104.679199999999</v>
      </c>
      <c r="P117" s="46">
        <f>SUM(D117:O117)</f>
        <v>-1246905.3891999999</v>
      </c>
    </row>
    <row r="118" spans="1:20">
      <c r="D118" s="47">
        <f t="shared" ref="D118:P118" si="55">SUM(D115:D117)</f>
        <v>-110278.18</v>
      </c>
      <c r="E118" s="47">
        <f t="shared" si="55"/>
        <v>-118924.56</v>
      </c>
      <c r="F118" s="47">
        <f t="shared" si="55"/>
        <v>-118314.95</v>
      </c>
      <c r="G118" s="47">
        <f t="shared" si="55"/>
        <v>-117162.75</v>
      </c>
      <c r="H118" s="47">
        <f t="shared" si="55"/>
        <v>-118288.62</v>
      </c>
      <c r="I118" s="47">
        <f t="shared" si="55"/>
        <v>-118722.91</v>
      </c>
      <c r="J118" s="47">
        <f t="shared" si="55"/>
        <v>-116084.45000000001</v>
      </c>
      <c r="K118" s="47">
        <f t="shared" si="55"/>
        <v>-118427.13</v>
      </c>
      <c r="L118" s="47">
        <f t="shared" si="55"/>
        <v>-118045.88</v>
      </c>
      <c r="M118" s="47">
        <f t="shared" si="55"/>
        <v>-113706.53</v>
      </c>
      <c r="N118" s="47">
        <f t="shared" si="55"/>
        <v>-114455.02</v>
      </c>
      <c r="O118" s="47">
        <f t="shared" si="55"/>
        <v>-116246.8216</v>
      </c>
      <c r="P118" s="47">
        <f t="shared" si="55"/>
        <v>-1398657.8015999999</v>
      </c>
    </row>
    <row r="119" spans="1:20">
      <c r="D119" s="186"/>
      <c r="E119" s="186"/>
      <c r="F119" s="186"/>
      <c r="G119" s="186"/>
      <c r="H119" s="186"/>
      <c r="I119" s="186"/>
      <c r="J119" s="186"/>
      <c r="K119" s="186"/>
      <c r="L119" s="186"/>
      <c r="M119" s="186"/>
      <c r="N119" s="186"/>
      <c r="O119" s="186"/>
      <c r="P119" s="186"/>
    </row>
    <row r="120" spans="1:20" ht="13">
      <c r="A120" s="449" t="s">
        <v>776</v>
      </c>
      <c r="B120" s="449"/>
      <c r="C120" s="450"/>
      <c r="D120" s="450"/>
      <c r="E120" s="450"/>
      <c r="F120" s="450"/>
      <c r="G120" s="450"/>
      <c r="H120" s="450"/>
      <c r="I120" s="450"/>
      <c r="J120" s="450"/>
      <c r="K120" s="450"/>
      <c r="L120" s="450"/>
      <c r="M120" s="450"/>
      <c r="N120" s="450"/>
      <c r="O120" s="450"/>
      <c r="P120" s="450"/>
    </row>
    <row r="121" spans="1:20">
      <c r="A121" s="450"/>
      <c r="B121" s="450" t="s">
        <v>491</v>
      </c>
      <c r="C121" s="450"/>
      <c r="D121" s="451">
        <f>'REVRUNS 12ME0623'!E464/'REVRUNS 12ME0623'!E468</f>
        <v>8645.769736842105</v>
      </c>
      <c r="E121" s="451">
        <f>'REVRUNS 12ME0623'!F464/'REVRUNS 12ME0623'!F468</f>
        <v>8688.6118421052633</v>
      </c>
      <c r="F121" s="451">
        <f>'REVRUNS 12ME0623'!G464/'REVRUNS 12ME0623'!G468</f>
        <v>8059.9013157894733</v>
      </c>
      <c r="G121" s="451">
        <f>'REVRUNS 12ME0623'!H464/'REVRUNS 12ME0623'!H468</f>
        <v>8089.1118421052633</v>
      </c>
      <c r="H121" s="451">
        <f>'REVRUNS 12ME0623'!I464/'REVRUNS 12ME0623'!I468</f>
        <v>7899.1118421052624</v>
      </c>
      <c r="I121" s="451">
        <f>'REVRUNS 12ME0623'!J464/'REVRUNS 12ME0623'!J468</f>
        <v>8008.6907894736833</v>
      </c>
      <c r="J121" s="451">
        <f>'REVRUNS 12ME0623'!K464/'REVRUNS 12ME0623'!K468</f>
        <v>7327.3881578947367</v>
      </c>
      <c r="K121" s="451">
        <f>'REVRUNS 12ME0623'!L464/'REVRUNS 12ME0623'!L468</f>
        <v>8345.25</v>
      </c>
      <c r="L121" s="451">
        <f>'REVRUNS 12ME0623'!M464/'REVRUNS 12ME0623'!M468</f>
        <v>7719.8815789473683</v>
      </c>
      <c r="M121" s="451">
        <f>'REVRUNS 12ME0623'!N464/'REVRUNS 12ME0623'!N468</f>
        <v>7554.5131578947376</v>
      </c>
      <c r="N121" s="451">
        <f>'REVRUNS 12ME0623'!O464/'REVRUNS 12ME0623'!O468</f>
        <v>7563.2631578947367</v>
      </c>
      <c r="O121" s="451">
        <v>11935.62</v>
      </c>
      <c r="P121" s="452">
        <f>SUM(D121:O121)</f>
        <v>99837.113421052622</v>
      </c>
      <c r="T121" s="186">
        <f>24000</f>
        <v>24000</v>
      </c>
    </row>
    <row r="122" spans="1:20">
      <c r="A122" s="450"/>
      <c r="B122" s="450" t="s">
        <v>489</v>
      </c>
      <c r="C122" s="450"/>
      <c r="D122" s="453">
        <v>0</v>
      </c>
      <c r="E122" s="453">
        <v>0</v>
      </c>
      <c r="F122" s="453">
        <v>0</v>
      </c>
      <c r="G122" s="453">
        <v>0</v>
      </c>
      <c r="H122" s="453">
        <v>0</v>
      </c>
      <c r="I122" s="453">
        <v>0</v>
      </c>
      <c r="J122" s="453">
        <v>0</v>
      </c>
      <c r="K122" s="453">
        <v>0</v>
      </c>
      <c r="L122" s="453">
        <v>0</v>
      </c>
      <c r="M122" s="453">
        <v>0</v>
      </c>
      <c r="N122" s="453">
        <v>0</v>
      </c>
      <c r="O122" s="451">
        <v>0</v>
      </c>
      <c r="P122" s="452">
        <f>SUM(D122:O122)</f>
        <v>0</v>
      </c>
      <c r="T122" s="186">
        <v>0</v>
      </c>
    </row>
    <row r="123" spans="1:20">
      <c r="A123" s="450"/>
      <c r="B123" s="450" t="s">
        <v>490</v>
      </c>
      <c r="C123" s="450"/>
      <c r="D123" s="451">
        <f>'REVRUNS 12ME0623'!E465/'REVRUNS 12ME0623'!E469</f>
        <v>50329.849740932645</v>
      </c>
      <c r="E123" s="451">
        <f>'REVRUNS 12ME0623'!F465/'REVRUNS 12ME0623'!F469</f>
        <v>54776.098445595853</v>
      </c>
      <c r="F123" s="451">
        <f>'REVRUNS 12ME0623'!G465/'REVRUNS 12ME0623'!G469</f>
        <v>54955.388601036269</v>
      </c>
      <c r="G123" s="451">
        <f>'REVRUNS 12ME0623'!H465/'REVRUNS 12ME0623'!H469</f>
        <v>54335.388601036269</v>
      </c>
      <c r="H123" s="451">
        <f>'REVRUNS 12ME0623'!I465/'REVRUNS 12ME0623'!I469</f>
        <v>55068.378238341975</v>
      </c>
      <c r="I123" s="451">
        <f>'REVRUNS 12ME0623'!J465/'REVRUNS 12ME0623'!J469</f>
        <v>55207.098445595853</v>
      </c>
      <c r="J123" s="451">
        <f>'REVRUNS 12ME0623'!K465/'REVRUNS 12ME0623'!K469</f>
        <v>54376.590673575134</v>
      </c>
      <c r="K123" s="451">
        <f>'REVRUNS 12ME0623'!L465/'REVRUNS 12ME0623'!L469</f>
        <v>54788.782383419697</v>
      </c>
      <c r="L123" s="451">
        <f>'REVRUNS 12ME0623'!M465/'REVRUNS 12ME0623'!M469</f>
        <v>55083.761658031093</v>
      </c>
      <c r="M123" s="451">
        <f>'REVRUNS 12ME0623'!N465/'REVRUNS 12ME0623'!N469</f>
        <v>52965.632124352334</v>
      </c>
      <c r="N123" s="451">
        <f>'REVRUNS 12ME0623'!O465/'REVRUNS 12ME0623'!O469</f>
        <v>53346.559585492229</v>
      </c>
      <c r="O123" s="451">
        <v>50831.44</v>
      </c>
      <c r="P123" s="452">
        <f>SUM(D123:O123)</f>
        <v>646064.96849740949</v>
      </c>
      <c r="T123" s="186">
        <f>L95*6.5</f>
        <v>389684.42499999999</v>
      </c>
    </row>
    <row r="124" spans="1:20">
      <c r="A124" t="s">
        <v>73</v>
      </c>
      <c r="B124" t="s">
        <v>64</v>
      </c>
      <c r="D124" s="228">
        <f t="shared" ref="D124:P124" si="56">SUM(D121:D123)</f>
        <v>58975.619477774751</v>
      </c>
      <c r="E124" s="228">
        <f t="shared" si="56"/>
        <v>63464.71028770112</v>
      </c>
      <c r="F124" s="228">
        <f t="shared" si="56"/>
        <v>63015.289916825743</v>
      </c>
      <c r="G124" s="228">
        <f t="shared" si="56"/>
        <v>62424.500443141529</v>
      </c>
      <c r="H124" s="228">
        <f t="shared" si="56"/>
        <v>62967.490080447235</v>
      </c>
      <c r="I124" s="228">
        <f t="shared" si="56"/>
        <v>63215.789235069533</v>
      </c>
      <c r="J124" s="228">
        <f t="shared" si="56"/>
        <v>61703.978831469867</v>
      </c>
      <c r="K124" s="228">
        <f t="shared" si="56"/>
        <v>63134.032383419697</v>
      </c>
      <c r="L124" s="228">
        <f t="shared" si="56"/>
        <v>62803.64323697846</v>
      </c>
      <c r="M124" s="35">
        <f t="shared" si="56"/>
        <v>60520.145282247075</v>
      </c>
      <c r="N124" s="35">
        <f t="shared" si="56"/>
        <v>60909.822743386962</v>
      </c>
      <c r="O124" s="35">
        <f t="shared" si="56"/>
        <v>62767.060000000005</v>
      </c>
      <c r="P124" s="36">
        <f t="shared" si="56"/>
        <v>745902.08191846206</v>
      </c>
      <c r="T124" s="186">
        <f>500000*0.05762</f>
        <v>28810</v>
      </c>
    </row>
    <row r="125" spans="1:20">
      <c r="D125" s="37">
        <f t="shared" ref="D125:O125" si="57">D94</f>
        <v>59114.98</v>
      </c>
      <c r="E125" s="37">
        <f t="shared" si="57"/>
        <v>64579.57</v>
      </c>
      <c r="F125" s="37">
        <f t="shared" si="57"/>
        <v>62205.78</v>
      </c>
      <c r="G125" s="37">
        <f t="shared" si="57"/>
        <v>63460.71</v>
      </c>
      <c r="H125" s="37">
        <f t="shared" si="57"/>
        <v>62142.92</v>
      </c>
      <c r="I125" s="37">
        <f t="shared" si="57"/>
        <v>62496.81</v>
      </c>
      <c r="J125" s="37">
        <f t="shared" si="57"/>
        <v>61974.77</v>
      </c>
      <c r="K125" s="37">
        <f t="shared" si="57"/>
        <v>63570.66</v>
      </c>
      <c r="L125" s="37">
        <f t="shared" si="57"/>
        <v>62951.45</v>
      </c>
      <c r="M125" s="37">
        <f t="shared" si="57"/>
        <v>60309.31</v>
      </c>
      <c r="N125" s="37">
        <f t="shared" si="57"/>
        <v>61089.11</v>
      </c>
      <c r="O125" s="37">
        <f t="shared" si="57"/>
        <v>61751.77</v>
      </c>
      <c r="P125" s="40">
        <f>SUM(D125:O125)</f>
        <v>745647.84</v>
      </c>
      <c r="Q125" s="40"/>
      <c r="T125" s="186">
        <f>MIN(5500000,L38-500000)*0.0521</f>
        <v>286550</v>
      </c>
    </row>
    <row r="126" spans="1:20">
      <c r="T126" s="186">
        <f>MAX(0,L38-6000000)*0.04416</f>
        <v>1065155.71584</v>
      </c>
    </row>
    <row r="127" spans="1:20">
      <c r="B127" s="41" t="s">
        <v>777</v>
      </c>
      <c r="D127" s="266">
        <f t="shared" ref="D127:I127" si="58">500000*0.05317+MIN(5500000,D38-500000)*0.04765+MAX(0,D38-6000000)*0.03954+30650+D95*8.3-D121*1.52-D123*1.93</f>
        <v>1923016.9804799999</v>
      </c>
      <c r="E127" s="266">
        <f t="shared" si="58"/>
        <v>2027624.5482399999</v>
      </c>
      <c r="F127" s="266">
        <f t="shared" si="58"/>
        <v>1892097.7887600001</v>
      </c>
      <c r="G127" s="266">
        <f t="shared" si="58"/>
        <v>1957625.9876000001</v>
      </c>
      <c r="H127" s="266">
        <f t="shared" si="58"/>
        <v>1973047.97988</v>
      </c>
      <c r="I127" s="266">
        <f t="shared" si="58"/>
        <v>1945437.6292000001</v>
      </c>
      <c r="J127" s="266">
        <f>500000*0.05471+MIN(5500000,J38-500000)*0.04919+MAX(0,J38-6000000)*0.04108+30650+J95*8.3-J121*1.52-J123*1.93</f>
        <v>1895570.78764</v>
      </c>
      <c r="K127" s="266">
        <f>500000*0.05471+MIN(5500000,K38-500000)*0.04919+MAX(0,K38-6000000)*0.04108+30650+K95*8.3-K121*1.52-K123*1.93</f>
        <v>1951168.2952000001</v>
      </c>
      <c r="L127" s="266">
        <f>500000*0.05471+MIN(5500000,L38-500000)*0.04919+MAX(0,L38-6000000)*0.04108+30650+L95*8.3-L121*1.52-L123*1.93</f>
        <v>1698966.1189200003</v>
      </c>
      <c r="M127" s="266">
        <f>500000*0.05486+MIN(5500000,M38-500000)*0.04934+MAX(0,M38-6000000)*0.04123+30650+M95*8.3-M121*1.52-M123*1.93</f>
        <v>1736984.2473600002</v>
      </c>
      <c r="N127" s="266">
        <f>500000*0.05463+MIN(5500000,N38-500000)*0.04911+MAX(0,N38-6000000)*0.041+30650+N95*8.3-N121*1.52-N123*1.93</f>
        <v>1807086.5710000002</v>
      </c>
      <c r="O127" s="266">
        <f>500000*0.05463+MIN(5500000,O38-500000)*0.04911+MAX(0,O38-6000000)*0.041+30650+O95*8.3-O121*1.52-O123*1.93</f>
        <v>1972931.7254000003</v>
      </c>
      <c r="P127" s="45">
        <f>SUM(D127:O127)</f>
        <v>22781558.659679998</v>
      </c>
      <c r="T127" s="421">
        <f>-L121*1.1</f>
        <v>-8491.8697368421053</v>
      </c>
    </row>
    <row r="128" spans="1:20">
      <c r="B128" s="41" t="s">
        <v>783</v>
      </c>
      <c r="D128" s="324"/>
      <c r="E128" s="324"/>
      <c r="F128" s="324"/>
      <c r="G128" s="324"/>
      <c r="H128" s="324"/>
      <c r="I128" s="324"/>
      <c r="J128" s="324"/>
      <c r="K128" s="324"/>
      <c r="L128" s="324"/>
      <c r="M128" s="325"/>
      <c r="N128" s="325">
        <f>2241466.9-14475.44-101587.46-15103.12</f>
        <v>2110300.88</v>
      </c>
      <c r="O128" s="325">
        <f>2153023.22-13904.27-98104.68-18142.14</f>
        <v>2022872.1300000004</v>
      </c>
      <c r="P128" s="45">
        <f>SUM(D128:O128)</f>
        <v>4133173.0100000002</v>
      </c>
      <c r="T128" s="421">
        <f>-L123*1.4</f>
        <v>-77117.266321243529</v>
      </c>
    </row>
    <row r="129" spans="1:20">
      <c r="D129" s="227">
        <f t="shared" ref="D129:K129" si="59">D127-D128</f>
        <v>1923016.9804799999</v>
      </c>
      <c r="E129" s="227">
        <f t="shared" si="59"/>
        <v>2027624.5482399999</v>
      </c>
      <c r="F129" s="227">
        <f t="shared" si="59"/>
        <v>1892097.7887600001</v>
      </c>
      <c r="G129" s="227">
        <f t="shared" si="59"/>
        <v>1957625.9876000001</v>
      </c>
      <c r="H129" s="227">
        <f t="shared" si="59"/>
        <v>1973047.97988</v>
      </c>
      <c r="I129" s="227">
        <f t="shared" si="59"/>
        <v>1945437.6292000001</v>
      </c>
      <c r="J129" s="227">
        <f t="shared" si="59"/>
        <v>1895570.78764</v>
      </c>
      <c r="K129" s="227">
        <f t="shared" si="59"/>
        <v>1951168.2952000001</v>
      </c>
      <c r="L129" s="227">
        <f>L127-L128</f>
        <v>1698966.1189200003</v>
      </c>
      <c r="M129" s="227">
        <f t="shared" ref="M129:N129" si="60">M127-M128</f>
        <v>1736984.2473600002</v>
      </c>
      <c r="N129" s="227">
        <f t="shared" si="60"/>
        <v>-303214.30899999966</v>
      </c>
      <c r="O129" s="227">
        <f>O127-O128</f>
        <v>-49940.404600000009</v>
      </c>
      <c r="P129" s="45"/>
      <c r="T129" s="421">
        <f>SUM(T121:T128)</f>
        <v>1708591.0047819144</v>
      </c>
    </row>
    <row r="130" spans="1:20">
      <c r="B130" s="41"/>
    </row>
    <row r="131" spans="1:20" ht="13">
      <c r="B131" s="97" t="s">
        <v>393</v>
      </c>
    </row>
    <row r="132" spans="1:20">
      <c r="A132">
        <v>1</v>
      </c>
      <c r="B132" s="41" t="str">
        <f t="shared" ref="B132:B152" si="61">B4</f>
        <v>Goodrich - North 2311008572</v>
      </c>
      <c r="C132" s="250"/>
      <c r="D132" s="292">
        <f>500000*('Rate Design'!$I$5/100)+MIN(5500000,D4-500000)*('Rate Design'!$I$6/100)+MAX(0,D4-6000000)*('Rate Design'!$I$7/100)+'Rate Design'!$I$9+D70*'Rate Design'!$I$10-0.2*D45</f>
        <v>245293.61327199999</v>
      </c>
      <c r="E132" s="292">
        <f>500000*('Rate Design'!$I$5/100)+MIN(5500000,E4-500000)*('Rate Design'!$I$6/100)+MAX(0,E4-6000000)*('Rate Design'!$I$7/100)+'Rate Design'!$I$9+E70*'Rate Design'!$I$10-0.2*E45</f>
        <v>226429.36284399999</v>
      </c>
      <c r="F132" s="292">
        <f>500000*('Rate Design'!$I$5/100)+MIN(5500000,F4-500000)*('Rate Design'!$I$6/100)+MAX(0,F4-6000000)*('Rate Design'!$I$7/100)+'Rate Design'!$I$9+F70*'Rate Design'!$I$10-0.2*F45</f>
        <v>222584.17438599997</v>
      </c>
      <c r="G132" s="292">
        <f>500000*('Rate Design'!$I$5/100)+MIN(5500000,G4-500000)*('Rate Design'!$I$6/100)+MAX(0,G4-6000000)*('Rate Design'!$I$7/100)+'Rate Design'!$I$9+G70*'Rate Design'!$I$10-0.2*G45</f>
        <v>223107.58827399998</v>
      </c>
      <c r="H132" s="292">
        <f>500000*('Rate Design'!$I$5/100)+MIN(5500000,H4-500000)*('Rate Design'!$I$6/100)+MAX(0,H4-6000000)*('Rate Design'!$I$7/100)+'Rate Design'!$I$9+H70*'Rate Design'!$I$10-0.2*H45</f>
        <v>218700.01748199997</v>
      </c>
      <c r="I132" s="292">
        <f>500000*('Rate Design'!$I$5/100)+MIN(5500000,I4-500000)*('Rate Design'!$I$6/100)+MAX(0,I4-6000000)*('Rate Design'!$I$7/100)+'Rate Design'!$I$9+I70*'Rate Design'!$I$10-0.2*I45</f>
        <v>172418.84534799997</v>
      </c>
      <c r="J132" s="292">
        <f>500000*('Rate Design'!$I$5/100)+MIN(5500000,J4-500000)*('Rate Design'!$I$6/100)+MAX(0,J4-6000000)*('Rate Design'!$I$7/100)+'Rate Design'!$I$9+J70*'Rate Design'!$I$10-0.2*J45</f>
        <v>213215.03895399996</v>
      </c>
      <c r="K132" s="292">
        <f>500000*('Rate Design'!$I$5/100)+MIN(5500000,K4-500000)*('Rate Design'!$I$6/100)+MAX(0,K4-6000000)*('Rate Design'!$I$7/100)+'Rate Design'!$I$9+K70*'Rate Design'!$I$10-0.2*K45</f>
        <v>239685.49489599999</v>
      </c>
      <c r="L132" s="292">
        <f>500000*('Rate Design'!$I$5/100)+MIN(5500000,L4-500000)*('Rate Design'!$I$6/100)+MAX(0,L4-6000000)*('Rate Design'!$I$7/100)+'Rate Design'!$I$9+L70*'Rate Design'!$I$10-0.2*L45</f>
        <v>215651.45327199996</v>
      </c>
      <c r="M132" s="292">
        <f>500000*('Rate Design'!$I$5/100)+MIN(5500000,M4-500000)*('Rate Design'!$I$6/100)+MAX(0,M4-6000000)*('Rate Design'!$I$7/100)+'Rate Design'!$I$9+M70*'Rate Design'!$I$10-0.2*M45</f>
        <v>206983.55226999999</v>
      </c>
      <c r="N132" s="292">
        <f>500000*('Rate Design'!$I$5/100)+MIN(5500000,N4-500000)*('Rate Design'!$I$6/100)+MAX(0,N4-6000000)*('Rate Design'!$I$7/100)+'Rate Design'!$I$9+N70*'Rate Design'!$I$10-0.2*N45</f>
        <v>209011.35599199997</v>
      </c>
      <c r="O132" s="292">
        <f>500000*('Rate Design'!$I$5/100)+MIN(5500000,O4-500000)*('Rate Design'!$I$6/100)+MAX(0,O4-6000000)*('Rate Design'!$I$7/100)+'Rate Design'!$I$9+O70*'Rate Design'!$I$10-0.2*O45</f>
        <v>197529.38150799999</v>
      </c>
      <c r="P132" s="40">
        <f>SUM(D132:O132)</f>
        <v>2590609.8784980001</v>
      </c>
      <c r="T132" s="643"/>
    </row>
    <row r="133" spans="1:20">
      <c r="A133">
        <v>2</v>
      </c>
      <c r="B133" s="41" t="str">
        <f t="shared" si="61"/>
        <v>Boise Cascade Plywood</v>
      </c>
      <c r="C133" s="250"/>
      <c r="D133" s="292">
        <f>500000*('Rate Design'!$I$5/100)+MIN(5500000,D5-500000)*('Rate Design'!$I$6/100)+MAX(0,D5-6000000)*('Rate Design'!$I$7/100)+'Rate Design'!$I$9+D71*'Rate Design'!$I$10-0.2*D46</f>
        <v>205890.80838999999</v>
      </c>
      <c r="E133" s="292">
        <f>500000*('Rate Design'!$I$5/100)+MIN(5500000,E5-500000)*('Rate Design'!$I$6/100)+MAX(0,E5-6000000)*('Rate Design'!$I$7/100)+'Rate Design'!$I$9+E71*'Rate Design'!$I$10-0.2*E46</f>
        <v>209746.42392999999</v>
      </c>
      <c r="F133" s="292">
        <f>500000*('Rate Design'!$I$5/100)+MIN(5500000,F5-500000)*('Rate Design'!$I$6/100)+MAX(0,F5-6000000)*('Rate Design'!$I$7/100)+'Rate Design'!$I$9+F71*'Rate Design'!$I$10-0.2*F46</f>
        <v>200829.50109399998</v>
      </c>
      <c r="G133" s="292">
        <f>500000*('Rate Design'!$I$5/100)+MIN(5500000,G5-500000)*('Rate Design'!$I$6/100)+MAX(0,G5-6000000)*('Rate Design'!$I$7/100)+'Rate Design'!$I$9+G71*'Rate Design'!$I$10-0.2*G46</f>
        <v>205370.66020599997</v>
      </c>
      <c r="H133" s="292">
        <f>500000*('Rate Design'!$I$5/100)+MIN(5500000,H5-500000)*('Rate Design'!$I$6/100)+MAX(0,H5-6000000)*('Rate Design'!$I$7/100)+'Rate Design'!$I$9+H71*'Rate Design'!$I$10-0.2*H46</f>
        <v>180361.68155199999</v>
      </c>
      <c r="I133" s="292">
        <f>500000*('Rate Design'!$I$5/100)+MIN(5500000,I5-500000)*('Rate Design'!$I$6/100)+MAX(0,I5-6000000)*('Rate Design'!$I$7/100)+'Rate Design'!$I$9+I71*'Rate Design'!$I$10-0.2*I46</f>
        <v>179278.95277599999</v>
      </c>
      <c r="J133" s="292">
        <f>500000*('Rate Design'!$I$5/100)+MIN(5500000,J5-500000)*('Rate Design'!$I$6/100)+MAX(0,J5-6000000)*('Rate Design'!$I$7/100)+'Rate Design'!$I$9+J71*'Rate Design'!$I$10-0.2*J46</f>
        <v>208565.82924399996</v>
      </c>
      <c r="K133" s="292">
        <f>500000*('Rate Design'!$I$5/100)+MIN(5500000,K5-500000)*('Rate Design'!$I$6/100)+MAX(0,K5-6000000)*('Rate Design'!$I$7/100)+'Rate Design'!$I$9+K71*'Rate Design'!$I$10-0.2*K46</f>
        <v>197515.72383399997</v>
      </c>
      <c r="L133" s="292">
        <f>500000*('Rate Design'!$I$5/100)+MIN(5500000,L5-500000)*('Rate Design'!$I$6/100)+MAX(0,L5-6000000)*('Rate Design'!$I$7/100)+'Rate Design'!$I$9+L71*'Rate Design'!$I$10-0.2*L46</f>
        <v>212549.83600775999</v>
      </c>
      <c r="M133" s="292">
        <f>500000*('Rate Design'!$I$5/100)+MIN(5500000,M5-500000)*('Rate Design'!$I$6/100)+MAX(0,M5-6000000)*('Rate Design'!$I$7/100)+'Rate Design'!$I$9+M71*'Rate Design'!$I$10-0.2*M46</f>
        <v>206003.10534999997</v>
      </c>
      <c r="N133" s="292">
        <f>500000*('Rate Design'!$I$5/100)+MIN(5500000,N5-500000)*('Rate Design'!$I$6/100)+MAX(0,N5-6000000)*('Rate Design'!$I$7/100)+'Rate Design'!$I$9+N71*'Rate Design'!$I$10-0.2*N46</f>
        <v>201356.62445800001</v>
      </c>
      <c r="O133" s="292">
        <f>500000*('Rate Design'!$I$5/100)+MIN(5500000,O5-500000)*('Rate Design'!$I$6/100)+MAX(0,O5-6000000)*('Rate Design'!$I$7/100)+'Rate Design'!$I$9+O71*'Rate Design'!$I$10-0.2*O46</f>
        <v>199151.044024</v>
      </c>
      <c r="P133" s="40">
        <f t="shared" ref="P133:P150" si="62">SUM(D133:O133)</f>
        <v>2406620.1908657597</v>
      </c>
      <c r="T133" s="643"/>
    </row>
    <row r="134" spans="1:20">
      <c r="A134">
        <v>3</v>
      </c>
      <c r="B134" s="41" t="str">
        <f t="shared" si="61"/>
        <v>Boise Cascade Sawmill</v>
      </c>
      <c r="C134" s="250"/>
      <c r="D134" s="292">
        <f>500000*('Rate Design'!$I$5/100)+MIN(5500000,D6-500000)*('Rate Design'!$I$6/100)+MAX(0,D6-6000000)*('Rate Design'!$I$7/100)+'Rate Design'!$I$9+D72*'Rate Design'!$I$10-0.2*D47</f>
        <v>78533.833801999994</v>
      </c>
      <c r="E134" s="292">
        <f>500000*('Rate Design'!$I$5/100)+MIN(5500000,E6-500000)*('Rate Design'!$I$6/100)+MAX(0,E6-6000000)*('Rate Design'!$I$7/100)+'Rate Design'!$I$9+E72*'Rate Design'!$I$10-0.2*E47</f>
        <v>81184.294962</v>
      </c>
      <c r="F134" s="292">
        <f>500000*('Rate Design'!$I$5/100)+MIN(5500000,F6-500000)*('Rate Design'!$I$6/100)+MAX(0,F6-6000000)*('Rate Design'!$I$7/100)+'Rate Design'!$I$9+F72*'Rate Design'!$I$10-0.2*F47</f>
        <v>75940.213145999995</v>
      </c>
      <c r="G134" s="292">
        <f>500000*('Rate Design'!$I$5/100)+MIN(5500000,G6-500000)*('Rate Design'!$I$6/100)+MAX(0,G6-6000000)*('Rate Design'!$I$7/100)+'Rate Design'!$I$9+G72*'Rate Design'!$I$10-0.2*G47</f>
        <v>81741.048529999985</v>
      </c>
      <c r="H134" s="292">
        <f>500000*('Rate Design'!$I$5/100)+MIN(5500000,H6-500000)*('Rate Design'!$I$6/100)+MAX(0,H6-6000000)*('Rate Design'!$I$7/100)+'Rate Design'!$I$9+H72*'Rate Design'!$I$10-0.2*H47</f>
        <v>93857.368453999996</v>
      </c>
      <c r="I134" s="292">
        <f>500000*('Rate Design'!$I$5/100)+MIN(5500000,I6-500000)*('Rate Design'!$I$6/100)+MAX(0,I6-6000000)*('Rate Design'!$I$7/100)+'Rate Design'!$I$9+I72*'Rate Design'!$I$10-0.2*I47</f>
        <v>99067.290817999994</v>
      </c>
      <c r="J134" s="292">
        <f>500000*('Rate Design'!$I$5/100)+MIN(5500000,J6-500000)*('Rate Design'!$I$6/100)+MAX(0,J6-6000000)*('Rate Design'!$I$7/100)+'Rate Design'!$I$9+J72*'Rate Design'!$I$10-0.2*J47</f>
        <v>103520.59148799999</v>
      </c>
      <c r="K134" s="292">
        <f>500000*('Rate Design'!$I$5/100)+MIN(5500000,K6-500000)*('Rate Design'!$I$6/100)+MAX(0,K6-6000000)*('Rate Design'!$I$7/100)+'Rate Design'!$I$9+K72*'Rate Design'!$I$10-0.2*K47</f>
        <v>99972.289357999995</v>
      </c>
      <c r="L134" s="292">
        <f>500000*('Rate Design'!$I$5/100)+MIN(5500000,L6-500000)*('Rate Design'!$I$6/100)+MAX(0,L6-6000000)*('Rate Design'!$I$7/100)+'Rate Design'!$I$9+L72*'Rate Design'!$I$10-0.2*L47</f>
        <v>102577.99188576</v>
      </c>
      <c r="M134" s="292">
        <f>500000*('Rate Design'!$I$5/100)+MIN(5500000,M6-500000)*('Rate Design'!$I$6/100)+MAX(0,M6-6000000)*('Rate Design'!$I$7/100)+'Rate Design'!$I$9+M72*'Rate Design'!$I$10-0.2*M47</f>
        <v>97342.221770000004</v>
      </c>
      <c r="N134" s="292">
        <f>500000*('Rate Design'!$I$5/100)+MIN(5500000,N6-500000)*('Rate Design'!$I$6/100)+MAX(0,N6-6000000)*('Rate Design'!$I$7/100)+'Rate Design'!$I$9+N72*'Rate Design'!$I$10-0.2*N47</f>
        <v>94894.689673999994</v>
      </c>
      <c r="O134" s="292">
        <f>500000*('Rate Design'!$I$5/100)+MIN(5500000,O6-500000)*('Rate Design'!$I$6/100)+MAX(0,O6-6000000)*('Rate Design'!$I$7/100)+'Rate Design'!$I$9+O72*'Rate Design'!$I$10-0.2*O47</f>
        <v>96587.731732</v>
      </c>
      <c r="P134" s="40">
        <f t="shared" si="62"/>
        <v>1105219.56561976</v>
      </c>
      <c r="T134" s="643"/>
    </row>
    <row r="135" spans="1:20">
      <c r="A135">
        <v>4</v>
      </c>
      <c r="B135" s="41" t="str">
        <f t="shared" si="61"/>
        <v>City of Spokane</v>
      </c>
      <c r="C135" s="250"/>
      <c r="D135" s="292">
        <f>500000*('Rate Design'!$I$5/100)+MIN(5500000,D7-500000)*('Rate Design'!$I$6/100)+MAX(0,D7-6000000)*('Rate Design'!$I$7/100)+'Rate Design'!$I$9+D73*'Rate Design'!$I$10-0.2*D48</f>
        <v>132671.58937599999</v>
      </c>
      <c r="E135" s="292">
        <f>500000*('Rate Design'!$I$5/100)+MIN(5500000,E7-500000)*('Rate Design'!$I$6/100)+MAX(0,E7-6000000)*('Rate Design'!$I$7/100)+'Rate Design'!$I$9+E73*'Rate Design'!$I$10-0.2*E48</f>
        <v>133295.51064099997</v>
      </c>
      <c r="F135" s="292">
        <f>500000*('Rate Design'!$I$5/100)+MIN(5500000,F7-500000)*('Rate Design'!$I$6/100)+MAX(0,F7-6000000)*('Rate Design'!$I$7/100)+'Rate Design'!$I$9+F73*'Rate Design'!$I$10-0.2*F48</f>
        <v>128961.045982</v>
      </c>
      <c r="G135" s="292">
        <f>500000*('Rate Design'!$I$5/100)+MIN(5500000,G7-500000)*('Rate Design'!$I$6/100)+MAX(0,G7-6000000)*('Rate Design'!$I$7/100)+'Rate Design'!$I$9+G73*'Rate Design'!$I$10-0.2*G48</f>
        <v>132778.43634700001</v>
      </c>
      <c r="H135" s="292">
        <f>500000*('Rate Design'!$I$5/100)+MIN(5500000,H7-500000)*('Rate Design'!$I$6/100)+MAX(0,H7-6000000)*('Rate Design'!$I$7/100)+'Rate Design'!$I$9+H73*'Rate Design'!$I$10-0.2*H48</f>
        <v>132861.2647225</v>
      </c>
      <c r="I135" s="292">
        <f>500000*('Rate Design'!$I$5/100)+MIN(5500000,I7-500000)*('Rate Design'!$I$6/100)+MAX(0,I7-6000000)*('Rate Design'!$I$7/100)+'Rate Design'!$I$9+I73*'Rate Design'!$I$10-0.2*I48</f>
        <v>144353.230816</v>
      </c>
      <c r="J135" s="292">
        <f>500000*('Rate Design'!$I$5/100)+MIN(5500000,J7-500000)*('Rate Design'!$I$6/100)+MAX(0,J7-6000000)*('Rate Design'!$I$7/100)+'Rate Design'!$I$9+J73*'Rate Design'!$I$10-0.2*J48</f>
        <v>153552.24113800001</v>
      </c>
      <c r="K135" s="292">
        <f>500000*('Rate Design'!$I$5/100)+MIN(5500000,K7-500000)*('Rate Design'!$I$6/100)+MAX(0,K7-6000000)*('Rate Design'!$I$7/100)+'Rate Design'!$I$9+K73*'Rate Design'!$I$10-0.2*K48</f>
        <v>136357.98436900001</v>
      </c>
      <c r="L135" s="292">
        <f>500000*('Rate Design'!$I$5/100)+MIN(5500000,L7-500000)*('Rate Design'!$I$6/100)+MAX(0,L7-6000000)*('Rate Design'!$I$7/100)+'Rate Design'!$I$9+L73*'Rate Design'!$I$10-0.2*L48</f>
        <v>152578.42829218</v>
      </c>
      <c r="M135" s="292">
        <f>500000*('Rate Design'!$I$5/100)+MIN(5500000,M7-500000)*('Rate Design'!$I$6/100)+MAX(0,M7-6000000)*('Rate Design'!$I$7/100)+'Rate Design'!$I$9+M73*'Rate Design'!$I$10-0.2*M48</f>
        <v>138633.13555599996</v>
      </c>
      <c r="N135" s="292">
        <f>500000*('Rate Design'!$I$5/100)+MIN(5500000,N7-500000)*('Rate Design'!$I$6/100)+MAX(0,N7-6000000)*('Rate Design'!$I$7/100)+'Rate Design'!$I$9+N73*'Rate Design'!$I$10-0.2*N48</f>
        <v>143437.84345000001</v>
      </c>
      <c r="O135" s="292">
        <f>500000*('Rate Design'!$I$5/100)+MIN(5500000,O7-500000)*('Rate Design'!$I$6/100)+MAX(0,O7-6000000)*('Rate Design'!$I$7/100)+'Rate Design'!$I$9+O73*'Rate Design'!$I$10-0.2*O48</f>
        <v>137064.62908599997</v>
      </c>
      <c r="P135" s="40">
        <f t="shared" si="62"/>
        <v>1666545.3397756801</v>
      </c>
      <c r="T135" s="643"/>
    </row>
    <row r="136" spans="1:20">
      <c r="A136">
        <v>5</v>
      </c>
      <c r="B136" s="41" t="str">
        <f t="shared" si="61"/>
        <v>Empire Health Services</v>
      </c>
      <c r="C136" s="250"/>
      <c r="D136" s="292">
        <f>500000*('Rate Design'!$I$5/100)+MIN(5500000,D8-500000)*('Rate Design'!$I$6/100)+MAX(0,D8-6000000)*('Rate Design'!$I$7/100)+'Rate Design'!$I$9+D74*'Rate Design'!$I$10-0.2*D49</f>
        <v>142893.92248299997</v>
      </c>
      <c r="E136" s="292">
        <f>500000*('Rate Design'!$I$5/100)+MIN(5500000,E8-500000)*('Rate Design'!$I$6/100)+MAX(0,E8-6000000)*('Rate Design'!$I$7/100)+'Rate Design'!$I$9+E74*'Rate Design'!$I$10-0.2*E49</f>
        <v>141084.85839099996</v>
      </c>
      <c r="F136" s="292">
        <f>500000*('Rate Design'!$I$5/100)+MIN(5500000,F8-500000)*('Rate Design'!$I$6/100)+MAX(0,F8-6000000)*('Rate Design'!$I$7/100)+'Rate Design'!$I$9+F74*'Rate Design'!$I$10-0.2*F49</f>
        <v>127583.03948499999</v>
      </c>
      <c r="G136" s="292">
        <f>500000*('Rate Design'!$I$5/100)+MIN(5500000,G8-500000)*('Rate Design'!$I$6/100)+MAX(0,G8-6000000)*('Rate Design'!$I$7/100)+'Rate Design'!$I$9+G74*'Rate Design'!$I$10-0.2*G49</f>
        <v>113980.85335699999</v>
      </c>
      <c r="H136" s="292">
        <f>500000*('Rate Design'!$I$5/100)+MIN(5500000,H8-500000)*('Rate Design'!$I$6/100)+MAX(0,H8-6000000)*('Rate Design'!$I$7/100)+'Rate Design'!$I$9+H74*'Rate Design'!$I$10-0.2*H49</f>
        <v>112704.43041305999</v>
      </c>
      <c r="I136" s="292">
        <f>500000*('Rate Design'!$I$5/100)+MIN(5500000,I8-500000)*('Rate Design'!$I$6/100)+MAX(0,I8-6000000)*('Rate Design'!$I$7/100)+'Rate Design'!$I$9+I74*'Rate Design'!$I$10-0.2*I49</f>
        <v>118659.14161400001</v>
      </c>
      <c r="J136" s="292">
        <f>500000*('Rate Design'!$I$5/100)+MIN(5500000,J8-500000)*('Rate Design'!$I$6/100)+MAX(0,J8-6000000)*('Rate Design'!$I$7/100)+'Rate Design'!$I$9+J74*'Rate Design'!$I$10-0.2*J49</f>
        <v>115965.53992599998</v>
      </c>
      <c r="K136" s="292">
        <f>500000*('Rate Design'!$I$5/100)+MIN(5500000,K8-500000)*('Rate Design'!$I$6/100)+MAX(0,K8-6000000)*('Rate Design'!$I$7/100)+'Rate Design'!$I$9+K74*'Rate Design'!$I$10-0.2*K49</f>
        <v>110904.464014</v>
      </c>
      <c r="L136" s="292">
        <f>500000*('Rate Design'!$I$5/100)+MIN(5500000,L8-500000)*('Rate Design'!$I$6/100)+MAX(0,L8-6000000)*('Rate Design'!$I$7/100)+'Rate Design'!$I$9+L74*'Rate Design'!$I$10-0.2*L49</f>
        <v>118559.35878211999</v>
      </c>
      <c r="M136" s="292">
        <f>500000*('Rate Design'!$I$5/100)+MIN(5500000,M8-500000)*('Rate Design'!$I$6/100)+MAX(0,M8-6000000)*('Rate Design'!$I$7/100)+'Rate Design'!$I$9+M74*'Rate Design'!$I$10-0.2*M49</f>
        <v>115334.81553099999</v>
      </c>
      <c r="N136" s="292">
        <f>500000*('Rate Design'!$I$5/100)+MIN(5500000,N8-500000)*('Rate Design'!$I$6/100)+MAX(0,N8-6000000)*('Rate Design'!$I$7/100)+'Rate Design'!$I$9+N74*'Rate Design'!$I$10-0.2*N49</f>
        <v>132905.429011</v>
      </c>
      <c r="O136" s="292">
        <f>500000*('Rate Design'!$I$5/100)+MIN(5500000,O8-500000)*('Rate Design'!$I$6/100)+MAX(0,O8-6000000)*('Rate Design'!$I$7/100)+'Rate Design'!$I$9+O74*'Rate Design'!$I$10-0.2*O49</f>
        <v>133717.02903999999</v>
      </c>
      <c r="P136" s="40">
        <f t="shared" si="62"/>
        <v>1484292.8820471799</v>
      </c>
      <c r="T136" s="643"/>
    </row>
    <row r="137" spans="1:20">
      <c r="A137">
        <v>6</v>
      </c>
      <c r="B137" s="41" t="str">
        <f t="shared" si="61"/>
        <v>Gonzaga University</v>
      </c>
      <c r="C137" s="250"/>
      <c r="D137" s="292">
        <f>500000*('Rate Design'!$I$5/100)+MIN(5500000,D9-500000)*('Rate Design'!$I$6/100)+MAX(0,D9-6000000)*('Rate Design'!$I$7/100)+'Rate Design'!$I$9+D75*'Rate Design'!$I$10-0.2*D50</f>
        <v>152403.660604</v>
      </c>
      <c r="E137" s="292">
        <f>500000*('Rate Design'!$I$5/100)+MIN(5500000,E9-500000)*('Rate Design'!$I$6/100)+MAX(0,E9-6000000)*('Rate Design'!$I$7/100)+'Rate Design'!$I$9+E75*'Rate Design'!$I$10-0.2*E50</f>
        <v>174903.72578800001</v>
      </c>
      <c r="F137" s="292">
        <f>500000*('Rate Design'!$I$5/100)+MIN(5500000,F9-500000)*('Rate Design'!$I$6/100)+MAX(0,F9-6000000)*('Rate Design'!$I$7/100)+'Rate Design'!$I$9+F75*'Rate Design'!$I$10-0.2*F50</f>
        <v>171854.38692800002</v>
      </c>
      <c r="G137" s="292">
        <f>500000*('Rate Design'!$I$5/100)+MIN(5500000,G9-500000)*('Rate Design'!$I$6/100)+MAX(0,G9-6000000)*('Rate Design'!$I$7/100)+'Rate Design'!$I$9+G75*'Rate Design'!$I$10-0.2*G50</f>
        <v>161818.169264</v>
      </c>
      <c r="H137" s="292">
        <f>500000*('Rate Design'!$I$5/100)+MIN(5500000,H9-500000)*('Rate Design'!$I$6/100)+MAX(0,H9-6000000)*('Rate Design'!$I$7/100)+'Rate Design'!$I$9+H75*'Rate Design'!$I$10-0.2*H50</f>
        <v>169451.71912399997</v>
      </c>
      <c r="I137" s="292">
        <f>500000*('Rate Design'!$I$5/100)+MIN(5500000,I9-500000)*('Rate Design'!$I$6/100)+MAX(0,I9-6000000)*('Rate Design'!$I$7/100)+'Rate Design'!$I$9+I75*'Rate Design'!$I$10-0.2*I50</f>
        <v>180461.64985599997</v>
      </c>
      <c r="J137" s="292">
        <f>500000*('Rate Design'!$I$5/100)+MIN(5500000,J9-500000)*('Rate Design'!$I$6/100)+MAX(0,J9-6000000)*('Rate Design'!$I$7/100)+'Rate Design'!$I$9+J75*'Rate Design'!$I$10-0.2*J50</f>
        <v>169365.75187599999</v>
      </c>
      <c r="K137" s="292">
        <f>500000*('Rate Design'!$I$5/100)+MIN(5500000,K9-500000)*('Rate Design'!$I$6/100)+MAX(0,K9-6000000)*('Rate Design'!$I$7/100)+'Rate Design'!$I$9+K75*'Rate Design'!$I$10-0.2*K50</f>
        <v>168447.10433199999</v>
      </c>
      <c r="L137" s="292">
        <f>500000*('Rate Design'!$I$5/100)+MIN(5500000,L9-500000)*('Rate Design'!$I$6/100)+MAX(0,L9-6000000)*('Rate Design'!$I$7/100)+'Rate Design'!$I$9+L75*'Rate Design'!$I$10-0.2*L50</f>
        <v>160934.79191082</v>
      </c>
      <c r="M137" s="292">
        <f>500000*('Rate Design'!$I$5/100)+MIN(5500000,M9-500000)*('Rate Design'!$I$6/100)+MAX(0,M9-6000000)*('Rate Design'!$I$7/100)+'Rate Design'!$I$9+M75*'Rate Design'!$I$10-0.2*M50</f>
        <v>153433.85311599998</v>
      </c>
      <c r="N137" s="292">
        <f>500000*('Rate Design'!$I$5/100)+MIN(5500000,N9-500000)*('Rate Design'!$I$6/100)+MAX(0,N9-6000000)*('Rate Design'!$I$7/100)+'Rate Design'!$I$9+N75*'Rate Design'!$I$10-0.2*N50</f>
        <v>150183.56619999997</v>
      </c>
      <c r="O137" s="292">
        <f>500000*('Rate Design'!$I$5/100)+MIN(5500000,O9-500000)*('Rate Design'!$I$6/100)+MAX(0,O9-6000000)*('Rate Design'!$I$7/100)+'Rate Design'!$I$9+O75*'Rate Design'!$I$10-0.2*O50</f>
        <v>130086.843844</v>
      </c>
      <c r="P137" s="40">
        <f t="shared" si="62"/>
        <v>1943345.22284282</v>
      </c>
      <c r="T137" s="643"/>
    </row>
    <row r="138" spans="1:20">
      <c r="A138">
        <v>7</v>
      </c>
      <c r="B138" s="41" t="str">
        <f t="shared" si="61"/>
        <v>Honeywell Electronics</v>
      </c>
      <c r="C138" s="250"/>
      <c r="D138" s="292">
        <f>500000*('Rate Design'!$I$5/100)+MIN(5500000,D10-500000)*('Rate Design'!$I$6/100)+MAX(0,D10-6000000)*('Rate Design'!$I$7/100)+'Rate Design'!$I$9+D76*'Rate Design'!$I$10-0.2*D51</f>
        <v>144733.63503199999</v>
      </c>
      <c r="E138" s="292">
        <f>500000*('Rate Design'!$I$5/100)+MIN(5500000,E10-500000)*('Rate Design'!$I$6/100)+MAX(0,E10-6000000)*('Rate Design'!$I$7/100)+'Rate Design'!$I$9+E76*'Rate Design'!$I$10-0.2*E51</f>
        <v>150096.01632599998</v>
      </c>
      <c r="F138" s="292">
        <f>500000*('Rate Design'!$I$5/100)+MIN(5500000,F10-500000)*('Rate Design'!$I$6/100)+MAX(0,F10-6000000)*('Rate Design'!$I$7/100)+'Rate Design'!$I$9+F76*'Rate Design'!$I$10-0.2*F51</f>
        <v>140905.81717599998</v>
      </c>
      <c r="G138" s="292">
        <f>500000*('Rate Design'!$I$5/100)+MIN(5500000,G10-500000)*('Rate Design'!$I$6/100)+MAX(0,G10-6000000)*('Rate Design'!$I$7/100)+'Rate Design'!$I$9+G76*'Rate Design'!$I$10-0.2*G51</f>
        <v>135973.06008599998</v>
      </c>
      <c r="H138" s="292">
        <f>500000*('Rate Design'!$I$5/100)+MIN(5500000,H10-500000)*('Rate Design'!$I$6/100)+MAX(0,H10-6000000)*('Rate Design'!$I$7/100)+'Rate Design'!$I$9+H76*'Rate Design'!$I$10-0.2*H51</f>
        <v>130252.768214</v>
      </c>
      <c r="I138" s="292">
        <f>500000*('Rate Design'!$I$5/100)+MIN(5500000,I10-500000)*('Rate Design'!$I$6/100)+MAX(0,I10-6000000)*('Rate Design'!$I$7/100)+'Rate Design'!$I$9+I76*'Rate Design'!$I$10-0.2*I51</f>
        <v>136286.36366199999</v>
      </c>
      <c r="J138" s="292">
        <f>500000*('Rate Design'!$I$5/100)+MIN(5500000,J10-500000)*('Rate Design'!$I$6/100)+MAX(0,J10-6000000)*('Rate Design'!$I$7/100)+'Rate Design'!$I$9+J76*'Rate Design'!$I$10-0.2*J51</f>
        <v>134386.274294</v>
      </c>
      <c r="K138" s="292">
        <f>500000*('Rate Design'!$I$5/100)+MIN(5500000,K10-500000)*('Rate Design'!$I$6/100)+MAX(0,K10-6000000)*('Rate Design'!$I$7/100)+'Rate Design'!$I$9+K76*'Rate Design'!$I$10-0.2*K51</f>
        <v>118725.32114599999</v>
      </c>
      <c r="L138" s="292">
        <f>500000*('Rate Design'!$I$5/100)+MIN(5500000,L10-500000)*('Rate Design'!$I$6/100)+MAX(0,L10-6000000)*('Rate Design'!$I$7/100)+'Rate Design'!$I$9+L76*'Rate Design'!$I$10-0.2*L51</f>
        <v>125287.00180035998</v>
      </c>
      <c r="M138" s="292">
        <f>500000*('Rate Design'!$I$5/100)+MIN(5500000,M10-500000)*('Rate Design'!$I$6/100)+MAX(0,M10-6000000)*('Rate Design'!$I$7/100)+'Rate Design'!$I$9+M76*'Rate Design'!$I$10-0.2*M51</f>
        <v>118216.52911599999</v>
      </c>
      <c r="N138" s="292">
        <f>500000*('Rate Design'!$I$5/100)+MIN(5500000,N10-500000)*('Rate Design'!$I$6/100)+MAX(0,N10-6000000)*('Rate Design'!$I$7/100)+'Rate Design'!$I$9+N76*'Rate Design'!$I$10-0.2*N51</f>
        <v>111393.44382999999</v>
      </c>
      <c r="O138" s="292">
        <f>500000*('Rate Design'!$I$5/100)+MIN(5500000,O10-500000)*('Rate Design'!$I$6/100)+MAX(0,O10-6000000)*('Rate Design'!$I$7/100)+'Rate Design'!$I$9+O76*'Rate Design'!$I$10-0.2*O51</f>
        <v>121806.70168799999</v>
      </c>
      <c r="P138" s="40">
        <f t="shared" si="62"/>
        <v>1568062.93237036</v>
      </c>
      <c r="T138" s="643"/>
    </row>
    <row r="139" spans="1:20">
      <c r="A139">
        <v>8</v>
      </c>
      <c r="B139" s="41" t="str">
        <f t="shared" si="61"/>
        <v>Huntwood Industries</v>
      </c>
      <c r="C139" s="250"/>
      <c r="D139" s="292">
        <f>500000*('Rate Design'!$I$5/100)+MIN(5500000,D11-500000)*('Rate Design'!$I$6/100)+MAX(0,D11-6000000)*('Rate Design'!$I$7/100)+'Rate Design'!$I$9+D77*'Rate Design'!$I$10-0.2*D52</f>
        <v>103807.69913799998</v>
      </c>
      <c r="E139" s="292">
        <f>500000*('Rate Design'!$I$5/100)+MIN(5500000,E11-500000)*('Rate Design'!$I$6/100)+MAX(0,E11-6000000)*('Rate Design'!$I$7/100)+'Rate Design'!$I$9+E77*'Rate Design'!$I$10-0.2*E52</f>
        <v>113058.76277799997</v>
      </c>
      <c r="F139" s="292">
        <f>500000*('Rate Design'!$I$5/100)+MIN(5500000,F11-500000)*('Rate Design'!$I$6/100)+MAX(0,F11-6000000)*('Rate Design'!$I$7/100)+'Rate Design'!$I$9+F77*'Rate Design'!$I$10-0.2*F52</f>
        <v>105782.747626</v>
      </c>
      <c r="G139" s="292">
        <f>500000*('Rate Design'!$I$5/100)+MIN(5500000,G11-500000)*('Rate Design'!$I$6/100)+MAX(0,G11-6000000)*('Rate Design'!$I$7/100)+'Rate Design'!$I$9+G77*'Rate Design'!$I$10-0.2*G52</f>
        <v>98345.970963999993</v>
      </c>
      <c r="H139" s="292">
        <f>500000*('Rate Design'!$I$5/100)+MIN(5500000,H11-500000)*('Rate Design'!$I$6/100)+MAX(0,H11-6000000)*('Rate Design'!$I$7/100)+'Rate Design'!$I$9+H77*'Rate Design'!$I$10-0.2*H52</f>
        <v>96140.148387999987</v>
      </c>
      <c r="I139" s="292">
        <f>500000*('Rate Design'!$I$5/100)+MIN(5500000,I11-500000)*('Rate Design'!$I$6/100)+MAX(0,I11-6000000)*('Rate Design'!$I$7/100)+'Rate Design'!$I$9+I77*'Rate Design'!$I$10-0.2*I52</f>
        <v>94291.285755999983</v>
      </c>
      <c r="J139" s="292">
        <f>500000*('Rate Design'!$I$5/100)+MIN(5500000,J11-500000)*('Rate Design'!$I$6/100)+MAX(0,J11-6000000)*('Rate Design'!$I$7/100)+'Rate Design'!$I$9+J77*'Rate Design'!$I$10-0.2*J52</f>
        <v>89804.204223999986</v>
      </c>
      <c r="K139" s="292">
        <f>500000*('Rate Design'!$I$5/100)+MIN(5500000,K11-500000)*('Rate Design'!$I$6/100)+MAX(0,K11-6000000)*('Rate Design'!$I$7/100)+'Rate Design'!$I$9+K77*'Rate Design'!$I$10-0.2*K52</f>
        <v>85711.286685999992</v>
      </c>
      <c r="L139" s="292">
        <f>500000*('Rate Design'!$I$5/100)+MIN(5500000,L11-500000)*('Rate Design'!$I$6/100)+MAX(0,L11-6000000)*('Rate Design'!$I$7/100)+'Rate Design'!$I$9+L77*'Rate Design'!$I$10-0.2*L52</f>
        <v>96912.450263759994</v>
      </c>
      <c r="M139" s="292">
        <f>500000*('Rate Design'!$I$5/100)+MIN(5500000,M11-500000)*('Rate Design'!$I$6/100)+MAX(0,M11-6000000)*('Rate Design'!$I$7/100)+'Rate Design'!$I$9+M77*'Rate Design'!$I$10-0.2*M52</f>
        <v>88797.01240599998</v>
      </c>
      <c r="N139" s="292">
        <f>500000*('Rate Design'!$I$5/100)+MIN(5500000,N11-500000)*('Rate Design'!$I$6/100)+MAX(0,N11-6000000)*('Rate Design'!$I$7/100)+'Rate Design'!$I$9+N77*'Rate Design'!$I$10-0.2*N52</f>
        <v>94934.480031999992</v>
      </c>
      <c r="O139" s="292">
        <f>500000*('Rate Design'!$I$5/100)+MIN(5500000,O11-500000)*('Rate Design'!$I$6/100)+MAX(0,O11-6000000)*('Rate Design'!$I$7/100)+'Rate Design'!$I$9+O77*'Rate Design'!$I$10-0.2*O52</f>
        <v>96929.897643999997</v>
      </c>
      <c r="P139" s="40">
        <f t="shared" si="62"/>
        <v>1164515.9459057597</v>
      </c>
      <c r="T139" s="643"/>
    </row>
    <row r="140" spans="1:20">
      <c r="A140">
        <v>9</v>
      </c>
      <c r="B140" s="41" t="str">
        <f t="shared" si="61"/>
        <v>Simplot - Othello</v>
      </c>
      <c r="C140" s="250"/>
      <c r="D140" s="292">
        <f>500000*('Rate Design'!$I$5/100)+MIN(5500000,D12-500000)*('Rate Design'!$I$6/100)+MAX(0,D12-6000000)*('Rate Design'!$I$7/100)+'Rate Design'!$I$9+D78*'Rate Design'!$I$10-0.2*D53</f>
        <v>297142.930192</v>
      </c>
      <c r="E140" s="292">
        <f>500000*('Rate Design'!$I$5/100)+MIN(5500000,E12-500000)*('Rate Design'!$I$6/100)+MAX(0,E12-6000000)*('Rate Design'!$I$7/100)+'Rate Design'!$I$9+E78*'Rate Design'!$I$10-0.2*E53</f>
        <v>378264.21911800001</v>
      </c>
      <c r="F140" s="292">
        <f>500000*('Rate Design'!$I$5/100)+MIN(5500000,F12-500000)*('Rate Design'!$I$6/100)+MAX(0,F12-6000000)*('Rate Design'!$I$7/100)+'Rate Design'!$I$9+F78*'Rate Design'!$I$10-0.2*F53</f>
        <v>370291.40454999998</v>
      </c>
      <c r="G140" s="292">
        <f>500000*('Rate Design'!$I$5/100)+MIN(5500000,G12-500000)*('Rate Design'!$I$6/100)+MAX(0,G12-6000000)*('Rate Design'!$I$7/100)+'Rate Design'!$I$9+G78*'Rate Design'!$I$10-0.2*G53</f>
        <v>373723.73406999995</v>
      </c>
      <c r="H140" s="292">
        <f>500000*('Rate Design'!$I$5/100)+MIN(5500000,H12-500000)*('Rate Design'!$I$6/100)+MAX(0,H12-6000000)*('Rate Design'!$I$7/100)+'Rate Design'!$I$9+H78*'Rate Design'!$I$10-0.2*H53</f>
        <v>349087.35699399991</v>
      </c>
      <c r="I140" s="292">
        <f>500000*('Rate Design'!$I$5/100)+MIN(5500000,I12-500000)*('Rate Design'!$I$6/100)+MAX(0,I12-6000000)*('Rate Design'!$I$7/100)+'Rate Design'!$I$9+I78*'Rate Design'!$I$10-0.2*I53</f>
        <v>309498.54952599999</v>
      </c>
      <c r="J140" s="292">
        <f>500000*('Rate Design'!$I$5/100)+MIN(5500000,J12-500000)*('Rate Design'!$I$6/100)+MAX(0,J12-6000000)*('Rate Design'!$I$7/100)+'Rate Design'!$I$9+J78*'Rate Design'!$I$10-0.2*J53</f>
        <v>355636.20312399988</v>
      </c>
      <c r="K140" s="292">
        <f>500000*('Rate Design'!$I$5/100)+MIN(5500000,K12-500000)*('Rate Design'!$I$6/100)+MAX(0,K12-6000000)*('Rate Design'!$I$7/100)+'Rate Design'!$I$9+K78*'Rate Design'!$I$10-0.2*K53</f>
        <v>331053.35099800007</v>
      </c>
      <c r="L140" s="292">
        <f>500000*('Rate Design'!$I$5/100)+MIN(5500000,L12-500000)*('Rate Design'!$I$6/100)+MAX(0,L12-6000000)*('Rate Design'!$I$7/100)+'Rate Design'!$I$9+L78*'Rate Design'!$I$10-0.2*L53</f>
        <v>361979.89043093997</v>
      </c>
      <c r="M140" s="292">
        <f>500000*('Rate Design'!$I$5/100)+MIN(5500000,M12-500000)*('Rate Design'!$I$6/100)+MAX(0,M12-6000000)*('Rate Design'!$I$7/100)+'Rate Design'!$I$9+M78*'Rate Design'!$I$10-0.2*M53</f>
        <v>358927.17199599993</v>
      </c>
      <c r="N140" s="292">
        <f>500000*('Rate Design'!$I$5/100)+MIN(5500000,N12-500000)*('Rate Design'!$I$6/100)+MAX(0,N12-6000000)*('Rate Design'!$I$7/100)+'Rate Design'!$I$9+N78*'Rate Design'!$I$10-0.2*N53</f>
        <v>317685.23530599999</v>
      </c>
      <c r="O140" s="292">
        <f>500000*('Rate Design'!$I$5/100)+MIN(5500000,O12-500000)*('Rate Design'!$I$6/100)+MAX(0,O12-6000000)*('Rate Design'!$I$7/100)+'Rate Design'!$I$9+O78*'Rate Design'!$I$10-0.2*O53</f>
        <v>371091.55882599996</v>
      </c>
      <c r="P140" s="40">
        <f t="shared" si="62"/>
        <v>4174381.6051309393</v>
      </c>
      <c r="T140" s="643"/>
    </row>
    <row r="141" spans="1:20">
      <c r="A141">
        <v>10</v>
      </c>
      <c r="B141" s="41" t="str">
        <f t="shared" si="61"/>
        <v>McCaine Foods Inc</v>
      </c>
      <c r="C141" s="250"/>
      <c r="D141" s="292">
        <f>500000*('Rate Design'!$I$5/100)+MIN(5500000,D13-500000)*('Rate Design'!$I$6/100)+MAX(0,D13-6000000)*('Rate Design'!$I$7/100)+'Rate Design'!$I$9+D79*'Rate Design'!$I$10-0.2*D54</f>
        <v>397920.117898</v>
      </c>
      <c r="E141" s="292">
        <f>500000*('Rate Design'!$I$5/100)+MIN(5500000,E13-500000)*('Rate Design'!$I$6/100)+MAX(0,E13-6000000)*('Rate Design'!$I$7/100)+'Rate Design'!$I$9+E79*'Rate Design'!$I$10-0.2*E54</f>
        <v>536254.90084000002</v>
      </c>
      <c r="F141" s="292">
        <f>500000*('Rate Design'!$I$5/100)+MIN(5500000,F13-500000)*('Rate Design'!$I$6/100)+MAX(0,F13-6000000)*('Rate Design'!$I$7/100)+'Rate Design'!$I$9+F79*'Rate Design'!$I$10-0.2*F54</f>
        <v>532145.89287999994</v>
      </c>
      <c r="G141" s="292">
        <f>500000*('Rate Design'!$I$5/100)+MIN(5500000,G13-500000)*('Rate Design'!$I$6/100)+MAX(0,G13-6000000)*('Rate Design'!$I$7/100)+'Rate Design'!$I$9+G79*'Rate Design'!$I$10-0.2*G54</f>
        <v>515409.11991999991</v>
      </c>
      <c r="H141" s="292">
        <f>500000*('Rate Design'!$I$5/100)+MIN(5500000,H13-500000)*('Rate Design'!$I$6/100)+MAX(0,H13-6000000)*('Rate Design'!$I$7/100)+'Rate Design'!$I$9+H79*'Rate Design'!$I$10-0.2*H54</f>
        <v>465083.05365999998</v>
      </c>
      <c r="I141" s="292">
        <f>500000*('Rate Design'!$I$5/100)+MIN(5500000,I13-500000)*('Rate Design'!$I$6/100)+MAX(0,I13-6000000)*('Rate Design'!$I$7/100)+'Rate Design'!$I$9+I79*'Rate Design'!$I$10-0.2*I54</f>
        <v>437518.10349999997</v>
      </c>
      <c r="J141" s="292">
        <f>500000*('Rate Design'!$I$5/100)+MIN(5500000,J13-500000)*('Rate Design'!$I$6/100)+MAX(0,J13-6000000)*('Rate Design'!$I$7/100)+'Rate Design'!$I$9+J79*'Rate Design'!$I$10-0.2*J54</f>
        <v>537075.84933999996</v>
      </c>
      <c r="K141" s="292">
        <f>500000*('Rate Design'!$I$5/100)+MIN(5500000,K13-500000)*('Rate Design'!$I$6/100)+MAX(0,K13-6000000)*('Rate Design'!$I$7/100)+'Rate Design'!$I$9+K79*'Rate Design'!$I$10-0.2*K54</f>
        <v>496813.14909999998</v>
      </c>
      <c r="L141" s="292">
        <f>500000*('Rate Design'!$I$5/100)+MIN(5500000,L13-500000)*('Rate Design'!$I$6/100)+MAX(0,L13-6000000)*('Rate Design'!$I$7/100)+'Rate Design'!$I$9+L79*'Rate Design'!$I$10-0.2*L54</f>
        <v>495572.77886319999</v>
      </c>
      <c r="M141" s="292">
        <f>500000*('Rate Design'!$I$5/100)+MIN(5500000,M13-500000)*('Rate Design'!$I$6/100)+MAX(0,M13-6000000)*('Rate Design'!$I$7/100)+'Rate Design'!$I$9+M79*'Rate Design'!$I$10-0.2*M54</f>
        <v>499067.53569999995</v>
      </c>
      <c r="N141" s="292">
        <f>500000*('Rate Design'!$I$5/100)+MIN(5500000,N13-500000)*('Rate Design'!$I$6/100)+MAX(0,N13-6000000)*('Rate Design'!$I$7/100)+'Rate Design'!$I$9+N79*'Rate Design'!$I$10-0.2*N54</f>
        <v>537404.67856000003</v>
      </c>
      <c r="O141" s="292">
        <f>500000*('Rate Design'!$I$5/100)+MIN(5500000,O13-500000)*('Rate Design'!$I$6/100)+MAX(0,O13-6000000)*('Rate Design'!$I$7/100)+'Rate Design'!$I$9+O79*'Rate Design'!$I$10-0.2*O54</f>
        <v>550570.43151999998</v>
      </c>
      <c r="P141" s="40">
        <f t="shared" si="62"/>
        <v>6000835.6117812004</v>
      </c>
      <c r="T141" s="643"/>
    </row>
    <row r="142" spans="1:20">
      <c r="A142">
        <v>11</v>
      </c>
      <c r="B142" s="41" t="str">
        <f t="shared" si="61"/>
        <v>Sacred Heart Medical Center</v>
      </c>
      <c r="C142" s="250"/>
      <c r="D142" s="292">
        <f>500000*('Rate Design'!$I$5/100)+MIN(5500000,D14-500000)*('Rate Design'!$I$6/100)+MAX(0,D14-6000000)*('Rate Design'!$I$7/100)+'Rate Design'!$I$9+D80*'Rate Design'!$I$10-0.2*D55</f>
        <v>283486.18265499995</v>
      </c>
      <c r="E142" s="292">
        <f>500000*('Rate Design'!$I$5/100)+MIN(5500000,E14-500000)*('Rate Design'!$I$6/100)+MAX(0,E14-6000000)*('Rate Design'!$I$7/100)+'Rate Design'!$I$9+E80*'Rate Design'!$I$10-0.2*E55</f>
        <v>288775.21499199996</v>
      </c>
      <c r="F142" s="292">
        <f>500000*('Rate Design'!$I$5/100)+MIN(5500000,F14-500000)*('Rate Design'!$I$6/100)+MAX(0,F14-6000000)*('Rate Design'!$I$7/100)+'Rate Design'!$I$9+F80*'Rate Design'!$I$10-0.2*F55</f>
        <v>247970.74852599998</v>
      </c>
      <c r="G142" s="292">
        <f>500000*('Rate Design'!$I$5/100)+MIN(5500000,G14-500000)*('Rate Design'!$I$6/100)+MAX(0,G14-6000000)*('Rate Design'!$I$7/100)+'Rate Design'!$I$9+G80*'Rate Design'!$I$10-0.2*G55</f>
        <v>227548.44148899999</v>
      </c>
      <c r="H142" s="292">
        <f>500000*('Rate Design'!$I$5/100)+MIN(5500000,H14-500000)*('Rate Design'!$I$6/100)+MAX(0,H14-6000000)*('Rate Design'!$I$7/100)+'Rate Design'!$I$9+H80*'Rate Design'!$I$10-0.2*H55</f>
        <v>207354.05484805998</v>
      </c>
      <c r="I142" s="292">
        <f>500000*('Rate Design'!$I$5/100)+MIN(5500000,I14-500000)*('Rate Design'!$I$6/100)+MAX(0,I14-6000000)*('Rate Design'!$I$7/100)+'Rate Design'!$I$9+I80*'Rate Design'!$I$10-0.2*I55</f>
        <v>213601.27179099998</v>
      </c>
      <c r="J142" s="292">
        <f>500000*('Rate Design'!$I$5/100)+MIN(5500000,J14-500000)*('Rate Design'!$I$6/100)+MAX(0,J14-6000000)*('Rate Design'!$I$7/100)+'Rate Design'!$I$9+J80*'Rate Design'!$I$10-0.2*J55</f>
        <v>207775.37289999999</v>
      </c>
      <c r="K142" s="292">
        <f>500000*('Rate Design'!$I$5/100)+MIN(5500000,K14-500000)*('Rate Design'!$I$6/100)+MAX(0,K14-6000000)*('Rate Design'!$I$7/100)+'Rate Design'!$I$9+K80*'Rate Design'!$I$10-0.2*K55</f>
        <v>194611.15539099998</v>
      </c>
      <c r="L142" s="292">
        <f>500000*('Rate Design'!$I$5/100)+MIN(5500000,L14-500000)*('Rate Design'!$I$6/100)+MAX(0,L14-6000000)*('Rate Design'!$I$7/100)+'Rate Design'!$I$9+L80*'Rate Design'!$I$10-0.2*L55</f>
        <v>209774.77262355998</v>
      </c>
      <c r="M142" s="292">
        <f>500000*('Rate Design'!$I$5/100)+MIN(5500000,M14-500000)*('Rate Design'!$I$6/100)+MAX(0,M14-6000000)*('Rate Design'!$I$7/100)+'Rate Design'!$I$9+M80*'Rate Design'!$I$10-0.2*M55</f>
        <v>212909.04725199996</v>
      </c>
      <c r="N142" s="292">
        <f>500000*('Rate Design'!$I$5/100)+MIN(5500000,N14-500000)*('Rate Design'!$I$6/100)+MAX(0,N14-6000000)*('Rate Design'!$I$7/100)+'Rate Design'!$I$9+N80*'Rate Design'!$I$10-0.2*N55</f>
        <v>249901.47142899997</v>
      </c>
      <c r="O142" s="292">
        <f>500000*('Rate Design'!$I$5/100)+MIN(5500000,O14-500000)*('Rate Design'!$I$6/100)+MAX(0,O14-6000000)*('Rate Design'!$I$7/100)+'Rate Design'!$I$9+O80*'Rate Design'!$I$10-0.2*O55</f>
        <v>251179.89831399999</v>
      </c>
      <c r="P142" s="40">
        <f t="shared" si="62"/>
        <v>2794887.6322106197</v>
      </c>
      <c r="T142" s="643"/>
    </row>
    <row r="143" spans="1:20">
      <c r="A143">
        <v>12</v>
      </c>
      <c r="B143" s="41" t="str">
        <f t="shared" si="61"/>
        <v>Spokane County Combined Master</v>
      </c>
      <c r="C143" s="250"/>
      <c r="D143" s="292">
        <f>500000*('Rate Design'!$I$5/100)+MIN(5500000,D15-500000)*('Rate Design'!$I$6/100)+MAX(0,D15-6000000)*('Rate Design'!$I$7/100)+'Rate Design'!$I$9+D81*'Rate Design'!$I$10-0.2*D56</f>
        <v>98177.203452999995</v>
      </c>
      <c r="E143" s="292">
        <f>500000*('Rate Design'!$I$5/100)+MIN(5500000,E15-500000)*('Rate Design'!$I$6/100)+MAX(0,E15-6000000)*('Rate Design'!$I$7/100)+'Rate Design'!$I$9+E81*'Rate Design'!$I$10-0.2*E56</f>
        <v>102070.54836299998</v>
      </c>
      <c r="F143" s="292">
        <f>500000*('Rate Design'!$I$5/100)+MIN(5500000,F15-500000)*('Rate Design'!$I$6/100)+MAX(0,F15-6000000)*('Rate Design'!$I$7/100)+'Rate Design'!$I$9+F81*'Rate Design'!$I$10-0.2*F56</f>
        <v>92044.760653999998</v>
      </c>
      <c r="G143" s="292">
        <f>500000*('Rate Design'!$I$5/100)+MIN(5500000,G15-500000)*('Rate Design'!$I$6/100)+MAX(0,G15-6000000)*('Rate Design'!$I$7/100)+'Rate Design'!$I$9+G81*'Rate Design'!$I$10-0.2*G56</f>
        <v>86325.922682999997</v>
      </c>
      <c r="H143" s="292">
        <f>500000*('Rate Design'!$I$5/100)+MIN(5500000,H15-500000)*('Rate Design'!$I$6/100)+MAX(0,H15-6000000)*('Rate Design'!$I$7/100)+'Rate Design'!$I$9+H81*'Rate Design'!$I$10-0.2*H56</f>
        <v>79174.505072999993</v>
      </c>
      <c r="I143" s="292">
        <f>500000*('Rate Design'!$I$5/100)+MIN(5500000,I15-500000)*('Rate Design'!$I$6/100)+MAX(0,I15-6000000)*('Rate Design'!$I$7/100)+'Rate Design'!$I$9+I81*'Rate Design'!$I$10-0.2*I56</f>
        <v>82529.200626999998</v>
      </c>
      <c r="J143" s="292">
        <f>500000*('Rate Design'!$I$5/100)+MIN(5500000,J15-500000)*('Rate Design'!$I$6/100)+MAX(0,J15-6000000)*('Rate Design'!$I$7/100)+'Rate Design'!$I$9+J81*'Rate Design'!$I$10-0.2*J56</f>
        <v>82497.691751999984</v>
      </c>
      <c r="K143" s="292">
        <f>500000*('Rate Design'!$I$5/100)+MIN(5500000,K15-500000)*('Rate Design'!$I$6/100)+MAX(0,K15-6000000)*('Rate Design'!$I$7/100)+'Rate Design'!$I$9+K81*'Rate Design'!$I$10-0.2*K56</f>
        <v>77648.506615999999</v>
      </c>
      <c r="L143" s="292">
        <f>500000*('Rate Design'!$I$5/100)+MIN(5500000,L15-500000)*('Rate Design'!$I$6/100)+MAX(0,L15-6000000)*('Rate Design'!$I$7/100)+'Rate Design'!$I$9+L81*'Rate Design'!$I$10-0.2*L56</f>
        <v>81917.602136639995</v>
      </c>
      <c r="M143" s="292">
        <f>500000*('Rate Design'!$I$5/100)+MIN(5500000,M15-500000)*('Rate Design'!$I$6/100)+MAX(0,M15-6000000)*('Rate Design'!$I$7/100)+'Rate Design'!$I$9+M81*'Rate Design'!$I$10-0.2*M56</f>
        <v>80862.691191999998</v>
      </c>
      <c r="N143" s="292">
        <f>500000*('Rate Design'!$I$5/100)+MIN(5500000,N15-500000)*('Rate Design'!$I$6/100)+MAX(0,N15-6000000)*('Rate Design'!$I$7/100)+'Rate Design'!$I$9+N81*'Rate Design'!$I$10-0.2*N56</f>
        <v>94636.055259000001</v>
      </c>
      <c r="O143" s="292">
        <f>500000*('Rate Design'!$I$5/100)+MIN(5500000,O15-500000)*('Rate Design'!$I$6/100)+MAX(0,O15-6000000)*('Rate Design'!$I$7/100)+'Rate Design'!$I$9+O81*'Rate Design'!$I$10-0.2*O56</f>
        <v>95270.579370999985</v>
      </c>
      <c r="P143" s="40">
        <f t="shared" si="62"/>
        <v>1053155.2671796398</v>
      </c>
      <c r="T143" s="643"/>
    </row>
    <row r="144" spans="1:20">
      <c r="A144">
        <v>13</v>
      </c>
      <c r="B144" s="41" t="str">
        <f t="shared" si="61"/>
        <v>Spokane Industries</v>
      </c>
      <c r="C144" s="250"/>
      <c r="D144" s="292">
        <f>500000*('Rate Design'!$I$5/100)+MIN(5500000,D16-500000)*('Rate Design'!$I$6/100)+MAX(0,D16-6000000)*('Rate Design'!$I$7/100)+'Rate Design'!$I$9+D82*'Rate Design'!$I$10-0.2*D57</f>
        <v>112794.17373399998</v>
      </c>
      <c r="E144" s="292">
        <f>500000*('Rate Design'!$I$5/100)+MIN(5500000,E16-500000)*('Rate Design'!$I$6/100)+MAX(0,E16-6000000)*('Rate Design'!$I$7/100)+'Rate Design'!$I$9+E82*'Rate Design'!$I$10-0.2*E57</f>
        <v>116372.84589999999</v>
      </c>
      <c r="F144" s="292">
        <f>500000*('Rate Design'!$I$5/100)+MIN(5500000,F16-500000)*('Rate Design'!$I$6/100)+MAX(0,F16-6000000)*('Rate Design'!$I$7/100)+'Rate Design'!$I$9+F82*'Rate Design'!$I$10-0.2*F57</f>
        <v>109737.814702</v>
      </c>
      <c r="G144" s="292">
        <f>500000*('Rate Design'!$I$5/100)+MIN(5500000,G16-500000)*('Rate Design'!$I$6/100)+MAX(0,G16-6000000)*('Rate Design'!$I$7/100)+'Rate Design'!$I$9+G82*'Rate Design'!$I$10-0.2*G57</f>
        <v>109475.39397999999</v>
      </c>
      <c r="H144" s="292">
        <f>500000*('Rate Design'!$I$5/100)+MIN(5500000,H16-500000)*('Rate Design'!$I$6/100)+MAX(0,H16-6000000)*('Rate Design'!$I$7/100)+'Rate Design'!$I$9+H82*'Rate Design'!$I$10-0.2*H57</f>
        <v>114070.598443</v>
      </c>
      <c r="I144" s="292">
        <f>500000*('Rate Design'!$I$5/100)+MIN(5500000,I16-500000)*('Rate Design'!$I$6/100)+MAX(0,I16-6000000)*('Rate Design'!$I$7/100)+'Rate Design'!$I$9+I82*'Rate Design'!$I$10-0.2*I57</f>
        <v>110648.43194200001</v>
      </c>
      <c r="J144" s="292">
        <f>500000*('Rate Design'!$I$5/100)+MIN(5500000,J16-500000)*('Rate Design'!$I$6/100)+MAX(0,J16-6000000)*('Rate Design'!$I$7/100)+'Rate Design'!$I$9+J82*'Rate Design'!$I$10-0.2*J57</f>
        <v>124947.38928999999</v>
      </c>
      <c r="K144" s="292">
        <f>500000*('Rate Design'!$I$5/100)+MIN(5500000,K16-500000)*('Rate Design'!$I$6/100)+MAX(0,K16-6000000)*('Rate Design'!$I$7/100)+'Rate Design'!$I$9+K82*'Rate Design'!$I$10-0.2*K57</f>
        <v>114620.005642</v>
      </c>
      <c r="L144" s="292">
        <f>500000*('Rate Design'!$I$5/100)+MIN(5500000,L16-500000)*('Rate Design'!$I$6/100)+MAX(0,L16-6000000)*('Rate Design'!$I$7/100)+'Rate Design'!$I$9+L82*'Rate Design'!$I$10-0.2*L57</f>
        <v>119783.11686965999</v>
      </c>
      <c r="M144" s="292">
        <f>500000*('Rate Design'!$I$5/100)+MIN(5500000,M16-500000)*('Rate Design'!$I$6/100)+MAX(0,M16-6000000)*('Rate Design'!$I$7/100)+'Rate Design'!$I$9+M82*'Rate Design'!$I$10-0.2*M57</f>
        <v>109052.35777599999</v>
      </c>
      <c r="N144" s="292">
        <f>500000*('Rate Design'!$I$5/100)+MIN(5500000,N16-500000)*('Rate Design'!$I$6/100)+MAX(0,N16-6000000)*('Rate Design'!$I$7/100)+'Rate Design'!$I$9+N82*'Rate Design'!$I$10-0.2*N57</f>
        <v>108214.65894399998</v>
      </c>
      <c r="O144" s="292">
        <f>500000*('Rate Design'!$I$5/100)+MIN(5500000,O16-500000)*('Rate Design'!$I$6/100)+MAX(0,O16-6000000)*('Rate Design'!$I$7/100)+'Rate Design'!$I$9+O82*'Rate Design'!$I$10-0.2*O57</f>
        <v>106271.830156</v>
      </c>
      <c r="P144" s="40">
        <f t="shared" si="62"/>
        <v>1355988.61737866</v>
      </c>
      <c r="T144" s="643"/>
    </row>
    <row r="145" spans="1:20">
      <c r="A145">
        <v>14</v>
      </c>
      <c r="B145" s="41" t="str">
        <f t="shared" si="61"/>
        <v>Vaagen Brothers Lumber</v>
      </c>
      <c r="C145" s="250"/>
      <c r="D145" s="292">
        <f>500000*('Rate Design'!$I$5/100)+MIN(5500000,D17-500000)*('Rate Design'!$I$6/100)+MAX(0,D17-6000000)*('Rate Design'!$I$7/100)+'Rate Design'!$I$9+D83*'Rate Design'!$I$10-0.2*D58</f>
        <v>128114.36968799999</v>
      </c>
      <c r="E145" s="292">
        <f>500000*('Rate Design'!$I$5/100)+MIN(5500000,E17-500000)*('Rate Design'!$I$6/100)+MAX(0,E17-6000000)*('Rate Design'!$I$7/100)+'Rate Design'!$I$9+E83*'Rate Design'!$I$10-0.2*E58</f>
        <v>130683.47332400001</v>
      </c>
      <c r="F145" s="292">
        <f>500000*('Rate Design'!$I$5/100)+MIN(5500000,F17-500000)*('Rate Design'!$I$6/100)+MAX(0,F17-6000000)*('Rate Design'!$I$7/100)+'Rate Design'!$I$9+F83*'Rate Design'!$I$10-0.2*F58</f>
        <v>103555.488344</v>
      </c>
      <c r="G145" s="292">
        <f>500000*('Rate Design'!$I$5/100)+MIN(5500000,G17-500000)*('Rate Design'!$I$6/100)+MAX(0,G17-6000000)*('Rate Design'!$I$7/100)+'Rate Design'!$I$9+G83*'Rate Design'!$I$10-0.2*G58</f>
        <v>136035.887892</v>
      </c>
      <c r="H145" s="292">
        <f>500000*('Rate Design'!$I$5/100)+MIN(5500000,H17-500000)*('Rate Design'!$I$6/100)+MAX(0,H17-6000000)*('Rate Design'!$I$7/100)+'Rate Design'!$I$9+H83*'Rate Design'!$I$10-0.2*H58</f>
        <v>150179.16389905999</v>
      </c>
      <c r="I145" s="292">
        <f>500000*('Rate Design'!$I$5/100)+MIN(5500000,I17-500000)*('Rate Design'!$I$6/100)+MAX(0,I17-6000000)*('Rate Design'!$I$7/100)+'Rate Design'!$I$9+I83*'Rate Design'!$I$10-0.2*I58</f>
        <v>144131.79893999998</v>
      </c>
      <c r="J145" s="292">
        <f>500000*('Rate Design'!$I$5/100)+MIN(5500000,J17-500000)*('Rate Design'!$I$6/100)+MAX(0,J17-6000000)*('Rate Design'!$I$7/100)+'Rate Design'!$I$9+J83*'Rate Design'!$I$10-0.2*J58</f>
        <v>158083.76944</v>
      </c>
      <c r="K145" s="292">
        <f>500000*('Rate Design'!$I$5/100)+MIN(5500000,K17-500000)*('Rate Design'!$I$6/100)+MAX(0,K17-6000000)*('Rate Design'!$I$7/100)+'Rate Design'!$I$9+K83*'Rate Design'!$I$10-0.2*K58</f>
        <v>144260.554424</v>
      </c>
      <c r="L145" s="292">
        <f>500000*('Rate Design'!$I$5/100)+MIN(5500000,L17-500000)*('Rate Design'!$I$6/100)+MAX(0,L17-6000000)*('Rate Design'!$I$7/100)+'Rate Design'!$I$9+L83*'Rate Design'!$I$10-0.2*L58</f>
        <v>154212.08312</v>
      </c>
      <c r="M145" s="292">
        <f>500000*('Rate Design'!$I$5/100)+MIN(5500000,M17-500000)*('Rate Design'!$I$6/100)+MAX(0,M17-6000000)*('Rate Design'!$I$7/100)+'Rate Design'!$I$9+M83*'Rate Design'!$I$10-0.2*M58</f>
        <v>145470.132484</v>
      </c>
      <c r="N145" s="292">
        <f>500000*('Rate Design'!$I$5/100)+MIN(5500000,N17-500000)*('Rate Design'!$I$6/100)+MAX(0,N17-6000000)*('Rate Design'!$I$7/100)+'Rate Design'!$I$9+N83*'Rate Design'!$I$10-0.2*N58</f>
        <v>128277.37121599998</v>
      </c>
      <c r="O145" s="292">
        <f>500000*('Rate Design'!$I$5/100)+MIN(5500000,O17-500000)*('Rate Design'!$I$6/100)+MAX(0,O17-6000000)*('Rate Design'!$I$7/100)+'Rate Design'!$I$9+O83*'Rate Design'!$I$10-0.2*O58</f>
        <v>115919.03023599999</v>
      </c>
      <c r="P145" s="40">
        <f t="shared" si="62"/>
        <v>1638923.12300706</v>
      </c>
      <c r="T145" s="643"/>
    </row>
    <row r="146" spans="1:20">
      <c r="A146">
        <v>15</v>
      </c>
      <c r="B146" s="41" t="str">
        <f t="shared" si="61"/>
        <v xml:space="preserve">WSU - MP-A South Campus Feeder </v>
      </c>
      <c r="C146" s="250"/>
      <c r="D146" s="292">
        <f>500000*('Rate Design'!$I$5/100)+MIN(5500000,D18-500000)*('Rate Design'!$I$6/100)+MAX(0,D18-6000000)*('Rate Design'!$I$7/100)+'Rate Design'!$I$9+D84*'Rate Design'!$I$10-0.2*D59</f>
        <v>155732.36783199999</v>
      </c>
      <c r="E146" s="292">
        <f>500000*('Rate Design'!$I$5/100)+MIN(5500000,E18-500000)*('Rate Design'!$I$6/100)+MAX(0,E18-6000000)*('Rate Design'!$I$7/100)+'Rate Design'!$I$9+E84*'Rate Design'!$I$10-0.2*E59</f>
        <v>164508.75213999997</v>
      </c>
      <c r="F146" s="292">
        <f>500000*('Rate Design'!$I$5/100)+MIN(5500000,F18-500000)*('Rate Design'!$I$6/100)+MAX(0,F18-6000000)*('Rate Design'!$I$7/100)+'Rate Design'!$I$9+F84*'Rate Design'!$I$10-0.2*F59</f>
        <v>161761.76656399999</v>
      </c>
      <c r="G146" s="292">
        <f>500000*('Rate Design'!$I$5/100)+MIN(5500000,G18-500000)*('Rate Design'!$I$6/100)+MAX(0,G18-6000000)*('Rate Design'!$I$7/100)+'Rate Design'!$I$9+G84*'Rate Design'!$I$10-0.2*G59</f>
        <v>164844.63449199998</v>
      </c>
      <c r="H146" s="292">
        <f>500000*('Rate Design'!$I$5/100)+MIN(5500000,H18-500000)*('Rate Design'!$I$6/100)+MAX(0,H18-6000000)*('Rate Design'!$I$7/100)+'Rate Design'!$I$9+H84*'Rate Design'!$I$10-0.2*H59</f>
        <v>170114.31147905998</v>
      </c>
      <c r="I146" s="292">
        <f>500000*('Rate Design'!$I$5/100)+MIN(5500000,I18-500000)*('Rate Design'!$I$6/100)+MAX(0,I18-6000000)*('Rate Design'!$I$7/100)+'Rate Design'!$I$9+I84*'Rate Design'!$I$10-0.2*I59</f>
        <v>167059.07950399999</v>
      </c>
      <c r="J146" s="292">
        <f>500000*('Rate Design'!$I$5/100)+MIN(5500000,J18-500000)*('Rate Design'!$I$6/100)+MAX(0,J18-6000000)*('Rate Design'!$I$7/100)+'Rate Design'!$I$9+J84*'Rate Design'!$I$10-0.2*J59</f>
        <v>166714.62855199998</v>
      </c>
      <c r="K146" s="292">
        <f>500000*('Rate Design'!$I$5/100)+MIN(5500000,K18-500000)*('Rate Design'!$I$6/100)+MAX(0,K18-6000000)*('Rate Design'!$I$7/100)+'Rate Design'!$I$9+K84*'Rate Design'!$I$10-0.2*K59</f>
        <v>159122.38527199998</v>
      </c>
      <c r="L146" s="292">
        <f>500000*('Rate Design'!$I$5/100)+MIN(5500000,L18-500000)*('Rate Design'!$I$6/100)+MAX(0,L18-6000000)*('Rate Design'!$I$7/100)+'Rate Design'!$I$9+L84*'Rate Design'!$I$10-0.2*L59</f>
        <v>166007.09853599998</v>
      </c>
      <c r="M146" s="292">
        <f>500000*('Rate Design'!$I$5/100)+MIN(5500000,M18-500000)*('Rate Design'!$I$6/100)+MAX(0,M18-6000000)*('Rate Design'!$I$7/100)+'Rate Design'!$I$9+M84*'Rate Design'!$I$10-0.2*M59</f>
        <v>160058.45259440001</v>
      </c>
      <c r="N146" s="292">
        <f>500000*('Rate Design'!$I$5/100)+MIN(5500000,N18-500000)*('Rate Design'!$I$6/100)+MAX(0,N18-6000000)*('Rate Design'!$I$7/100)+'Rate Design'!$I$9+N84*'Rate Design'!$I$10-0.2*N59</f>
        <v>153456.85138799998</v>
      </c>
      <c r="O146" s="292">
        <f>500000*('Rate Design'!$I$5/100)+MIN(5500000,O18-500000)*('Rate Design'!$I$6/100)+MAX(0,O18-6000000)*('Rate Design'!$I$7/100)+'Rate Design'!$I$9+O84*'Rate Design'!$I$10-0.2*O59</f>
        <v>148381.80552739999</v>
      </c>
      <c r="P146" s="40">
        <f t="shared" si="62"/>
        <v>1937762.1338808597</v>
      </c>
      <c r="T146" s="643"/>
    </row>
    <row r="147" spans="1:20">
      <c r="A147">
        <v>16</v>
      </c>
      <c r="B147" s="41" t="str">
        <f t="shared" si="61"/>
        <v xml:space="preserve">WSU - MP-B East Campus EA </v>
      </c>
      <c r="C147" s="250"/>
      <c r="D147" s="292">
        <f>500000*('Rate Design'!$I$5/100)+MIN(5500000,D19-500000)*('Rate Design'!$I$6/100)+MAX(0,D19-6000000)*('Rate Design'!$I$7/100)+'Rate Design'!$I$9+D85*'Rate Design'!$I$10-0.2*D60</f>
        <v>361878.73667820002</v>
      </c>
      <c r="E147" s="292">
        <f>500000*('Rate Design'!$I$5/100)+MIN(5500000,E19-500000)*('Rate Design'!$I$6/100)+MAX(0,E19-6000000)*('Rate Design'!$I$7/100)+'Rate Design'!$I$9+E85*'Rate Design'!$I$10-0.2*E60</f>
        <v>380073.7556874</v>
      </c>
      <c r="F147" s="292">
        <f>500000*('Rate Design'!$I$5/100)+MIN(5500000,F19-500000)*('Rate Design'!$I$6/100)+MAX(0,F19-6000000)*('Rate Design'!$I$7/100)+'Rate Design'!$I$9+F85*'Rate Design'!$I$10-0.2*F60</f>
        <v>309382.03686739999</v>
      </c>
      <c r="G147" s="292">
        <f>500000*('Rate Design'!$I$5/100)+MIN(5500000,G19-500000)*('Rate Design'!$I$6/100)+MAX(0,G19-6000000)*('Rate Design'!$I$7/100)+'Rate Design'!$I$9+G85*'Rate Design'!$I$10-0.2*G60</f>
        <v>267172.84577199997</v>
      </c>
      <c r="H147" s="292">
        <f>500000*('Rate Design'!$I$5/100)+MIN(5500000,H19-500000)*('Rate Design'!$I$6/100)+MAX(0,H19-6000000)*('Rate Design'!$I$7/100)+'Rate Design'!$I$9+H85*'Rate Design'!$I$10-0.2*H60</f>
        <v>242237.58801479999</v>
      </c>
      <c r="I147" s="292">
        <f>500000*('Rate Design'!$I$5/100)+MIN(5500000,I19-500000)*('Rate Design'!$I$6/100)+MAX(0,I19-6000000)*('Rate Design'!$I$7/100)+'Rate Design'!$I$9+I85*'Rate Design'!$I$10-0.2*I60</f>
        <v>254385.83539019999</v>
      </c>
      <c r="J147" s="292">
        <f>500000*('Rate Design'!$I$5/100)+MIN(5500000,J19-500000)*('Rate Design'!$I$6/100)+MAX(0,J19-6000000)*('Rate Design'!$I$7/100)+'Rate Design'!$I$9+J85*'Rate Design'!$I$10-0.2*J60</f>
        <v>253148.09779899995</v>
      </c>
      <c r="K147" s="292">
        <f>500000*('Rate Design'!$I$5/100)+MIN(5500000,K19-500000)*('Rate Design'!$I$6/100)+MAX(0,K19-6000000)*('Rate Design'!$I$7/100)+'Rate Design'!$I$9+K85*'Rate Design'!$I$10-0.2*K60</f>
        <v>233930.79358120001</v>
      </c>
      <c r="L147" s="292">
        <f>500000*('Rate Design'!$I$5/100)+MIN(5500000,L19-500000)*('Rate Design'!$I$6/100)+MAX(0,L19-6000000)*('Rate Design'!$I$7/100)+'Rate Design'!$I$9+L85*'Rate Design'!$I$10-0.2*L60</f>
        <v>262638.50479339994</v>
      </c>
      <c r="M147" s="292">
        <f>500000*('Rate Design'!$I$5/100)+MIN(5500000,M19-500000)*('Rate Design'!$I$6/100)+MAX(0,M19-6000000)*('Rate Design'!$I$7/100)+'Rate Design'!$I$9+M85*'Rate Design'!$I$10-0.2*M60</f>
        <v>257130.19381859998</v>
      </c>
      <c r="N147" s="292">
        <f>500000*('Rate Design'!$I$5/100)+MIN(5500000,N19-500000)*('Rate Design'!$I$6/100)+MAX(0,N19-6000000)*('Rate Design'!$I$7/100)+'Rate Design'!$I$9+N85*'Rate Design'!$I$10-0.2*N60</f>
        <v>310392.30527739995</v>
      </c>
      <c r="O147" s="292">
        <f>500000*('Rate Design'!$I$5/100)+MIN(5500000,O19-500000)*('Rate Design'!$I$6/100)+MAX(0,O19-6000000)*('Rate Design'!$I$7/100)+'Rate Design'!$I$9+O85*'Rate Design'!$I$10-0.2*O60</f>
        <v>323309.89076359995</v>
      </c>
      <c r="P147" s="40">
        <f t="shared" si="62"/>
        <v>3455680.584443199</v>
      </c>
      <c r="T147" s="643"/>
    </row>
    <row r="148" spans="1:20">
      <c r="A148">
        <v>17</v>
      </c>
      <c r="B148" s="41" t="str">
        <f t="shared" si="61"/>
        <v xml:space="preserve">WSU - MP-C East Campus EB </v>
      </c>
      <c r="C148" s="250"/>
      <c r="D148" s="292">
        <f>500000*('Rate Design'!$I$5/100)+MIN(5500000,D20-500000)*('Rate Design'!$I$6/100)+MAX(0,D20-6000000)*('Rate Design'!$I$7/100)+'Rate Design'!$I$9+D86*'Rate Design'!$I$10-0.2*D61</f>
        <v>193554.25010199996</v>
      </c>
      <c r="E148" s="292">
        <f>500000*('Rate Design'!$I$5/100)+MIN(5500000,E20-500000)*('Rate Design'!$I$6/100)+MAX(0,E20-6000000)*('Rate Design'!$I$7/100)+'Rate Design'!$I$9+E86*'Rate Design'!$I$10-0.2*E61</f>
        <v>200095.98600400001</v>
      </c>
      <c r="F148" s="292">
        <f>500000*('Rate Design'!$I$5/100)+MIN(5500000,F20-500000)*('Rate Design'!$I$6/100)+MAX(0,F20-6000000)*('Rate Design'!$I$7/100)+'Rate Design'!$I$9+F86*'Rate Design'!$I$10-0.2*F61</f>
        <v>198363.40377999999</v>
      </c>
      <c r="G148" s="292">
        <f>500000*('Rate Design'!$I$5/100)+MIN(5500000,G20-500000)*('Rate Design'!$I$6/100)+MAX(0,G20-6000000)*('Rate Design'!$I$7/100)+'Rate Design'!$I$9+G86*'Rate Design'!$I$10-0.2*G61</f>
        <v>209292.47439399999</v>
      </c>
      <c r="H148" s="292">
        <f>500000*('Rate Design'!$I$5/100)+MIN(5500000,H20-500000)*('Rate Design'!$I$6/100)+MAX(0,H20-6000000)*('Rate Design'!$I$7/100)+'Rate Design'!$I$9+H86*'Rate Design'!$I$10-0.2*H61</f>
        <v>215683.74087399998</v>
      </c>
      <c r="I148" s="292">
        <f>500000*('Rate Design'!$I$5/100)+MIN(5500000,I20-500000)*('Rate Design'!$I$6/100)+MAX(0,I20-6000000)*('Rate Design'!$I$7/100)+'Rate Design'!$I$9+I86*'Rate Design'!$I$10-0.2*I61</f>
        <v>223560.38941599999</v>
      </c>
      <c r="J148" s="292">
        <f>500000*('Rate Design'!$I$5/100)+MIN(5500000,J20-500000)*('Rate Design'!$I$6/100)+MAX(0,J20-6000000)*('Rate Design'!$I$7/100)+'Rate Design'!$I$9+J86*'Rate Design'!$I$10-0.2*J61</f>
        <v>223018.73792199997</v>
      </c>
      <c r="K148" s="292">
        <f>500000*('Rate Design'!$I$5/100)+MIN(5500000,K20-500000)*('Rate Design'!$I$6/100)+MAX(0,K20-6000000)*('Rate Design'!$I$7/100)+'Rate Design'!$I$9+K86*'Rate Design'!$I$10-0.2*K61</f>
        <v>197159.08359999998</v>
      </c>
      <c r="L148" s="292">
        <f>500000*('Rate Design'!$I$5/100)+MIN(5500000,L20-500000)*('Rate Design'!$I$6/100)+MAX(0,L20-6000000)*('Rate Design'!$I$7/100)+'Rate Design'!$I$9+L86*'Rate Design'!$I$10-0.2*L61</f>
        <v>197997.93509657998</v>
      </c>
      <c r="M148" s="292">
        <f>500000*('Rate Design'!$I$5/100)+MIN(5500000,M20-500000)*('Rate Design'!$I$6/100)+MAX(0,M20-6000000)*('Rate Design'!$I$7/100)+'Rate Design'!$I$9+M86*'Rate Design'!$I$10-0.2*M61</f>
        <v>177058.21614400001</v>
      </c>
      <c r="N148" s="292">
        <f>500000*('Rate Design'!$I$5/100)+MIN(5500000,N20-500000)*('Rate Design'!$I$6/100)+MAX(0,N20-6000000)*('Rate Design'!$I$7/100)+'Rate Design'!$I$9+N86*'Rate Design'!$I$10-0.2*N61</f>
        <v>177990.98105199999</v>
      </c>
      <c r="O148" s="292">
        <f>500000*('Rate Design'!$I$5/100)+MIN(5500000,O20-500000)*('Rate Design'!$I$6/100)+MAX(0,O20-6000000)*('Rate Design'!$I$7/100)+'Rate Design'!$I$9+O86*'Rate Design'!$I$10-0.2*O61</f>
        <v>171078.41563599999</v>
      </c>
      <c r="P148" s="40">
        <f t="shared" si="62"/>
        <v>2384853.6140205804</v>
      </c>
      <c r="T148" s="643"/>
    </row>
    <row r="149" spans="1:20">
      <c r="A149">
        <v>18</v>
      </c>
      <c r="B149" s="41" t="str">
        <f t="shared" si="61"/>
        <v>WSU - MP -D Casp East (no PVD)</v>
      </c>
      <c r="C149" s="250"/>
      <c r="D149" s="292">
        <f>500000*('Rate Design'!$I$5/100)+MIN(5500000,D21-500000)*('Rate Design'!$I$6/100)+MAX(0,D21-6000000)*('Rate Design'!$I$7/100)+'Rate Design'!$I$9+D87*'Rate Design'!$I$10</f>
        <v>162166.16414000001</v>
      </c>
      <c r="E149" s="292">
        <f>500000*('Rate Design'!$I$5/100)+MIN(5500000,E21-500000)*('Rate Design'!$I$6/100)+MAX(0,E21-6000000)*('Rate Design'!$I$7/100)+'Rate Design'!$I$9+E87*'Rate Design'!$I$10</f>
        <v>168357.88725999999</v>
      </c>
      <c r="F149" s="292">
        <f>500000*('Rate Design'!$I$5/100)+MIN(5500000,F21-500000)*('Rate Design'!$I$6/100)+MAX(0,F21-6000000)*('Rate Design'!$I$7/100)+'Rate Design'!$I$9+F87*'Rate Design'!$I$10</f>
        <v>169576.79545999999</v>
      </c>
      <c r="G149" s="292">
        <f>500000*('Rate Design'!$I$5/100)+MIN(5500000,G21-500000)*('Rate Design'!$I$6/100)+MAX(0,G21-6000000)*('Rate Design'!$I$7/100)+'Rate Design'!$I$9+G87*'Rate Design'!$I$10</f>
        <v>174926.13859999998</v>
      </c>
      <c r="H149" s="292">
        <f>500000*('Rate Design'!$I$5/100)+MIN(5500000,H21-500000)*('Rate Design'!$I$6/100)+MAX(0,H21-6000000)*('Rate Design'!$I$7/100)+'Rate Design'!$I$9+H87*'Rate Design'!$I$10</f>
        <v>194317.80153999999</v>
      </c>
      <c r="I149" s="292">
        <f>500000*('Rate Design'!$I$5/100)+MIN(5500000,I21-500000)*('Rate Design'!$I$6/100)+MAX(0,I21-6000000)*('Rate Design'!$I$7/100)+'Rate Design'!$I$9+I87*'Rate Design'!$I$10</f>
        <v>211637.42695999998</v>
      </c>
      <c r="J149" s="292">
        <f>500000*('Rate Design'!$I$5/100)+MIN(5500000,J21-500000)*('Rate Design'!$I$6/100)+MAX(0,J21-6000000)*('Rate Design'!$I$7/100)+'Rate Design'!$I$9+J87*'Rate Design'!$I$10</f>
        <v>191838.43359999999</v>
      </c>
      <c r="K149" s="292">
        <f>500000*('Rate Design'!$I$5/100)+MIN(5500000,K21-500000)*('Rate Design'!$I$6/100)+MAX(0,K21-6000000)*('Rate Design'!$I$7/100)+'Rate Design'!$I$9+K87*'Rate Design'!$I$10</f>
        <v>183388.84906000001</v>
      </c>
      <c r="L149" s="292">
        <f>500000*('Rate Design'!$I$5/100)+MIN(5500000,L21-500000)*('Rate Design'!$I$6/100)+MAX(0,L21-6000000)*('Rate Design'!$I$7/100)+'Rate Design'!$I$9+L87*'Rate Design'!$I$10</f>
        <v>192761.40636469997</v>
      </c>
      <c r="M149" s="292">
        <f>500000*('Rate Design'!$I$5/100)+MIN(5500000,M21-500000)*('Rate Design'!$I$6/100)+MAX(0,M21-6000000)*('Rate Design'!$I$7/100)+'Rate Design'!$I$9+M87*'Rate Design'!$I$10</f>
        <v>176284.36803999997</v>
      </c>
      <c r="N149" s="292">
        <f>500000*('Rate Design'!$I$5/100)+MIN(5500000,N21-500000)*('Rate Design'!$I$6/100)+MAX(0,N21-6000000)*('Rate Design'!$I$7/100)+'Rate Design'!$I$9+N87*'Rate Design'!$I$10</f>
        <v>167195.40549999999</v>
      </c>
      <c r="O149" s="292">
        <f>500000*('Rate Design'!$I$5/100)+MIN(5500000,O21-500000)*('Rate Design'!$I$6/100)+MAX(0,O21-6000000)*('Rate Design'!$I$7/100)+'Rate Design'!$I$9+O87*'Rate Design'!$I$10</f>
        <v>153351.14795999997</v>
      </c>
      <c r="P149" s="40">
        <f t="shared" si="62"/>
        <v>2145801.8244846994</v>
      </c>
      <c r="T149" s="643"/>
    </row>
    <row r="150" spans="1:20">
      <c r="A150">
        <v>19</v>
      </c>
      <c r="B150" s="41" t="str">
        <f t="shared" si="61"/>
        <v>WSU - MP-E Casp West (no PVD)</v>
      </c>
      <c r="C150" s="250"/>
      <c r="D150" s="292">
        <f>500000*('Rate Design'!$I$5/100)+MIN(5500000,D22-500000)*('Rate Design'!$I$6/100)+MAX(0,D22-6000000)*('Rate Design'!$I$7/100)+'Rate Design'!$I$9+D88*'Rate Design'!$I$10</f>
        <v>221390.28423199998</v>
      </c>
      <c r="E150" s="292">
        <f>500000*('Rate Design'!$I$5/100)+MIN(5500000,E22-500000)*('Rate Design'!$I$6/100)+MAX(0,E22-6000000)*('Rate Design'!$I$7/100)+'Rate Design'!$I$9+E88*'Rate Design'!$I$10</f>
        <v>243743.18245199998</v>
      </c>
      <c r="F150" s="292">
        <f>500000*('Rate Design'!$I$5/100)+MIN(5500000,F22-500000)*('Rate Design'!$I$6/100)+MAX(0,F22-6000000)*('Rate Design'!$I$7/100)+'Rate Design'!$I$9+F88*'Rate Design'!$I$10</f>
        <v>217542.10395011998</v>
      </c>
      <c r="G150" s="292">
        <f>500000*('Rate Design'!$I$5/100)+MIN(5500000,G22-500000)*('Rate Design'!$I$6/100)+MAX(0,G22-6000000)*('Rate Design'!$I$7/100)+'Rate Design'!$I$9+G88*'Rate Design'!$I$10</f>
        <v>198175.28461599999</v>
      </c>
      <c r="H150" s="292">
        <f>500000*('Rate Design'!$I$5/100)+MIN(5500000,H22-500000)*('Rate Design'!$I$6/100)+MAX(0,H22-6000000)*('Rate Design'!$I$7/100)+'Rate Design'!$I$9+H88*'Rate Design'!$I$10</f>
        <v>140795.65093199999</v>
      </c>
      <c r="I150" s="292">
        <f>500000*('Rate Design'!$I$5/100)+MIN(5500000,I22-500000)*('Rate Design'!$I$6/100)+MAX(0,I22-6000000)*('Rate Design'!$I$7/100)+'Rate Design'!$I$9+I88*'Rate Design'!$I$10</f>
        <v>137773.16481999998</v>
      </c>
      <c r="J150" s="292">
        <f>500000*('Rate Design'!$I$5/100)+MIN(5500000,J22-500000)*('Rate Design'!$I$6/100)+MAX(0,J22-6000000)*('Rate Design'!$I$7/100)+'Rate Design'!$I$9+J88*'Rate Design'!$I$10</f>
        <v>142286.20595999999</v>
      </c>
      <c r="K150" s="292">
        <f>500000*('Rate Design'!$I$5/100)+MIN(5500000,K22-500000)*('Rate Design'!$I$6/100)+MAX(0,K22-6000000)*('Rate Design'!$I$7/100)+'Rate Design'!$I$9+K88*'Rate Design'!$I$10</f>
        <v>138063.102572</v>
      </c>
      <c r="L150" s="292">
        <f>500000*('Rate Design'!$I$5/100)+MIN(5500000,L22-500000)*('Rate Design'!$I$6/100)+MAX(0,L22-6000000)*('Rate Design'!$I$7/100)+'Rate Design'!$I$9+L88*'Rate Design'!$I$10</f>
        <v>141306.69400893999</v>
      </c>
      <c r="M150" s="292">
        <f>500000*('Rate Design'!$I$5/100)+MIN(5500000,M22-500000)*('Rate Design'!$I$6/100)+MAX(0,M22-6000000)*('Rate Design'!$I$7/100)+'Rate Design'!$I$9+M88*'Rate Design'!$I$10</f>
        <v>152036.83247599998</v>
      </c>
      <c r="N150" s="292">
        <f>500000*('Rate Design'!$I$5/100)+MIN(5500000,N22-500000)*('Rate Design'!$I$6/100)+MAX(0,N22-6000000)*('Rate Design'!$I$7/100)+'Rate Design'!$I$9+N88*'Rate Design'!$I$10</f>
        <v>192073.902604</v>
      </c>
      <c r="O150" s="292">
        <f>500000*('Rate Design'!$I$5/100)+MIN(5500000,O22-500000)*('Rate Design'!$I$6/100)+MAX(0,O22-6000000)*('Rate Design'!$I$7/100)+'Rate Design'!$I$9+O88*'Rate Design'!$I$10</f>
        <v>206648.45741599996</v>
      </c>
      <c r="P150" s="40">
        <f t="shared" si="62"/>
        <v>2131834.8660390596</v>
      </c>
      <c r="T150" s="643"/>
    </row>
    <row r="151" spans="1:20">
      <c r="A151">
        <v>20</v>
      </c>
      <c r="B151" s="41" t="str">
        <f t="shared" si="61"/>
        <v>Goodrich - South 2311155858 (No PVD)</v>
      </c>
      <c r="C151" s="250"/>
      <c r="D151" s="292">
        <f>500000*('Rate Design'!$I$5/100)+MIN(5500000,D23-500000)*('Rate Design'!$I$6/100)+MAX(0,D23-6000000)*('Rate Design'!$I$7/100)+'Rate Design'!$I$9+D89*'Rate Design'!$I$10</f>
        <v>194630.03986399999</v>
      </c>
      <c r="E151" s="292">
        <f>500000*('Rate Design'!$I$5/100)+MIN(5500000,E23-500000)*('Rate Design'!$I$6/100)+MAX(0,E23-6000000)*('Rate Design'!$I$7/100)+'Rate Design'!$I$9+E89*'Rate Design'!$I$10</f>
        <v>185195.00427199996</v>
      </c>
      <c r="F151" s="292">
        <f>500000*('Rate Design'!$I$5/100)+MIN(5500000,F23-500000)*('Rate Design'!$I$6/100)+MAX(0,F23-6000000)*('Rate Design'!$I$7/100)+'Rate Design'!$I$9+F89*'Rate Design'!$I$10</f>
        <v>198882.28716000001</v>
      </c>
      <c r="G151" s="292">
        <f>500000*('Rate Design'!$I$5/100)+MIN(5500000,G23-500000)*('Rate Design'!$I$6/100)+MAX(0,G23-6000000)*('Rate Design'!$I$7/100)+'Rate Design'!$I$9+G89*'Rate Design'!$I$10</f>
        <v>192563.98229199997</v>
      </c>
      <c r="H151" s="292">
        <f>500000*('Rate Design'!$I$5/100)+MIN(5500000,H23-500000)*('Rate Design'!$I$6/100)+MAX(0,H23-6000000)*('Rate Design'!$I$7/100)+'Rate Design'!$I$9+H89*'Rate Design'!$I$10</f>
        <v>210836.00195199996</v>
      </c>
      <c r="I151" s="292">
        <f>500000*('Rate Design'!$I$5/100)+MIN(5500000,I23-500000)*('Rate Design'!$I$6/100)+MAX(0,I23-6000000)*('Rate Design'!$I$7/100)+'Rate Design'!$I$9+I89*'Rate Design'!$I$10</f>
        <v>150511.14712799998</v>
      </c>
      <c r="J151" s="292">
        <f>500000*('Rate Design'!$I$5/100)+MIN(5500000,J23-500000)*('Rate Design'!$I$6/100)+MAX(0,J23-6000000)*('Rate Design'!$I$7/100)+'Rate Design'!$I$9+J89*'Rate Design'!$I$10</f>
        <v>225795.27827599997</v>
      </c>
      <c r="K151" s="292">
        <f>500000*('Rate Design'!$I$5/100)+MIN(5500000,K23-500000)*('Rate Design'!$I$6/100)+MAX(0,K23-6000000)*('Rate Design'!$I$7/100)+'Rate Design'!$I$9+K89*'Rate Design'!$I$10</f>
        <v>184282.63587999996</v>
      </c>
      <c r="L151" s="292">
        <f>500000*('Rate Design'!$I$5/100)+MIN(5500000,L23-500000)*('Rate Design'!$I$6/100)+MAX(0,L23-6000000)*('Rate Design'!$I$7/100)+'Rate Design'!$I$9+L89*'Rate Design'!$I$10</f>
        <v>194137.18503552</v>
      </c>
      <c r="M151" s="292">
        <f>500000*('Rate Design'!$I$5/100)+MIN(5500000,M23-500000)*('Rate Design'!$I$6/100)+MAX(0,M23-6000000)*('Rate Design'!$I$7/100)+'Rate Design'!$I$9+M89*'Rate Design'!$I$10</f>
        <v>186657.89600800001</v>
      </c>
      <c r="N151" s="292">
        <f>500000*('Rate Design'!$I$5/100)+MIN(5500000,N23-500000)*('Rate Design'!$I$6/100)+MAX(0,N23-6000000)*('Rate Design'!$I$7/100)+'Rate Design'!$I$9+N89*'Rate Design'!$I$10</f>
        <v>179511.17566400001</v>
      </c>
      <c r="O151" s="292">
        <f>500000*('Rate Design'!$I$5/100)+MIN(5500000,O23-500000)*('Rate Design'!$I$6/100)+MAX(0,O23-6000000)*('Rate Design'!$I$7/100)+'Rate Design'!$I$9+O89*'Rate Design'!$I$10</f>
        <v>199166.05694399998</v>
      </c>
      <c r="P151" s="40">
        <f>SUM(D151:O151)</f>
        <v>2302168.6904755197</v>
      </c>
      <c r="T151" s="643"/>
    </row>
    <row r="152" spans="1:20">
      <c r="A152">
        <v>21</v>
      </c>
      <c r="B152" s="41" t="str">
        <f t="shared" si="61"/>
        <v>Boise Cascade LLC Inland Region</v>
      </c>
      <c r="C152" s="250"/>
      <c r="D152" s="292">
        <f>500000*('Rate Design'!$I$5/100)+MIN(5500000,D24-500000)*('Rate Design'!$I$6/100)+MAX(0,D24-6000000)*('Rate Design'!$I$7/100)+'Rate Design'!$I$9+D90*'Rate Design'!$I$10-0.2*D65</f>
        <v>77538.644583999994</v>
      </c>
      <c r="E152" s="292">
        <f>500000*('Rate Design'!$I$5/100)+MIN(5500000,E24-500000)*('Rate Design'!$I$6/100)+MAX(0,E24-6000000)*('Rate Design'!$I$7/100)+'Rate Design'!$I$9+E90*'Rate Design'!$I$10-0.2*E65</f>
        <v>80154.910707999996</v>
      </c>
      <c r="F152" s="292">
        <f>500000*('Rate Design'!$I$5/100)+MIN(5500000,F24-500000)*('Rate Design'!$I$6/100)+MAX(0,F24-6000000)*('Rate Design'!$I$7/100)+'Rate Design'!$I$9+F90*'Rate Design'!$I$10-0.2*F65</f>
        <v>76053.509127999991</v>
      </c>
      <c r="G152" s="292">
        <f>500000*('Rate Design'!$I$5/100)+MIN(5500000,G24-500000)*('Rate Design'!$I$6/100)+MAX(0,G24-6000000)*('Rate Design'!$I$7/100)+'Rate Design'!$I$9+G90*'Rate Design'!$I$10-0.2*G65</f>
        <v>78154.837</v>
      </c>
      <c r="H152" s="292">
        <f>500000*('Rate Design'!$I$5/100)+MIN(5500000,H24-500000)*('Rate Design'!$I$6/100)+MAX(0,H24-6000000)*('Rate Design'!$I$7/100)+'Rate Design'!$I$9+H90*'Rate Design'!$I$10-0.2*H65</f>
        <v>86308.193397999989</v>
      </c>
      <c r="I152" s="292">
        <f>500000*('Rate Design'!$I$5/100)+MIN(5500000,I24-500000)*('Rate Design'!$I$6/100)+MAX(0,I24-6000000)*('Rate Design'!$I$7/100)+'Rate Design'!$I$9+I90*'Rate Design'!$I$10-0.2*I65</f>
        <v>86905.479603999993</v>
      </c>
      <c r="J152" s="292">
        <f>500000*('Rate Design'!$I$5/100)+MIN(5500000,J24-500000)*('Rate Design'!$I$6/100)+MAX(0,J24-6000000)*('Rate Design'!$I$7/100)+'Rate Design'!$I$9+J90*'Rate Design'!$I$10-0.2*J65</f>
        <v>88538.539803999985</v>
      </c>
      <c r="K152" s="292">
        <f>500000*('Rate Design'!$I$5/100)+MIN(5500000,K24-500000)*('Rate Design'!$I$6/100)+MAX(0,K24-6000000)*('Rate Design'!$I$7/100)+'Rate Design'!$I$9+K90*'Rate Design'!$I$10-0.2*K65</f>
        <v>84777.883833999993</v>
      </c>
      <c r="L152" s="292">
        <f>500000*('Rate Design'!$I$5/100)+MIN(5500000,L24-500000)*('Rate Design'!$I$6/100)+MAX(0,L24-6000000)*('Rate Design'!$I$7/100)+'Rate Design'!$I$9+L90*'Rate Design'!$I$10-0.2*L65</f>
        <v>90869.38500188</v>
      </c>
      <c r="M152" s="292">
        <f>500000*('Rate Design'!$I$5/100)+MIN(5500000,M24-500000)*('Rate Design'!$I$6/100)+MAX(0,M24-6000000)*('Rate Design'!$I$7/100)+'Rate Design'!$I$9+M90*'Rate Design'!$I$10-0.2*M65</f>
        <v>79626.473572000003</v>
      </c>
      <c r="N152" s="292">
        <f>500000*('Rate Design'!$I$5/100)+MIN(5500000,N24-500000)*('Rate Design'!$I$6/100)+MAX(0,N24-6000000)*('Rate Design'!$I$7/100)+'Rate Design'!$I$9+N90*'Rate Design'!$I$10-0.2*N65</f>
        <v>79383.147105999989</v>
      </c>
      <c r="O152" s="292">
        <f>500000*('Rate Design'!$I$5/100)+MIN(5500000,O24-500000)*('Rate Design'!$I$6/100)+MAX(0,O24-6000000)*('Rate Design'!$I$7/100)+'Rate Design'!$I$9+O90*'Rate Design'!$I$10-0.2*O65</f>
        <v>82386.001935999986</v>
      </c>
      <c r="P152" s="40">
        <f>SUM(D152:O152)</f>
        <v>990697.00567587989</v>
      </c>
      <c r="T152" s="643"/>
    </row>
    <row r="153" spans="1:20">
      <c r="B153" t="s">
        <v>331</v>
      </c>
      <c r="P153" s="40">
        <f>SUM(P132:P152)</f>
        <v>46296182.533633232</v>
      </c>
      <c r="Q153" s="40">
        <f ca="1">P153-'Pres &amp; Prop Rev'!I152</f>
        <v>-8.0667659640312195E-3</v>
      </c>
      <c r="T153" s="643"/>
    </row>
    <row r="154" spans="1:20">
      <c r="P154" s="40"/>
    </row>
    <row r="155" spans="1:20">
      <c r="D155">
        <v>24</v>
      </c>
      <c r="E155">
        <v>24</v>
      </c>
      <c r="F155">
        <v>24</v>
      </c>
      <c r="G155">
        <v>24</v>
      </c>
      <c r="H155">
        <v>24</v>
      </c>
      <c r="I155">
        <v>24</v>
      </c>
      <c r="J155">
        <v>24</v>
      </c>
      <c r="K155">
        <v>24</v>
      </c>
      <c r="L155">
        <v>24</v>
      </c>
      <c r="M155">
        <v>24</v>
      </c>
      <c r="N155">
        <v>24</v>
      </c>
      <c r="O155">
        <v>24</v>
      </c>
    </row>
    <row r="156" spans="1:20">
      <c r="D156">
        <v>31</v>
      </c>
      <c r="E156">
        <v>30</v>
      </c>
      <c r="F156">
        <v>31</v>
      </c>
      <c r="G156">
        <v>31</v>
      </c>
      <c r="H156">
        <v>28</v>
      </c>
      <c r="I156">
        <v>31</v>
      </c>
      <c r="J156">
        <v>30</v>
      </c>
      <c r="K156">
        <v>31</v>
      </c>
      <c r="L156">
        <v>30</v>
      </c>
      <c r="M156">
        <v>31</v>
      </c>
      <c r="N156">
        <v>31</v>
      </c>
      <c r="O156">
        <v>30</v>
      </c>
      <c r="P156">
        <f>SUM(D156:O156)</f>
        <v>365</v>
      </c>
    </row>
    <row r="157" spans="1:20">
      <c r="D157">
        <f>D155*D156</f>
        <v>744</v>
      </c>
      <c r="E157">
        <f>E155*E156</f>
        <v>720</v>
      </c>
      <c r="F157">
        <f t="shared" ref="F157:O157" si="63">F155*F156</f>
        <v>744</v>
      </c>
      <c r="G157">
        <f t="shared" si="63"/>
        <v>744</v>
      </c>
      <c r="H157">
        <f t="shared" si="63"/>
        <v>672</v>
      </c>
      <c r="I157">
        <f t="shared" si="63"/>
        <v>744</v>
      </c>
      <c r="J157">
        <f t="shared" si="63"/>
        <v>720</v>
      </c>
      <c r="K157">
        <f t="shared" si="63"/>
        <v>744</v>
      </c>
      <c r="L157">
        <f t="shared" si="63"/>
        <v>720</v>
      </c>
      <c r="M157">
        <f t="shared" si="63"/>
        <v>744</v>
      </c>
      <c r="N157">
        <f t="shared" si="63"/>
        <v>744</v>
      </c>
      <c r="O157">
        <f t="shared" si="63"/>
        <v>720</v>
      </c>
      <c r="P157">
        <f>SUM(D157:O157)</f>
        <v>8760</v>
      </c>
    </row>
    <row r="158" spans="1:20" ht="13">
      <c r="B158" s="172" t="s">
        <v>484</v>
      </c>
      <c r="D158" s="291">
        <f t="shared" ref="D158:O158" si="64">D3</f>
        <v>44773</v>
      </c>
      <c r="E158" s="291">
        <f t="shared" si="64"/>
        <v>44804</v>
      </c>
      <c r="F158" s="291">
        <f t="shared" si="64"/>
        <v>44834</v>
      </c>
      <c r="G158" s="291">
        <f t="shared" si="64"/>
        <v>44865</v>
      </c>
      <c r="H158" s="291">
        <f t="shared" si="64"/>
        <v>44895</v>
      </c>
      <c r="I158" s="291">
        <f t="shared" si="64"/>
        <v>44926</v>
      </c>
      <c r="J158" s="291">
        <f t="shared" si="64"/>
        <v>44957</v>
      </c>
      <c r="K158" s="291">
        <f t="shared" si="64"/>
        <v>44985</v>
      </c>
      <c r="L158" s="291">
        <f t="shared" si="64"/>
        <v>45016</v>
      </c>
      <c r="M158" s="291">
        <f t="shared" si="64"/>
        <v>45046</v>
      </c>
      <c r="N158" s="291">
        <f t="shared" si="64"/>
        <v>45077</v>
      </c>
      <c r="O158" s="291">
        <f t="shared" si="64"/>
        <v>45107</v>
      </c>
      <c r="P158" s="32" t="s">
        <v>485</v>
      </c>
      <c r="Q158" t="s">
        <v>486</v>
      </c>
    </row>
    <row r="159" spans="1:20">
      <c r="A159">
        <v>1</v>
      </c>
      <c r="B159" s="369" t="str">
        <f t="shared" ref="B159:B179" si="65">B4</f>
        <v>Goodrich - North 2311008572</v>
      </c>
      <c r="C159" s="41"/>
      <c r="D159" s="316">
        <f t="shared" ref="D159:O159" si="66">(D4/D$157)/D45</f>
        <v>0.75469838042892179</v>
      </c>
      <c r="E159" s="316">
        <f t="shared" si="66"/>
        <v>0.73225275082506969</v>
      </c>
      <c r="F159" s="316">
        <f t="shared" si="66"/>
        <v>0.63919020319278752</v>
      </c>
      <c r="G159" s="316">
        <f t="shared" si="66"/>
        <v>0.67610765930521155</v>
      </c>
      <c r="H159" s="316">
        <f t="shared" si="66"/>
        <v>0.71824612326528114</v>
      </c>
      <c r="I159" s="316">
        <f t="shared" si="66"/>
        <v>0.56697675003905346</v>
      </c>
      <c r="J159" s="316">
        <f t="shared" si="66"/>
        <v>0.81507378816944887</v>
      </c>
      <c r="K159" s="316">
        <f t="shared" si="66"/>
        <v>0.58999105141614117</v>
      </c>
      <c r="L159" s="316">
        <f t="shared" si="66"/>
        <v>0.76824523773515907</v>
      </c>
      <c r="M159" s="316">
        <f t="shared" si="66"/>
        <v>0.63221010055777882</v>
      </c>
      <c r="N159" s="316">
        <f t="shared" si="66"/>
        <v>0.65496548132039889</v>
      </c>
      <c r="O159" s="316">
        <f t="shared" si="66"/>
        <v>0.63658553158474462</v>
      </c>
      <c r="P159" s="317">
        <f>AVERAGE(D159:O159)</f>
        <v>0.68204525481999967</v>
      </c>
      <c r="Q159" s="317">
        <f t="shared" ref="Q159:Q179" si="67">(P4/8760)/Q45</f>
        <v>0.55575752161680947</v>
      </c>
    </row>
    <row r="160" spans="1:20">
      <c r="A160">
        <v>2</v>
      </c>
      <c r="B160" s="369" t="str">
        <f t="shared" si="65"/>
        <v>Boise Cascade Plywood</v>
      </c>
      <c r="C160" s="41"/>
      <c r="D160" s="316">
        <f t="shared" ref="D160:O160" si="68">(D5/D$157)/D46</f>
        <v>0.7573227951960777</v>
      </c>
      <c r="E160" s="316">
        <f t="shared" si="68"/>
        <v>0.80197264927337708</v>
      </c>
      <c r="F160" s="316">
        <f t="shared" si="68"/>
        <v>0.72698886771221094</v>
      </c>
      <c r="G160" s="316">
        <f t="shared" si="68"/>
        <v>0.76714520459068303</v>
      </c>
      <c r="H160" s="316">
        <f t="shared" si="68"/>
        <v>0.68153861639051572</v>
      </c>
      <c r="I160" s="316">
        <f t="shared" si="68"/>
        <v>0.61596024340562183</v>
      </c>
      <c r="J160" s="316">
        <f t="shared" si="68"/>
        <v>0.78974241954370883</v>
      </c>
      <c r="K160" s="316">
        <f t="shared" si="68"/>
        <v>0.70082657848287044</v>
      </c>
      <c r="L160" s="316">
        <f t="shared" si="68"/>
        <v>0.81664580531706921</v>
      </c>
      <c r="M160" s="316">
        <f t="shared" si="68"/>
        <v>0.73618337422445967</v>
      </c>
      <c r="N160" s="316">
        <f t="shared" si="68"/>
        <v>0.73261360910212869</v>
      </c>
      <c r="O160" s="316">
        <f t="shared" si="68"/>
        <v>0.74960021993601589</v>
      </c>
      <c r="P160" s="317">
        <f t="shared" ref="P160:P177" si="69">AVERAGE(D160:O160)</f>
        <v>0.73971169859789487</v>
      </c>
      <c r="Q160" s="317">
        <f t="shared" si="67"/>
        <v>0.72719903966268196</v>
      </c>
    </row>
    <row r="161" spans="1:17">
      <c r="A161">
        <v>3</v>
      </c>
      <c r="B161" s="369" t="str">
        <f t="shared" si="65"/>
        <v>Boise Cascade Sawmill</v>
      </c>
      <c r="C161" s="41"/>
      <c r="D161" s="316">
        <f t="shared" ref="D161:O161" si="70">(D6/D$157)/D47</f>
        <v>0.47002775388885326</v>
      </c>
      <c r="E161" s="316">
        <f t="shared" si="70"/>
        <v>0.54691435599572613</v>
      </c>
      <c r="F161" s="316">
        <f t="shared" si="70"/>
        <v>0.45485100427642755</v>
      </c>
      <c r="G161" s="316">
        <f t="shared" si="70"/>
        <v>0.49328155912282184</v>
      </c>
      <c r="H161" s="316">
        <f t="shared" si="70"/>
        <v>0.63903483177946507</v>
      </c>
      <c r="I161" s="316">
        <f t="shared" si="70"/>
        <v>0.58377205223244566</v>
      </c>
      <c r="J161" s="316">
        <f t="shared" si="70"/>
        <v>0.6504449334153577</v>
      </c>
      <c r="K161" s="316">
        <f t="shared" si="70"/>
        <v>0.59525125310786586</v>
      </c>
      <c r="L161" s="316">
        <f t="shared" si="70"/>
        <v>0.65217060737651722</v>
      </c>
      <c r="M161" s="316">
        <f t="shared" si="70"/>
        <v>0.59942007615525217</v>
      </c>
      <c r="N161" s="316">
        <f t="shared" si="70"/>
        <v>0.62587960603541437</v>
      </c>
      <c r="O161" s="316">
        <f t="shared" si="70"/>
        <v>0.67869050437036205</v>
      </c>
      <c r="P161" s="317">
        <f t="shared" si="69"/>
        <v>0.58247821147970902</v>
      </c>
      <c r="Q161" s="317">
        <f t="shared" si="67"/>
        <v>0.53169711481596638</v>
      </c>
    </row>
    <row r="162" spans="1:17">
      <c r="A162">
        <v>4</v>
      </c>
      <c r="B162" s="369" t="str">
        <f t="shared" si="65"/>
        <v>City of Spokane</v>
      </c>
      <c r="C162" s="41"/>
      <c r="D162" s="316">
        <f t="shared" ref="D162:O162" si="71">(D7/D$157)/D48</f>
        <v>0.67973424694389051</v>
      </c>
      <c r="E162" s="316">
        <f t="shared" si="71"/>
        <v>0.71356376403000255</v>
      </c>
      <c r="F162" s="316">
        <f t="shared" si="71"/>
        <v>0.59290537731756954</v>
      </c>
      <c r="G162" s="316">
        <f t="shared" si="71"/>
        <v>0.60980286803326167</v>
      </c>
      <c r="H162" s="316">
        <f t="shared" si="71"/>
        <v>0.78196133952440805</v>
      </c>
      <c r="I162" s="316">
        <f t="shared" si="71"/>
        <v>0.69723328631522685</v>
      </c>
      <c r="J162" s="316">
        <f t="shared" si="71"/>
        <v>0.76084945222666645</v>
      </c>
      <c r="K162" s="316">
        <f t="shared" si="71"/>
        <v>0.65601884519644837</v>
      </c>
      <c r="L162" s="316">
        <f t="shared" si="71"/>
        <v>0.64367576145246708</v>
      </c>
      <c r="M162" s="316">
        <f t="shared" si="71"/>
        <v>0.6030014759573995</v>
      </c>
      <c r="N162" s="316">
        <f t="shared" si="71"/>
        <v>0.65780352784029161</v>
      </c>
      <c r="O162" s="316">
        <f t="shared" si="71"/>
        <v>0.63557111714136205</v>
      </c>
      <c r="P162" s="317">
        <f t="shared" si="69"/>
        <v>0.66934342183158291</v>
      </c>
      <c r="Q162" s="317">
        <f t="shared" si="67"/>
        <v>0.58127186011841792</v>
      </c>
    </row>
    <row r="163" spans="1:17">
      <c r="A163">
        <v>5</v>
      </c>
      <c r="B163" s="369" t="str">
        <f t="shared" si="65"/>
        <v>Empire Health Services</v>
      </c>
      <c r="C163" s="41"/>
      <c r="D163" s="316">
        <f t="shared" ref="D163:O163" si="72">(D8/D$157)/D49</f>
        <v>0.74372094293277113</v>
      </c>
      <c r="E163" s="316">
        <f t="shared" si="72"/>
        <v>0.75164523289663188</v>
      </c>
      <c r="F163" s="316">
        <f t="shared" si="72"/>
        <v>0.62437923650341054</v>
      </c>
      <c r="G163" s="316">
        <f t="shared" si="72"/>
        <v>0.69318160544650675</v>
      </c>
      <c r="H163" s="316">
        <f t="shared" si="72"/>
        <v>0.85313308189513271</v>
      </c>
      <c r="I163" s="316">
        <f t="shared" si="72"/>
        <v>0.80452045682934581</v>
      </c>
      <c r="J163" s="316">
        <f t="shared" si="72"/>
        <v>0.8024192139232883</v>
      </c>
      <c r="K163" s="316">
        <f t="shared" si="72"/>
        <v>0.72380251838563225</v>
      </c>
      <c r="L163" s="316">
        <f t="shared" si="72"/>
        <v>0.83920541651540037</v>
      </c>
      <c r="M163" s="316">
        <f t="shared" si="72"/>
        <v>0.68314339422806625</v>
      </c>
      <c r="N163" s="316">
        <f t="shared" si="72"/>
        <v>0.67935103915305828</v>
      </c>
      <c r="O163" s="316">
        <f t="shared" si="72"/>
        <v>0.70596832334099091</v>
      </c>
      <c r="P163" s="317">
        <f t="shared" si="69"/>
        <v>0.74203920517085298</v>
      </c>
      <c r="Q163" s="317">
        <f t="shared" si="67"/>
        <v>0.63064781740543741</v>
      </c>
    </row>
    <row r="164" spans="1:17">
      <c r="A164">
        <v>6</v>
      </c>
      <c r="B164" s="369" t="str">
        <f t="shared" si="65"/>
        <v>Gonzaga University</v>
      </c>
      <c r="C164" s="41"/>
      <c r="D164" s="316">
        <f t="shared" ref="D164:O164" si="73">(D9/D$157)/D50</f>
        <v>0.52785915201535716</v>
      </c>
      <c r="E164" s="316">
        <f t="shared" si="73"/>
        <v>0.49960407876471929</v>
      </c>
      <c r="F164" s="316">
        <f t="shared" si="73"/>
        <v>0.47906182550069643</v>
      </c>
      <c r="G164" s="316">
        <f t="shared" si="73"/>
        <v>0.54609968979803392</v>
      </c>
      <c r="H164" s="316">
        <f t="shared" si="73"/>
        <v>0.71138542027883978</v>
      </c>
      <c r="I164" s="316">
        <f t="shared" si="73"/>
        <v>0.69123163016624711</v>
      </c>
      <c r="J164" s="316">
        <f t="shared" si="73"/>
        <v>0.65816091787769027</v>
      </c>
      <c r="K164" s="316">
        <f t="shared" si="73"/>
        <v>0.59068454520199143</v>
      </c>
      <c r="L164" s="316">
        <f t="shared" si="73"/>
        <v>0.68263272226213123</v>
      </c>
      <c r="M164" s="316">
        <f t="shared" si="73"/>
        <v>0.58302162373807542</v>
      </c>
      <c r="N164" s="316">
        <f t="shared" si="73"/>
        <v>0.46707679667058849</v>
      </c>
      <c r="O164" s="316">
        <f t="shared" si="73"/>
        <v>0.5283082443882483</v>
      </c>
      <c r="P164" s="317">
        <f t="shared" si="69"/>
        <v>0.58042722055521823</v>
      </c>
      <c r="Q164" s="317">
        <f t="shared" si="67"/>
        <v>0.47447693883390896</v>
      </c>
    </row>
    <row r="165" spans="1:17">
      <c r="A165">
        <v>7</v>
      </c>
      <c r="B165" s="369" t="str">
        <f t="shared" si="65"/>
        <v>Honeywell Electronics</v>
      </c>
      <c r="C165" s="41"/>
      <c r="D165" s="316">
        <f t="shared" ref="D165:O165" si="74">(D10/D$157)/D51</f>
        <v>0.61519917948191849</v>
      </c>
      <c r="E165" s="316">
        <f t="shared" si="74"/>
        <v>0.66876293992578872</v>
      </c>
      <c r="F165" s="316">
        <f t="shared" si="74"/>
        <v>0.60162944970974508</v>
      </c>
      <c r="G165" s="316">
        <f t="shared" si="74"/>
        <v>0.65151453851546681</v>
      </c>
      <c r="H165" s="316">
        <f t="shared" si="74"/>
        <v>0.70535671922999776</v>
      </c>
      <c r="I165" s="316">
        <f t="shared" si="74"/>
        <v>0.63757004192276934</v>
      </c>
      <c r="J165" s="316">
        <f t="shared" si="74"/>
        <v>0.63651121714222547</v>
      </c>
      <c r="K165" s="316">
        <f t="shared" si="74"/>
        <v>0.56554295868354743</v>
      </c>
      <c r="L165" s="316">
        <f t="shared" si="74"/>
        <v>0.66036766177520678</v>
      </c>
      <c r="M165" s="316">
        <f t="shared" si="74"/>
        <v>0.63308901685097663</v>
      </c>
      <c r="N165" s="316">
        <f t="shared" si="74"/>
        <v>0.60683706161225148</v>
      </c>
      <c r="O165" s="316">
        <f t="shared" si="74"/>
        <v>0.54176432572855016</v>
      </c>
      <c r="P165" s="317">
        <f t="shared" si="69"/>
        <v>0.62701209254820378</v>
      </c>
      <c r="Q165" s="317">
        <f t="shared" si="67"/>
        <v>0.56172117153070256</v>
      </c>
    </row>
    <row r="166" spans="1:17">
      <c r="A166">
        <v>8</v>
      </c>
      <c r="B166" s="369" t="str">
        <f t="shared" si="65"/>
        <v>Huntwood Industries</v>
      </c>
      <c r="C166" s="41"/>
      <c r="D166" s="316">
        <f t="shared" ref="D166:O166" si="75">(D11/D$157)/D52</f>
        <v>0.33229344674534078</v>
      </c>
      <c r="E166" s="316">
        <f t="shared" si="75"/>
        <v>0.38963667495582749</v>
      </c>
      <c r="F166" s="316">
        <f t="shared" si="75"/>
        <v>0.35653724162584205</v>
      </c>
      <c r="G166" s="316">
        <f t="shared" si="75"/>
        <v>0.33150142640705887</v>
      </c>
      <c r="H166" s="316">
        <f t="shared" si="75"/>
        <v>0.35034852770254571</v>
      </c>
      <c r="I166" s="316">
        <f t="shared" si="75"/>
        <v>0.31431931898091703</v>
      </c>
      <c r="J166" s="316">
        <f t="shared" si="75"/>
        <v>0.32616042220984282</v>
      </c>
      <c r="K166" s="316">
        <f t="shared" si="75"/>
        <v>0.28867580397911985</v>
      </c>
      <c r="L166" s="316">
        <f t="shared" si="75"/>
        <v>0.28608799042912753</v>
      </c>
      <c r="M166" s="316">
        <f t="shared" si="75"/>
        <v>0.30045503085657915</v>
      </c>
      <c r="N166" s="316">
        <f t="shared" si="75"/>
        <v>0.32509874446217496</v>
      </c>
      <c r="O166" s="316">
        <f t="shared" si="75"/>
        <v>0.34096731044715317</v>
      </c>
      <c r="P166" s="317">
        <f t="shared" si="69"/>
        <v>0.32850682823346078</v>
      </c>
      <c r="Q166" s="317">
        <f t="shared" si="67"/>
        <v>0.30072735222801406</v>
      </c>
    </row>
    <row r="167" spans="1:17">
      <c r="A167">
        <v>9</v>
      </c>
      <c r="B167" s="369" t="str">
        <f t="shared" si="65"/>
        <v>Simplot - Othello</v>
      </c>
      <c r="C167" s="41"/>
      <c r="D167" s="316">
        <f t="shared" ref="D167:O167" si="76">(D12/D$157)/D53</f>
        <v>0.6386797546271521</v>
      </c>
      <c r="E167" s="316">
        <f t="shared" si="76"/>
        <v>0.90577929010567249</v>
      </c>
      <c r="F167" s="316">
        <f t="shared" si="76"/>
        <v>0.86128938068581118</v>
      </c>
      <c r="G167" s="316">
        <f t="shared" si="76"/>
        <v>0.87297854894240667</v>
      </c>
      <c r="H167" s="316">
        <f t="shared" si="76"/>
        <v>0.88978900686106022</v>
      </c>
      <c r="I167" s="316">
        <f t="shared" si="76"/>
        <v>0.72493674039418021</v>
      </c>
      <c r="J167" s="316">
        <f t="shared" si="76"/>
        <v>0.89601681339387096</v>
      </c>
      <c r="K167" s="316">
        <f t="shared" si="76"/>
        <v>0.78623201198893145</v>
      </c>
      <c r="L167" s="316">
        <f t="shared" si="76"/>
        <v>0.90843715198703201</v>
      </c>
      <c r="M167" s="316">
        <f t="shared" si="76"/>
        <v>0.86207473327604567</v>
      </c>
      <c r="N167" s="316">
        <f t="shared" si="76"/>
        <v>0.69966060823160436</v>
      </c>
      <c r="O167" s="316">
        <f t="shared" si="76"/>
        <v>0.87598817140940854</v>
      </c>
      <c r="P167" s="317">
        <f t="shared" si="69"/>
        <v>0.8268218509919314</v>
      </c>
      <c r="Q167" s="317">
        <f t="shared" si="67"/>
        <v>0.80126493827492185</v>
      </c>
    </row>
    <row r="168" spans="1:17">
      <c r="A168">
        <v>10</v>
      </c>
      <c r="B168" s="369" t="str">
        <f t="shared" si="65"/>
        <v>McCaine Foods Inc</v>
      </c>
      <c r="C168" s="41"/>
      <c r="D168" s="316">
        <f t="shared" ref="D168:O168" si="77">(D13/D$157)/D54</f>
        <v>0.4876552957852085</v>
      </c>
      <c r="E168" s="316">
        <f t="shared" si="77"/>
        <v>0.82847973277030473</v>
      </c>
      <c r="F168" s="316">
        <f t="shared" si="77"/>
        <v>0.80150512713451594</v>
      </c>
      <c r="G168" s="316">
        <f t="shared" si="77"/>
        <v>0.77001613341223019</v>
      </c>
      <c r="H168" s="316">
        <f t="shared" si="77"/>
        <v>0.72926022474807528</v>
      </c>
      <c r="I168" s="316">
        <f t="shared" si="77"/>
        <v>0.59299219693400285</v>
      </c>
      <c r="J168" s="316">
        <f t="shared" si="77"/>
        <v>0.81479256107199272</v>
      </c>
      <c r="K168" s="316">
        <f t="shared" si="77"/>
        <v>0.70888008976170258</v>
      </c>
      <c r="L168" s="316">
        <f t="shared" si="77"/>
        <v>0.71691888445692353</v>
      </c>
      <c r="M168" s="316">
        <f t="shared" si="77"/>
        <v>0.70022809055767454</v>
      </c>
      <c r="N168" s="316">
        <f t="shared" si="77"/>
        <v>0.7520905613627763</v>
      </c>
      <c r="O168" s="316">
        <f t="shared" si="77"/>
        <v>0.81498133813667839</v>
      </c>
      <c r="P168" s="317">
        <f t="shared" si="69"/>
        <v>0.72648335301100719</v>
      </c>
      <c r="Q168" s="317">
        <f t="shared" si="67"/>
        <v>0.69693197678868612</v>
      </c>
    </row>
    <row r="169" spans="1:17">
      <c r="A169">
        <v>11</v>
      </c>
      <c r="B169" s="369" t="str">
        <f t="shared" si="65"/>
        <v>Sacred Heart Medical Center</v>
      </c>
      <c r="C169" s="41"/>
      <c r="D169" s="316">
        <f t="shared" ref="D169:O169" si="78">(D14/D$157)/D55</f>
        <v>0.70821181002083389</v>
      </c>
      <c r="E169" s="316">
        <f t="shared" si="78"/>
        <v>0.7779639624845418</v>
      </c>
      <c r="F169" s="316">
        <f t="shared" si="78"/>
        <v>0.67516948986976555</v>
      </c>
      <c r="G169" s="316">
        <f t="shared" si="78"/>
        <v>0.71396161849221773</v>
      </c>
      <c r="H169" s="316">
        <f t="shared" si="78"/>
        <v>0.91684413503544138</v>
      </c>
      <c r="I169" s="316">
        <f t="shared" si="78"/>
        <v>0.86166262102404501</v>
      </c>
      <c r="J169" s="316">
        <f t="shared" si="78"/>
        <v>0.8950722757450148</v>
      </c>
      <c r="K169" s="316">
        <f t="shared" si="78"/>
        <v>0.76371311226127669</v>
      </c>
      <c r="L169" s="316">
        <f t="shared" si="78"/>
        <v>0.89054354472122865</v>
      </c>
      <c r="M169" s="316">
        <f t="shared" si="78"/>
        <v>0.72680745674119129</v>
      </c>
      <c r="N169" s="316">
        <f t="shared" si="78"/>
        <v>0.71826572859432913</v>
      </c>
      <c r="O169" s="316">
        <f t="shared" si="78"/>
        <v>0.74100513731575257</v>
      </c>
      <c r="P169" s="317">
        <f t="shared" si="69"/>
        <v>0.78243507435880322</v>
      </c>
      <c r="Q169" s="317">
        <f t="shared" si="67"/>
        <v>0.59754676553405373</v>
      </c>
    </row>
    <row r="170" spans="1:17">
      <c r="A170">
        <v>12</v>
      </c>
      <c r="B170" s="369" t="str">
        <f t="shared" si="65"/>
        <v>Spokane County Combined Master</v>
      </c>
      <c r="C170" s="41"/>
      <c r="D170" s="316">
        <f t="shared" ref="D170:O170" si="79">(D15/D$157)/D56</f>
        <v>0.59587545555967547</v>
      </c>
      <c r="E170" s="316">
        <f t="shared" si="79"/>
        <v>0.65983031295214234</v>
      </c>
      <c r="F170" s="316">
        <f t="shared" si="79"/>
        <v>0.58352771738367015</v>
      </c>
      <c r="G170" s="316">
        <f t="shared" si="79"/>
        <v>0.57321610044915594</v>
      </c>
      <c r="H170" s="316">
        <f t="shared" si="79"/>
        <v>0.76138203752717781</v>
      </c>
      <c r="I170" s="316">
        <f t="shared" si="79"/>
        <v>0.71565274775690413</v>
      </c>
      <c r="J170" s="316">
        <f t="shared" si="79"/>
        <v>0.7458904852540289</v>
      </c>
      <c r="K170" s="316">
        <f t="shared" si="79"/>
        <v>0.66035837465951008</v>
      </c>
      <c r="L170" s="316">
        <f t="shared" si="79"/>
        <v>0.75188168730043137</v>
      </c>
      <c r="M170" s="316">
        <f t="shared" si="79"/>
        <v>0.60750762765143729</v>
      </c>
      <c r="N170" s="316">
        <f t="shared" si="79"/>
        <v>0.63673138032036569</v>
      </c>
      <c r="O170" s="316">
        <f t="shared" si="79"/>
        <v>0.6529213330907967</v>
      </c>
      <c r="P170" s="317">
        <f t="shared" si="69"/>
        <v>0.66206460499210806</v>
      </c>
      <c r="Q170" s="317">
        <f t="shared" si="67"/>
        <v>0.50897523356117758</v>
      </c>
    </row>
    <row r="171" spans="1:17">
      <c r="A171">
        <v>13</v>
      </c>
      <c r="B171" s="369" t="str">
        <f t="shared" si="65"/>
        <v>Spokane Industries</v>
      </c>
      <c r="C171" s="41"/>
      <c r="D171" s="316">
        <f t="shared" ref="D171:O171" si="80">(D16/D$157)/D57</f>
        <v>0.21337121750572846</v>
      </c>
      <c r="E171" s="316">
        <f t="shared" si="80"/>
        <v>0.22117114806165303</v>
      </c>
      <c r="F171" s="316">
        <f t="shared" si="80"/>
        <v>0.18964737191375405</v>
      </c>
      <c r="G171" s="316">
        <f t="shared" si="80"/>
        <v>0.2135612308342158</v>
      </c>
      <c r="H171" s="316">
        <f t="shared" si="80"/>
        <v>0.22846738359539576</v>
      </c>
      <c r="I171" s="316">
        <f t="shared" si="80"/>
        <v>0.18558141203996445</v>
      </c>
      <c r="J171" s="316">
        <f t="shared" si="80"/>
        <v>0.24924472576651885</v>
      </c>
      <c r="K171" s="316">
        <f t="shared" si="80"/>
        <v>0.21523717404835621</v>
      </c>
      <c r="L171" s="316">
        <f t="shared" si="80"/>
        <v>0.24967708979640327</v>
      </c>
      <c r="M171" s="316">
        <f t="shared" si="80"/>
        <v>0.20209708633314225</v>
      </c>
      <c r="N171" s="316">
        <f t="shared" si="80"/>
        <v>0.1979083981491282</v>
      </c>
      <c r="O171" s="316">
        <f t="shared" si="80"/>
        <v>0.20336989782413614</v>
      </c>
      <c r="P171" s="317">
        <f t="shared" si="69"/>
        <v>0.21411117798903304</v>
      </c>
      <c r="Q171" s="317">
        <f t="shared" si="67"/>
        <v>0.2060041264007379</v>
      </c>
    </row>
    <row r="172" spans="1:17">
      <c r="A172">
        <v>14</v>
      </c>
      <c r="B172" s="369" t="str">
        <f t="shared" si="65"/>
        <v>Vaagen Brothers Lumber</v>
      </c>
      <c r="C172" s="41"/>
      <c r="D172" s="316">
        <f t="shared" ref="D172:O172" si="81">(D17/D$157)/D58</f>
        <v>0.53282795064282562</v>
      </c>
      <c r="E172" s="316">
        <f t="shared" si="81"/>
        <v>0.59788219043931545</v>
      </c>
      <c r="F172" s="316">
        <f t="shared" si="81"/>
        <v>0.41863851753540232</v>
      </c>
      <c r="G172" s="316">
        <f t="shared" si="81"/>
        <v>0.58063573207058383</v>
      </c>
      <c r="H172" s="316">
        <f t="shared" si="81"/>
        <v>0.61636771459277484</v>
      </c>
      <c r="I172" s="316">
        <f t="shared" si="81"/>
        <v>0.58780156614249468</v>
      </c>
      <c r="J172" s="316">
        <f t="shared" si="81"/>
        <v>0.61093502155112012</v>
      </c>
      <c r="K172" s="316">
        <f t="shared" si="81"/>
        <v>0.587528798731207</v>
      </c>
      <c r="L172" s="316">
        <f t="shared" si="81"/>
        <v>0.62186904522782038</v>
      </c>
      <c r="M172" s="316">
        <f t="shared" si="81"/>
        <v>0.57604068028910804</v>
      </c>
      <c r="N172" s="316">
        <f t="shared" si="81"/>
        <v>0.54294824924276341</v>
      </c>
      <c r="O172" s="316">
        <f t="shared" si="81"/>
        <v>0.50707305813710735</v>
      </c>
      <c r="P172" s="317">
        <f t="shared" si="69"/>
        <v>0.56504571038354345</v>
      </c>
      <c r="Q172" s="317">
        <f t="shared" si="67"/>
        <v>0.50749318628706552</v>
      </c>
    </row>
    <row r="173" spans="1:17">
      <c r="A173">
        <v>15</v>
      </c>
      <c r="B173" s="369" t="str">
        <f t="shared" si="65"/>
        <v xml:space="preserve">WSU - MP-A South Campus Feeder </v>
      </c>
      <c r="C173" s="41"/>
      <c r="D173" s="316">
        <f t="shared" ref="D173:O173" si="82">(D18/D$157)/D59</f>
        <v>0.84172984186052979</v>
      </c>
      <c r="E173" s="316">
        <f t="shared" si="82"/>
        <v>0.82472596496402772</v>
      </c>
      <c r="F173" s="316">
        <f t="shared" si="82"/>
        <v>0.77956587687840828</v>
      </c>
      <c r="G173" s="316">
        <f t="shared" si="82"/>
        <v>0.82149558851765891</v>
      </c>
      <c r="H173" s="316">
        <f t="shared" si="82"/>
        <v>0.87651789234873223</v>
      </c>
      <c r="I173" s="316">
        <f t="shared" si="82"/>
        <v>0.79354116092197813</v>
      </c>
      <c r="J173" s="316">
        <f t="shared" si="82"/>
        <v>0.83836511426285965</v>
      </c>
      <c r="K173" s="316">
        <f t="shared" si="82"/>
        <v>0.74741945029541801</v>
      </c>
      <c r="L173" s="316">
        <f t="shared" si="82"/>
        <v>0.82767311507686381</v>
      </c>
      <c r="M173" s="316">
        <f t="shared" si="82"/>
        <v>0.75776859818135955</v>
      </c>
      <c r="N173" s="316">
        <f t="shared" si="82"/>
        <v>0.79298826493878927</v>
      </c>
      <c r="O173" s="316">
        <f t="shared" si="82"/>
        <v>0.8488793141720522</v>
      </c>
      <c r="P173" s="317">
        <f t="shared" si="69"/>
        <v>0.81255584853488971</v>
      </c>
      <c r="Q173" s="317">
        <f t="shared" si="67"/>
        <v>0.76450075978182108</v>
      </c>
    </row>
    <row r="174" spans="1:17">
      <c r="A174">
        <v>16</v>
      </c>
      <c r="B174" s="369" t="str">
        <f t="shared" si="65"/>
        <v xml:space="preserve">WSU - MP-B East Campus EA </v>
      </c>
      <c r="C174" s="41"/>
      <c r="D174" s="316">
        <f t="shared" ref="D174:O174" si="83">(D19/D$157)/D60</f>
        <v>0.65608139965657175</v>
      </c>
      <c r="E174" s="316">
        <f t="shared" si="83"/>
        <v>0.73211089395854734</v>
      </c>
      <c r="F174" s="316">
        <f t="shared" si="83"/>
        <v>0.5831850954154717</v>
      </c>
      <c r="G174" s="316">
        <f t="shared" si="83"/>
        <v>0.60143554313583647</v>
      </c>
      <c r="H174" s="316">
        <f t="shared" si="83"/>
        <v>0.78709245266862138</v>
      </c>
      <c r="I174" s="316">
        <f t="shared" si="83"/>
        <v>0.77401573342431784</v>
      </c>
      <c r="J174" s="316">
        <f t="shared" si="83"/>
        <v>0.78537395154378831</v>
      </c>
      <c r="K174" s="316">
        <f t="shared" si="83"/>
        <v>0.68048704724871067</v>
      </c>
      <c r="L174" s="316">
        <f t="shared" si="83"/>
        <v>0.76815093448984717</v>
      </c>
      <c r="M174" s="316">
        <f t="shared" si="83"/>
        <v>0.69532167760659935</v>
      </c>
      <c r="N174" s="316">
        <f t="shared" si="83"/>
        <v>0.63756385725355647</v>
      </c>
      <c r="O174" s="316">
        <f t="shared" si="83"/>
        <v>0.61814229243486196</v>
      </c>
      <c r="P174" s="317">
        <f t="shared" si="69"/>
        <v>0.69324673990306096</v>
      </c>
      <c r="Q174" s="317">
        <f t="shared" si="67"/>
        <v>0.53153627789901803</v>
      </c>
    </row>
    <row r="175" spans="1:17">
      <c r="A175">
        <v>17</v>
      </c>
      <c r="B175" s="369" t="str">
        <f t="shared" si="65"/>
        <v xml:space="preserve">WSU - MP-C East Campus EB </v>
      </c>
      <c r="C175" s="41"/>
      <c r="D175" s="316">
        <f t="shared" ref="D175:O175" si="84">(D20/D$157)/D61</f>
        <v>0.85357123118919331</v>
      </c>
      <c r="E175" s="316">
        <f t="shared" si="84"/>
        <v>0.80415141471049401</v>
      </c>
      <c r="F175" s="316">
        <f t="shared" si="84"/>
        <v>0.76126164674703323</v>
      </c>
      <c r="G175" s="316">
        <f t="shared" si="84"/>
        <v>0.75008485468197084</v>
      </c>
      <c r="H175" s="316">
        <f t="shared" si="84"/>
        <v>0.83964861820281045</v>
      </c>
      <c r="I175" s="316">
        <f t="shared" si="84"/>
        <v>0.79441629081228082</v>
      </c>
      <c r="J175" s="316">
        <f t="shared" si="84"/>
        <v>0.85563525248868821</v>
      </c>
      <c r="K175" s="316">
        <f t="shared" si="84"/>
        <v>0.74454466223481852</v>
      </c>
      <c r="L175" s="316">
        <f t="shared" si="84"/>
        <v>0.81448510190442902</v>
      </c>
      <c r="M175" s="316">
        <f t="shared" si="84"/>
        <v>0.77795709147136416</v>
      </c>
      <c r="N175" s="316">
        <f t="shared" si="84"/>
        <v>0.79896683999913631</v>
      </c>
      <c r="O175" s="316">
        <f t="shared" si="84"/>
        <v>0.75027336796873456</v>
      </c>
      <c r="P175" s="317">
        <f t="shared" si="69"/>
        <v>0.79541636436757945</v>
      </c>
      <c r="Q175" s="317">
        <f t="shared" si="67"/>
        <v>0.71329037249467853</v>
      </c>
    </row>
    <row r="176" spans="1:17">
      <c r="A176">
        <v>18</v>
      </c>
      <c r="B176" s="369" t="str">
        <f t="shared" si="65"/>
        <v>WSU - MP -D Casp East (no PVD)</v>
      </c>
      <c r="C176" s="41"/>
      <c r="D176" s="316">
        <f t="shared" ref="D176:O176" si="85">(D21/D$157)/D62</f>
        <v>0.73561756617738483</v>
      </c>
      <c r="E176" s="316">
        <f t="shared" si="85"/>
        <v>0.75511544662807972</v>
      </c>
      <c r="F176" s="316">
        <f t="shared" si="85"/>
        <v>0.71927992532540785</v>
      </c>
      <c r="G176" s="316">
        <f t="shared" si="85"/>
        <v>0.73096618254736145</v>
      </c>
      <c r="H176" s="316">
        <f t="shared" si="85"/>
        <v>0.78418114057541566</v>
      </c>
      <c r="I176" s="316">
        <f t="shared" si="85"/>
        <v>0.5971484848840537</v>
      </c>
      <c r="J176" s="316">
        <f t="shared" si="85"/>
        <v>0.75223076490881913</v>
      </c>
      <c r="K176" s="316">
        <f t="shared" si="85"/>
        <v>0.68380294821915666</v>
      </c>
      <c r="L176" s="316">
        <f t="shared" si="85"/>
        <v>0.76620246470926756</v>
      </c>
      <c r="M176" s="316">
        <f t="shared" si="85"/>
        <v>0.67995227992642171</v>
      </c>
      <c r="N176" s="316">
        <f t="shared" si="85"/>
        <v>0.58849156018417503</v>
      </c>
      <c r="O176" s="316">
        <f t="shared" si="85"/>
        <v>0.7217663807785436</v>
      </c>
      <c r="P176" s="317">
        <f t="shared" si="69"/>
        <v>0.70956292873867388</v>
      </c>
      <c r="Q176" s="317">
        <f t="shared" si="67"/>
        <v>0.52889829900310992</v>
      </c>
    </row>
    <row r="177" spans="1:17">
      <c r="A177">
        <v>19</v>
      </c>
      <c r="B177" s="369" t="str">
        <f t="shared" si="65"/>
        <v>WSU - MP-E Casp West (no PVD)</v>
      </c>
      <c r="C177" s="41"/>
      <c r="D177" s="316">
        <f t="shared" ref="D177:O177" si="86">(D22/D$157)/D63</f>
        <v>0.70528269430203738</v>
      </c>
      <c r="E177" s="316">
        <f t="shared" si="86"/>
        <v>0.73023210525338311</v>
      </c>
      <c r="F177" s="316">
        <f t="shared" si="86"/>
        <v>0.65409276296697261</v>
      </c>
      <c r="G177" s="316">
        <f t="shared" si="86"/>
        <v>0.54197837030033547</v>
      </c>
      <c r="H177" s="316">
        <f t="shared" si="86"/>
        <v>0.72830059315847329</v>
      </c>
      <c r="I177" s="316">
        <f t="shared" si="86"/>
        <v>0.62818262171690309</v>
      </c>
      <c r="J177" s="316">
        <f t="shared" si="86"/>
        <v>0.67125866547473656</v>
      </c>
      <c r="K177" s="316">
        <f t="shared" si="86"/>
        <v>0.62497462142348881</v>
      </c>
      <c r="L177" s="316">
        <f t="shared" si="86"/>
        <v>0.71042554266536706</v>
      </c>
      <c r="M177" s="316">
        <f t="shared" si="86"/>
        <v>0.55556637117819352</v>
      </c>
      <c r="N177" s="316">
        <f t="shared" si="86"/>
        <v>0.43146975160455686</v>
      </c>
      <c r="O177" s="316">
        <f t="shared" si="86"/>
        <v>0.65921745831889578</v>
      </c>
      <c r="P177" s="317">
        <f t="shared" si="69"/>
        <v>0.63674846319694534</v>
      </c>
      <c r="Q177" s="317">
        <f t="shared" si="67"/>
        <v>0.4493978423536914</v>
      </c>
    </row>
    <row r="178" spans="1:17">
      <c r="A178">
        <v>20</v>
      </c>
      <c r="B178" s="369" t="str">
        <f t="shared" si="65"/>
        <v>Goodrich - South 2311155858 (No PVD)</v>
      </c>
      <c r="C178" s="41"/>
      <c r="D178" s="316">
        <f t="shared" ref="D178:O178" si="87">(D23/D$157)/D64</f>
        <v>0.61847277476561324</v>
      </c>
      <c r="E178" s="316">
        <f t="shared" si="87"/>
        <v>0.61969199873246794</v>
      </c>
      <c r="F178" s="316">
        <f t="shared" si="87"/>
        <v>0.617283311893147</v>
      </c>
      <c r="G178" s="316">
        <f t="shared" si="87"/>
        <v>0.67093086449937522</v>
      </c>
      <c r="H178" s="316">
        <f t="shared" si="87"/>
        <v>0.73905137498454376</v>
      </c>
      <c r="I178" s="316">
        <f t="shared" si="87"/>
        <v>0.40332303907680872</v>
      </c>
      <c r="J178" s="316">
        <f t="shared" si="87"/>
        <v>0.65005036364562174</v>
      </c>
      <c r="K178" s="316">
        <f t="shared" si="87"/>
        <v>0.58376456221787498</v>
      </c>
      <c r="L178" s="316">
        <f t="shared" si="87"/>
        <v>0.56416053260064836</v>
      </c>
      <c r="M178" s="316">
        <f t="shared" si="87"/>
        <v>0.62368672346099785</v>
      </c>
      <c r="N178" s="316">
        <f t="shared" si="87"/>
        <v>0.53054395937869692</v>
      </c>
      <c r="O178" s="316">
        <f t="shared" si="87"/>
        <v>0.61894527914711295</v>
      </c>
      <c r="P178" s="317">
        <f t="shared" ref="P178:P179" si="88">AVERAGE(D178:O178)</f>
        <v>0.60332539870024238</v>
      </c>
      <c r="Q178" s="317">
        <f t="shared" si="67"/>
        <v>0.53201150803895825</v>
      </c>
    </row>
    <row r="179" spans="1:17">
      <c r="A179">
        <v>21</v>
      </c>
      <c r="B179" s="369" t="str">
        <f t="shared" si="65"/>
        <v>Boise Cascade LLC Inland Region</v>
      </c>
      <c r="C179" s="41"/>
      <c r="D179" s="316">
        <f t="shared" ref="D179:O179" si="89">(D24/D$157)/D65</f>
        <v>0.25230296287172238</v>
      </c>
      <c r="E179" s="316">
        <f t="shared" si="89"/>
        <v>0.2797629887988109</v>
      </c>
      <c r="F179" s="316">
        <f t="shared" si="89"/>
        <v>0.24519750784305086</v>
      </c>
      <c r="G179" s="316">
        <f t="shared" si="89"/>
        <v>0.26520343219532255</v>
      </c>
      <c r="H179" s="316">
        <f t="shared" si="89"/>
        <v>0.30288183401728364</v>
      </c>
      <c r="I179" s="316">
        <f t="shared" si="89"/>
        <v>0.27741713225967063</v>
      </c>
      <c r="J179" s="316">
        <f t="shared" si="89"/>
        <v>0.30550908384459091</v>
      </c>
      <c r="K179" s="316">
        <f t="shared" si="89"/>
        <v>0.28437813962449504</v>
      </c>
      <c r="L179" s="316">
        <f t="shared" si="89"/>
        <v>0.3107642737288599</v>
      </c>
      <c r="M179" s="316">
        <f t="shared" si="89"/>
        <v>0.26839107812551272</v>
      </c>
      <c r="N179" s="316">
        <f t="shared" si="89"/>
        <v>0.25661689457270043</v>
      </c>
      <c r="O179" s="316">
        <f t="shared" si="89"/>
        <v>0.27108064761084605</v>
      </c>
      <c r="P179" s="317">
        <f t="shared" si="88"/>
        <v>0.27662549795773878</v>
      </c>
      <c r="Q179" s="317">
        <f t="shared" si="67"/>
        <v>0.26390457941732176</v>
      </c>
    </row>
  </sheetData>
  <phoneticPr fontId="0" type="noConversion"/>
  <conditionalFormatting sqref="P36:P37">
    <cfRule type="expression" dxfId="14" priority="2" stopIfTrue="1">
      <formula>ABS(P36-#REF!)&gt;1</formula>
    </cfRule>
  </conditionalFormatting>
  <conditionalFormatting sqref="S26">
    <cfRule type="cellIs" dxfId="13" priority="1" operator="notEqual">
      <formula>$P$25</formula>
    </cfRule>
    <cfRule type="expression" dxfId="12" priority="3" stopIfTrue="1">
      <formula>ABS($P$25-$S$26)&gt;0.5</formula>
    </cfRule>
  </conditionalFormatting>
  <printOptions horizontalCentered="1"/>
  <pageMargins left="0.25" right="0.25" top="0.87" bottom="0.21" header="0.4" footer="0.18"/>
  <pageSetup scale="54" fitToHeight="2" orientation="landscape" r:id="rId1"/>
  <headerFooter alignWithMargins="0"/>
  <rowBreaks count="1" manualBreakCount="1">
    <brk id="68" max="18"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B1:S42"/>
  <sheetViews>
    <sheetView showGridLines="0" zoomScale="115" zoomScaleNormal="115" zoomScaleSheetLayoutView="100" workbookViewId="0">
      <selection activeCell="N34" sqref="N34"/>
    </sheetView>
  </sheetViews>
  <sheetFormatPr defaultColWidth="11.453125" defaultRowHeight="12.5"/>
  <cols>
    <col min="1" max="1" width="9.26953125" customWidth="1"/>
    <col min="2" max="2" width="15.453125" customWidth="1"/>
    <col min="3" max="3" width="11.453125" customWidth="1"/>
    <col min="4" max="4" width="12.453125" customWidth="1"/>
    <col min="5" max="5" width="1.7265625" customWidth="1"/>
    <col min="6" max="6" width="11.453125" customWidth="1"/>
    <col min="7" max="7" width="13.453125" customWidth="1"/>
    <col min="8" max="8" width="1.7265625" customWidth="1"/>
    <col min="9" max="9" width="14" bestFit="1" customWidth="1"/>
    <col min="12" max="12" width="12.26953125" bestFit="1" customWidth="1"/>
    <col min="14" max="14" width="12.7265625" customWidth="1"/>
  </cols>
  <sheetData>
    <row r="1" spans="2:19" ht="13">
      <c r="B1" s="117" t="s">
        <v>78</v>
      </c>
      <c r="C1" s="50"/>
      <c r="D1" s="51"/>
      <c r="E1" s="50"/>
      <c r="F1" s="50"/>
      <c r="G1" s="50"/>
      <c r="H1" s="50"/>
      <c r="I1" s="50"/>
      <c r="J1" s="50"/>
    </row>
    <row r="2" spans="2:19" ht="13">
      <c r="B2" s="117" t="s">
        <v>366</v>
      </c>
      <c r="C2" s="50"/>
      <c r="D2" s="51"/>
      <c r="E2" s="50"/>
      <c r="F2" s="50"/>
      <c r="G2" s="50"/>
      <c r="H2" s="50"/>
      <c r="I2" s="50"/>
      <c r="J2" s="50"/>
    </row>
    <row r="3" spans="2:19" ht="13">
      <c r="B3" s="117" t="s">
        <v>79</v>
      </c>
      <c r="C3" s="50"/>
      <c r="D3" s="51"/>
      <c r="E3" s="50"/>
      <c r="F3" s="50"/>
      <c r="G3" s="50"/>
      <c r="H3" s="50"/>
      <c r="I3" s="50"/>
      <c r="J3" s="50"/>
    </row>
    <row r="4" spans="2:19" ht="13">
      <c r="B4" s="117" t="s">
        <v>813</v>
      </c>
      <c r="C4" s="50"/>
      <c r="D4" s="51"/>
      <c r="E4" s="50"/>
      <c r="F4" s="50"/>
      <c r="G4" s="50"/>
      <c r="H4" s="50"/>
      <c r="I4" s="50"/>
      <c r="J4" s="50"/>
    </row>
    <row r="5" spans="2:19">
      <c r="B5" s="50"/>
      <c r="C5" s="50"/>
      <c r="D5" s="50"/>
      <c r="F5" s="50"/>
      <c r="G5" s="50"/>
    </row>
    <row r="6" spans="2:19">
      <c r="B6" s="50"/>
      <c r="C6" s="50"/>
      <c r="D6" s="50"/>
      <c r="F6" s="50"/>
      <c r="G6" s="50"/>
    </row>
    <row r="7" spans="2:19">
      <c r="C7" s="710" t="str">
        <f>"Present "&amp;IF(Base1_Billing2=2,"Billing ","")&amp;"Rates(1)"</f>
        <v>Present Rates(1)</v>
      </c>
      <c r="D7" s="710" t="str">
        <f>"Present "&amp;IF(Base1_Billing2=2,"Billing","")&amp;" Rates"</f>
        <v>Present  Rates</v>
      </c>
      <c r="F7" s="710" t="str">
        <f>"Proposed "&amp;IF(Base1_Billing2=2,"Billing ","")&amp;"Rates(2)"</f>
        <v>Proposed Rates(2)</v>
      </c>
      <c r="G7" s="710" t="str">
        <f>"Proposed "&amp;IF(Base1_Billing2=2,"Billing ","")&amp;"Rates"</f>
        <v>Proposed Rates</v>
      </c>
      <c r="I7" s="232" t="s">
        <v>375</v>
      </c>
      <c r="J7" s="50"/>
    </row>
    <row r="8" spans="2:19">
      <c r="C8" s="32" t="s">
        <v>82</v>
      </c>
      <c r="D8" s="32" t="s">
        <v>70</v>
      </c>
      <c r="F8" s="32" t="s">
        <v>82</v>
      </c>
      <c r="G8" s="32" t="s">
        <v>70</v>
      </c>
      <c r="I8" s="50"/>
      <c r="J8" s="50"/>
      <c r="L8" s="54" t="s">
        <v>382</v>
      </c>
      <c r="N8" t="s">
        <v>70</v>
      </c>
      <c r="O8" t="s">
        <v>255</v>
      </c>
      <c r="P8" t="s">
        <v>257</v>
      </c>
      <c r="R8" t="s">
        <v>885</v>
      </c>
    </row>
    <row r="9" spans="2:19">
      <c r="C9" s="52" t="s">
        <v>83</v>
      </c>
      <c r="D9" s="52" t="s">
        <v>83</v>
      </c>
      <c r="F9" s="52" t="s">
        <v>83</v>
      </c>
      <c r="G9" s="52" t="s">
        <v>83</v>
      </c>
      <c r="I9" s="52" t="s">
        <v>376</v>
      </c>
      <c r="J9" s="52" t="s">
        <v>198</v>
      </c>
      <c r="L9" s="215" t="s">
        <v>383</v>
      </c>
      <c r="N9" t="s">
        <v>474</v>
      </c>
      <c r="O9" t="s">
        <v>416</v>
      </c>
      <c r="P9" t="s">
        <v>416</v>
      </c>
    </row>
    <row r="10" spans="2:19">
      <c r="C10" s="52"/>
      <c r="D10" s="52"/>
      <c r="F10" s="52"/>
      <c r="G10" s="52"/>
    </row>
    <row r="11" spans="2:19" ht="13">
      <c r="B11" t="s">
        <v>377</v>
      </c>
      <c r="C11" s="55">
        <f>'St Lts'!Y$105*IF(Base1_Billing2=2,(1+#REF!),1)</f>
        <v>0</v>
      </c>
      <c r="D11" s="45">
        <f>C11*12</f>
        <v>0</v>
      </c>
      <c r="F11" s="55">
        <f>'St Lts'!AQ$105*IF(Base1_Billing2=2,1+#REF!,1)</f>
        <v>0</v>
      </c>
      <c r="G11" s="45">
        <f t="shared" ref="G11:G17" si="0">F11*12</f>
        <v>0</v>
      </c>
      <c r="I11" s="133" t="e">
        <f>G11/D11-1</f>
        <v>#DIV/0!</v>
      </c>
      <c r="J11" s="644">
        <v>0</v>
      </c>
      <c r="L11" s="171"/>
      <c r="M11" s="235"/>
      <c r="N11" s="335">
        <f>'REVRUNS 12ME0623'!P258</f>
        <v>6396.1980000000003</v>
      </c>
      <c r="R11">
        <f>-0.02038+0.01033+0.01118+0.01478+0.00345-0.00018+0.0262</f>
        <v>4.5380000000000004E-2</v>
      </c>
      <c r="S11" s="278">
        <f>N11*R11</f>
        <v>290.25946524000005</v>
      </c>
    </row>
    <row r="12" spans="2:19">
      <c r="B12" t="s">
        <v>378</v>
      </c>
      <c r="C12" s="209">
        <f>'St Lts'!Z$105*IF(Base1_Billing2=2,1+#REF!,1)</f>
        <v>391926.8</v>
      </c>
      <c r="D12" s="210">
        <f>C12*12</f>
        <v>4703121.5999999996</v>
      </c>
      <c r="E12" s="211"/>
      <c r="F12" s="209">
        <f>'St Lts'!AR$105*IF(Base1_Billing2=2,1+#REF!,1)</f>
        <v>443138.36</v>
      </c>
      <c r="G12" s="210">
        <f>F12*12</f>
        <v>5317660.32</v>
      </c>
      <c r="I12" s="76">
        <f>G12/D12-1</f>
        <v>0.13066613459452148</v>
      </c>
      <c r="J12" s="644">
        <v>0</v>
      </c>
      <c r="L12" s="423">
        <v>0.12180000000000001</v>
      </c>
      <c r="M12" s="235"/>
      <c r="N12" s="335">
        <f>'REVRUNS 12ME0623'!P267</f>
        <v>8412382.41787</v>
      </c>
      <c r="R12">
        <f t="shared" ref="R12:R16" si="1">-0.02038+0.01033+0.01118+0.01478+0.00345-0.00018+0.0262</f>
        <v>4.5380000000000004E-2</v>
      </c>
      <c r="S12" s="278">
        <f t="shared" ref="S12:S17" si="2">N12*R12</f>
        <v>381753.91412294062</v>
      </c>
    </row>
    <row r="13" spans="2:19">
      <c r="B13" t="s">
        <v>379</v>
      </c>
      <c r="C13" s="209">
        <f>'St Lts'!AA$105*IF(Base1_Billing2=2,1+#REF!,1)</f>
        <v>2025.25</v>
      </c>
      <c r="D13" s="210">
        <f t="shared" ref="D13:D17" si="3">C13*12</f>
        <v>24303</v>
      </c>
      <c r="E13" s="211"/>
      <c r="F13" s="209">
        <f>'St Lts'!AS$105*IF(Base1_Billing2=2,1+#REF!,1)</f>
        <v>2289.29</v>
      </c>
      <c r="G13" s="210">
        <f t="shared" si="0"/>
        <v>27471.48</v>
      </c>
      <c r="I13" s="76">
        <f t="shared" ref="I13:I17" si="4">G13/D13-1</f>
        <v>0.13037402789779029</v>
      </c>
      <c r="J13" s="644">
        <v>0</v>
      </c>
      <c r="L13" s="423">
        <v>0.1305</v>
      </c>
      <c r="M13" s="235"/>
      <c r="N13" s="335">
        <f>'REVRUNS 12ME0623'!P276</f>
        <v>146837.91700000002</v>
      </c>
      <c r="R13">
        <f t="shared" si="1"/>
        <v>4.5380000000000004E-2</v>
      </c>
      <c r="S13" s="278">
        <f t="shared" si="2"/>
        <v>6663.504673460001</v>
      </c>
    </row>
    <row r="14" spans="2:19">
      <c r="B14" t="s">
        <v>380</v>
      </c>
      <c r="C14" s="209">
        <f>'St Lts'!AB$105*IF(Base1_Billing2=2,1+#REF!,1)</f>
        <v>2752.95</v>
      </c>
      <c r="D14" s="210">
        <f t="shared" si="3"/>
        <v>33035.399999999994</v>
      </c>
      <c r="E14" s="211"/>
      <c r="F14" s="209">
        <f>'St Lts'!AT$105*IF(Base1_Billing2=2,1+#REF!,1)</f>
        <v>3112.02</v>
      </c>
      <c r="G14" s="210">
        <f t="shared" si="0"/>
        <v>37344.239999999998</v>
      </c>
      <c r="I14" s="76">
        <f t="shared" si="4"/>
        <v>0.13043099220835841</v>
      </c>
      <c r="J14" s="644">
        <v>0</v>
      </c>
      <c r="L14" s="423">
        <f>L13</f>
        <v>0.1305</v>
      </c>
      <c r="M14" s="235"/>
      <c r="N14" s="335">
        <f>'REVRUNS 12ME0623'!P285</f>
        <v>414869.80900000001</v>
      </c>
      <c r="R14">
        <f t="shared" si="1"/>
        <v>4.5380000000000004E-2</v>
      </c>
      <c r="S14" s="278">
        <f t="shared" si="2"/>
        <v>18826.791932420001</v>
      </c>
    </row>
    <row r="15" spans="2:19" ht="13">
      <c r="B15" t="s">
        <v>381</v>
      </c>
      <c r="C15" s="209">
        <f>'St Lts'!AC$105*IF(Base1_Billing2=2,1+#REF!,1)</f>
        <v>7968.69</v>
      </c>
      <c r="D15" s="210">
        <f t="shared" si="3"/>
        <v>95624.28</v>
      </c>
      <c r="E15" s="211"/>
      <c r="F15" s="209">
        <f>'St Lts'!AU$105*IF(Base1_Billing2=2,1+#REF!,1)</f>
        <v>9008.23</v>
      </c>
      <c r="G15" s="210">
        <f t="shared" si="0"/>
        <v>108098.76</v>
      </c>
      <c r="I15" s="76">
        <f t="shared" si="4"/>
        <v>0.13045306066618223</v>
      </c>
      <c r="J15" s="644">
        <v>0</v>
      </c>
      <c r="L15" s="423">
        <f>L13</f>
        <v>0.1305</v>
      </c>
      <c r="M15" s="235"/>
      <c r="N15" s="335">
        <f>'REVRUNS 12ME0623'!P294</f>
        <v>799697.37499999988</v>
      </c>
      <c r="O15" s="321">
        <f>D15/N15</f>
        <v>0.1195755832010828</v>
      </c>
      <c r="P15" s="321">
        <f>G15/N15</f>
        <v>0.13517458401060778</v>
      </c>
      <c r="R15">
        <f t="shared" si="1"/>
        <v>4.5380000000000004E-2</v>
      </c>
      <c r="S15" s="278">
        <f t="shared" si="2"/>
        <v>36290.266877499998</v>
      </c>
    </row>
    <row r="16" spans="2:19" ht="13">
      <c r="B16" t="s">
        <v>385</v>
      </c>
      <c r="C16" s="209">
        <f>'Area Lts'!S55*IF(Base1_Billing2=2,1+#REF!,1)</f>
        <v>134436.6</v>
      </c>
      <c r="D16" s="210">
        <f t="shared" si="3"/>
        <v>1613239.2000000002</v>
      </c>
      <c r="E16" s="211"/>
      <c r="F16" s="209">
        <f>IF(Base1_Billing2=1,'Area Lts'!AG55,'Area Lts'!AG64)</f>
        <v>151504.94999999998</v>
      </c>
      <c r="G16" s="210">
        <f t="shared" si="0"/>
        <v>1818059.4</v>
      </c>
      <c r="I16" s="76">
        <f t="shared" si="4"/>
        <v>0.1269620772914517</v>
      </c>
      <c r="J16" s="644">
        <v>0</v>
      </c>
      <c r="L16" s="423">
        <v>0.13719999999999999</v>
      </c>
      <c r="M16" s="235"/>
      <c r="N16" s="335">
        <f>'REVRUNS 12ME0623'!P303</f>
        <v>4105726.0009299992</v>
      </c>
      <c r="O16" s="321"/>
      <c r="R16">
        <f t="shared" si="1"/>
        <v>4.5380000000000004E-2</v>
      </c>
      <c r="S16" s="278">
        <f t="shared" si="2"/>
        <v>186317.84592220339</v>
      </c>
    </row>
    <row r="17" spans="2:19" ht="14">
      <c r="B17" t="s">
        <v>386</v>
      </c>
      <c r="C17" s="212">
        <f>'Area Lts'!T55*IF(Base1_Billing2=2,1+#REF!,1)</f>
        <v>78219.860195000016</v>
      </c>
      <c r="D17" s="212">
        <f t="shared" si="3"/>
        <v>938638.32234000019</v>
      </c>
      <c r="E17" s="211"/>
      <c r="F17" s="212">
        <f>IF(Base1_Billing2=1,'Area Lts'!AH55,'Area Lts'!AH64)</f>
        <v>88856.830194999988</v>
      </c>
      <c r="G17" s="212">
        <f t="shared" si="0"/>
        <v>1066281.9623399999</v>
      </c>
      <c r="I17" s="76">
        <f t="shared" si="4"/>
        <v>0.13598809782429022</v>
      </c>
      <c r="J17" s="644">
        <v>0</v>
      </c>
      <c r="L17" s="423"/>
      <c r="M17" s="235"/>
      <c r="N17" s="358">
        <f>'REVRUNS 12ME0623'!P313</f>
        <v>2143510.44001</v>
      </c>
      <c r="R17">
        <f>-0.02038+0.01033-0.00386+0.01118+0.01478+0.00345-0.00018+0.0262</f>
        <v>4.1520000000000001E-2</v>
      </c>
      <c r="S17" s="278">
        <f t="shared" si="2"/>
        <v>88998.5534692152</v>
      </c>
    </row>
    <row r="18" spans="2:19">
      <c r="I18" s="76"/>
      <c r="L18" s="267"/>
      <c r="N18" s="285"/>
      <c r="S18" s="278">
        <f>SUM(S11:S17)</f>
        <v>719141.13646297914</v>
      </c>
    </row>
    <row r="19" spans="2:19" ht="14">
      <c r="B19" t="s">
        <v>64</v>
      </c>
      <c r="C19" s="213">
        <f>SUM(C11:C17)</f>
        <v>617330.15019499999</v>
      </c>
      <c r="D19" s="213">
        <f>SUM(D11:D17)</f>
        <v>7407961.8023400009</v>
      </c>
      <c r="F19" s="213">
        <f>SUM(F11:F17)</f>
        <v>697909.68019500002</v>
      </c>
      <c r="G19" s="213">
        <f>SUM(G11:G17)</f>
        <v>8374916.1623400012</v>
      </c>
      <c r="I19" s="243">
        <f>G19/D19-1</f>
        <v>0.130529069371627</v>
      </c>
      <c r="J19" s="233">
        <v>0</v>
      </c>
      <c r="L19" s="267">
        <f>L13</f>
        <v>0.1305</v>
      </c>
      <c r="N19" s="285">
        <f>SUM(N11:N18)</f>
        <v>16029420.157809999</v>
      </c>
      <c r="S19" s="278"/>
    </row>
    <row r="20" spans="2:19">
      <c r="C20" s="64">
        <f>ROUND(C19-CHOOSE(Base1_Billing2,'St Lts'!AC107+'Area Lts'!T56,'St Lts'!AC113+'Area Lts'!T65+G39),0)</f>
        <v>0</v>
      </c>
      <c r="F20" s="64">
        <f>ROUND(F19-CHOOSE(Base1_Billing2,'St Lts'!AU106+'Area Lts'!AH56,'St Lts'!AU112+'Area Lts'!AH65),0)</f>
        <v>0</v>
      </c>
      <c r="L20" s="133">
        <f>I19-L19</f>
        <v>2.9069371626999629E-5</v>
      </c>
      <c r="N20" s="285"/>
    </row>
    <row r="21" spans="2:19" ht="13">
      <c r="B21" s="97" t="s">
        <v>482</v>
      </c>
      <c r="C21" s="64"/>
      <c r="D21" s="330">
        <f>D15/N15</f>
        <v>0.1195755832010828</v>
      </c>
      <c r="E21" s="329"/>
      <c r="F21" s="329"/>
      <c r="G21" s="330">
        <f>G15/N15</f>
        <v>0.13517458401060778</v>
      </c>
      <c r="L21" s="133"/>
    </row>
    <row r="22" spans="2:19">
      <c r="C22" s="64"/>
      <c r="F22" s="64"/>
      <c r="L22" s="133"/>
    </row>
    <row r="23" spans="2:19">
      <c r="B23" s="380" t="s">
        <v>744</v>
      </c>
      <c r="I23" s="237">
        <f ca="1">'Rate Spread GRC'!H31*1000</f>
        <v>8375463.8792085806</v>
      </c>
      <c r="L23" s="443">
        <f>G19-('Rate Spread GRC'!J31*1000)</f>
        <v>247799.80000000168</v>
      </c>
    </row>
    <row r="24" spans="2:19">
      <c r="B24" s="380" t="s">
        <v>745</v>
      </c>
      <c r="I24" s="76">
        <f ca="1">'Rate Spread GRC'!F31</f>
        <v>0.13060300561525151</v>
      </c>
    </row>
    <row r="25" spans="2:19">
      <c r="C25" s="54"/>
      <c r="D25" s="53"/>
      <c r="F25" s="54"/>
      <c r="G25" s="53"/>
    </row>
    <row r="26" spans="2:19">
      <c r="C26" s="54"/>
      <c r="D26" s="53"/>
      <c r="F26" s="54"/>
      <c r="G26" s="53"/>
    </row>
    <row r="28" spans="2:19">
      <c r="C28" t="s">
        <v>530</v>
      </c>
      <c r="D28" t="s">
        <v>545</v>
      </c>
      <c r="E28" t="s">
        <v>531</v>
      </c>
      <c r="G28" t="s">
        <v>649</v>
      </c>
    </row>
    <row r="29" spans="2:19" hidden="1">
      <c r="B29" s="54" t="s">
        <v>339</v>
      </c>
      <c r="C29" s="241">
        <v>488916.65005000005</v>
      </c>
      <c r="D29" s="241">
        <v>488917.65005</v>
      </c>
      <c r="E29" s="241">
        <v>5866999.8006000007</v>
      </c>
      <c r="F29" s="242"/>
      <c r="G29" s="241">
        <v>556466.54005000007</v>
      </c>
      <c r="H29" s="241">
        <v>6677598.4805999994</v>
      </c>
    </row>
    <row r="30" spans="2:19" hidden="1">
      <c r="B30" s="54" t="s">
        <v>340</v>
      </c>
      <c r="C30" s="53">
        <f>C19-C29</f>
        <v>128413.50014499994</v>
      </c>
      <c r="D30" s="53">
        <f>D19-D29</f>
        <v>6919044.1522900006</v>
      </c>
      <c r="E30" s="53">
        <f>D19-E29</f>
        <v>1540962.0017400002</v>
      </c>
      <c r="G30" s="53">
        <f>F19-G29</f>
        <v>141443.14014499995</v>
      </c>
      <c r="H30" s="53">
        <f>G19-H29</f>
        <v>1697317.6817400018</v>
      </c>
    </row>
    <row r="31" spans="2:19" hidden="1">
      <c r="B31" s="54" t="s">
        <v>341</v>
      </c>
      <c r="C31" s="76">
        <f>C30/C29</f>
        <v>0.2626490632541712</v>
      </c>
      <c r="D31" s="76">
        <f>D30/D29</f>
        <v>14.151757768578026</v>
      </c>
      <c r="E31" s="76">
        <f>E30/E29</f>
        <v>0.26264906325417137</v>
      </c>
      <c r="F31" s="76"/>
      <c r="G31" s="76">
        <f>G30/G29</f>
        <v>0.25418085359146819</v>
      </c>
      <c r="H31" s="76">
        <f>H30/H29</f>
        <v>0.25418085359146864</v>
      </c>
    </row>
    <row r="32" spans="2:19">
      <c r="B32" t="s">
        <v>377</v>
      </c>
      <c r="C32" s="278"/>
      <c r="D32" s="278"/>
      <c r="E32" s="278"/>
      <c r="G32" s="348">
        <f>C32+D32+F32</f>
        <v>0</v>
      </c>
    </row>
    <row r="33" spans="2:9">
      <c r="B33" t="s">
        <v>378</v>
      </c>
      <c r="C33" s="278"/>
      <c r="D33" s="278"/>
      <c r="G33" s="348">
        <f t="shared" ref="G33:G38" si="5">C33+D33+F33</f>
        <v>0</v>
      </c>
    </row>
    <row r="34" spans="2:9">
      <c r="B34" t="s">
        <v>379</v>
      </c>
      <c r="C34" s="278"/>
      <c r="D34" s="278"/>
      <c r="G34" s="348">
        <f t="shared" si="5"/>
        <v>0</v>
      </c>
    </row>
    <row r="35" spans="2:9">
      <c r="B35" t="s">
        <v>380</v>
      </c>
      <c r="C35" s="278"/>
      <c r="D35" s="278"/>
      <c r="G35" s="348">
        <f t="shared" si="5"/>
        <v>0</v>
      </c>
    </row>
    <row r="36" spans="2:9">
      <c r="B36" t="s">
        <v>381</v>
      </c>
      <c r="C36" s="278"/>
      <c r="D36" s="278"/>
      <c r="G36" s="348">
        <f t="shared" si="5"/>
        <v>0</v>
      </c>
    </row>
    <row r="37" spans="2:9">
      <c r="B37" t="s">
        <v>385</v>
      </c>
      <c r="C37" s="278"/>
      <c r="D37" s="278"/>
      <c r="G37" s="348">
        <f t="shared" si="5"/>
        <v>0</v>
      </c>
    </row>
    <row r="38" spans="2:9">
      <c r="B38" t="s">
        <v>386</v>
      </c>
      <c r="C38" s="278"/>
      <c r="D38" s="278"/>
      <c r="F38" s="278"/>
      <c r="G38" s="348">
        <f t="shared" si="5"/>
        <v>0</v>
      </c>
    </row>
    <row r="39" spans="2:9" ht="13" thickBot="1">
      <c r="B39" t="s">
        <v>64</v>
      </c>
      <c r="C39" s="343">
        <f>C32+C33+C34+C35+C36+C37+C38</f>
        <v>0</v>
      </c>
      <c r="D39" s="343">
        <f>D32+D33+D34+D35+D36+D37+D38</f>
        <v>0</v>
      </c>
      <c r="F39" s="343">
        <f>E32+E33+E34+E35+E36+E37+F38</f>
        <v>0</v>
      </c>
      <c r="G39" s="53">
        <f>C39+F39+D39</f>
        <v>0</v>
      </c>
      <c r="I39" s="53"/>
    </row>
    <row r="40" spans="2:9" ht="13" thickTop="1">
      <c r="C40" s="344"/>
      <c r="D40" s="344"/>
      <c r="F40" s="344"/>
    </row>
    <row r="42" spans="2:9">
      <c r="F42" t="s">
        <v>280</v>
      </c>
      <c r="G42" s="53">
        <f>+G39</f>
        <v>0</v>
      </c>
    </row>
  </sheetData>
  <mergeCells count="2">
    <mergeCell ref="C7:D7"/>
    <mergeCell ref="F7:G7"/>
  </mergeCells>
  <phoneticPr fontId="0" type="noConversion"/>
  <conditionalFormatting sqref="F20 C20:C22 F22">
    <cfRule type="expression" dxfId="11" priority="1" stopIfTrue="1">
      <formula>ABS(C20)&gt;0.5</formula>
    </cfRule>
  </conditionalFormatting>
  <printOptions horizontalCentered="1"/>
  <pageMargins left="0.75" right="0.75" top="1" bottom="1" header="0.5" footer="0.5"/>
  <pageSetup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CZ212"/>
  <sheetViews>
    <sheetView showGridLines="0" topLeftCell="J31" zoomScaleNormal="100" workbookViewId="0">
      <selection activeCell="U101" sqref="U101"/>
    </sheetView>
  </sheetViews>
  <sheetFormatPr defaultRowHeight="12.5"/>
  <cols>
    <col min="1" max="1" width="7.7265625" customWidth="1"/>
    <col min="2" max="2" width="6.7265625" style="32" customWidth="1"/>
    <col min="3" max="3" width="7.54296875" style="32" customWidth="1"/>
    <col min="4" max="4" width="10.453125" style="32" customWidth="1"/>
    <col min="5" max="5" width="12.26953125" customWidth="1"/>
    <col min="6" max="6" width="1.7265625" customWidth="1"/>
    <col min="7" max="7" width="9.7265625" customWidth="1"/>
    <col min="8" max="8" width="47.81640625" customWidth="1"/>
    <col min="9" max="9" width="28.453125" customWidth="1"/>
    <col min="10" max="10" width="27" bestFit="1" customWidth="1"/>
    <col min="11" max="11" width="14.453125" style="54" bestFit="1" customWidth="1"/>
    <col min="12" max="12" width="7.54296875" customWidth="1"/>
    <col min="13" max="13" width="6.7265625" customWidth="1"/>
    <col min="14" max="14" width="7.26953125" customWidth="1"/>
    <col min="15" max="16" width="6.7265625" customWidth="1"/>
    <col min="17" max="17" width="7.26953125" customWidth="1"/>
    <col min="18" max="18" width="2.7265625" customWidth="1"/>
    <col min="19" max="19" width="7.54296875" customWidth="1"/>
    <col min="20" max="20" width="9.26953125" customWidth="1"/>
    <col min="21" max="22" width="7.54296875" customWidth="1"/>
    <col min="23" max="23" width="7.26953125" customWidth="1"/>
    <col min="24" max="24" width="2.7265625" customWidth="1"/>
    <col min="25" max="25" width="8.26953125" customWidth="1"/>
    <col min="26" max="26" width="10.7265625" bestFit="1" customWidth="1"/>
    <col min="27" max="27" width="9" bestFit="1" customWidth="1"/>
    <col min="28" max="28" width="8.26953125" customWidth="1"/>
    <col min="29" max="29" width="9.7265625" customWidth="1"/>
    <col min="30" max="30" width="10.7265625" customWidth="1"/>
    <col min="31" max="31" width="6.7265625" customWidth="1"/>
    <col min="32" max="32" width="7.26953125" customWidth="1"/>
    <col min="33" max="35" width="6.7265625" customWidth="1"/>
    <col min="36" max="36" width="2.7265625" customWidth="1"/>
    <col min="37" max="41" width="8" customWidth="1"/>
    <col min="42" max="42" width="2.7265625" customWidth="1"/>
    <col min="43" max="43" width="8.26953125" customWidth="1"/>
    <col min="44" max="44" width="9.7265625" bestFit="1" customWidth="1"/>
    <col min="45" max="46" width="8.26953125" customWidth="1"/>
    <col min="47" max="47" width="9.453125" bestFit="1" customWidth="1"/>
    <col min="48" max="49" width="10.7265625" customWidth="1"/>
    <col min="50" max="50" width="6.453125" customWidth="1"/>
    <col min="56" max="56" width="9.26953125"/>
    <col min="57" max="57" width="11.54296875" bestFit="1" customWidth="1"/>
    <col min="58" max="58" width="9.26953125" customWidth="1"/>
  </cols>
  <sheetData>
    <row r="1" spans="1:75" ht="18">
      <c r="A1" s="56" t="s">
        <v>89</v>
      </c>
      <c r="I1" s="370" t="s">
        <v>713</v>
      </c>
      <c r="AJ1" s="54" t="s">
        <v>384</v>
      </c>
      <c r="AK1" s="171">
        <f>'Lighting summary'!L11</f>
        <v>0</v>
      </c>
      <c r="AL1" s="171">
        <f>'Lighting summary'!L12</f>
        <v>0.12180000000000001</v>
      </c>
      <c r="AM1" s="171">
        <f>'Lighting summary'!L13</f>
        <v>0.1305</v>
      </c>
      <c r="AN1" s="171">
        <f>'Lighting summary'!L14</f>
        <v>0.1305</v>
      </c>
      <c r="AO1" s="171">
        <f>'Lighting summary'!L15</f>
        <v>0.1305</v>
      </c>
      <c r="AY1" s="138"/>
      <c r="BE1" s="341">
        <f>-0.00789-0.00045-0.00339</f>
        <v>-1.1730000000000001E-2</v>
      </c>
      <c r="BF1" t="s">
        <v>369</v>
      </c>
      <c r="BM1" s="76">
        <f>BF2</f>
        <v>1.0150999999999999</v>
      </c>
    </row>
    <row r="2" spans="1:75" ht="14">
      <c r="A2" s="485" t="s">
        <v>808</v>
      </c>
      <c r="B2" s="480"/>
      <c r="C2" s="480"/>
      <c r="D2" s="480"/>
      <c r="M2" s="59" t="s">
        <v>345</v>
      </c>
      <c r="N2" s="60"/>
      <c r="O2" s="60"/>
      <c r="P2" s="60"/>
      <c r="Q2" s="60"/>
      <c r="S2" s="59" t="s">
        <v>80</v>
      </c>
      <c r="T2" s="60"/>
      <c r="U2" s="60"/>
      <c r="V2" s="60"/>
      <c r="W2" s="60"/>
      <c r="Y2" s="59" t="s">
        <v>91</v>
      </c>
      <c r="Z2" s="60"/>
      <c r="AA2" s="60"/>
      <c r="AB2" s="60"/>
      <c r="AC2" s="60"/>
      <c r="AE2" s="59" t="s">
        <v>90</v>
      </c>
      <c r="AF2" s="60"/>
      <c r="AG2" s="60"/>
      <c r="AH2" s="60"/>
      <c r="AI2" s="60"/>
      <c r="AK2" s="59" t="s">
        <v>81</v>
      </c>
      <c r="AL2" s="60"/>
      <c r="AM2" s="60"/>
      <c r="AN2" s="60"/>
      <c r="AO2" s="60"/>
      <c r="AQ2" s="59" t="s">
        <v>179</v>
      </c>
      <c r="AR2" s="60"/>
      <c r="AS2" s="60"/>
      <c r="AT2" s="60"/>
      <c r="AU2" s="60"/>
      <c r="AY2" s="59" t="s">
        <v>327</v>
      </c>
      <c r="AZ2" s="60"/>
      <c r="BA2" s="60"/>
      <c r="BB2" s="60"/>
      <c r="BC2" s="60"/>
      <c r="BD2" s="50"/>
      <c r="BE2" s="341">
        <v>1.3939999999999999E-2</v>
      </c>
      <c r="BF2" s="379">
        <f>1+0.0151</f>
        <v>1.0150999999999999</v>
      </c>
      <c r="BG2" t="s">
        <v>667</v>
      </c>
      <c r="BM2" t="s">
        <v>342</v>
      </c>
      <c r="BO2" s="218"/>
      <c r="BS2" t="s">
        <v>263</v>
      </c>
    </row>
    <row r="3" spans="1:75" ht="12.75" customHeight="1" thickBot="1">
      <c r="A3" s="58"/>
      <c r="I3" s="61" t="s">
        <v>92</v>
      </c>
      <c r="J3" s="61" t="s">
        <v>93</v>
      </c>
      <c r="K3" s="62" t="s">
        <v>94</v>
      </c>
      <c r="L3" s="61" t="s">
        <v>95</v>
      </c>
      <c r="M3" s="63" t="s">
        <v>96</v>
      </c>
      <c r="N3" s="63" t="s">
        <v>97</v>
      </c>
      <c r="O3" s="63" t="s">
        <v>98</v>
      </c>
      <c r="P3" s="63" t="s">
        <v>99</v>
      </c>
      <c r="Q3" s="63" t="s">
        <v>100</v>
      </c>
      <c r="S3" s="63" t="s">
        <v>96</v>
      </c>
      <c r="T3" s="63" t="s">
        <v>97</v>
      </c>
      <c r="U3" s="63" t="s">
        <v>98</v>
      </c>
      <c r="V3" s="63" t="s">
        <v>99</v>
      </c>
      <c r="W3" s="63" t="s">
        <v>100</v>
      </c>
      <c r="Y3" s="63" t="s">
        <v>96</v>
      </c>
      <c r="Z3" s="63" t="s">
        <v>97</v>
      </c>
      <c r="AA3" s="63" t="s">
        <v>98</v>
      </c>
      <c r="AB3" s="63" t="s">
        <v>99</v>
      </c>
      <c r="AC3" s="63" t="s">
        <v>100</v>
      </c>
      <c r="AE3" s="63" t="s">
        <v>96</v>
      </c>
      <c r="AF3" s="63" t="s">
        <v>97</v>
      </c>
      <c r="AG3" s="63" t="s">
        <v>98</v>
      </c>
      <c r="AH3" s="63" t="s">
        <v>99</v>
      </c>
      <c r="AI3" s="63" t="s">
        <v>100</v>
      </c>
      <c r="AK3" s="63" t="s">
        <v>96</v>
      </c>
      <c r="AL3" s="63" t="s">
        <v>97</v>
      </c>
      <c r="AM3" s="63" t="s">
        <v>98</v>
      </c>
      <c r="AN3" s="63" t="s">
        <v>99</v>
      </c>
      <c r="AO3" s="63" t="s">
        <v>100</v>
      </c>
      <c r="AQ3" s="63" t="s">
        <v>96</v>
      </c>
      <c r="AR3" s="63" t="s">
        <v>97</v>
      </c>
      <c r="AS3" s="63" t="s">
        <v>98</v>
      </c>
      <c r="AT3" s="63" t="s">
        <v>99</v>
      </c>
      <c r="AU3" s="63" t="s">
        <v>100</v>
      </c>
      <c r="AX3" s="42" t="s">
        <v>347</v>
      </c>
      <c r="AY3" s="63" t="s">
        <v>96</v>
      </c>
      <c r="AZ3" s="63" t="s">
        <v>97</v>
      </c>
      <c r="BA3" s="63" t="s">
        <v>98</v>
      </c>
      <c r="BB3" s="63" t="s">
        <v>99</v>
      </c>
      <c r="BC3" s="63" t="s">
        <v>100</v>
      </c>
      <c r="BD3" s="268"/>
      <c r="BE3" s="42" t="s">
        <v>492</v>
      </c>
      <c r="BF3" s="63" t="s">
        <v>96</v>
      </c>
      <c r="BG3" s="63" t="s">
        <v>97</v>
      </c>
      <c r="BH3" s="63" t="s">
        <v>98</v>
      </c>
      <c r="BI3" s="63" t="s">
        <v>99</v>
      </c>
      <c r="BJ3" s="63" t="s">
        <v>100</v>
      </c>
      <c r="BM3" s="63" t="s">
        <v>96</v>
      </c>
      <c r="BN3" s="63" t="s">
        <v>97</v>
      </c>
      <c r="BO3" s="63" t="s">
        <v>98</v>
      </c>
      <c r="BP3" s="63" t="s">
        <v>99</v>
      </c>
      <c r="BQ3" s="63" t="s">
        <v>100</v>
      </c>
      <c r="BS3" s="63" t="s">
        <v>96</v>
      </c>
      <c r="BT3" s="63" t="s">
        <v>97</v>
      </c>
      <c r="BU3" s="63" t="s">
        <v>98</v>
      </c>
      <c r="BV3" s="63" t="s">
        <v>99</v>
      </c>
      <c r="BW3" s="63" t="s">
        <v>100</v>
      </c>
    </row>
    <row r="4" spans="1:75" ht="12.75" customHeight="1">
      <c r="H4" s="42"/>
      <c r="I4" t="s">
        <v>410</v>
      </c>
      <c r="J4" t="s">
        <v>108</v>
      </c>
      <c r="K4" s="181" t="s">
        <v>738</v>
      </c>
      <c r="L4" s="84" t="s">
        <v>686</v>
      </c>
      <c r="M4" s="64">
        <f t="shared" ref="M4:Q13" si="0">SUMIF($G:$G,TEXT(M$3,"000")&amp;TEXT($L4,"000"),$E:$E)</f>
        <v>0</v>
      </c>
      <c r="N4" s="64">
        <f t="shared" si="0"/>
        <v>0</v>
      </c>
      <c r="O4" s="64">
        <f t="shared" si="0"/>
        <v>0</v>
      </c>
      <c r="P4" s="64">
        <f t="shared" si="0"/>
        <v>0</v>
      </c>
      <c r="Q4" s="64">
        <f t="shared" si="0"/>
        <v>2</v>
      </c>
      <c r="R4" s="64">
        <f t="shared" ref="R4" si="1">IF(SUM(M4:Q4)&gt;0,0,1)</f>
        <v>0</v>
      </c>
      <c r="S4" s="337">
        <v>0</v>
      </c>
      <c r="T4" s="337"/>
      <c r="U4" s="337">
        <v>0</v>
      </c>
      <c r="V4" s="337">
        <v>0</v>
      </c>
      <c r="W4" s="337">
        <v>0.24</v>
      </c>
      <c r="Y4" s="65">
        <f t="shared" ref="Y4" si="2">IF(AND(M4&lt;&gt;0,S4=0),#VALUE!,M4*S4)</f>
        <v>0</v>
      </c>
      <c r="Z4" s="65">
        <f t="shared" ref="Z4" si="3">IF(AND(N4&lt;&gt;0,T4=0),#VALUE!,N4*T4)</f>
        <v>0</v>
      </c>
      <c r="AA4" s="65">
        <f t="shared" ref="AA4" si="4">IF(AND(O4&lt;&gt;0,U4=0),#VALUE!,O4*U4)</f>
        <v>0</v>
      </c>
      <c r="AB4" s="65">
        <f t="shared" ref="AB4" si="5">IF(AND(P4&lt;&gt;0,V4=0),#VALUE!,P4*V4)</f>
        <v>0</v>
      </c>
      <c r="AC4" s="65">
        <f t="shared" ref="AC4" si="6">IF(AND(Q4&lt;&gt;0,W4=0),#VALUE!,Q4*W4)</f>
        <v>0.48</v>
      </c>
      <c r="AE4" s="64">
        <f t="shared" ref="AE4:AI13" si="7">SUMIF($G:$G,TEXT(AE$3,"000")&amp;TEXT($L4,"000"),$E:$E)</f>
        <v>0</v>
      </c>
      <c r="AF4" s="64">
        <f t="shared" si="7"/>
        <v>0</v>
      </c>
      <c r="AG4" s="64">
        <f t="shared" si="7"/>
        <v>0</v>
      </c>
      <c r="AH4" s="64">
        <f t="shared" si="7"/>
        <v>0</v>
      </c>
      <c r="AI4" s="64">
        <f t="shared" si="7"/>
        <v>2</v>
      </c>
      <c r="AK4" s="74">
        <f t="shared" ref="AK4:AL27" si="8">ROUND(S4*(1+AK$1),2)</f>
        <v>0</v>
      </c>
      <c r="AL4" s="74"/>
      <c r="AM4" s="74">
        <f t="shared" ref="AM4:AM27" si="9">ROUND(U4*(1+AM$1),2)</f>
        <v>0</v>
      </c>
      <c r="AN4" s="74">
        <f t="shared" ref="AN4:AN27" si="10">ROUND(V4*(1+AN$1),2)</f>
        <v>0</v>
      </c>
      <c r="AO4" s="74">
        <f>ROUND(W4*(1+AO$1),2)</f>
        <v>0.27</v>
      </c>
      <c r="AQ4" s="65">
        <f t="shared" ref="AQ4:AQ27" si="11">IF(AND(AE4&lt;&gt;0,AK4=0),#VALUE!,AE4*AK4)</f>
        <v>0</v>
      </c>
      <c r="AR4" s="65">
        <f t="shared" ref="AR4:AR27" si="12">IF(AND(AF4&lt;&gt;0,AL4=0),#VALUE!,AF4*AL4)</f>
        <v>0</v>
      </c>
      <c r="AS4" s="65">
        <f t="shared" ref="AS4:AS27" si="13">IF(AND(AG4&lt;&gt;0,AM4=0),#VALUE!,AG4*AM4)</f>
        <v>0</v>
      </c>
      <c r="AT4" s="65">
        <f t="shared" ref="AT4:AT27" si="14">IF(AND(AH4&lt;&gt;0,AN4=0),#VALUE!,AH4*AN4)</f>
        <v>0</v>
      </c>
      <c r="AU4" s="65">
        <f t="shared" ref="AU4:AU27" si="15">IF(AND(AI4&lt;&gt;0,AO4=0),#VALUE!,AI4*AO4)</f>
        <v>0.54</v>
      </c>
      <c r="AX4" s="299">
        <v>2</v>
      </c>
      <c r="AY4" s="85"/>
      <c r="AZ4" s="85"/>
      <c r="BA4" s="85"/>
      <c r="BB4" s="85"/>
      <c r="BC4" s="85">
        <v>0.23347299999999999</v>
      </c>
      <c r="BD4" s="85"/>
      <c r="BE4" s="327">
        <f t="shared" ref="BE4" si="16">ROUND(AX4*$BE$2,2)+ROUND(AX4*$BE$1,2)</f>
        <v>9.9999999999999985E-3</v>
      </c>
      <c r="BF4" s="49"/>
      <c r="BG4" s="49"/>
      <c r="BH4" s="49"/>
      <c r="BI4" s="49"/>
      <c r="BJ4" s="49">
        <f>ROUND((W4*$BF$2)+$BE4-BC4,2)</f>
        <v>0.02</v>
      </c>
      <c r="BM4" s="214">
        <f t="shared" ref="BM4:BM67" si="17">AK4*$BM$1</f>
        <v>0</v>
      </c>
      <c r="BN4" s="214">
        <f t="shared" ref="BN4:BN67" si="18">AL4*$BM$1</f>
        <v>0</v>
      </c>
      <c r="BO4" s="214">
        <f t="shared" ref="BO4:BO67" si="19">AM4*$BM$1</f>
        <v>0</v>
      </c>
      <c r="BP4" s="214">
        <f t="shared" ref="BP4:BP67" si="20">AN4*$BM$1</f>
        <v>0</v>
      </c>
      <c r="BQ4" s="214">
        <f>AO4*$BM$1</f>
        <v>0.27407700000000002</v>
      </c>
      <c r="BS4" s="49">
        <f>BM4-AY4</f>
        <v>0</v>
      </c>
      <c r="BT4" s="49">
        <f t="shared" ref="BT4" si="21">BN4-AZ4</f>
        <v>0</v>
      </c>
      <c r="BU4" s="49">
        <f t="shared" ref="BU4" si="22">BO4-BA4</f>
        <v>0</v>
      </c>
      <c r="BV4" s="49">
        <f t="shared" ref="BV4" si="23">BP4-BB4</f>
        <v>0</v>
      </c>
      <c r="BW4" s="49">
        <f>BQ4-BC4</f>
        <v>4.0604000000000029E-2</v>
      </c>
    </row>
    <row r="5" spans="1:75" ht="12.75" customHeight="1">
      <c r="B5" s="477" t="s">
        <v>102</v>
      </c>
      <c r="C5" s="477" t="s">
        <v>95</v>
      </c>
      <c r="D5" s="477" t="s">
        <v>103</v>
      </c>
      <c r="E5" s="478" t="s">
        <v>104</v>
      </c>
      <c r="F5" s="479"/>
      <c r="G5" s="479"/>
      <c r="H5" s="42"/>
      <c r="I5" t="s">
        <v>410</v>
      </c>
      <c r="J5" t="s">
        <v>108</v>
      </c>
      <c r="K5" s="181" t="s">
        <v>738</v>
      </c>
      <c r="L5" s="84" t="s">
        <v>687</v>
      </c>
      <c r="M5" s="64">
        <f t="shared" si="0"/>
        <v>0</v>
      </c>
      <c r="N5" s="64">
        <f t="shared" si="0"/>
        <v>0</v>
      </c>
      <c r="O5" s="64">
        <f t="shared" si="0"/>
        <v>0</v>
      </c>
      <c r="P5" s="64">
        <f t="shared" si="0"/>
        <v>0</v>
      </c>
      <c r="Q5" s="64">
        <f t="shared" si="0"/>
        <v>42</v>
      </c>
      <c r="R5" s="64">
        <f t="shared" ref="R5:R25" si="24">IF(SUM(M5:Q5)&gt;0,0,1)</f>
        <v>0</v>
      </c>
      <c r="S5" s="337">
        <v>0</v>
      </c>
      <c r="T5" s="337"/>
      <c r="U5" s="337">
        <v>0</v>
      </c>
      <c r="V5" s="337">
        <v>0</v>
      </c>
      <c r="W5" s="337">
        <v>0.56999999999999995</v>
      </c>
      <c r="Y5" s="65">
        <f t="shared" ref="Y5:Y25" si="25">IF(AND(M5&lt;&gt;0,S5=0),#VALUE!,M5*S5)</f>
        <v>0</v>
      </c>
      <c r="Z5" s="65">
        <f t="shared" ref="Z5:Z25" si="26">IF(AND(N5&lt;&gt;0,T5=0),#VALUE!,N5*T5)</f>
        <v>0</v>
      </c>
      <c r="AA5" s="65">
        <f t="shared" ref="AA5:AA24" si="27">IF(AND(O5&lt;&gt;0,U5=0),#VALUE!,O5*U5)</f>
        <v>0</v>
      </c>
      <c r="AB5" s="65">
        <f t="shared" ref="AB5:AB25" si="28">IF(AND(P5&lt;&gt;0,V5=0),#VALUE!,P5*V5)</f>
        <v>0</v>
      </c>
      <c r="AC5" s="65">
        <f>IF(AND(Q5&lt;&gt;0,W5=0),#VALUE!,Q5*W5)</f>
        <v>23.939999999999998</v>
      </c>
      <c r="AE5" s="64">
        <f t="shared" si="7"/>
        <v>0</v>
      </c>
      <c r="AF5" s="64">
        <f t="shared" si="7"/>
        <v>0</v>
      </c>
      <c r="AG5" s="64">
        <f t="shared" si="7"/>
        <v>0</v>
      </c>
      <c r="AH5" s="64">
        <f t="shared" si="7"/>
        <v>0</v>
      </c>
      <c r="AI5" s="64">
        <f t="shared" si="7"/>
        <v>42</v>
      </c>
      <c r="AK5" s="74">
        <f t="shared" ref="AK5:AK25" si="29">ROUND(S5*(1+AK$1),2)</f>
        <v>0</v>
      </c>
      <c r="AL5" s="74"/>
      <c r="AM5" s="74">
        <f t="shared" ref="AM5:AM25" si="30">ROUND(U5*(1+AM$1),2)</f>
        <v>0</v>
      </c>
      <c r="AN5" s="74">
        <f t="shared" ref="AN5:AN25" si="31">ROUND(V5*(1+AN$1),2)</f>
        <v>0</v>
      </c>
      <c r="AO5" s="74">
        <f t="shared" ref="AO5:AO24" si="32">ROUND(W5*(1+AO$1),2)</f>
        <v>0.64</v>
      </c>
      <c r="AQ5" s="65">
        <f t="shared" ref="AQ5:AQ25" si="33">IF(AND(AE5&lt;&gt;0,AK5=0),#VALUE!,AE5*AK5)</f>
        <v>0</v>
      </c>
      <c r="AR5" s="65">
        <f>IF(AND(AF5&lt;&gt;0,AL5=0),#VALUE!,AF5*AL5)</f>
        <v>0</v>
      </c>
      <c r="AS5" s="65">
        <f t="shared" ref="AS5:AS25" si="34">IF(AND(AG5&lt;&gt;0,AM5=0),#VALUE!,AG5*AM5)</f>
        <v>0</v>
      </c>
      <c r="AT5" s="65">
        <f t="shared" ref="AT5:AT25" si="35">IF(AND(AH5&lt;&gt;0,AN5=0),#VALUE!,AH5*AN5)</f>
        <v>0</v>
      </c>
      <c r="AU5" s="65">
        <f>IF(AND(AI5&lt;&gt;0,AO5=0),#VALUE!,AI5*AO5)</f>
        <v>26.88</v>
      </c>
      <c r="AX5" s="299">
        <v>5</v>
      </c>
      <c r="AY5" s="85"/>
      <c r="AZ5" s="85"/>
      <c r="BA5" s="85"/>
      <c r="BB5" s="85"/>
      <c r="BC5" s="85">
        <v>0.56845599999999996</v>
      </c>
      <c r="BD5" s="85"/>
      <c r="BE5" s="327">
        <f t="shared" ref="BE5:BE25" si="36">ROUND(AX5*$BE$2,2)+ROUND(AX5*$BE$1,2)</f>
        <v>1.0000000000000009E-2</v>
      </c>
      <c r="BF5" s="49"/>
      <c r="BG5" s="49"/>
      <c r="BH5" s="49"/>
      <c r="BI5" s="49"/>
      <c r="BJ5" s="49">
        <f t="shared" ref="BJ5:BJ25" si="37">ROUND((W5*$BF$2)+$BE5-BC5,2)</f>
        <v>0.02</v>
      </c>
      <c r="BM5" s="214">
        <f t="shared" si="17"/>
        <v>0</v>
      </c>
      <c r="BN5" s="214">
        <f t="shared" si="18"/>
        <v>0</v>
      </c>
      <c r="BO5" s="214">
        <f t="shared" si="19"/>
        <v>0</v>
      </c>
      <c r="BP5" s="214">
        <f t="shared" si="20"/>
        <v>0</v>
      </c>
      <c r="BQ5" s="214">
        <f t="shared" ref="BQ5:BQ68" si="38">AO5*$BM$1</f>
        <v>0.64966399999999991</v>
      </c>
      <c r="BS5" s="49">
        <f t="shared" ref="BS5:BS25" si="39">BM5-AY5</f>
        <v>0</v>
      </c>
      <c r="BT5" s="49">
        <f t="shared" ref="BT5:BT25" si="40">BN5-AZ5</f>
        <v>0</v>
      </c>
      <c r="BU5" s="49">
        <f t="shared" ref="BU5:BU25" si="41">BO5-BA5</f>
        <v>0</v>
      </c>
      <c r="BV5" s="49">
        <f t="shared" ref="BV5:BV25" si="42">BP5-BB5</f>
        <v>0</v>
      </c>
      <c r="BW5" s="49">
        <f t="shared" ref="BW5:BW25" si="43">BQ5-BC5</f>
        <v>8.1207999999999947E-2</v>
      </c>
    </row>
    <row r="6" spans="1:75" ht="12.75" customHeight="1">
      <c r="B6" s="480"/>
      <c r="C6" s="480"/>
      <c r="D6" s="480"/>
      <c r="E6" s="450"/>
      <c r="F6" s="450"/>
      <c r="G6" s="450"/>
      <c r="I6" t="s">
        <v>410</v>
      </c>
      <c r="J6" t="s">
        <v>108</v>
      </c>
      <c r="K6" s="181" t="s">
        <v>738</v>
      </c>
      <c r="L6" s="84" t="s">
        <v>688</v>
      </c>
      <c r="M6" s="64">
        <f t="shared" si="0"/>
        <v>0</v>
      </c>
      <c r="N6" s="64">
        <f t="shared" si="0"/>
        <v>0</v>
      </c>
      <c r="O6" s="64">
        <f t="shared" si="0"/>
        <v>0</v>
      </c>
      <c r="P6" s="64">
        <f t="shared" si="0"/>
        <v>0</v>
      </c>
      <c r="Q6" s="64">
        <f t="shared" si="0"/>
        <v>45</v>
      </c>
      <c r="R6" s="64">
        <f t="shared" si="24"/>
        <v>0</v>
      </c>
      <c r="S6" s="337">
        <v>0</v>
      </c>
      <c r="T6" s="337"/>
      <c r="U6" s="337">
        <v>0</v>
      </c>
      <c r="V6" s="337">
        <v>0</v>
      </c>
      <c r="W6" s="337">
        <v>1.04</v>
      </c>
      <c r="Y6" s="65">
        <f t="shared" si="25"/>
        <v>0</v>
      </c>
      <c r="Z6" s="65">
        <f t="shared" si="26"/>
        <v>0</v>
      </c>
      <c r="AA6" s="65">
        <f t="shared" si="27"/>
        <v>0</v>
      </c>
      <c r="AB6" s="65">
        <f t="shared" si="28"/>
        <v>0</v>
      </c>
      <c r="AC6" s="65">
        <f t="shared" ref="AC6:AC24" si="44">IF(AND(Q6&lt;&gt;0,W6=0),#VALUE!,Q6*W6)</f>
        <v>46.800000000000004</v>
      </c>
      <c r="AE6" s="64">
        <f t="shared" si="7"/>
        <v>0</v>
      </c>
      <c r="AF6" s="64">
        <f t="shared" si="7"/>
        <v>0</v>
      </c>
      <c r="AG6" s="64">
        <f t="shared" si="7"/>
        <v>0</v>
      </c>
      <c r="AH6" s="64">
        <f t="shared" si="7"/>
        <v>0</v>
      </c>
      <c r="AI6" s="64">
        <f t="shared" si="7"/>
        <v>45</v>
      </c>
      <c r="AK6" s="74">
        <f t="shared" si="29"/>
        <v>0</v>
      </c>
      <c r="AL6" s="74"/>
      <c r="AM6" s="74">
        <f t="shared" si="30"/>
        <v>0</v>
      </c>
      <c r="AN6" s="74">
        <f t="shared" si="31"/>
        <v>0</v>
      </c>
      <c r="AO6" s="74">
        <f t="shared" si="32"/>
        <v>1.18</v>
      </c>
      <c r="AQ6" s="65">
        <f t="shared" si="33"/>
        <v>0</v>
      </c>
      <c r="AR6" s="65">
        <f t="shared" ref="AR6:AR25" si="45">IF(AND(AF6&lt;&gt;0,AL6=0),#VALUE!,AF6*AL6)</f>
        <v>0</v>
      </c>
      <c r="AS6" s="65">
        <f t="shared" si="34"/>
        <v>0</v>
      </c>
      <c r="AT6" s="65">
        <f t="shared" si="35"/>
        <v>0</v>
      </c>
      <c r="AU6" s="65">
        <f t="shared" ref="AU6:AU24" si="46">IF(AND(AI6&lt;&gt;0,AO6=0),#VALUE!,AI6*AO6)</f>
        <v>53.099999999999994</v>
      </c>
      <c r="AX6" s="299">
        <v>9</v>
      </c>
      <c r="AY6" s="85"/>
      <c r="AZ6" s="85"/>
      <c r="BA6" s="85"/>
      <c r="BB6" s="85"/>
      <c r="BC6" s="85">
        <v>1.0252509999999999</v>
      </c>
      <c r="BD6" s="85"/>
      <c r="BE6" s="327">
        <f t="shared" si="36"/>
        <v>2.0000000000000004E-2</v>
      </c>
      <c r="BF6" s="49"/>
      <c r="BG6" s="49"/>
      <c r="BH6" s="49"/>
      <c r="BI6" s="49"/>
      <c r="BJ6" s="49">
        <f>ROUND((W6*$BF$2)+$BE6-BC6,2)</f>
        <v>0.05</v>
      </c>
      <c r="BM6" s="214">
        <f t="shared" si="17"/>
        <v>0</v>
      </c>
      <c r="BN6" s="214">
        <f t="shared" si="18"/>
        <v>0</v>
      </c>
      <c r="BO6" s="214">
        <f t="shared" si="19"/>
        <v>0</v>
      </c>
      <c r="BP6" s="214">
        <f t="shared" si="20"/>
        <v>0</v>
      </c>
      <c r="BQ6" s="214">
        <f t="shared" si="38"/>
        <v>1.1978179999999998</v>
      </c>
      <c r="BS6" s="49">
        <f t="shared" si="39"/>
        <v>0</v>
      </c>
      <c r="BT6" s="49">
        <f t="shared" si="40"/>
        <v>0</v>
      </c>
      <c r="BU6" s="49">
        <f t="shared" si="41"/>
        <v>0</v>
      </c>
      <c r="BV6" s="49">
        <f t="shared" si="42"/>
        <v>0</v>
      </c>
      <c r="BW6" s="49">
        <f t="shared" si="43"/>
        <v>0.17256699999999991</v>
      </c>
    </row>
    <row r="7" spans="1:75" ht="12.75" customHeight="1">
      <c r="B7" s="480">
        <v>2</v>
      </c>
      <c r="C7" s="481" t="s">
        <v>96</v>
      </c>
      <c r="D7" s="480">
        <v>214</v>
      </c>
      <c r="E7" s="482">
        <v>0</v>
      </c>
      <c r="F7" s="483"/>
      <c r="G7" s="483" t="str">
        <f>IF(OR(ISBLANK(C7),ISBLANK(D7)),"",TEXT(C7,"000")&amp;TEXT(D7,"000"))</f>
        <v>041214</v>
      </c>
      <c r="H7" s="40"/>
      <c r="I7" t="s">
        <v>410</v>
      </c>
      <c r="J7" t="s">
        <v>108</v>
      </c>
      <c r="K7" s="181" t="s">
        <v>738</v>
      </c>
      <c r="L7" s="84" t="s">
        <v>689</v>
      </c>
      <c r="M7" s="64">
        <f t="shared" si="0"/>
        <v>0</v>
      </c>
      <c r="N7" s="64">
        <f t="shared" si="0"/>
        <v>0</v>
      </c>
      <c r="O7" s="64">
        <f t="shared" si="0"/>
        <v>0</v>
      </c>
      <c r="P7" s="64">
        <f t="shared" si="0"/>
        <v>0</v>
      </c>
      <c r="Q7" s="64">
        <f t="shared" si="0"/>
        <v>0</v>
      </c>
      <c r="R7" s="64">
        <f>IF(SUM(M7:Q7)&gt;0,0,1)</f>
        <v>1</v>
      </c>
      <c r="S7" s="337">
        <v>0</v>
      </c>
      <c r="T7" s="337"/>
      <c r="U7" s="337">
        <v>0</v>
      </c>
      <c r="V7" s="337">
        <v>0</v>
      </c>
      <c r="W7" s="337">
        <v>1.49</v>
      </c>
      <c r="Y7" s="65">
        <f t="shared" si="25"/>
        <v>0</v>
      </c>
      <c r="Z7" s="65">
        <f t="shared" si="26"/>
        <v>0</v>
      </c>
      <c r="AA7" s="65">
        <f t="shared" si="27"/>
        <v>0</v>
      </c>
      <c r="AB7" s="65">
        <f t="shared" si="28"/>
        <v>0</v>
      </c>
      <c r="AC7" s="65">
        <f t="shared" si="44"/>
        <v>0</v>
      </c>
      <c r="AE7" s="64">
        <f t="shared" si="7"/>
        <v>0</v>
      </c>
      <c r="AF7" s="64">
        <f t="shared" si="7"/>
        <v>0</v>
      </c>
      <c r="AG7" s="64">
        <f t="shared" si="7"/>
        <v>0</v>
      </c>
      <c r="AH7" s="64">
        <f t="shared" si="7"/>
        <v>0</v>
      </c>
      <c r="AI7" s="64">
        <f t="shared" si="7"/>
        <v>0</v>
      </c>
      <c r="AK7" s="74">
        <f t="shared" si="29"/>
        <v>0</v>
      </c>
      <c r="AL7" s="74"/>
      <c r="AM7" s="74">
        <f t="shared" si="30"/>
        <v>0</v>
      </c>
      <c r="AN7" s="74">
        <f t="shared" si="31"/>
        <v>0</v>
      </c>
      <c r="AO7" s="74">
        <f t="shared" si="32"/>
        <v>1.68</v>
      </c>
      <c r="AQ7" s="65">
        <f t="shared" si="33"/>
        <v>0</v>
      </c>
      <c r="AR7" s="65">
        <f t="shared" si="45"/>
        <v>0</v>
      </c>
      <c r="AS7" s="65">
        <f t="shared" si="34"/>
        <v>0</v>
      </c>
      <c r="AT7" s="65">
        <f t="shared" si="35"/>
        <v>0</v>
      </c>
      <c r="AU7" s="65">
        <f t="shared" si="46"/>
        <v>0</v>
      </c>
      <c r="AX7" s="299">
        <v>13</v>
      </c>
      <c r="AY7" s="85"/>
      <c r="AZ7" s="85"/>
      <c r="BA7" s="85"/>
      <c r="BB7" s="85"/>
      <c r="BC7" s="85">
        <v>1.4820459999999998</v>
      </c>
      <c r="BD7" s="85"/>
      <c r="BE7" s="327">
        <f t="shared" si="36"/>
        <v>0.03</v>
      </c>
      <c r="BF7" s="49"/>
      <c r="BG7" s="49"/>
      <c r="BH7" s="49"/>
      <c r="BI7" s="49"/>
      <c r="BJ7" s="49">
        <f t="shared" si="37"/>
        <v>0.06</v>
      </c>
      <c r="BM7" s="214">
        <f t="shared" si="17"/>
        <v>0</v>
      </c>
      <c r="BN7" s="214">
        <f t="shared" si="18"/>
        <v>0</v>
      </c>
      <c r="BO7" s="214">
        <f t="shared" si="19"/>
        <v>0</v>
      </c>
      <c r="BP7" s="214">
        <f t="shared" si="20"/>
        <v>0</v>
      </c>
      <c r="BQ7" s="214">
        <f t="shared" si="38"/>
        <v>1.7053679999999998</v>
      </c>
      <c r="BS7" s="49">
        <f t="shared" si="39"/>
        <v>0</v>
      </c>
      <c r="BT7" s="49">
        <f t="shared" si="40"/>
        <v>0</v>
      </c>
      <c r="BU7" s="49">
        <f t="shared" si="41"/>
        <v>0</v>
      </c>
      <c r="BV7" s="49">
        <f t="shared" si="42"/>
        <v>0</v>
      </c>
      <c r="BW7" s="49">
        <f t="shared" si="43"/>
        <v>0.22332200000000002</v>
      </c>
    </row>
    <row r="8" spans="1:75" ht="12.75" customHeight="1">
      <c r="B8" s="480">
        <v>2</v>
      </c>
      <c r="C8" s="481" t="s">
        <v>96</v>
      </c>
      <c r="D8" s="480">
        <v>411</v>
      </c>
      <c r="E8" s="482">
        <v>0</v>
      </c>
      <c r="F8" s="483"/>
      <c r="G8" s="483" t="str">
        <f>IF(OR(ISBLANK(C8),ISBLANK(D8)),"",TEXT(C8,"000")&amp;TEXT(D8,"000"))</f>
        <v>041411</v>
      </c>
      <c r="H8" s="40"/>
      <c r="I8" t="s">
        <v>410</v>
      </c>
      <c r="J8" t="s">
        <v>108</v>
      </c>
      <c r="K8" s="181" t="s">
        <v>738</v>
      </c>
      <c r="L8" s="84" t="s">
        <v>690</v>
      </c>
      <c r="M8" s="64">
        <f t="shared" si="0"/>
        <v>0</v>
      </c>
      <c r="N8" s="64">
        <f t="shared" si="0"/>
        <v>0</v>
      </c>
      <c r="O8" s="64">
        <f t="shared" si="0"/>
        <v>0</v>
      </c>
      <c r="P8" s="64">
        <f t="shared" si="0"/>
        <v>0</v>
      </c>
      <c r="Q8" s="64">
        <f t="shared" si="0"/>
        <v>0</v>
      </c>
      <c r="R8" s="64">
        <f t="shared" si="24"/>
        <v>1</v>
      </c>
      <c r="S8" s="337">
        <v>0</v>
      </c>
      <c r="T8" s="337"/>
      <c r="U8" s="337">
        <v>0</v>
      </c>
      <c r="V8" s="337">
        <v>0</v>
      </c>
      <c r="W8" s="337">
        <v>1.85</v>
      </c>
      <c r="Y8" s="65">
        <f t="shared" si="25"/>
        <v>0</v>
      </c>
      <c r="Z8" s="65">
        <f t="shared" si="26"/>
        <v>0</v>
      </c>
      <c r="AA8" s="65">
        <f t="shared" si="27"/>
        <v>0</v>
      </c>
      <c r="AB8" s="65">
        <f t="shared" si="28"/>
        <v>0</v>
      </c>
      <c r="AC8" s="65">
        <f t="shared" si="44"/>
        <v>0</v>
      </c>
      <c r="AE8" s="64">
        <f t="shared" si="7"/>
        <v>0</v>
      </c>
      <c r="AF8" s="64">
        <f t="shared" si="7"/>
        <v>0</v>
      </c>
      <c r="AG8" s="64">
        <f t="shared" si="7"/>
        <v>0</v>
      </c>
      <c r="AH8" s="64">
        <f t="shared" si="7"/>
        <v>0</v>
      </c>
      <c r="AI8" s="64">
        <f t="shared" si="7"/>
        <v>0</v>
      </c>
      <c r="AK8" s="74">
        <f t="shared" si="29"/>
        <v>0</v>
      </c>
      <c r="AL8" s="74"/>
      <c r="AM8" s="74">
        <f t="shared" si="30"/>
        <v>0</v>
      </c>
      <c r="AN8" s="74">
        <f t="shared" si="31"/>
        <v>0</v>
      </c>
      <c r="AO8" s="74">
        <f t="shared" si="32"/>
        <v>2.09</v>
      </c>
      <c r="AQ8" s="65">
        <f t="shared" si="33"/>
        <v>0</v>
      </c>
      <c r="AR8" s="65">
        <f t="shared" si="45"/>
        <v>0</v>
      </c>
      <c r="AS8" s="65">
        <f t="shared" si="34"/>
        <v>0</v>
      </c>
      <c r="AT8" s="65">
        <f t="shared" si="35"/>
        <v>0</v>
      </c>
      <c r="AU8" s="65">
        <f t="shared" si="46"/>
        <v>0</v>
      </c>
      <c r="AX8" s="299">
        <v>16</v>
      </c>
      <c r="AY8" s="85"/>
      <c r="AZ8" s="85"/>
      <c r="BA8" s="85"/>
      <c r="BB8" s="85"/>
      <c r="BC8" s="85">
        <v>1.8271799999999998</v>
      </c>
      <c r="BD8" s="85"/>
      <c r="BE8" s="327">
        <f t="shared" si="36"/>
        <v>0.03</v>
      </c>
      <c r="BF8" s="49"/>
      <c r="BG8" s="49"/>
      <c r="BH8" s="49"/>
      <c r="BI8" s="49"/>
      <c r="BJ8" s="49">
        <f t="shared" si="37"/>
        <v>0.08</v>
      </c>
      <c r="BM8" s="214">
        <f t="shared" si="17"/>
        <v>0</v>
      </c>
      <c r="BN8" s="214">
        <f t="shared" si="18"/>
        <v>0</v>
      </c>
      <c r="BO8" s="214">
        <f t="shared" si="19"/>
        <v>0</v>
      </c>
      <c r="BP8" s="214">
        <f t="shared" si="20"/>
        <v>0</v>
      </c>
      <c r="BQ8" s="214">
        <f t="shared" si="38"/>
        <v>2.1215589999999995</v>
      </c>
      <c r="BS8" s="49">
        <f t="shared" si="39"/>
        <v>0</v>
      </c>
      <c r="BT8" s="49">
        <f t="shared" si="40"/>
        <v>0</v>
      </c>
      <c r="BU8" s="49">
        <f t="shared" si="41"/>
        <v>0</v>
      </c>
      <c r="BV8" s="49">
        <f t="shared" si="42"/>
        <v>0</v>
      </c>
      <c r="BW8" s="49">
        <f t="shared" si="43"/>
        <v>0.29437899999999972</v>
      </c>
    </row>
    <row r="9" spans="1:75">
      <c r="B9" s="480">
        <v>2</v>
      </c>
      <c r="C9" s="481" t="s">
        <v>96</v>
      </c>
      <c r="D9" s="480">
        <v>511</v>
      </c>
      <c r="E9" s="482">
        <v>0</v>
      </c>
      <c r="F9" s="483"/>
      <c r="G9" s="483" t="str">
        <f>IF(OR(ISBLANK(C9),ISBLANK(D9)),"",TEXT(C9,"000")&amp;TEXT(D9,"000"))</f>
        <v>041511</v>
      </c>
      <c r="H9" s="40"/>
      <c r="I9" t="s">
        <v>410</v>
      </c>
      <c r="J9" t="s">
        <v>108</v>
      </c>
      <c r="K9" s="181" t="s">
        <v>738</v>
      </c>
      <c r="L9" s="84" t="s">
        <v>691</v>
      </c>
      <c r="M9" s="64">
        <f t="shared" si="0"/>
        <v>0</v>
      </c>
      <c r="N9" s="64">
        <f t="shared" si="0"/>
        <v>0</v>
      </c>
      <c r="O9" s="64">
        <f t="shared" si="0"/>
        <v>0</v>
      </c>
      <c r="P9" s="64">
        <f t="shared" si="0"/>
        <v>0</v>
      </c>
      <c r="Q9" s="64">
        <f t="shared" si="0"/>
        <v>0</v>
      </c>
      <c r="R9" s="64">
        <f t="shared" si="24"/>
        <v>1</v>
      </c>
      <c r="S9" s="337">
        <v>0</v>
      </c>
      <c r="T9" s="337"/>
      <c r="U9" s="337">
        <v>0</v>
      </c>
      <c r="V9" s="337">
        <v>0</v>
      </c>
      <c r="W9" s="337">
        <v>2.2999999999999998</v>
      </c>
      <c r="Y9" s="65">
        <f t="shared" si="25"/>
        <v>0</v>
      </c>
      <c r="Z9" s="65">
        <f t="shared" si="26"/>
        <v>0</v>
      </c>
      <c r="AA9" s="65">
        <f t="shared" si="27"/>
        <v>0</v>
      </c>
      <c r="AB9" s="65">
        <f t="shared" si="28"/>
        <v>0</v>
      </c>
      <c r="AC9" s="65">
        <f t="shared" si="44"/>
        <v>0</v>
      </c>
      <c r="AE9" s="64">
        <f t="shared" si="7"/>
        <v>0</v>
      </c>
      <c r="AF9" s="64">
        <f t="shared" si="7"/>
        <v>0</v>
      </c>
      <c r="AG9" s="64">
        <f t="shared" si="7"/>
        <v>0</v>
      </c>
      <c r="AH9" s="64">
        <f t="shared" si="7"/>
        <v>0</v>
      </c>
      <c r="AI9" s="64">
        <f t="shared" si="7"/>
        <v>0</v>
      </c>
      <c r="AK9" s="74">
        <f t="shared" si="29"/>
        <v>0</v>
      </c>
      <c r="AL9" s="74"/>
      <c r="AM9" s="74">
        <f t="shared" si="30"/>
        <v>0</v>
      </c>
      <c r="AN9" s="74">
        <f t="shared" si="31"/>
        <v>0</v>
      </c>
      <c r="AO9" s="74">
        <f t="shared" si="32"/>
        <v>2.6</v>
      </c>
      <c r="AQ9" s="65">
        <f t="shared" si="33"/>
        <v>0</v>
      </c>
      <c r="AR9" s="65">
        <f t="shared" si="45"/>
        <v>0</v>
      </c>
      <c r="AS9" s="65">
        <f t="shared" si="34"/>
        <v>0</v>
      </c>
      <c r="AT9" s="65">
        <f t="shared" si="35"/>
        <v>0</v>
      </c>
      <c r="AU9" s="65">
        <f t="shared" si="46"/>
        <v>0</v>
      </c>
      <c r="AX9" s="299">
        <v>20</v>
      </c>
      <c r="AY9" s="85"/>
      <c r="AZ9" s="85"/>
      <c r="BA9" s="85"/>
      <c r="BB9" s="85"/>
      <c r="BC9" s="85">
        <v>2.2738239999999998</v>
      </c>
      <c r="BD9" s="85"/>
      <c r="BE9" s="327">
        <f t="shared" si="36"/>
        <v>5.0000000000000017E-2</v>
      </c>
      <c r="BF9" s="49"/>
      <c r="BG9" s="49"/>
      <c r="BH9" s="49"/>
      <c r="BI9" s="49"/>
      <c r="BJ9" s="49">
        <f t="shared" si="37"/>
        <v>0.11</v>
      </c>
      <c r="BM9" s="214">
        <f t="shared" si="17"/>
        <v>0</v>
      </c>
      <c r="BN9" s="214">
        <f t="shared" si="18"/>
        <v>0</v>
      </c>
      <c r="BO9" s="214">
        <f t="shared" si="19"/>
        <v>0</v>
      </c>
      <c r="BP9" s="214">
        <f t="shared" si="20"/>
        <v>0</v>
      </c>
      <c r="BQ9" s="214">
        <f t="shared" si="38"/>
        <v>2.6392599999999997</v>
      </c>
      <c r="BS9" s="49">
        <f t="shared" si="39"/>
        <v>0</v>
      </c>
      <c r="BT9" s="49">
        <f t="shared" si="40"/>
        <v>0</v>
      </c>
      <c r="BU9" s="49">
        <f t="shared" si="41"/>
        <v>0</v>
      </c>
      <c r="BV9" s="49">
        <f t="shared" si="42"/>
        <v>0</v>
      </c>
      <c r="BW9" s="49">
        <f t="shared" si="43"/>
        <v>0.36543599999999987</v>
      </c>
    </row>
    <row r="10" spans="1:75">
      <c r="B10" s="480">
        <v>2</v>
      </c>
      <c r="C10" s="481" t="s">
        <v>96</v>
      </c>
      <c r="D10" s="480">
        <v>611</v>
      </c>
      <c r="E10" s="482">
        <v>0</v>
      </c>
      <c r="F10" s="483"/>
      <c r="G10" s="483" t="str">
        <f>IF(OR(ISBLANK(C10),ISBLANK(D10)),"",TEXT(C10,"000")&amp;TEXT(D10,"000"))</f>
        <v>041611</v>
      </c>
      <c r="H10" s="40"/>
      <c r="I10" t="s">
        <v>410</v>
      </c>
      <c r="J10" t="s">
        <v>108</v>
      </c>
      <c r="K10" s="181" t="s">
        <v>738</v>
      </c>
      <c r="L10" s="84" t="s">
        <v>692</v>
      </c>
      <c r="M10" s="64">
        <f t="shared" si="0"/>
        <v>0</v>
      </c>
      <c r="N10" s="64">
        <f t="shared" si="0"/>
        <v>0</v>
      </c>
      <c r="O10" s="64">
        <f t="shared" si="0"/>
        <v>0</v>
      </c>
      <c r="P10" s="64">
        <f t="shared" si="0"/>
        <v>0</v>
      </c>
      <c r="Q10" s="64">
        <f t="shared" si="0"/>
        <v>3</v>
      </c>
      <c r="R10" s="64">
        <f t="shared" si="24"/>
        <v>0</v>
      </c>
      <c r="S10" s="337">
        <v>0</v>
      </c>
      <c r="T10" s="337"/>
      <c r="U10" s="337">
        <v>0</v>
      </c>
      <c r="V10" s="337">
        <v>0</v>
      </c>
      <c r="W10" s="337">
        <v>2.66</v>
      </c>
      <c r="Y10" s="65">
        <f t="shared" si="25"/>
        <v>0</v>
      </c>
      <c r="Z10" s="65">
        <f t="shared" si="26"/>
        <v>0</v>
      </c>
      <c r="AA10" s="65">
        <f t="shared" si="27"/>
        <v>0</v>
      </c>
      <c r="AB10" s="65">
        <f t="shared" si="28"/>
        <v>0</v>
      </c>
      <c r="AC10" s="65">
        <f t="shared" si="44"/>
        <v>7.98</v>
      </c>
      <c r="AE10" s="64">
        <f t="shared" si="7"/>
        <v>0</v>
      </c>
      <c r="AF10" s="64">
        <f t="shared" si="7"/>
        <v>0</v>
      </c>
      <c r="AG10" s="64">
        <f t="shared" si="7"/>
        <v>0</v>
      </c>
      <c r="AH10" s="64">
        <f t="shared" si="7"/>
        <v>0</v>
      </c>
      <c r="AI10" s="64">
        <f t="shared" si="7"/>
        <v>3</v>
      </c>
      <c r="AK10" s="74">
        <f t="shared" si="29"/>
        <v>0</v>
      </c>
      <c r="AL10" s="74"/>
      <c r="AM10" s="74">
        <f t="shared" si="30"/>
        <v>0</v>
      </c>
      <c r="AN10" s="74">
        <f t="shared" si="31"/>
        <v>0</v>
      </c>
      <c r="AO10" s="74">
        <f t="shared" si="32"/>
        <v>3.01</v>
      </c>
      <c r="AQ10" s="65">
        <f t="shared" si="33"/>
        <v>0</v>
      </c>
      <c r="AR10" s="65">
        <f t="shared" si="45"/>
        <v>0</v>
      </c>
      <c r="AS10" s="65">
        <f t="shared" si="34"/>
        <v>0</v>
      </c>
      <c r="AT10" s="65">
        <f t="shared" si="35"/>
        <v>0</v>
      </c>
      <c r="AU10" s="65">
        <f t="shared" si="46"/>
        <v>9.0299999999999994</v>
      </c>
      <c r="AX10" s="299">
        <v>23</v>
      </c>
      <c r="AY10" s="85"/>
      <c r="AZ10" s="85"/>
      <c r="BA10" s="85"/>
      <c r="BB10" s="85"/>
      <c r="BC10" s="85">
        <v>2.6189579999999997</v>
      </c>
      <c r="BD10" s="85"/>
      <c r="BE10" s="327">
        <f t="shared" si="36"/>
        <v>4.9999999999999989E-2</v>
      </c>
      <c r="BF10" s="49"/>
      <c r="BG10" s="49"/>
      <c r="BH10" s="49"/>
      <c r="BI10" s="49"/>
      <c r="BJ10" s="49">
        <f t="shared" si="37"/>
        <v>0.13</v>
      </c>
      <c r="BM10" s="214">
        <f t="shared" si="17"/>
        <v>0</v>
      </c>
      <c r="BN10" s="214">
        <f t="shared" si="18"/>
        <v>0</v>
      </c>
      <c r="BO10" s="214">
        <f t="shared" si="19"/>
        <v>0</v>
      </c>
      <c r="BP10" s="214">
        <f t="shared" si="20"/>
        <v>0</v>
      </c>
      <c r="BQ10" s="214">
        <f t="shared" si="38"/>
        <v>3.0554509999999993</v>
      </c>
      <c r="BS10" s="49">
        <f t="shared" si="39"/>
        <v>0</v>
      </c>
      <c r="BT10" s="49">
        <f t="shared" si="40"/>
        <v>0</v>
      </c>
      <c r="BU10" s="49">
        <f t="shared" si="41"/>
        <v>0</v>
      </c>
      <c r="BV10" s="49">
        <f t="shared" si="42"/>
        <v>0</v>
      </c>
      <c r="BW10" s="49">
        <f t="shared" si="43"/>
        <v>0.43649299999999958</v>
      </c>
    </row>
    <row r="11" spans="1:75">
      <c r="B11" s="480"/>
      <c r="C11" s="481"/>
      <c r="D11" s="480"/>
      <c r="E11" s="484">
        <f>SUM(E7:E10)</f>
        <v>0</v>
      </c>
      <c r="F11" s="483"/>
      <c r="G11" s="483"/>
      <c r="H11" s="40"/>
      <c r="I11" t="s">
        <v>410</v>
      </c>
      <c r="J11" t="s">
        <v>108</v>
      </c>
      <c r="K11" s="181" t="s">
        <v>738</v>
      </c>
      <c r="L11" s="84" t="s">
        <v>693</v>
      </c>
      <c r="M11" s="64">
        <f t="shared" si="0"/>
        <v>0</v>
      </c>
      <c r="N11" s="64">
        <f t="shared" si="0"/>
        <v>0</v>
      </c>
      <c r="O11" s="64">
        <f t="shared" si="0"/>
        <v>0</v>
      </c>
      <c r="P11" s="64">
        <f t="shared" si="0"/>
        <v>0</v>
      </c>
      <c r="Q11" s="64">
        <f t="shared" si="0"/>
        <v>0</v>
      </c>
      <c r="R11" s="64">
        <f t="shared" si="24"/>
        <v>1</v>
      </c>
      <c r="S11" s="337">
        <v>0</v>
      </c>
      <c r="T11" s="337"/>
      <c r="U11" s="337">
        <v>0</v>
      </c>
      <c r="V11" s="337">
        <v>0</v>
      </c>
      <c r="W11" s="337">
        <v>3.11</v>
      </c>
      <c r="Y11" s="65">
        <f t="shared" si="25"/>
        <v>0</v>
      </c>
      <c r="Z11" s="65">
        <f t="shared" si="26"/>
        <v>0</v>
      </c>
      <c r="AA11" s="65">
        <f t="shared" si="27"/>
        <v>0</v>
      </c>
      <c r="AB11" s="65">
        <f t="shared" si="28"/>
        <v>0</v>
      </c>
      <c r="AC11" s="65">
        <f t="shared" si="44"/>
        <v>0</v>
      </c>
      <c r="AE11" s="64">
        <f t="shared" si="7"/>
        <v>0</v>
      </c>
      <c r="AF11" s="64">
        <f t="shared" si="7"/>
        <v>0</v>
      </c>
      <c r="AG11" s="64">
        <f t="shared" si="7"/>
        <v>0</v>
      </c>
      <c r="AH11" s="64">
        <f t="shared" si="7"/>
        <v>0</v>
      </c>
      <c r="AI11" s="64">
        <f t="shared" si="7"/>
        <v>0</v>
      </c>
      <c r="AK11" s="74">
        <f t="shared" si="29"/>
        <v>0</v>
      </c>
      <c r="AL11" s="74"/>
      <c r="AM11" s="74">
        <f t="shared" si="30"/>
        <v>0</v>
      </c>
      <c r="AN11" s="74">
        <f t="shared" si="31"/>
        <v>0</v>
      </c>
      <c r="AO11" s="74">
        <f t="shared" si="32"/>
        <v>3.52</v>
      </c>
      <c r="AQ11" s="65">
        <f t="shared" si="33"/>
        <v>0</v>
      </c>
      <c r="AR11" s="65">
        <f t="shared" si="45"/>
        <v>0</v>
      </c>
      <c r="AS11" s="65">
        <f t="shared" si="34"/>
        <v>0</v>
      </c>
      <c r="AT11" s="65">
        <f t="shared" si="35"/>
        <v>0</v>
      </c>
      <c r="AU11" s="65">
        <f t="shared" si="46"/>
        <v>0</v>
      </c>
      <c r="AX11" s="299">
        <v>27</v>
      </c>
      <c r="AY11" s="85"/>
      <c r="AZ11" s="85"/>
      <c r="BA11" s="85"/>
      <c r="BB11" s="85"/>
      <c r="BC11" s="85">
        <v>3.0757529999999993</v>
      </c>
      <c r="BD11" s="85"/>
      <c r="BE11" s="327">
        <f t="shared" si="36"/>
        <v>0.06</v>
      </c>
      <c r="BF11" s="49"/>
      <c r="BG11" s="49"/>
      <c r="BH11" s="49"/>
      <c r="BI11" s="49"/>
      <c r="BJ11" s="49">
        <f t="shared" si="37"/>
        <v>0.14000000000000001</v>
      </c>
      <c r="BM11" s="214">
        <f t="shared" si="17"/>
        <v>0</v>
      </c>
      <c r="BN11" s="214">
        <f t="shared" si="18"/>
        <v>0</v>
      </c>
      <c r="BO11" s="214">
        <f t="shared" si="19"/>
        <v>0</v>
      </c>
      <c r="BP11" s="214">
        <f t="shared" si="20"/>
        <v>0</v>
      </c>
      <c r="BQ11" s="214">
        <f t="shared" si="38"/>
        <v>3.5731519999999994</v>
      </c>
      <c r="BS11" s="49">
        <f t="shared" si="39"/>
        <v>0</v>
      </c>
      <c r="BT11" s="49">
        <f t="shared" si="40"/>
        <v>0</v>
      </c>
      <c r="BU11" s="49">
        <f t="shared" si="41"/>
        <v>0</v>
      </c>
      <c r="BV11" s="49">
        <f t="shared" si="42"/>
        <v>0</v>
      </c>
      <c r="BW11" s="49">
        <f t="shared" si="43"/>
        <v>0.49739900000000015</v>
      </c>
    </row>
    <row r="12" spans="1:75">
      <c r="B12" s="480"/>
      <c r="C12" s="480"/>
      <c r="D12" s="480"/>
      <c r="E12" s="483"/>
      <c r="F12" s="67"/>
      <c r="G12" s="67" t="str">
        <f t="shared" ref="G12:G13" si="47">IF(OR(ISBLANK(C12),ISBLANK(D12)),"",TEXT(C12,"000")&amp;TEXT(D12,"000"))</f>
        <v/>
      </c>
      <c r="I12" t="s">
        <v>410</v>
      </c>
      <c r="J12" t="s">
        <v>108</v>
      </c>
      <c r="K12" s="181" t="s">
        <v>738</v>
      </c>
      <c r="L12" s="84" t="s">
        <v>694</v>
      </c>
      <c r="M12" s="64">
        <f t="shared" si="0"/>
        <v>0</v>
      </c>
      <c r="N12" s="64">
        <f t="shared" si="0"/>
        <v>0</v>
      </c>
      <c r="O12" s="64">
        <f t="shared" si="0"/>
        <v>0</v>
      </c>
      <c r="P12" s="64">
        <f t="shared" si="0"/>
        <v>0</v>
      </c>
      <c r="Q12" s="64">
        <f t="shared" si="0"/>
        <v>0</v>
      </c>
      <c r="R12" s="64">
        <f t="shared" si="24"/>
        <v>1</v>
      </c>
      <c r="S12" s="337">
        <v>0</v>
      </c>
      <c r="T12" s="337"/>
      <c r="U12" s="337">
        <v>0</v>
      </c>
      <c r="V12" s="337">
        <v>0</v>
      </c>
      <c r="W12" s="337">
        <v>3.58</v>
      </c>
      <c r="Y12" s="65">
        <f t="shared" si="25"/>
        <v>0</v>
      </c>
      <c r="Z12" s="65">
        <f t="shared" si="26"/>
        <v>0</v>
      </c>
      <c r="AA12" s="65">
        <f t="shared" si="27"/>
        <v>0</v>
      </c>
      <c r="AB12" s="65">
        <f t="shared" si="28"/>
        <v>0</v>
      </c>
      <c r="AC12" s="65">
        <f t="shared" si="44"/>
        <v>0</v>
      </c>
      <c r="AE12" s="64">
        <f t="shared" si="7"/>
        <v>0</v>
      </c>
      <c r="AF12" s="64">
        <f t="shared" si="7"/>
        <v>0</v>
      </c>
      <c r="AG12" s="64">
        <f t="shared" si="7"/>
        <v>0</v>
      </c>
      <c r="AH12" s="64">
        <f t="shared" si="7"/>
        <v>0</v>
      </c>
      <c r="AI12" s="64">
        <f t="shared" si="7"/>
        <v>0</v>
      </c>
      <c r="AK12" s="74">
        <f t="shared" si="29"/>
        <v>0</v>
      </c>
      <c r="AL12" s="74"/>
      <c r="AM12" s="74">
        <f t="shared" si="30"/>
        <v>0</v>
      </c>
      <c r="AN12" s="74">
        <f t="shared" si="31"/>
        <v>0</v>
      </c>
      <c r="AO12" s="74">
        <f t="shared" si="32"/>
        <v>4.05</v>
      </c>
      <c r="AQ12" s="65">
        <f t="shared" si="33"/>
        <v>0</v>
      </c>
      <c r="AR12" s="65">
        <f t="shared" si="45"/>
        <v>0</v>
      </c>
      <c r="AS12" s="65">
        <f t="shared" si="34"/>
        <v>0</v>
      </c>
      <c r="AT12" s="65">
        <f t="shared" si="35"/>
        <v>0</v>
      </c>
      <c r="AU12" s="65">
        <f t="shared" si="46"/>
        <v>0</v>
      </c>
      <c r="AX12" s="299">
        <v>31</v>
      </c>
      <c r="AY12" s="85"/>
      <c r="AZ12" s="85"/>
      <c r="BA12" s="85"/>
      <c r="BB12" s="85"/>
      <c r="BC12" s="85">
        <v>3.5325479999999998</v>
      </c>
      <c r="BD12" s="85"/>
      <c r="BE12" s="327">
        <f t="shared" si="36"/>
        <v>7.0000000000000007E-2</v>
      </c>
      <c r="BF12" s="49"/>
      <c r="BG12" s="49"/>
      <c r="BH12" s="49"/>
      <c r="BI12" s="49"/>
      <c r="BJ12" s="49">
        <f t="shared" si="37"/>
        <v>0.17</v>
      </c>
      <c r="BM12" s="214">
        <f t="shared" si="17"/>
        <v>0</v>
      </c>
      <c r="BN12" s="214">
        <f t="shared" si="18"/>
        <v>0</v>
      </c>
      <c r="BO12" s="214">
        <f t="shared" si="19"/>
        <v>0</v>
      </c>
      <c r="BP12" s="214">
        <f t="shared" si="20"/>
        <v>0</v>
      </c>
      <c r="BQ12" s="214">
        <f t="shared" si="38"/>
        <v>4.1111549999999992</v>
      </c>
      <c r="BS12" s="49">
        <f t="shared" si="39"/>
        <v>0</v>
      </c>
      <c r="BT12" s="49">
        <f t="shared" si="40"/>
        <v>0</v>
      </c>
      <c r="BU12" s="49">
        <f t="shared" si="41"/>
        <v>0</v>
      </c>
      <c r="BV12" s="49">
        <f t="shared" si="42"/>
        <v>0</v>
      </c>
      <c r="BW12" s="49">
        <f t="shared" si="43"/>
        <v>0.57860699999999943</v>
      </c>
    </row>
    <row r="13" spans="1:75">
      <c r="B13" s="480">
        <v>2</v>
      </c>
      <c r="C13" s="481" t="s">
        <v>97</v>
      </c>
      <c r="D13" s="480">
        <v>234</v>
      </c>
      <c r="E13" s="437">
        <v>61</v>
      </c>
      <c r="F13" s="67"/>
      <c r="G13" s="67" t="str">
        <f t="shared" si="47"/>
        <v>042234</v>
      </c>
      <c r="H13" s="476"/>
      <c r="I13" t="s">
        <v>410</v>
      </c>
      <c r="J13" t="s">
        <v>108</v>
      </c>
      <c r="K13" s="181" t="s">
        <v>738</v>
      </c>
      <c r="L13" s="84" t="s">
        <v>695</v>
      </c>
      <c r="M13" s="64">
        <f t="shared" si="0"/>
        <v>0</v>
      </c>
      <c r="N13" s="64">
        <f t="shared" si="0"/>
        <v>0</v>
      </c>
      <c r="O13" s="64">
        <f t="shared" si="0"/>
        <v>0</v>
      </c>
      <c r="P13" s="64">
        <f t="shared" si="0"/>
        <v>0</v>
      </c>
      <c r="Q13" s="64">
        <f t="shared" si="0"/>
        <v>0</v>
      </c>
      <c r="R13" s="64">
        <f t="shared" si="24"/>
        <v>1</v>
      </c>
      <c r="S13" s="337">
        <v>0</v>
      </c>
      <c r="T13" s="337"/>
      <c r="U13" s="337">
        <v>0</v>
      </c>
      <c r="V13" s="337">
        <v>0</v>
      </c>
      <c r="W13" s="337">
        <v>3.93</v>
      </c>
      <c r="Y13" s="65">
        <f t="shared" si="25"/>
        <v>0</v>
      </c>
      <c r="Z13" s="65">
        <f t="shared" si="26"/>
        <v>0</v>
      </c>
      <c r="AA13" s="65">
        <f t="shared" si="27"/>
        <v>0</v>
      </c>
      <c r="AB13" s="65">
        <f t="shared" si="28"/>
        <v>0</v>
      </c>
      <c r="AC13" s="65">
        <f t="shared" si="44"/>
        <v>0</v>
      </c>
      <c r="AE13" s="64">
        <f t="shared" si="7"/>
        <v>0</v>
      </c>
      <c r="AF13" s="64">
        <f t="shared" si="7"/>
        <v>0</v>
      </c>
      <c r="AG13" s="64">
        <f t="shared" si="7"/>
        <v>0</v>
      </c>
      <c r="AH13" s="64">
        <f t="shared" si="7"/>
        <v>0</v>
      </c>
      <c r="AI13" s="64">
        <f t="shared" si="7"/>
        <v>0</v>
      </c>
      <c r="AK13" s="74">
        <f t="shared" si="29"/>
        <v>0</v>
      </c>
      <c r="AL13" s="74"/>
      <c r="AM13" s="74">
        <f t="shared" si="30"/>
        <v>0</v>
      </c>
      <c r="AN13" s="74">
        <f t="shared" si="31"/>
        <v>0</v>
      </c>
      <c r="AO13" s="74">
        <f t="shared" si="32"/>
        <v>4.4400000000000004</v>
      </c>
      <c r="AQ13" s="65">
        <f t="shared" si="33"/>
        <v>0</v>
      </c>
      <c r="AR13" s="65">
        <f t="shared" si="45"/>
        <v>0</v>
      </c>
      <c r="AS13" s="65">
        <f t="shared" si="34"/>
        <v>0</v>
      </c>
      <c r="AT13" s="65">
        <f t="shared" si="35"/>
        <v>0</v>
      </c>
      <c r="AU13" s="65">
        <f t="shared" si="46"/>
        <v>0</v>
      </c>
      <c r="AX13" s="299">
        <v>34</v>
      </c>
      <c r="AY13" s="85"/>
      <c r="AZ13" s="85"/>
      <c r="BA13" s="85"/>
      <c r="BB13" s="85"/>
      <c r="BC13" s="85">
        <v>3.8776819999999996</v>
      </c>
      <c r="BD13" s="85"/>
      <c r="BE13" s="327">
        <f t="shared" si="36"/>
        <v>6.9999999999999951E-2</v>
      </c>
      <c r="BF13" s="49"/>
      <c r="BG13" s="49"/>
      <c r="BH13" s="49"/>
      <c r="BI13" s="49"/>
      <c r="BJ13" s="49">
        <f t="shared" si="37"/>
        <v>0.18</v>
      </c>
      <c r="BM13" s="214">
        <f t="shared" si="17"/>
        <v>0</v>
      </c>
      <c r="BN13" s="214">
        <f t="shared" si="18"/>
        <v>0</v>
      </c>
      <c r="BO13" s="214">
        <f t="shared" si="19"/>
        <v>0</v>
      </c>
      <c r="BP13" s="214">
        <f t="shared" si="20"/>
        <v>0</v>
      </c>
      <c r="BQ13" s="214">
        <f t="shared" si="38"/>
        <v>4.5070439999999996</v>
      </c>
      <c r="BS13" s="49">
        <f t="shared" si="39"/>
        <v>0</v>
      </c>
      <c r="BT13" s="49">
        <f t="shared" si="40"/>
        <v>0</v>
      </c>
      <c r="BU13" s="49">
        <f t="shared" si="41"/>
        <v>0</v>
      </c>
      <c r="BV13" s="49">
        <f t="shared" si="42"/>
        <v>0</v>
      </c>
      <c r="BW13" s="49">
        <f t="shared" si="43"/>
        <v>0.62936199999999998</v>
      </c>
    </row>
    <row r="14" spans="1:75">
      <c r="B14" s="480">
        <v>2</v>
      </c>
      <c r="C14" s="481" t="s">
        <v>97</v>
      </c>
      <c r="D14" s="480">
        <v>421</v>
      </c>
      <c r="E14" s="437">
        <v>2</v>
      </c>
      <c r="F14" s="483"/>
      <c r="G14" s="483" t="str">
        <f t="shared" ref="G14:G41" si="48">IF(OR(ISBLANK(C14),ISBLANK(D14)),"",TEXT(C14,"000")&amp;TEXT(D14,"000"))</f>
        <v>042421</v>
      </c>
      <c r="H14" s="487"/>
      <c r="I14" t="s">
        <v>410</v>
      </c>
      <c r="J14" t="s">
        <v>108</v>
      </c>
      <c r="K14" s="181" t="s">
        <v>738</v>
      </c>
      <c r="L14" s="84" t="s">
        <v>696</v>
      </c>
      <c r="M14" s="64">
        <f t="shared" ref="M14:Q23" si="49">SUMIF($G:$G,TEXT(M$3,"000")&amp;TEXT($L14,"000"),$E:$E)</f>
        <v>0</v>
      </c>
      <c r="N14" s="64">
        <f t="shared" si="49"/>
        <v>0</v>
      </c>
      <c r="O14" s="64">
        <f t="shared" si="49"/>
        <v>0</v>
      </c>
      <c r="P14" s="64">
        <f t="shared" si="49"/>
        <v>0</v>
      </c>
      <c r="Q14" s="64">
        <f t="shared" si="49"/>
        <v>8</v>
      </c>
      <c r="R14" s="64">
        <f t="shared" si="24"/>
        <v>0</v>
      </c>
      <c r="S14" s="337">
        <v>0</v>
      </c>
      <c r="T14" s="337"/>
      <c r="U14" s="337">
        <v>0</v>
      </c>
      <c r="V14" s="337">
        <v>0</v>
      </c>
      <c r="W14" s="337">
        <v>4.38</v>
      </c>
      <c r="Y14" s="65">
        <f t="shared" si="25"/>
        <v>0</v>
      </c>
      <c r="Z14" s="65">
        <f t="shared" si="26"/>
        <v>0</v>
      </c>
      <c r="AA14" s="65">
        <f t="shared" si="27"/>
        <v>0</v>
      </c>
      <c r="AB14" s="65">
        <f t="shared" si="28"/>
        <v>0</v>
      </c>
      <c r="AC14" s="65">
        <f t="shared" si="44"/>
        <v>35.04</v>
      </c>
      <c r="AE14" s="64">
        <f t="shared" ref="AE14:AI25" si="50">SUMIF($G:$G,TEXT(AE$3,"000")&amp;TEXT($L14,"000"),$E:$E)</f>
        <v>0</v>
      </c>
      <c r="AF14" s="64">
        <f t="shared" si="50"/>
        <v>0</v>
      </c>
      <c r="AG14" s="64">
        <f t="shared" si="50"/>
        <v>0</v>
      </c>
      <c r="AH14" s="64">
        <f t="shared" si="50"/>
        <v>0</v>
      </c>
      <c r="AI14" s="64">
        <f t="shared" si="50"/>
        <v>8</v>
      </c>
      <c r="AK14" s="74">
        <f t="shared" si="29"/>
        <v>0</v>
      </c>
      <c r="AL14" s="74"/>
      <c r="AM14" s="74">
        <f t="shared" si="30"/>
        <v>0</v>
      </c>
      <c r="AN14" s="74">
        <f t="shared" si="31"/>
        <v>0</v>
      </c>
      <c r="AO14" s="74">
        <f t="shared" si="32"/>
        <v>4.95</v>
      </c>
      <c r="AQ14" s="65">
        <f t="shared" si="33"/>
        <v>0</v>
      </c>
      <c r="AR14" s="65">
        <f t="shared" si="45"/>
        <v>0</v>
      </c>
      <c r="AS14" s="65">
        <f t="shared" si="34"/>
        <v>0</v>
      </c>
      <c r="AT14" s="65">
        <f t="shared" si="35"/>
        <v>0</v>
      </c>
      <c r="AU14" s="65">
        <f t="shared" si="46"/>
        <v>39.6</v>
      </c>
      <c r="AX14" s="299">
        <v>38</v>
      </c>
      <c r="AY14" s="85"/>
      <c r="AZ14" s="85"/>
      <c r="BA14" s="85"/>
      <c r="BB14" s="85"/>
      <c r="BC14" s="85">
        <v>4.3344769999999988</v>
      </c>
      <c r="BD14" s="85"/>
      <c r="BE14" s="327">
        <f t="shared" si="36"/>
        <v>8.0000000000000016E-2</v>
      </c>
      <c r="BF14" s="49"/>
      <c r="BG14" s="49"/>
      <c r="BH14" s="49"/>
      <c r="BI14" s="49"/>
      <c r="BJ14" s="49">
        <f t="shared" si="37"/>
        <v>0.19</v>
      </c>
      <c r="BM14" s="214">
        <f t="shared" si="17"/>
        <v>0</v>
      </c>
      <c r="BN14" s="214">
        <f t="shared" si="18"/>
        <v>0</v>
      </c>
      <c r="BO14" s="214">
        <f t="shared" si="19"/>
        <v>0</v>
      </c>
      <c r="BP14" s="214">
        <f t="shared" si="20"/>
        <v>0</v>
      </c>
      <c r="BQ14" s="214">
        <f t="shared" si="38"/>
        <v>5.0247449999999994</v>
      </c>
      <c r="BS14" s="49">
        <f t="shared" si="39"/>
        <v>0</v>
      </c>
      <c r="BT14" s="49">
        <f t="shared" si="40"/>
        <v>0</v>
      </c>
      <c r="BU14" s="49">
        <f t="shared" si="41"/>
        <v>0</v>
      </c>
      <c r="BV14" s="49">
        <f t="shared" si="42"/>
        <v>0</v>
      </c>
      <c r="BW14" s="49">
        <f t="shared" si="43"/>
        <v>0.69026800000000055</v>
      </c>
    </row>
    <row r="15" spans="1:75">
      <c r="B15" s="480">
        <v>2</v>
      </c>
      <c r="C15" s="481" t="s">
        <v>97</v>
      </c>
      <c r="D15" s="480" t="s">
        <v>493</v>
      </c>
      <c r="E15" s="437">
        <v>1</v>
      </c>
      <c r="F15" s="483"/>
      <c r="G15" s="483" t="str">
        <f t="shared" si="48"/>
        <v>042421L</v>
      </c>
      <c r="H15" s="487"/>
      <c r="I15" t="s">
        <v>410</v>
      </c>
      <c r="J15" t="s">
        <v>108</v>
      </c>
      <c r="K15" s="181" t="s">
        <v>738</v>
      </c>
      <c r="L15" s="84" t="s">
        <v>697</v>
      </c>
      <c r="M15" s="64">
        <f t="shared" si="49"/>
        <v>0</v>
      </c>
      <c r="N15" s="64">
        <f t="shared" si="49"/>
        <v>0</v>
      </c>
      <c r="O15" s="64">
        <f t="shared" si="49"/>
        <v>0</v>
      </c>
      <c r="P15" s="64">
        <f t="shared" si="49"/>
        <v>0</v>
      </c>
      <c r="Q15" s="64">
        <f t="shared" si="49"/>
        <v>0</v>
      </c>
      <c r="R15" s="64">
        <f t="shared" si="24"/>
        <v>1</v>
      </c>
      <c r="S15" s="337">
        <v>0</v>
      </c>
      <c r="T15" s="337"/>
      <c r="U15" s="337">
        <v>0</v>
      </c>
      <c r="V15" s="337">
        <v>0</v>
      </c>
      <c r="W15" s="337">
        <v>4.74</v>
      </c>
      <c r="Y15" s="65">
        <f t="shared" si="25"/>
        <v>0</v>
      </c>
      <c r="Z15" s="65">
        <f t="shared" si="26"/>
        <v>0</v>
      </c>
      <c r="AA15" s="65">
        <f t="shared" si="27"/>
        <v>0</v>
      </c>
      <c r="AB15" s="65">
        <f t="shared" si="28"/>
        <v>0</v>
      </c>
      <c r="AC15" s="65">
        <f t="shared" si="44"/>
        <v>0</v>
      </c>
      <c r="AE15" s="64">
        <f t="shared" si="50"/>
        <v>0</v>
      </c>
      <c r="AF15" s="64">
        <f t="shared" si="50"/>
        <v>0</v>
      </c>
      <c r="AG15" s="64">
        <f t="shared" si="50"/>
        <v>0</v>
      </c>
      <c r="AH15" s="64">
        <f t="shared" si="50"/>
        <v>0</v>
      </c>
      <c r="AI15" s="64">
        <f t="shared" si="50"/>
        <v>0</v>
      </c>
      <c r="AK15" s="74">
        <f t="shared" si="29"/>
        <v>0</v>
      </c>
      <c r="AL15" s="74"/>
      <c r="AM15" s="74">
        <f t="shared" si="30"/>
        <v>0</v>
      </c>
      <c r="AN15" s="74">
        <f t="shared" si="31"/>
        <v>0</v>
      </c>
      <c r="AO15" s="74">
        <f t="shared" si="32"/>
        <v>5.36</v>
      </c>
      <c r="AQ15" s="65">
        <f t="shared" si="33"/>
        <v>0</v>
      </c>
      <c r="AR15" s="65">
        <f t="shared" si="45"/>
        <v>0</v>
      </c>
      <c r="AS15" s="65">
        <f t="shared" si="34"/>
        <v>0</v>
      </c>
      <c r="AT15" s="65">
        <f t="shared" si="35"/>
        <v>0</v>
      </c>
      <c r="AU15" s="65">
        <f t="shared" si="46"/>
        <v>0</v>
      </c>
      <c r="AX15" s="299">
        <v>41</v>
      </c>
      <c r="AY15" s="85"/>
      <c r="AZ15" s="85"/>
      <c r="BA15" s="85"/>
      <c r="BB15" s="85"/>
      <c r="BC15" s="85">
        <v>4.6796109999999995</v>
      </c>
      <c r="BD15" s="85"/>
      <c r="BE15" s="327">
        <f t="shared" si="36"/>
        <v>8.9999999999999969E-2</v>
      </c>
      <c r="BF15" s="49"/>
      <c r="BG15" s="49"/>
      <c r="BH15" s="49"/>
      <c r="BI15" s="49"/>
      <c r="BJ15" s="49">
        <f t="shared" si="37"/>
        <v>0.22</v>
      </c>
      <c r="BM15" s="214">
        <f t="shared" si="17"/>
        <v>0</v>
      </c>
      <c r="BN15" s="214">
        <f t="shared" si="18"/>
        <v>0</v>
      </c>
      <c r="BO15" s="214">
        <f t="shared" si="19"/>
        <v>0</v>
      </c>
      <c r="BP15" s="214">
        <f t="shared" si="20"/>
        <v>0</v>
      </c>
      <c r="BQ15" s="214">
        <f t="shared" si="38"/>
        <v>5.4409359999999998</v>
      </c>
      <c r="BS15" s="49">
        <f t="shared" si="39"/>
        <v>0</v>
      </c>
      <c r="BT15" s="49">
        <f t="shared" si="40"/>
        <v>0</v>
      </c>
      <c r="BU15" s="49">
        <f t="shared" si="41"/>
        <v>0</v>
      </c>
      <c r="BV15" s="49">
        <f t="shared" si="42"/>
        <v>0</v>
      </c>
      <c r="BW15" s="49">
        <f t="shared" si="43"/>
        <v>0.76132500000000025</v>
      </c>
    </row>
    <row r="16" spans="1:75">
      <c r="B16" s="480">
        <v>2</v>
      </c>
      <c r="C16" s="481" t="s">
        <v>97</v>
      </c>
      <c r="D16" s="480">
        <v>431</v>
      </c>
      <c r="E16" s="437">
        <v>485</v>
      </c>
      <c r="F16" s="483"/>
      <c r="G16" s="483" t="str">
        <f t="shared" si="48"/>
        <v>042431</v>
      </c>
      <c r="H16" s="487"/>
      <c r="I16" t="s">
        <v>410</v>
      </c>
      <c r="J16" t="s">
        <v>108</v>
      </c>
      <c r="K16" s="181" t="s">
        <v>738</v>
      </c>
      <c r="L16" s="84" t="s">
        <v>698</v>
      </c>
      <c r="M16" s="64">
        <f t="shared" si="49"/>
        <v>0</v>
      </c>
      <c r="N16" s="64">
        <f t="shared" si="49"/>
        <v>0</v>
      </c>
      <c r="O16" s="64">
        <f t="shared" si="49"/>
        <v>0</v>
      </c>
      <c r="P16" s="64">
        <f t="shared" si="49"/>
        <v>0</v>
      </c>
      <c r="Q16" s="64">
        <f t="shared" si="49"/>
        <v>159</v>
      </c>
      <c r="R16" s="64">
        <f t="shared" si="24"/>
        <v>0</v>
      </c>
      <c r="S16" s="337">
        <v>0</v>
      </c>
      <c r="T16" s="337"/>
      <c r="U16" s="337">
        <v>0</v>
      </c>
      <c r="V16" s="337">
        <v>0</v>
      </c>
      <c r="W16" s="337">
        <v>5.19</v>
      </c>
      <c r="Y16" s="65">
        <f t="shared" si="25"/>
        <v>0</v>
      </c>
      <c r="Z16" s="65">
        <f t="shared" si="26"/>
        <v>0</v>
      </c>
      <c r="AA16" s="65">
        <f t="shared" si="27"/>
        <v>0</v>
      </c>
      <c r="AB16" s="65">
        <f t="shared" si="28"/>
        <v>0</v>
      </c>
      <c r="AC16" s="65">
        <f t="shared" si="44"/>
        <v>825.21</v>
      </c>
      <c r="AE16" s="64">
        <f t="shared" si="50"/>
        <v>0</v>
      </c>
      <c r="AF16" s="64">
        <f t="shared" si="50"/>
        <v>0</v>
      </c>
      <c r="AG16" s="64">
        <f t="shared" si="50"/>
        <v>0</v>
      </c>
      <c r="AH16" s="64">
        <f t="shared" si="50"/>
        <v>0</v>
      </c>
      <c r="AI16" s="64">
        <f t="shared" si="50"/>
        <v>159</v>
      </c>
      <c r="AK16" s="74">
        <f t="shared" si="29"/>
        <v>0</v>
      </c>
      <c r="AL16" s="74"/>
      <c r="AM16" s="74">
        <f t="shared" si="30"/>
        <v>0</v>
      </c>
      <c r="AN16" s="74">
        <f t="shared" si="31"/>
        <v>0</v>
      </c>
      <c r="AO16" s="74">
        <f t="shared" si="32"/>
        <v>5.87</v>
      </c>
      <c r="AQ16" s="65">
        <f t="shared" si="33"/>
        <v>0</v>
      </c>
      <c r="AR16" s="65">
        <f t="shared" si="45"/>
        <v>0</v>
      </c>
      <c r="AS16" s="65">
        <f t="shared" si="34"/>
        <v>0</v>
      </c>
      <c r="AT16" s="65">
        <f t="shared" si="35"/>
        <v>0</v>
      </c>
      <c r="AU16" s="65">
        <f t="shared" si="46"/>
        <v>933.33</v>
      </c>
      <c r="AX16" s="299">
        <v>45</v>
      </c>
      <c r="AY16" s="85"/>
      <c r="AZ16" s="85"/>
      <c r="BA16" s="85"/>
      <c r="BB16" s="85"/>
      <c r="BC16" s="85">
        <v>5.1262549999999996</v>
      </c>
      <c r="BD16" s="85"/>
      <c r="BE16" s="327">
        <f t="shared" si="36"/>
        <v>9.9999999999999978E-2</v>
      </c>
      <c r="BF16" s="49"/>
      <c r="BG16" s="49"/>
      <c r="BH16" s="49"/>
      <c r="BI16" s="49"/>
      <c r="BJ16" s="49">
        <f t="shared" si="37"/>
        <v>0.24</v>
      </c>
      <c r="BM16" s="214">
        <f t="shared" si="17"/>
        <v>0</v>
      </c>
      <c r="BN16" s="214">
        <f t="shared" si="18"/>
        <v>0</v>
      </c>
      <c r="BO16" s="214">
        <f t="shared" si="19"/>
        <v>0</v>
      </c>
      <c r="BP16" s="214">
        <f t="shared" si="20"/>
        <v>0</v>
      </c>
      <c r="BQ16" s="214">
        <f t="shared" si="38"/>
        <v>5.9586369999999995</v>
      </c>
      <c r="BS16" s="49">
        <f t="shared" si="39"/>
        <v>0</v>
      </c>
      <c r="BT16" s="49">
        <f t="shared" si="40"/>
        <v>0</v>
      </c>
      <c r="BU16" s="49">
        <f t="shared" si="41"/>
        <v>0</v>
      </c>
      <c r="BV16" s="49">
        <f t="shared" si="42"/>
        <v>0</v>
      </c>
      <c r="BW16" s="49">
        <f t="shared" si="43"/>
        <v>0.83238199999999996</v>
      </c>
    </row>
    <row r="17" spans="2:75">
      <c r="B17" s="480">
        <v>2</v>
      </c>
      <c r="C17" s="481" t="s">
        <v>97</v>
      </c>
      <c r="D17" s="480" t="s">
        <v>494</v>
      </c>
      <c r="E17" s="437">
        <v>5366</v>
      </c>
      <c r="F17" s="483"/>
      <c r="G17" s="483" t="str">
        <f t="shared" si="48"/>
        <v>042431L</v>
      </c>
      <c r="H17" s="487"/>
      <c r="I17" t="s">
        <v>410</v>
      </c>
      <c r="J17" t="s">
        <v>108</v>
      </c>
      <c r="K17" s="181" t="s">
        <v>738</v>
      </c>
      <c r="L17" s="84" t="s">
        <v>699</v>
      </c>
      <c r="M17" s="64">
        <f t="shared" si="49"/>
        <v>0</v>
      </c>
      <c r="N17" s="64">
        <f t="shared" si="49"/>
        <v>0</v>
      </c>
      <c r="O17" s="64">
        <f t="shared" si="49"/>
        <v>0</v>
      </c>
      <c r="P17" s="64">
        <f t="shared" si="49"/>
        <v>0</v>
      </c>
      <c r="Q17" s="64">
        <f t="shared" si="49"/>
        <v>36</v>
      </c>
      <c r="R17" s="64">
        <f t="shared" si="24"/>
        <v>0</v>
      </c>
      <c r="S17" s="337">
        <v>0</v>
      </c>
      <c r="T17" s="337"/>
      <c r="U17" s="337">
        <v>0</v>
      </c>
      <c r="V17" s="337">
        <v>0</v>
      </c>
      <c r="W17" s="337">
        <v>5.67</v>
      </c>
      <c r="Y17" s="65">
        <f t="shared" si="25"/>
        <v>0</v>
      </c>
      <c r="Z17" s="65">
        <f t="shared" si="26"/>
        <v>0</v>
      </c>
      <c r="AA17" s="65">
        <f t="shared" si="27"/>
        <v>0</v>
      </c>
      <c r="AB17" s="65">
        <f t="shared" si="28"/>
        <v>0</v>
      </c>
      <c r="AC17" s="65">
        <f t="shared" si="44"/>
        <v>204.12</v>
      </c>
      <c r="AE17" s="64">
        <f t="shared" si="50"/>
        <v>0</v>
      </c>
      <c r="AF17" s="64">
        <f t="shared" si="50"/>
        <v>0</v>
      </c>
      <c r="AG17" s="64">
        <f t="shared" si="50"/>
        <v>0</v>
      </c>
      <c r="AH17" s="64">
        <f t="shared" si="50"/>
        <v>0</v>
      </c>
      <c r="AI17" s="64">
        <f t="shared" si="50"/>
        <v>36</v>
      </c>
      <c r="AK17" s="74">
        <f t="shared" si="29"/>
        <v>0</v>
      </c>
      <c r="AL17" s="74"/>
      <c r="AM17" s="74">
        <f t="shared" si="30"/>
        <v>0</v>
      </c>
      <c r="AN17" s="74">
        <f t="shared" si="31"/>
        <v>0</v>
      </c>
      <c r="AO17" s="74">
        <f t="shared" si="32"/>
        <v>6.41</v>
      </c>
      <c r="AQ17" s="65">
        <f t="shared" si="33"/>
        <v>0</v>
      </c>
      <c r="AR17" s="65">
        <f t="shared" si="45"/>
        <v>0</v>
      </c>
      <c r="AS17" s="65">
        <f t="shared" si="34"/>
        <v>0</v>
      </c>
      <c r="AT17" s="65">
        <f t="shared" si="35"/>
        <v>0</v>
      </c>
      <c r="AU17" s="65">
        <f t="shared" si="46"/>
        <v>230.76</v>
      </c>
      <c r="AX17" s="299">
        <v>49</v>
      </c>
      <c r="AY17" s="85"/>
      <c r="AZ17" s="85"/>
      <c r="BA17" s="85"/>
      <c r="BB17" s="85"/>
      <c r="BC17" s="85">
        <v>5.5932009999999988</v>
      </c>
      <c r="BD17" s="85"/>
      <c r="BE17" s="327">
        <f t="shared" si="36"/>
        <v>0.1100000000000001</v>
      </c>
      <c r="BF17" s="49"/>
      <c r="BG17" s="49"/>
      <c r="BH17" s="49"/>
      <c r="BI17" s="49"/>
      <c r="BJ17" s="49">
        <f t="shared" si="37"/>
        <v>0.27</v>
      </c>
      <c r="BM17" s="214">
        <f t="shared" si="17"/>
        <v>0</v>
      </c>
      <c r="BN17" s="214">
        <f t="shared" si="18"/>
        <v>0</v>
      </c>
      <c r="BO17" s="214">
        <f t="shared" si="19"/>
        <v>0</v>
      </c>
      <c r="BP17" s="214">
        <f t="shared" si="20"/>
        <v>0</v>
      </c>
      <c r="BQ17" s="214">
        <f t="shared" si="38"/>
        <v>6.5067909999999998</v>
      </c>
      <c r="BS17" s="49">
        <f t="shared" si="39"/>
        <v>0</v>
      </c>
      <c r="BT17" s="49">
        <f t="shared" si="40"/>
        <v>0</v>
      </c>
      <c r="BU17" s="49">
        <f t="shared" si="41"/>
        <v>0</v>
      </c>
      <c r="BV17" s="49">
        <f t="shared" si="42"/>
        <v>0</v>
      </c>
      <c r="BW17" s="49">
        <f t="shared" si="43"/>
        <v>0.91359000000000101</v>
      </c>
    </row>
    <row r="18" spans="2:75">
      <c r="B18" s="32">
        <v>2</v>
      </c>
      <c r="C18" s="511" t="s">
        <v>97</v>
      </c>
      <c r="D18" s="32" t="s">
        <v>597</v>
      </c>
      <c r="E18" s="512">
        <f>1824+1+1</f>
        <v>1826</v>
      </c>
      <c r="F18" s="67"/>
      <c r="G18" s="67" t="str">
        <f t="shared" si="48"/>
        <v>042431T</v>
      </c>
      <c r="H18" s="476"/>
      <c r="I18" t="s">
        <v>410</v>
      </c>
      <c r="J18" t="s">
        <v>108</v>
      </c>
      <c r="K18" s="181" t="s">
        <v>738</v>
      </c>
      <c r="L18" s="84" t="s">
        <v>700</v>
      </c>
      <c r="M18" s="64">
        <f t="shared" si="49"/>
        <v>0</v>
      </c>
      <c r="N18" s="64">
        <f t="shared" si="49"/>
        <v>0</v>
      </c>
      <c r="O18" s="64">
        <f t="shared" si="49"/>
        <v>0</v>
      </c>
      <c r="P18" s="64">
        <f t="shared" si="49"/>
        <v>0</v>
      </c>
      <c r="Q18" s="64">
        <f t="shared" si="49"/>
        <v>0</v>
      </c>
      <c r="R18" s="64">
        <f t="shared" si="24"/>
        <v>1</v>
      </c>
      <c r="S18" s="337">
        <v>0</v>
      </c>
      <c r="T18" s="337"/>
      <c r="U18" s="337">
        <v>0</v>
      </c>
      <c r="V18" s="337">
        <v>0</v>
      </c>
      <c r="W18" s="337">
        <v>6.01</v>
      </c>
      <c r="Y18" s="65">
        <f t="shared" si="25"/>
        <v>0</v>
      </c>
      <c r="Z18" s="65">
        <f t="shared" si="26"/>
        <v>0</v>
      </c>
      <c r="AA18" s="65">
        <f t="shared" si="27"/>
        <v>0</v>
      </c>
      <c r="AB18" s="65">
        <f t="shared" si="28"/>
        <v>0</v>
      </c>
      <c r="AC18" s="65">
        <f t="shared" si="44"/>
        <v>0</v>
      </c>
      <c r="AE18" s="64">
        <f t="shared" si="50"/>
        <v>0</v>
      </c>
      <c r="AF18" s="64">
        <f t="shared" si="50"/>
        <v>0</v>
      </c>
      <c r="AG18" s="64">
        <f t="shared" si="50"/>
        <v>0</v>
      </c>
      <c r="AH18" s="64">
        <f t="shared" si="50"/>
        <v>0</v>
      </c>
      <c r="AI18" s="64">
        <f t="shared" si="50"/>
        <v>0</v>
      </c>
      <c r="AK18" s="74">
        <f t="shared" si="29"/>
        <v>0</v>
      </c>
      <c r="AL18" s="74"/>
      <c r="AM18" s="74">
        <f t="shared" si="30"/>
        <v>0</v>
      </c>
      <c r="AN18" s="74">
        <f t="shared" si="31"/>
        <v>0</v>
      </c>
      <c r="AO18" s="74">
        <f t="shared" si="32"/>
        <v>6.79</v>
      </c>
      <c r="AQ18" s="65">
        <f t="shared" si="33"/>
        <v>0</v>
      </c>
      <c r="AR18" s="65">
        <f t="shared" si="45"/>
        <v>0</v>
      </c>
      <c r="AS18" s="65">
        <f t="shared" si="34"/>
        <v>0</v>
      </c>
      <c r="AT18" s="65">
        <f t="shared" si="35"/>
        <v>0</v>
      </c>
      <c r="AU18" s="65">
        <f t="shared" si="46"/>
        <v>0</v>
      </c>
      <c r="AX18" s="299">
        <v>52</v>
      </c>
      <c r="AY18" s="85"/>
      <c r="AZ18" s="85"/>
      <c r="BA18" s="85"/>
      <c r="BB18" s="85"/>
      <c r="BC18" s="85">
        <v>5.928183999999999</v>
      </c>
      <c r="BD18" s="85"/>
      <c r="BE18" s="327">
        <f t="shared" si="36"/>
        <v>0.10999999999999999</v>
      </c>
      <c r="BF18" s="49"/>
      <c r="BG18" s="49"/>
      <c r="BH18" s="49"/>
      <c r="BI18" s="49"/>
      <c r="BJ18" s="49">
        <f t="shared" si="37"/>
        <v>0.28000000000000003</v>
      </c>
      <c r="BM18" s="214">
        <f t="shared" si="17"/>
        <v>0</v>
      </c>
      <c r="BN18" s="214">
        <f t="shared" si="18"/>
        <v>0</v>
      </c>
      <c r="BO18" s="214">
        <f t="shared" si="19"/>
        <v>0</v>
      </c>
      <c r="BP18" s="214">
        <f t="shared" si="20"/>
        <v>0</v>
      </c>
      <c r="BQ18" s="214">
        <f t="shared" si="38"/>
        <v>6.8925289999999997</v>
      </c>
      <c r="BS18" s="49">
        <f t="shared" si="39"/>
        <v>0</v>
      </c>
      <c r="BT18" s="49">
        <f t="shared" si="40"/>
        <v>0</v>
      </c>
      <c r="BU18" s="49">
        <f t="shared" si="41"/>
        <v>0</v>
      </c>
      <c r="BV18" s="49">
        <f t="shared" si="42"/>
        <v>0</v>
      </c>
      <c r="BW18" s="49">
        <f t="shared" si="43"/>
        <v>0.96434500000000067</v>
      </c>
    </row>
    <row r="19" spans="2:75">
      <c r="B19" s="32">
        <v>2</v>
      </c>
      <c r="C19" s="511" t="s">
        <v>97</v>
      </c>
      <c r="D19" s="32">
        <v>432</v>
      </c>
      <c r="E19" s="512">
        <v>32</v>
      </c>
      <c r="F19" s="67"/>
      <c r="G19" s="67" t="str">
        <f t="shared" si="48"/>
        <v>042432</v>
      </c>
      <c r="H19" s="40"/>
      <c r="I19" t="s">
        <v>410</v>
      </c>
      <c r="J19" t="s">
        <v>108</v>
      </c>
      <c r="K19" s="181" t="s">
        <v>738</v>
      </c>
      <c r="L19" s="84" t="s">
        <v>701</v>
      </c>
      <c r="M19" s="64">
        <f t="shared" si="49"/>
        <v>0</v>
      </c>
      <c r="N19" s="64">
        <f t="shared" si="49"/>
        <v>0</v>
      </c>
      <c r="O19" s="64">
        <f t="shared" si="49"/>
        <v>0</v>
      </c>
      <c r="P19" s="64">
        <f t="shared" si="49"/>
        <v>0</v>
      </c>
      <c r="Q19" s="64">
        <f t="shared" si="49"/>
        <v>0</v>
      </c>
      <c r="R19" s="64">
        <f t="shared" si="24"/>
        <v>1</v>
      </c>
      <c r="S19" s="337">
        <v>0</v>
      </c>
      <c r="T19" s="337"/>
      <c r="U19" s="337">
        <v>0</v>
      </c>
      <c r="V19" s="337">
        <v>0</v>
      </c>
      <c r="W19" s="337">
        <v>6.48</v>
      </c>
      <c r="Y19" s="65">
        <f t="shared" si="25"/>
        <v>0</v>
      </c>
      <c r="Z19" s="65">
        <f t="shared" si="26"/>
        <v>0</v>
      </c>
      <c r="AA19" s="65">
        <f t="shared" si="27"/>
        <v>0</v>
      </c>
      <c r="AB19" s="65">
        <f t="shared" si="28"/>
        <v>0</v>
      </c>
      <c r="AC19" s="65">
        <f t="shared" si="44"/>
        <v>0</v>
      </c>
      <c r="AE19" s="64">
        <f t="shared" si="50"/>
        <v>0</v>
      </c>
      <c r="AF19" s="64">
        <f t="shared" si="50"/>
        <v>0</v>
      </c>
      <c r="AG19" s="64">
        <f t="shared" si="50"/>
        <v>0</v>
      </c>
      <c r="AH19" s="64">
        <f t="shared" si="50"/>
        <v>0</v>
      </c>
      <c r="AI19" s="64">
        <f t="shared" si="50"/>
        <v>0</v>
      </c>
      <c r="AK19" s="74">
        <f t="shared" si="29"/>
        <v>0</v>
      </c>
      <c r="AL19" s="74"/>
      <c r="AM19" s="74">
        <f t="shared" si="30"/>
        <v>0</v>
      </c>
      <c r="AN19" s="74">
        <f t="shared" si="31"/>
        <v>0</v>
      </c>
      <c r="AO19" s="74">
        <f t="shared" si="32"/>
        <v>7.33</v>
      </c>
      <c r="AQ19" s="65">
        <f t="shared" si="33"/>
        <v>0</v>
      </c>
      <c r="AR19" s="65">
        <f t="shared" si="45"/>
        <v>0</v>
      </c>
      <c r="AS19" s="65">
        <f t="shared" si="34"/>
        <v>0</v>
      </c>
      <c r="AT19" s="65">
        <f t="shared" si="35"/>
        <v>0</v>
      </c>
      <c r="AU19" s="65">
        <f t="shared" si="46"/>
        <v>0</v>
      </c>
      <c r="AX19" s="299">
        <v>56</v>
      </c>
      <c r="AY19" s="85"/>
      <c r="AZ19" s="85"/>
      <c r="BA19" s="85"/>
      <c r="BB19" s="85"/>
      <c r="BC19" s="85">
        <v>6.3849789999999995</v>
      </c>
      <c r="BD19" s="85"/>
      <c r="BE19" s="327">
        <f t="shared" si="36"/>
        <v>0.12</v>
      </c>
      <c r="BF19" s="49"/>
      <c r="BG19" s="49"/>
      <c r="BH19" s="49"/>
      <c r="BI19" s="49"/>
      <c r="BJ19" s="49">
        <f t="shared" si="37"/>
        <v>0.31</v>
      </c>
      <c r="BM19" s="214">
        <f t="shared" si="17"/>
        <v>0</v>
      </c>
      <c r="BN19" s="214">
        <f t="shared" si="18"/>
        <v>0</v>
      </c>
      <c r="BO19" s="214">
        <f t="shared" si="19"/>
        <v>0</v>
      </c>
      <c r="BP19" s="214">
        <f t="shared" si="20"/>
        <v>0</v>
      </c>
      <c r="BQ19" s="214">
        <f t="shared" si="38"/>
        <v>7.440682999999999</v>
      </c>
      <c r="BS19" s="49">
        <f t="shared" si="39"/>
        <v>0</v>
      </c>
      <c r="BT19" s="49">
        <f t="shared" si="40"/>
        <v>0</v>
      </c>
      <c r="BU19" s="49">
        <f t="shared" si="41"/>
        <v>0</v>
      </c>
      <c r="BV19" s="49">
        <f t="shared" si="42"/>
        <v>0</v>
      </c>
      <c r="BW19" s="49">
        <f t="shared" si="43"/>
        <v>1.0557039999999995</v>
      </c>
    </row>
    <row r="20" spans="2:75">
      <c r="B20" s="32">
        <v>2</v>
      </c>
      <c r="C20" s="511" t="s">
        <v>97</v>
      </c>
      <c r="D20" s="32" t="s">
        <v>495</v>
      </c>
      <c r="E20" s="512">
        <v>163</v>
      </c>
      <c r="F20" s="67"/>
      <c r="G20" s="67" t="str">
        <f t="shared" si="48"/>
        <v>042432L</v>
      </c>
      <c r="H20" s="40"/>
      <c r="I20" t="s">
        <v>410</v>
      </c>
      <c r="J20" t="s">
        <v>108</v>
      </c>
      <c r="K20" s="181" t="s">
        <v>738</v>
      </c>
      <c r="L20" s="84" t="s">
        <v>702</v>
      </c>
      <c r="M20" s="64">
        <f t="shared" si="49"/>
        <v>0</v>
      </c>
      <c r="N20" s="64">
        <f t="shared" si="49"/>
        <v>0</v>
      </c>
      <c r="O20" s="64">
        <f t="shared" si="49"/>
        <v>0</v>
      </c>
      <c r="P20" s="64">
        <f t="shared" si="49"/>
        <v>0</v>
      </c>
      <c r="Q20" s="64">
        <f t="shared" si="49"/>
        <v>2</v>
      </c>
      <c r="R20" s="64">
        <f t="shared" si="24"/>
        <v>0</v>
      </c>
      <c r="S20" s="337">
        <v>0</v>
      </c>
      <c r="T20" s="337"/>
      <c r="U20" s="337">
        <v>0</v>
      </c>
      <c r="V20" s="337">
        <v>0</v>
      </c>
      <c r="W20" s="337">
        <v>6.82</v>
      </c>
      <c r="Y20" s="65">
        <f t="shared" si="25"/>
        <v>0</v>
      </c>
      <c r="Z20" s="65">
        <f t="shared" si="26"/>
        <v>0</v>
      </c>
      <c r="AA20" s="65">
        <f t="shared" si="27"/>
        <v>0</v>
      </c>
      <c r="AB20" s="65">
        <f t="shared" si="28"/>
        <v>0</v>
      </c>
      <c r="AC20" s="65">
        <f t="shared" si="44"/>
        <v>13.64</v>
      </c>
      <c r="AE20" s="64">
        <f t="shared" si="50"/>
        <v>0</v>
      </c>
      <c r="AF20" s="64">
        <f t="shared" si="50"/>
        <v>0</v>
      </c>
      <c r="AG20" s="64">
        <f t="shared" si="50"/>
        <v>0</v>
      </c>
      <c r="AH20" s="64">
        <f t="shared" si="50"/>
        <v>0</v>
      </c>
      <c r="AI20" s="64">
        <f t="shared" si="50"/>
        <v>2</v>
      </c>
      <c r="AK20" s="74">
        <f t="shared" si="29"/>
        <v>0</v>
      </c>
      <c r="AL20" s="74"/>
      <c r="AM20" s="74">
        <f t="shared" si="30"/>
        <v>0</v>
      </c>
      <c r="AN20" s="74">
        <f t="shared" si="31"/>
        <v>0</v>
      </c>
      <c r="AO20" s="74">
        <f t="shared" si="32"/>
        <v>7.71</v>
      </c>
      <c r="AQ20" s="65">
        <f t="shared" si="33"/>
        <v>0</v>
      </c>
      <c r="AR20" s="65">
        <f t="shared" si="45"/>
        <v>0</v>
      </c>
      <c r="AS20" s="65">
        <f t="shared" si="34"/>
        <v>0</v>
      </c>
      <c r="AT20" s="65">
        <f t="shared" si="35"/>
        <v>0</v>
      </c>
      <c r="AU20" s="65">
        <f t="shared" si="46"/>
        <v>15.42</v>
      </c>
      <c r="AX20" s="299">
        <v>59</v>
      </c>
      <c r="AY20" s="85"/>
      <c r="AZ20" s="85"/>
      <c r="BA20" s="85"/>
      <c r="BB20" s="85"/>
      <c r="BC20" s="85">
        <v>6.7199619999999998</v>
      </c>
      <c r="BD20" s="85"/>
      <c r="BE20" s="327">
        <f t="shared" si="36"/>
        <v>0.13</v>
      </c>
      <c r="BF20" s="49"/>
      <c r="BG20" s="49"/>
      <c r="BH20" s="49"/>
      <c r="BI20" s="49"/>
      <c r="BJ20" s="49">
        <f t="shared" si="37"/>
        <v>0.33</v>
      </c>
      <c r="BM20" s="214">
        <f t="shared" si="17"/>
        <v>0</v>
      </c>
      <c r="BN20" s="214">
        <f t="shared" si="18"/>
        <v>0</v>
      </c>
      <c r="BO20" s="214">
        <f t="shared" si="19"/>
        <v>0</v>
      </c>
      <c r="BP20" s="214">
        <f t="shared" si="20"/>
        <v>0</v>
      </c>
      <c r="BQ20" s="214">
        <f t="shared" si="38"/>
        <v>7.826420999999999</v>
      </c>
      <c r="BS20" s="49">
        <f t="shared" si="39"/>
        <v>0</v>
      </c>
      <c r="BT20" s="49">
        <f t="shared" si="40"/>
        <v>0</v>
      </c>
      <c r="BU20" s="49">
        <f t="shared" si="41"/>
        <v>0</v>
      </c>
      <c r="BV20" s="49">
        <f t="shared" si="42"/>
        <v>0</v>
      </c>
      <c r="BW20" s="49">
        <f t="shared" si="43"/>
        <v>1.1064589999999992</v>
      </c>
    </row>
    <row r="21" spans="2:75">
      <c r="B21" s="32">
        <v>2</v>
      </c>
      <c r="C21" s="511" t="s">
        <v>97</v>
      </c>
      <c r="D21" s="32" t="s">
        <v>599</v>
      </c>
      <c r="E21" s="512">
        <v>28</v>
      </c>
      <c r="F21" s="67"/>
      <c r="G21" s="67" t="str">
        <f t="shared" si="48"/>
        <v>042432T</v>
      </c>
      <c r="H21" s="40"/>
      <c r="I21" t="s">
        <v>410</v>
      </c>
      <c r="J21" t="s">
        <v>108</v>
      </c>
      <c r="K21" s="181" t="s">
        <v>738</v>
      </c>
      <c r="L21" s="84" t="s">
        <v>703</v>
      </c>
      <c r="M21" s="64">
        <f t="shared" si="49"/>
        <v>0</v>
      </c>
      <c r="N21" s="64">
        <f t="shared" si="49"/>
        <v>0</v>
      </c>
      <c r="O21" s="64">
        <f t="shared" si="49"/>
        <v>0</v>
      </c>
      <c r="P21" s="64">
        <f t="shared" si="49"/>
        <v>0</v>
      </c>
      <c r="Q21" s="64">
        <f t="shared" si="49"/>
        <v>0</v>
      </c>
      <c r="R21" s="64">
        <f t="shared" si="24"/>
        <v>1</v>
      </c>
      <c r="S21" s="337">
        <v>0</v>
      </c>
      <c r="T21" s="337"/>
      <c r="U21" s="337">
        <v>0</v>
      </c>
      <c r="V21" s="337">
        <v>0</v>
      </c>
      <c r="W21" s="337">
        <v>7.28</v>
      </c>
      <c r="Y21" s="65">
        <f t="shared" si="25"/>
        <v>0</v>
      </c>
      <c r="Z21" s="65">
        <f t="shared" si="26"/>
        <v>0</v>
      </c>
      <c r="AA21" s="65">
        <f t="shared" si="27"/>
        <v>0</v>
      </c>
      <c r="AB21" s="65">
        <f t="shared" si="28"/>
        <v>0</v>
      </c>
      <c r="AC21" s="65">
        <f t="shared" si="44"/>
        <v>0</v>
      </c>
      <c r="AE21" s="64">
        <f t="shared" si="50"/>
        <v>0</v>
      </c>
      <c r="AF21" s="64">
        <f t="shared" si="50"/>
        <v>0</v>
      </c>
      <c r="AG21" s="64">
        <f t="shared" si="50"/>
        <v>0</v>
      </c>
      <c r="AH21" s="64">
        <f t="shared" si="50"/>
        <v>0</v>
      </c>
      <c r="AI21" s="64">
        <f t="shared" si="50"/>
        <v>0</v>
      </c>
      <c r="AK21" s="74">
        <f t="shared" si="29"/>
        <v>0</v>
      </c>
      <c r="AL21" s="74"/>
      <c r="AM21" s="74">
        <f t="shared" si="30"/>
        <v>0</v>
      </c>
      <c r="AN21" s="74">
        <f t="shared" si="31"/>
        <v>0</v>
      </c>
      <c r="AO21" s="74">
        <f t="shared" si="32"/>
        <v>8.23</v>
      </c>
      <c r="AQ21" s="65">
        <f t="shared" si="33"/>
        <v>0</v>
      </c>
      <c r="AR21" s="65">
        <f t="shared" si="45"/>
        <v>0</v>
      </c>
      <c r="AS21" s="65">
        <f t="shared" si="34"/>
        <v>0</v>
      </c>
      <c r="AT21" s="65">
        <f t="shared" si="35"/>
        <v>0</v>
      </c>
      <c r="AU21" s="65">
        <f t="shared" si="46"/>
        <v>0</v>
      </c>
      <c r="AX21" s="299">
        <v>63</v>
      </c>
      <c r="AY21" s="85"/>
      <c r="AZ21" s="85"/>
      <c r="BA21" s="85"/>
      <c r="BB21" s="85"/>
      <c r="BC21" s="85">
        <v>7.186907999999999</v>
      </c>
      <c r="BD21" s="85"/>
      <c r="BE21" s="327">
        <f t="shared" si="36"/>
        <v>0.14000000000000001</v>
      </c>
      <c r="BF21" s="49"/>
      <c r="BG21" s="49"/>
      <c r="BH21" s="49"/>
      <c r="BI21" s="49"/>
      <c r="BJ21" s="49">
        <f t="shared" si="37"/>
        <v>0.34</v>
      </c>
      <c r="BM21" s="214">
        <f t="shared" si="17"/>
        <v>0</v>
      </c>
      <c r="BN21" s="214">
        <f t="shared" si="18"/>
        <v>0</v>
      </c>
      <c r="BO21" s="214">
        <f t="shared" si="19"/>
        <v>0</v>
      </c>
      <c r="BP21" s="214">
        <f t="shared" si="20"/>
        <v>0</v>
      </c>
      <c r="BQ21" s="214">
        <f t="shared" si="38"/>
        <v>8.3542729999999992</v>
      </c>
      <c r="BS21" s="49">
        <f t="shared" si="39"/>
        <v>0</v>
      </c>
      <c r="BT21" s="49">
        <f t="shared" si="40"/>
        <v>0</v>
      </c>
      <c r="BU21" s="49">
        <f t="shared" si="41"/>
        <v>0</v>
      </c>
      <c r="BV21" s="49">
        <f t="shared" si="42"/>
        <v>0</v>
      </c>
      <c r="BW21" s="49">
        <f t="shared" si="43"/>
        <v>1.1673650000000002</v>
      </c>
    </row>
    <row r="22" spans="2:75">
      <c r="B22" s="32">
        <v>2</v>
      </c>
      <c r="C22" s="511" t="s">
        <v>97</v>
      </c>
      <c r="D22" s="32">
        <v>433</v>
      </c>
      <c r="E22" s="512">
        <v>7</v>
      </c>
      <c r="F22" s="67"/>
      <c r="G22" s="67" t="str">
        <f t="shared" si="48"/>
        <v>042433</v>
      </c>
      <c r="H22" s="40"/>
      <c r="I22" t="s">
        <v>410</v>
      </c>
      <c r="J22" t="s">
        <v>108</v>
      </c>
      <c r="K22" s="181" t="s">
        <v>738</v>
      </c>
      <c r="L22" s="84" t="s">
        <v>704</v>
      </c>
      <c r="M22" s="64">
        <f t="shared" si="49"/>
        <v>0</v>
      </c>
      <c r="N22" s="64">
        <f t="shared" si="49"/>
        <v>0</v>
      </c>
      <c r="O22" s="64">
        <f t="shared" si="49"/>
        <v>0</v>
      </c>
      <c r="P22" s="64">
        <f t="shared" si="49"/>
        <v>0</v>
      </c>
      <c r="Q22" s="64">
        <f t="shared" si="49"/>
        <v>0</v>
      </c>
      <c r="R22" s="64">
        <f t="shared" si="24"/>
        <v>1</v>
      </c>
      <c r="S22" s="337">
        <v>0</v>
      </c>
      <c r="T22" s="337"/>
      <c r="U22" s="337">
        <v>0</v>
      </c>
      <c r="V22" s="337">
        <v>0</v>
      </c>
      <c r="W22" s="337">
        <v>7.74</v>
      </c>
      <c r="Y22" s="65">
        <f t="shared" si="25"/>
        <v>0</v>
      </c>
      <c r="Z22" s="65">
        <f t="shared" si="26"/>
        <v>0</v>
      </c>
      <c r="AA22" s="65">
        <f t="shared" si="27"/>
        <v>0</v>
      </c>
      <c r="AB22" s="65">
        <f t="shared" si="28"/>
        <v>0</v>
      </c>
      <c r="AC22" s="65">
        <f t="shared" si="44"/>
        <v>0</v>
      </c>
      <c r="AE22" s="64">
        <f t="shared" si="50"/>
        <v>0</v>
      </c>
      <c r="AF22" s="64">
        <f t="shared" si="50"/>
        <v>0</v>
      </c>
      <c r="AG22" s="64">
        <f t="shared" si="50"/>
        <v>0</v>
      </c>
      <c r="AH22" s="64">
        <f t="shared" si="50"/>
        <v>0</v>
      </c>
      <c r="AI22" s="64">
        <f t="shared" si="50"/>
        <v>0</v>
      </c>
      <c r="AK22" s="74">
        <f t="shared" si="29"/>
        <v>0</v>
      </c>
      <c r="AL22" s="74"/>
      <c r="AM22" s="74">
        <f t="shared" si="30"/>
        <v>0</v>
      </c>
      <c r="AN22" s="74">
        <f t="shared" si="31"/>
        <v>0</v>
      </c>
      <c r="AO22" s="74">
        <f t="shared" si="32"/>
        <v>8.75</v>
      </c>
      <c r="AQ22" s="65">
        <f t="shared" si="33"/>
        <v>0</v>
      </c>
      <c r="AR22" s="65">
        <f t="shared" si="45"/>
        <v>0</v>
      </c>
      <c r="AS22" s="65">
        <f t="shared" si="34"/>
        <v>0</v>
      </c>
      <c r="AT22" s="65">
        <f t="shared" si="35"/>
        <v>0</v>
      </c>
      <c r="AU22" s="65">
        <f t="shared" si="46"/>
        <v>0</v>
      </c>
      <c r="AX22" s="299">
        <v>67</v>
      </c>
      <c r="AY22" s="85"/>
      <c r="AZ22" s="85"/>
      <c r="BA22" s="85"/>
      <c r="BB22" s="85"/>
      <c r="BC22" s="85">
        <v>7.633551999999999</v>
      </c>
      <c r="BD22" s="85"/>
      <c r="BE22" s="327">
        <f t="shared" si="36"/>
        <v>0.14000000000000001</v>
      </c>
      <c r="BF22" s="49"/>
      <c r="BG22" s="49"/>
      <c r="BH22" s="49"/>
      <c r="BI22" s="49"/>
      <c r="BJ22" s="49">
        <f t="shared" si="37"/>
        <v>0.36</v>
      </c>
      <c r="BM22" s="214">
        <f t="shared" si="17"/>
        <v>0</v>
      </c>
      <c r="BN22" s="214">
        <f t="shared" si="18"/>
        <v>0</v>
      </c>
      <c r="BO22" s="214">
        <f t="shared" si="19"/>
        <v>0</v>
      </c>
      <c r="BP22" s="214">
        <f t="shared" si="20"/>
        <v>0</v>
      </c>
      <c r="BQ22" s="214">
        <f t="shared" si="38"/>
        <v>8.8821249999999985</v>
      </c>
      <c r="BS22" s="49">
        <f t="shared" si="39"/>
        <v>0</v>
      </c>
      <c r="BT22" s="49">
        <f t="shared" si="40"/>
        <v>0</v>
      </c>
      <c r="BU22" s="49">
        <f t="shared" si="41"/>
        <v>0</v>
      </c>
      <c r="BV22" s="49">
        <f t="shared" si="42"/>
        <v>0</v>
      </c>
      <c r="BW22" s="49">
        <f t="shared" si="43"/>
        <v>1.2485729999999995</v>
      </c>
    </row>
    <row r="23" spans="2:75">
      <c r="B23" s="32">
        <v>2</v>
      </c>
      <c r="C23" s="511" t="s">
        <v>97</v>
      </c>
      <c r="D23" s="32" t="s">
        <v>496</v>
      </c>
      <c r="E23" s="512">
        <v>73</v>
      </c>
      <c r="F23" s="67"/>
      <c r="G23" s="67" t="str">
        <f t="shared" si="48"/>
        <v>042433L</v>
      </c>
      <c r="H23" s="40"/>
      <c r="I23" t="s">
        <v>410</v>
      </c>
      <c r="J23" t="s">
        <v>108</v>
      </c>
      <c r="K23" s="181" t="s">
        <v>738</v>
      </c>
      <c r="L23" s="84" t="s">
        <v>705</v>
      </c>
      <c r="M23" s="64">
        <f t="shared" si="49"/>
        <v>0</v>
      </c>
      <c r="N23" s="64">
        <f t="shared" si="49"/>
        <v>0</v>
      </c>
      <c r="O23" s="64">
        <f t="shared" si="49"/>
        <v>0</v>
      </c>
      <c r="P23" s="64">
        <f t="shared" si="49"/>
        <v>0</v>
      </c>
      <c r="Q23" s="64">
        <f t="shared" si="49"/>
        <v>0</v>
      </c>
      <c r="R23" s="64">
        <f t="shared" si="24"/>
        <v>1</v>
      </c>
      <c r="S23" s="337">
        <v>0</v>
      </c>
      <c r="T23" s="337"/>
      <c r="U23" s="337">
        <v>0</v>
      </c>
      <c r="V23" s="337">
        <v>0</v>
      </c>
      <c r="W23" s="337">
        <v>8.09</v>
      </c>
      <c r="Y23" s="65">
        <f t="shared" si="25"/>
        <v>0</v>
      </c>
      <c r="Z23" s="65">
        <f t="shared" si="26"/>
        <v>0</v>
      </c>
      <c r="AA23" s="65">
        <f t="shared" si="27"/>
        <v>0</v>
      </c>
      <c r="AB23" s="65">
        <f t="shared" si="28"/>
        <v>0</v>
      </c>
      <c r="AC23" s="65">
        <f t="shared" si="44"/>
        <v>0</v>
      </c>
      <c r="AE23" s="64">
        <f t="shared" si="50"/>
        <v>0</v>
      </c>
      <c r="AF23" s="64">
        <f t="shared" si="50"/>
        <v>0</v>
      </c>
      <c r="AG23" s="64">
        <f t="shared" si="50"/>
        <v>0</v>
      </c>
      <c r="AH23" s="64">
        <f t="shared" si="50"/>
        <v>0</v>
      </c>
      <c r="AI23" s="64">
        <f t="shared" si="50"/>
        <v>0</v>
      </c>
      <c r="AK23" s="74">
        <f t="shared" si="29"/>
        <v>0</v>
      </c>
      <c r="AL23" s="74"/>
      <c r="AM23" s="74">
        <f t="shared" si="30"/>
        <v>0</v>
      </c>
      <c r="AN23" s="74">
        <f t="shared" si="31"/>
        <v>0</v>
      </c>
      <c r="AO23" s="74">
        <f t="shared" si="32"/>
        <v>9.15</v>
      </c>
      <c r="AQ23" s="65">
        <f t="shared" si="33"/>
        <v>0</v>
      </c>
      <c r="AR23" s="65">
        <f t="shared" si="45"/>
        <v>0</v>
      </c>
      <c r="AS23" s="65">
        <f t="shared" si="34"/>
        <v>0</v>
      </c>
      <c r="AT23" s="65">
        <f t="shared" si="35"/>
        <v>0</v>
      </c>
      <c r="AU23" s="65">
        <f t="shared" si="46"/>
        <v>0</v>
      </c>
      <c r="AX23" s="299">
        <v>70</v>
      </c>
      <c r="AY23" s="85"/>
      <c r="AZ23" s="85"/>
      <c r="BA23" s="85"/>
      <c r="BB23" s="85"/>
      <c r="BC23" s="85">
        <v>7.9786859999999997</v>
      </c>
      <c r="BD23" s="85"/>
      <c r="BE23" s="327">
        <f t="shared" si="36"/>
        <v>0.16000000000000003</v>
      </c>
      <c r="BF23" s="49"/>
      <c r="BG23" s="49"/>
      <c r="BH23" s="49"/>
      <c r="BI23" s="49"/>
      <c r="BJ23" s="49">
        <f t="shared" si="37"/>
        <v>0.39</v>
      </c>
      <c r="BM23" s="214">
        <f t="shared" si="17"/>
        <v>0</v>
      </c>
      <c r="BN23" s="214">
        <f t="shared" si="18"/>
        <v>0</v>
      </c>
      <c r="BO23" s="214">
        <f t="shared" si="19"/>
        <v>0</v>
      </c>
      <c r="BP23" s="214">
        <f t="shared" si="20"/>
        <v>0</v>
      </c>
      <c r="BQ23" s="214">
        <f t="shared" si="38"/>
        <v>9.2881649999999993</v>
      </c>
      <c r="BS23" s="49">
        <f t="shared" si="39"/>
        <v>0</v>
      </c>
      <c r="BT23" s="49">
        <f t="shared" si="40"/>
        <v>0</v>
      </c>
      <c r="BU23" s="49">
        <f t="shared" si="41"/>
        <v>0</v>
      </c>
      <c r="BV23" s="49">
        <f t="shared" si="42"/>
        <v>0</v>
      </c>
      <c r="BW23" s="49">
        <f t="shared" si="43"/>
        <v>1.3094789999999996</v>
      </c>
    </row>
    <row r="24" spans="2:75">
      <c r="B24" s="32">
        <v>2</v>
      </c>
      <c r="C24" s="511" t="s">
        <v>97</v>
      </c>
      <c r="D24" s="32" t="s">
        <v>600</v>
      </c>
      <c r="E24" s="512">
        <v>67</v>
      </c>
      <c r="F24" s="67"/>
      <c r="G24" s="67" t="str">
        <f t="shared" si="48"/>
        <v>042433T</v>
      </c>
      <c r="H24" s="40"/>
      <c r="I24" t="s">
        <v>410</v>
      </c>
      <c r="J24" t="s">
        <v>108</v>
      </c>
      <c r="K24" s="181" t="s">
        <v>738</v>
      </c>
      <c r="L24" s="84" t="s">
        <v>706</v>
      </c>
      <c r="M24" s="64">
        <f t="shared" ref="M24:Q33" si="51">SUMIF($G:$G,TEXT(M$3,"000")&amp;TEXT($L24,"000"),$E:$E)</f>
        <v>0</v>
      </c>
      <c r="N24" s="64">
        <f t="shared" si="51"/>
        <v>0</v>
      </c>
      <c r="O24" s="64">
        <f t="shared" si="51"/>
        <v>0</v>
      </c>
      <c r="P24" s="64">
        <f t="shared" si="51"/>
        <v>0</v>
      </c>
      <c r="Q24" s="64">
        <f t="shared" si="51"/>
        <v>19</v>
      </c>
      <c r="R24" s="64">
        <f t="shared" si="24"/>
        <v>0</v>
      </c>
      <c r="S24" s="337">
        <v>0</v>
      </c>
      <c r="T24" s="337"/>
      <c r="U24" s="337">
        <v>0</v>
      </c>
      <c r="V24" s="337">
        <v>0</v>
      </c>
      <c r="W24" s="337">
        <v>8.9</v>
      </c>
      <c r="Y24" s="65">
        <f t="shared" si="25"/>
        <v>0</v>
      </c>
      <c r="Z24" s="65">
        <f t="shared" si="26"/>
        <v>0</v>
      </c>
      <c r="AA24" s="65">
        <f t="shared" si="27"/>
        <v>0</v>
      </c>
      <c r="AB24" s="65">
        <f t="shared" si="28"/>
        <v>0</v>
      </c>
      <c r="AC24" s="65">
        <f t="shared" si="44"/>
        <v>169.1</v>
      </c>
      <c r="AE24" s="64">
        <f t="shared" si="50"/>
        <v>0</v>
      </c>
      <c r="AF24" s="64">
        <f t="shared" si="50"/>
        <v>0</v>
      </c>
      <c r="AG24" s="64">
        <f t="shared" si="50"/>
        <v>0</v>
      </c>
      <c r="AH24" s="64">
        <f t="shared" si="50"/>
        <v>0</v>
      </c>
      <c r="AI24" s="64">
        <f t="shared" si="50"/>
        <v>19</v>
      </c>
      <c r="AK24" s="74">
        <f t="shared" si="29"/>
        <v>0</v>
      </c>
      <c r="AL24" s="74"/>
      <c r="AM24" s="74">
        <f t="shared" si="30"/>
        <v>0</v>
      </c>
      <c r="AN24" s="74">
        <f t="shared" si="31"/>
        <v>0</v>
      </c>
      <c r="AO24" s="74">
        <f t="shared" si="32"/>
        <v>10.06</v>
      </c>
      <c r="AQ24" s="65">
        <f t="shared" si="33"/>
        <v>0</v>
      </c>
      <c r="AR24" s="65">
        <f t="shared" si="45"/>
        <v>0</v>
      </c>
      <c r="AS24" s="65">
        <f t="shared" si="34"/>
        <v>0</v>
      </c>
      <c r="AT24" s="65">
        <f t="shared" si="35"/>
        <v>0</v>
      </c>
      <c r="AU24" s="65">
        <f t="shared" si="46"/>
        <v>191.14000000000001</v>
      </c>
      <c r="AX24" s="299">
        <v>77</v>
      </c>
      <c r="AY24" s="85"/>
      <c r="AZ24" s="85"/>
      <c r="BA24" s="85"/>
      <c r="BB24" s="85"/>
      <c r="BC24" s="85">
        <v>8.7806149999999992</v>
      </c>
      <c r="BD24" s="85"/>
      <c r="BE24" s="327">
        <f t="shared" si="36"/>
        <v>0.17000000000000004</v>
      </c>
      <c r="BF24" s="49"/>
      <c r="BG24" s="49"/>
      <c r="BH24" s="49"/>
      <c r="BI24" s="49"/>
      <c r="BJ24" s="49">
        <f t="shared" si="37"/>
        <v>0.42</v>
      </c>
      <c r="BM24" s="214">
        <f t="shared" si="17"/>
        <v>0</v>
      </c>
      <c r="BN24" s="214">
        <f t="shared" si="18"/>
        <v>0</v>
      </c>
      <c r="BO24" s="214">
        <f t="shared" si="19"/>
        <v>0</v>
      </c>
      <c r="BP24" s="214">
        <f t="shared" si="20"/>
        <v>0</v>
      </c>
      <c r="BQ24" s="214">
        <f t="shared" si="38"/>
        <v>10.211905999999999</v>
      </c>
      <c r="BS24" s="49">
        <f t="shared" si="39"/>
        <v>0</v>
      </c>
      <c r="BT24" s="49">
        <f t="shared" si="40"/>
        <v>0</v>
      </c>
      <c r="BU24" s="49">
        <f t="shared" si="41"/>
        <v>0</v>
      </c>
      <c r="BV24" s="49">
        <f t="shared" si="42"/>
        <v>0</v>
      </c>
      <c r="BW24" s="49">
        <f t="shared" si="43"/>
        <v>1.4312909999999999</v>
      </c>
    </row>
    <row r="25" spans="2:75">
      <c r="B25" s="32">
        <v>2</v>
      </c>
      <c r="C25" s="511" t="s">
        <v>97</v>
      </c>
      <c r="D25" s="32">
        <v>434</v>
      </c>
      <c r="E25" s="512">
        <v>1085</v>
      </c>
      <c r="F25" s="67"/>
      <c r="G25" s="67" t="str">
        <f t="shared" si="48"/>
        <v>042434</v>
      </c>
      <c r="H25" s="40"/>
      <c r="I25" t="s">
        <v>410</v>
      </c>
      <c r="J25" t="s">
        <v>108</v>
      </c>
      <c r="K25" s="181" t="s">
        <v>738</v>
      </c>
      <c r="L25" s="84" t="s">
        <v>707</v>
      </c>
      <c r="M25" s="64">
        <f t="shared" si="51"/>
        <v>0</v>
      </c>
      <c r="N25" s="64">
        <f t="shared" si="51"/>
        <v>0</v>
      </c>
      <c r="O25" s="64">
        <f t="shared" si="51"/>
        <v>0</v>
      </c>
      <c r="P25" s="64">
        <f t="shared" si="51"/>
        <v>0</v>
      </c>
      <c r="Q25" s="64">
        <f t="shared" si="51"/>
        <v>60</v>
      </c>
      <c r="R25" s="64">
        <f t="shared" si="24"/>
        <v>0</v>
      </c>
      <c r="S25" s="337">
        <v>0</v>
      </c>
      <c r="T25" s="337"/>
      <c r="U25" s="337">
        <v>0</v>
      </c>
      <c r="V25" s="337">
        <v>0</v>
      </c>
      <c r="W25" s="337">
        <v>9.94</v>
      </c>
      <c r="Y25" s="65">
        <f t="shared" si="25"/>
        <v>0</v>
      </c>
      <c r="Z25" s="65">
        <f t="shared" si="26"/>
        <v>0</v>
      </c>
      <c r="AA25" s="495">
        <f>IF(AND(O25&lt;&gt;0,U25=0),#VALUE!,O25*U25)</f>
        <v>0</v>
      </c>
      <c r="AB25" s="65">
        <f t="shared" si="28"/>
        <v>0</v>
      </c>
      <c r="AC25" s="65">
        <f>IF(AND(Q25&lt;&gt;0,W25=0),#VALUE!,Q25*W25)</f>
        <v>596.4</v>
      </c>
      <c r="AE25" s="64">
        <f t="shared" si="50"/>
        <v>0</v>
      </c>
      <c r="AF25" s="64">
        <f t="shared" si="50"/>
        <v>0</v>
      </c>
      <c r="AG25" s="64">
        <f t="shared" si="50"/>
        <v>0</v>
      </c>
      <c r="AH25" s="64">
        <f t="shared" si="50"/>
        <v>0</v>
      </c>
      <c r="AI25" s="64">
        <f t="shared" si="50"/>
        <v>60</v>
      </c>
      <c r="AK25" s="74">
        <f t="shared" si="29"/>
        <v>0</v>
      </c>
      <c r="AL25" s="74"/>
      <c r="AM25" s="74">
        <f t="shared" si="30"/>
        <v>0</v>
      </c>
      <c r="AN25" s="74">
        <f t="shared" si="31"/>
        <v>0</v>
      </c>
      <c r="AO25" s="74">
        <f>ROUND(W25*(1+AO$1),2)</f>
        <v>11.24</v>
      </c>
      <c r="AQ25" s="65">
        <f t="shared" si="33"/>
        <v>0</v>
      </c>
      <c r="AR25" s="65">
        <f t="shared" si="45"/>
        <v>0</v>
      </c>
      <c r="AS25" s="65">
        <f t="shared" si="34"/>
        <v>0</v>
      </c>
      <c r="AT25" s="65">
        <f t="shared" si="35"/>
        <v>0</v>
      </c>
      <c r="AU25" s="65">
        <f>IF(AND(AI25&lt;&gt;0,AO25=0),#VALUE!,AI25*AO25)</f>
        <v>674.4</v>
      </c>
      <c r="AX25" s="299">
        <v>86</v>
      </c>
      <c r="AY25" s="85"/>
      <c r="AZ25" s="85"/>
      <c r="BA25" s="85"/>
      <c r="BB25" s="85"/>
      <c r="BC25" s="85">
        <v>9.805866</v>
      </c>
      <c r="BD25" s="85"/>
      <c r="BE25" s="327">
        <f t="shared" si="36"/>
        <v>0.18999999999999995</v>
      </c>
      <c r="BF25" s="49"/>
      <c r="BG25" s="49"/>
      <c r="BH25" s="49"/>
      <c r="BI25" s="49"/>
      <c r="BJ25" s="49">
        <f t="shared" si="37"/>
        <v>0.47</v>
      </c>
      <c r="BM25" s="214">
        <f t="shared" si="17"/>
        <v>0</v>
      </c>
      <c r="BN25" s="214">
        <f t="shared" si="18"/>
        <v>0</v>
      </c>
      <c r="BO25" s="214">
        <f t="shared" si="19"/>
        <v>0</v>
      </c>
      <c r="BP25" s="214">
        <f t="shared" si="20"/>
        <v>0</v>
      </c>
      <c r="BQ25" s="214">
        <f t="shared" si="38"/>
        <v>11.409723999999999</v>
      </c>
      <c r="BS25" s="49">
        <f t="shared" si="39"/>
        <v>0</v>
      </c>
      <c r="BT25" s="49">
        <f t="shared" si="40"/>
        <v>0</v>
      </c>
      <c r="BU25" s="49">
        <f t="shared" si="41"/>
        <v>0</v>
      </c>
      <c r="BV25" s="49">
        <f t="shared" si="42"/>
        <v>0</v>
      </c>
      <c r="BW25" s="49">
        <f t="shared" si="43"/>
        <v>1.6038579999999989</v>
      </c>
    </row>
    <row r="26" spans="2:75">
      <c r="B26" s="32">
        <v>2</v>
      </c>
      <c r="C26" s="511" t="s">
        <v>97</v>
      </c>
      <c r="D26" s="32" t="s">
        <v>497</v>
      </c>
      <c r="E26" s="512">
        <v>2446</v>
      </c>
      <c r="F26" s="67"/>
      <c r="G26" s="67" t="str">
        <f t="shared" si="48"/>
        <v>042434L</v>
      </c>
      <c r="H26" s="40"/>
      <c r="I26" t="s">
        <v>105</v>
      </c>
      <c r="J26" t="s">
        <v>87</v>
      </c>
      <c r="K26" s="54" t="s">
        <v>106</v>
      </c>
      <c r="L26" s="84">
        <v>234</v>
      </c>
      <c r="M26" s="64">
        <f t="shared" si="51"/>
        <v>0</v>
      </c>
      <c r="N26" s="64">
        <f t="shared" si="51"/>
        <v>61</v>
      </c>
      <c r="O26" s="64">
        <f t="shared" si="51"/>
        <v>0</v>
      </c>
      <c r="P26" s="64">
        <f t="shared" si="51"/>
        <v>0</v>
      </c>
      <c r="Q26" s="64">
        <f t="shared" si="51"/>
        <v>0</v>
      </c>
      <c r="R26" s="64">
        <f t="shared" ref="R26:R27" si="52">IF(SUM(M26:Q26)&gt;0,0,1)</f>
        <v>0</v>
      </c>
      <c r="S26" s="337">
        <v>0</v>
      </c>
      <c r="T26" s="337">
        <v>15.01</v>
      </c>
      <c r="U26" s="337">
        <v>0</v>
      </c>
      <c r="V26" s="337">
        <v>0</v>
      </c>
      <c r="W26" s="337">
        <v>0</v>
      </c>
      <c r="Y26" s="65">
        <f t="shared" ref="Y26:Y27" si="53">IF(AND(M26&lt;&gt;0,S26=0),#VALUE!,M26*S26)</f>
        <v>0</v>
      </c>
      <c r="Z26" s="65">
        <f t="shared" ref="Z26:Z27" si="54">IF(AND(N26&lt;&gt;0,T26=0),#VALUE!,N26*T26)</f>
        <v>915.61</v>
      </c>
      <c r="AA26" s="65">
        <f t="shared" ref="AA26:AA27" si="55">IF(AND(O26&lt;&gt;0,U26=0),#VALUE!,O26*U26)</f>
        <v>0</v>
      </c>
      <c r="AB26" s="65">
        <f t="shared" ref="AB26:AB27" si="56">IF(AND(P26&lt;&gt;0,V26=0),#VALUE!,P26*V26)</f>
        <v>0</v>
      </c>
      <c r="AC26" s="65">
        <f t="shared" ref="AC26:AC27" si="57">IF(AND(Q26&lt;&gt;0,W26=0),#VALUE!,Q26*W26)</f>
        <v>0</v>
      </c>
      <c r="AE26" s="64">
        <f t="shared" ref="AE26:AE27" si="58">M26</f>
        <v>0</v>
      </c>
      <c r="AF26" s="64">
        <f t="shared" ref="AF26:AI27" si="59">N26</f>
        <v>61</v>
      </c>
      <c r="AG26" s="64">
        <f t="shared" si="59"/>
        <v>0</v>
      </c>
      <c r="AH26" s="64">
        <f t="shared" si="59"/>
        <v>0</v>
      </c>
      <c r="AI26" s="64">
        <f t="shared" si="59"/>
        <v>0</v>
      </c>
      <c r="AK26" s="74">
        <f t="shared" si="8"/>
        <v>0</v>
      </c>
      <c r="AL26" s="74">
        <f>ROUND(T26*(1+AL$1),2)</f>
        <v>16.84</v>
      </c>
      <c r="AM26" s="74">
        <f t="shared" si="9"/>
        <v>0</v>
      </c>
      <c r="AN26" s="74">
        <f t="shared" si="10"/>
        <v>0</v>
      </c>
      <c r="AO26" s="74">
        <f t="shared" ref="AO26:AO27" si="60">ROUND(W26*(1+AO$1),2)</f>
        <v>0</v>
      </c>
      <c r="AQ26" s="65">
        <f t="shared" si="11"/>
        <v>0</v>
      </c>
      <c r="AR26" s="65">
        <f t="shared" si="12"/>
        <v>1027.24</v>
      </c>
      <c r="AS26" s="65">
        <f t="shared" si="13"/>
        <v>0</v>
      </c>
      <c r="AT26" s="65">
        <f t="shared" si="14"/>
        <v>0</v>
      </c>
      <c r="AU26" s="65">
        <f t="shared" si="15"/>
        <v>0</v>
      </c>
      <c r="AV26" s="65">
        <f t="shared" ref="AV26:AV27" si="61">SUM(AR26)-SUM(Z26)</f>
        <v>111.63</v>
      </c>
      <c r="AW26" s="306">
        <f t="shared" ref="AW26:AW32" si="62">AV26/Z26</f>
        <v>0.12191872085276481</v>
      </c>
      <c r="AX26" s="299">
        <v>20</v>
      </c>
      <c r="AY26" s="85"/>
      <c r="AZ26" s="85">
        <v>14.93</v>
      </c>
      <c r="BA26" s="85"/>
      <c r="BB26" s="85"/>
      <c r="BC26" s="85"/>
      <c r="BD26" s="85"/>
      <c r="BE26" s="327">
        <f t="shared" ref="BE26:BE27" si="63">ROUND(AX26*$BE$2,2)+ROUND(AX26*$BE$1,2)</f>
        <v>5.0000000000000017E-2</v>
      </c>
      <c r="BF26" s="49"/>
      <c r="BG26" s="49">
        <f>ROUND((T26*$BF$2)+$BE26-AZ26,2)</f>
        <v>0.36</v>
      </c>
      <c r="BH26" s="49"/>
      <c r="BI26" s="49"/>
      <c r="BJ26" s="49"/>
      <c r="BM26" s="214">
        <f t="shared" si="17"/>
        <v>0</v>
      </c>
      <c r="BN26" s="214">
        <f t="shared" si="18"/>
        <v>17.094283999999998</v>
      </c>
      <c r="BO26" s="214">
        <f t="shared" si="19"/>
        <v>0</v>
      </c>
      <c r="BP26" s="214">
        <f t="shared" si="20"/>
        <v>0</v>
      </c>
      <c r="BQ26" s="214">
        <f t="shared" si="38"/>
        <v>0</v>
      </c>
      <c r="BS26" s="49">
        <f t="shared" ref="BS26:BS27" si="64">BM26-AY26</f>
        <v>0</v>
      </c>
      <c r="BT26" s="49">
        <f t="shared" ref="BT26:BT27" si="65">BN26-AZ26</f>
        <v>2.1642839999999985</v>
      </c>
      <c r="BU26" s="49">
        <f t="shared" ref="BU26:BU27" si="66">BO26-BA26</f>
        <v>0</v>
      </c>
      <c r="BV26" s="49">
        <f t="shared" ref="BV26:BV27" si="67">BP26-BB26</f>
        <v>0</v>
      </c>
      <c r="BW26" s="49">
        <f t="shared" ref="BW26:BW27" si="68">BQ26-BC26</f>
        <v>0</v>
      </c>
    </row>
    <row r="27" spans="2:75">
      <c r="B27" s="32">
        <v>2</v>
      </c>
      <c r="C27" s="511" t="s">
        <v>97</v>
      </c>
      <c r="D27" s="32">
        <v>435</v>
      </c>
      <c r="E27" s="512">
        <v>215</v>
      </c>
      <c r="F27" s="67"/>
      <c r="G27" s="67" t="str">
        <f t="shared" si="48"/>
        <v>042435</v>
      </c>
      <c r="H27" s="40"/>
      <c r="I27" t="s">
        <v>107</v>
      </c>
      <c r="J27" t="s">
        <v>108</v>
      </c>
      <c r="K27" s="54" t="s">
        <v>109</v>
      </c>
      <c r="L27" s="84">
        <v>335</v>
      </c>
      <c r="M27" s="64">
        <f t="shared" si="51"/>
        <v>0</v>
      </c>
      <c r="N27" s="64">
        <f t="shared" si="51"/>
        <v>0</v>
      </c>
      <c r="O27" s="64">
        <f t="shared" si="51"/>
        <v>0</v>
      </c>
      <c r="P27" s="64">
        <f t="shared" si="51"/>
        <v>0</v>
      </c>
      <c r="Q27" s="64">
        <f t="shared" si="51"/>
        <v>8</v>
      </c>
      <c r="R27" s="64">
        <f t="shared" si="52"/>
        <v>0</v>
      </c>
      <c r="S27" s="337">
        <v>0</v>
      </c>
      <c r="T27" s="337">
        <v>0</v>
      </c>
      <c r="U27" s="337">
        <v>0</v>
      </c>
      <c r="V27" s="337">
        <v>0</v>
      </c>
      <c r="W27" s="337">
        <v>3.89</v>
      </c>
      <c r="Y27" s="65">
        <f t="shared" si="53"/>
        <v>0</v>
      </c>
      <c r="Z27" s="65">
        <f t="shared" si="54"/>
        <v>0</v>
      </c>
      <c r="AA27" s="65">
        <f t="shared" si="55"/>
        <v>0</v>
      </c>
      <c r="AB27" s="65">
        <f t="shared" si="56"/>
        <v>0</v>
      </c>
      <c r="AC27" s="65">
        <f t="shared" si="57"/>
        <v>31.12</v>
      </c>
      <c r="AE27" s="64">
        <f t="shared" si="58"/>
        <v>0</v>
      </c>
      <c r="AF27" s="64">
        <f t="shared" si="59"/>
        <v>0</v>
      </c>
      <c r="AG27" s="64">
        <f t="shared" si="59"/>
        <v>0</v>
      </c>
      <c r="AH27" s="64">
        <f t="shared" si="59"/>
        <v>0</v>
      </c>
      <c r="AI27" s="64">
        <f t="shared" si="59"/>
        <v>8</v>
      </c>
      <c r="AK27" s="74">
        <f t="shared" si="8"/>
        <v>0</v>
      </c>
      <c r="AL27" s="74">
        <f t="shared" si="8"/>
        <v>0</v>
      </c>
      <c r="AM27" s="74">
        <f t="shared" si="9"/>
        <v>0</v>
      </c>
      <c r="AN27" s="74">
        <f t="shared" si="10"/>
        <v>0</v>
      </c>
      <c r="AO27" s="74">
        <f t="shared" si="60"/>
        <v>4.4000000000000004</v>
      </c>
      <c r="AQ27" s="65">
        <f t="shared" si="11"/>
        <v>0</v>
      </c>
      <c r="AR27" s="65">
        <f t="shared" si="12"/>
        <v>0</v>
      </c>
      <c r="AS27" s="65">
        <f t="shared" si="13"/>
        <v>0</v>
      </c>
      <c r="AT27" s="65">
        <f t="shared" si="14"/>
        <v>0</v>
      </c>
      <c r="AU27" s="65">
        <f t="shared" si="15"/>
        <v>35.200000000000003</v>
      </c>
      <c r="AV27" s="65">
        <f t="shared" si="61"/>
        <v>0</v>
      </c>
      <c r="AW27" s="306" t="e">
        <f t="shared" si="62"/>
        <v>#DIV/0!</v>
      </c>
      <c r="AX27" s="299">
        <v>25</v>
      </c>
      <c r="AY27" s="85"/>
      <c r="AZ27" s="85"/>
      <c r="BA27" s="85"/>
      <c r="BB27" s="85"/>
      <c r="BC27" s="85">
        <v>3.84</v>
      </c>
      <c r="BD27" s="85"/>
      <c r="BE27" s="327">
        <f t="shared" si="63"/>
        <v>0.06</v>
      </c>
      <c r="BF27" s="49"/>
      <c r="BG27" s="49"/>
      <c r="BH27" s="49"/>
      <c r="BI27" s="49"/>
      <c r="BJ27" s="49">
        <f>ROUND((W27*$BF$2)+$BE27-BC27,2)</f>
        <v>0.17</v>
      </c>
      <c r="BM27" s="214">
        <f t="shared" si="17"/>
        <v>0</v>
      </c>
      <c r="BN27" s="214">
        <f t="shared" si="18"/>
        <v>0</v>
      </c>
      <c r="BO27" s="214">
        <f t="shared" si="19"/>
        <v>0</v>
      </c>
      <c r="BP27" s="214">
        <f t="shared" si="20"/>
        <v>0</v>
      </c>
      <c r="BQ27" s="214">
        <f t="shared" si="38"/>
        <v>4.4664399999999995</v>
      </c>
      <c r="BS27" s="49">
        <f t="shared" si="64"/>
        <v>0</v>
      </c>
      <c r="BT27" s="49">
        <f t="shared" si="65"/>
        <v>0</v>
      </c>
      <c r="BU27" s="49">
        <f t="shared" si="66"/>
        <v>0</v>
      </c>
      <c r="BV27" s="49">
        <f t="shared" si="67"/>
        <v>0</v>
      </c>
      <c r="BW27" s="49">
        <f t="shared" si="68"/>
        <v>0.62643999999999966</v>
      </c>
    </row>
    <row r="28" spans="2:75">
      <c r="B28" s="32">
        <v>2</v>
      </c>
      <c r="C28" s="511" t="s">
        <v>97</v>
      </c>
      <c r="D28" s="32" t="s">
        <v>498</v>
      </c>
      <c r="E28" s="512">
        <f>2631+1</f>
        <v>2632</v>
      </c>
      <c r="F28" s="67"/>
      <c r="G28" s="67" t="str">
        <f t="shared" si="48"/>
        <v>042435L</v>
      </c>
      <c r="H28" s="476"/>
      <c r="I28" t="s">
        <v>110</v>
      </c>
      <c r="J28" t="s">
        <v>108</v>
      </c>
      <c r="K28" s="54">
        <v>7000</v>
      </c>
      <c r="L28" s="84">
        <v>415</v>
      </c>
      <c r="M28" s="64">
        <f t="shared" si="51"/>
        <v>0</v>
      </c>
      <c r="N28" s="64">
        <f t="shared" si="51"/>
        <v>0</v>
      </c>
      <c r="O28" s="64">
        <f t="shared" si="51"/>
        <v>0</v>
      </c>
      <c r="P28" s="64">
        <f t="shared" si="51"/>
        <v>61</v>
      </c>
      <c r="Q28" s="64">
        <f t="shared" si="51"/>
        <v>0</v>
      </c>
      <c r="R28" s="64">
        <f>IF(SUM(M28:Q28)&gt;0,0,1)</f>
        <v>0</v>
      </c>
      <c r="S28" s="337">
        <v>0</v>
      </c>
      <c r="T28" s="337">
        <v>0</v>
      </c>
      <c r="U28" s="337">
        <v>0</v>
      </c>
      <c r="V28" s="337">
        <v>7.67</v>
      </c>
      <c r="W28" s="337">
        <v>0</v>
      </c>
      <c r="Y28" s="65">
        <f t="shared" ref="Y28:AC33" si="69">IF(AND(M28&lt;&gt;0,S28=0),#VALUE!,M28*S28)</f>
        <v>0</v>
      </c>
      <c r="Z28" s="65">
        <f t="shared" si="69"/>
        <v>0</v>
      </c>
      <c r="AA28" s="65">
        <f t="shared" si="69"/>
        <v>0</v>
      </c>
      <c r="AB28" s="65">
        <f t="shared" si="69"/>
        <v>467.87</v>
      </c>
      <c r="AC28" s="65">
        <f t="shared" si="69"/>
        <v>0</v>
      </c>
      <c r="AE28" s="64">
        <f t="shared" ref="AE28:AI30" si="70">M28</f>
        <v>0</v>
      </c>
      <c r="AF28" s="64">
        <f t="shared" si="70"/>
        <v>0</v>
      </c>
      <c r="AG28" s="64">
        <f t="shared" si="70"/>
        <v>0</v>
      </c>
      <c r="AH28" s="64">
        <f t="shared" si="70"/>
        <v>61</v>
      </c>
      <c r="AI28" s="64">
        <f t="shared" si="70"/>
        <v>0</v>
      </c>
      <c r="AK28" s="74">
        <f t="shared" ref="AK28:AO30" si="71">ROUND(S28*(1+AK$1),2)</f>
        <v>0</v>
      </c>
      <c r="AL28" s="74">
        <f t="shared" si="71"/>
        <v>0</v>
      </c>
      <c r="AM28" s="74">
        <f t="shared" si="71"/>
        <v>0</v>
      </c>
      <c r="AN28" s="74">
        <f t="shared" si="71"/>
        <v>8.67</v>
      </c>
      <c r="AO28" s="74">
        <f t="shared" si="71"/>
        <v>0</v>
      </c>
      <c r="AQ28" s="65">
        <f t="shared" ref="AQ28:AU32" si="72">IF(AND(AE28&lt;&gt;0,AK28=0),#VALUE!,AE28*AK28)</f>
        <v>0</v>
      </c>
      <c r="AR28" s="65">
        <f t="shared" si="72"/>
        <v>0</v>
      </c>
      <c r="AS28" s="65">
        <f t="shared" si="72"/>
        <v>0</v>
      </c>
      <c r="AT28" s="65">
        <f t="shared" si="72"/>
        <v>528.87</v>
      </c>
      <c r="AU28" s="65">
        <f t="shared" si="72"/>
        <v>0</v>
      </c>
      <c r="AV28" s="65">
        <f>SUM(AR28)-SUM(Z28)</f>
        <v>0</v>
      </c>
      <c r="AW28" s="306" t="e">
        <f t="shared" si="62"/>
        <v>#DIV/0!</v>
      </c>
      <c r="AX28" s="299">
        <v>80</v>
      </c>
      <c r="AY28" s="85"/>
      <c r="AZ28" s="85"/>
      <c r="BA28" s="85"/>
      <c r="BB28" s="85">
        <v>7.56</v>
      </c>
      <c r="BC28" s="85"/>
      <c r="BD28" s="85"/>
      <c r="BE28" s="327">
        <f t="shared" ref="BE28:BE55" si="73">ROUND(AX28*$BE$2,2)+ROUND(AX28*$BE$1,2)</f>
        <v>0.18000000000000016</v>
      </c>
      <c r="BF28" s="49"/>
      <c r="BG28" s="49"/>
      <c r="BH28" s="49"/>
      <c r="BI28" s="49">
        <f>ROUND((V28*$BF$2)+$BE28-BB28,2)</f>
        <v>0.41</v>
      </c>
      <c r="BJ28" s="49"/>
      <c r="BM28" s="214">
        <f t="shared" si="17"/>
        <v>0</v>
      </c>
      <c r="BN28" s="214">
        <f t="shared" si="18"/>
        <v>0</v>
      </c>
      <c r="BO28" s="214">
        <f t="shared" si="19"/>
        <v>0</v>
      </c>
      <c r="BP28" s="214">
        <f t="shared" si="20"/>
        <v>8.8009169999999983</v>
      </c>
      <c r="BQ28" s="214">
        <f t="shared" si="38"/>
        <v>0</v>
      </c>
      <c r="BS28" s="49">
        <f t="shared" ref="BS28:BW32" si="74">BM28-AY28</f>
        <v>0</v>
      </c>
      <c r="BT28" s="49">
        <f t="shared" si="74"/>
        <v>0</v>
      </c>
      <c r="BU28" s="49">
        <f t="shared" si="74"/>
        <v>0</v>
      </c>
      <c r="BV28" s="49">
        <f t="shared" si="74"/>
        <v>1.2409169999999987</v>
      </c>
      <c r="BW28" s="49">
        <f t="shared" si="74"/>
        <v>0</v>
      </c>
    </row>
    <row r="29" spans="2:75">
      <c r="B29" s="32">
        <v>2</v>
      </c>
      <c r="C29" s="511" t="s">
        <v>97</v>
      </c>
      <c r="D29" s="32" t="s">
        <v>601</v>
      </c>
      <c r="E29" s="512">
        <f>1860+5</f>
        <v>1865</v>
      </c>
      <c r="F29" s="67"/>
      <c r="G29" s="67" t="str">
        <f t="shared" si="48"/>
        <v>042435T</v>
      </c>
      <c r="H29" s="476"/>
      <c r="I29" t="s">
        <v>110</v>
      </c>
      <c r="J29" t="s">
        <v>123</v>
      </c>
      <c r="K29" s="54">
        <v>7000</v>
      </c>
      <c r="L29" s="84">
        <v>419</v>
      </c>
      <c r="M29" s="64">
        <f t="shared" si="51"/>
        <v>0</v>
      </c>
      <c r="N29" s="64">
        <f t="shared" si="51"/>
        <v>0</v>
      </c>
      <c r="O29" s="64">
        <f t="shared" si="51"/>
        <v>0</v>
      </c>
      <c r="P29" s="64">
        <f t="shared" si="51"/>
        <v>16</v>
      </c>
      <c r="Q29" s="64">
        <f t="shared" si="51"/>
        <v>0</v>
      </c>
      <c r="R29" s="64">
        <f>IF(SUM(M29:Q29)&gt;0,0,1)</f>
        <v>0</v>
      </c>
      <c r="S29" s="337">
        <v>0</v>
      </c>
      <c r="T29" s="337">
        <v>0</v>
      </c>
      <c r="U29" s="337">
        <v>0</v>
      </c>
      <c r="V29" s="337">
        <v>5.19</v>
      </c>
      <c r="W29" s="337">
        <v>0</v>
      </c>
      <c r="Y29" s="65">
        <f t="shared" si="69"/>
        <v>0</v>
      </c>
      <c r="Z29" s="65">
        <f t="shared" si="69"/>
        <v>0</v>
      </c>
      <c r="AA29" s="65">
        <f t="shared" si="69"/>
        <v>0</v>
      </c>
      <c r="AB29" s="65">
        <f t="shared" si="69"/>
        <v>83.04</v>
      </c>
      <c r="AC29" s="65">
        <f t="shared" si="69"/>
        <v>0</v>
      </c>
      <c r="AE29" s="64">
        <f t="shared" si="70"/>
        <v>0</v>
      </c>
      <c r="AF29" s="64">
        <f t="shared" si="70"/>
        <v>0</v>
      </c>
      <c r="AG29" s="64">
        <f t="shared" si="70"/>
        <v>0</v>
      </c>
      <c r="AH29" s="64">
        <f t="shared" si="70"/>
        <v>16</v>
      </c>
      <c r="AI29" s="64">
        <f t="shared" si="70"/>
        <v>0</v>
      </c>
      <c r="AK29" s="74">
        <f t="shared" si="71"/>
        <v>0</v>
      </c>
      <c r="AL29" s="74">
        <f t="shared" si="71"/>
        <v>0</v>
      </c>
      <c r="AM29" s="74">
        <f t="shared" si="71"/>
        <v>0</v>
      </c>
      <c r="AN29" s="74">
        <f t="shared" si="71"/>
        <v>5.87</v>
      </c>
      <c r="AO29" s="74">
        <f t="shared" si="71"/>
        <v>0</v>
      </c>
      <c r="AQ29" s="65">
        <f t="shared" si="72"/>
        <v>0</v>
      </c>
      <c r="AR29" s="65">
        <f t="shared" si="72"/>
        <v>0</v>
      </c>
      <c r="AS29" s="65">
        <f t="shared" si="72"/>
        <v>0</v>
      </c>
      <c r="AT29" s="65">
        <f t="shared" si="72"/>
        <v>93.92</v>
      </c>
      <c r="AU29" s="65">
        <f t="shared" si="72"/>
        <v>0</v>
      </c>
      <c r="AV29" s="65">
        <f>SUM(AR29)-SUM(Z29)</f>
        <v>0</v>
      </c>
      <c r="AW29" s="306" t="e">
        <f t="shared" si="62"/>
        <v>#DIV/0!</v>
      </c>
      <c r="AX29" s="299">
        <v>80</v>
      </c>
      <c r="AY29" s="85"/>
      <c r="AZ29" s="85"/>
      <c r="BA29" s="85"/>
      <c r="BB29" s="85">
        <v>5.13</v>
      </c>
      <c r="BC29" s="85"/>
      <c r="BD29" s="85"/>
      <c r="BE29" s="327">
        <f t="shared" si="73"/>
        <v>0.18000000000000016</v>
      </c>
      <c r="BF29" s="49"/>
      <c r="BG29" s="49"/>
      <c r="BH29" s="49"/>
      <c r="BI29" s="49">
        <f>ROUND((V29*$BF$2)+$BE29-BB29,2)</f>
        <v>0.32</v>
      </c>
      <c r="BJ29" s="49"/>
      <c r="BM29" s="214">
        <f t="shared" si="17"/>
        <v>0</v>
      </c>
      <c r="BN29" s="214">
        <f t="shared" si="18"/>
        <v>0</v>
      </c>
      <c r="BO29" s="214">
        <f t="shared" si="19"/>
        <v>0</v>
      </c>
      <c r="BP29" s="214">
        <f t="shared" si="20"/>
        <v>5.9586369999999995</v>
      </c>
      <c r="BQ29" s="214">
        <f t="shared" si="38"/>
        <v>0</v>
      </c>
      <c r="BS29" s="49">
        <f t="shared" si="74"/>
        <v>0</v>
      </c>
      <c r="BT29" s="49">
        <f t="shared" si="74"/>
        <v>0</v>
      </c>
      <c r="BU29" s="49">
        <f t="shared" si="74"/>
        <v>0</v>
      </c>
      <c r="BV29" s="49">
        <f t="shared" si="74"/>
        <v>0.82863699999999962</v>
      </c>
      <c r="BW29" s="49">
        <f t="shared" si="74"/>
        <v>0</v>
      </c>
    </row>
    <row r="30" spans="2:75">
      <c r="B30" s="32">
        <v>2</v>
      </c>
      <c r="C30" s="511" t="s">
        <v>97</v>
      </c>
      <c r="D30" s="32">
        <v>436</v>
      </c>
      <c r="E30" s="512">
        <v>13</v>
      </c>
      <c r="F30" s="67"/>
      <c r="G30" s="67" t="str">
        <f t="shared" si="48"/>
        <v>042436</v>
      </c>
      <c r="H30" s="40"/>
      <c r="I30" t="s">
        <v>105</v>
      </c>
      <c r="J30" t="s">
        <v>675</v>
      </c>
      <c r="K30" s="54" t="s">
        <v>111</v>
      </c>
      <c r="L30" s="84">
        <v>421</v>
      </c>
      <c r="M30" s="64">
        <f t="shared" si="51"/>
        <v>0</v>
      </c>
      <c r="N30" s="64">
        <f t="shared" si="51"/>
        <v>2</v>
      </c>
      <c r="O30" s="64">
        <f t="shared" si="51"/>
        <v>0</v>
      </c>
      <c r="P30" s="64">
        <f t="shared" si="51"/>
        <v>0</v>
      </c>
      <c r="Q30" s="64">
        <f t="shared" si="51"/>
        <v>0</v>
      </c>
      <c r="R30" s="64">
        <f>IF(SUM(M30:Q30)&gt;0,0,1)</f>
        <v>0</v>
      </c>
      <c r="S30" s="337">
        <v>0</v>
      </c>
      <c r="T30" s="337">
        <v>26.43</v>
      </c>
      <c r="U30" s="337">
        <v>0</v>
      </c>
      <c r="V30" s="337">
        <v>0</v>
      </c>
      <c r="W30" s="337">
        <v>0</v>
      </c>
      <c r="Y30" s="65">
        <f t="shared" si="69"/>
        <v>0</v>
      </c>
      <c r="Z30" s="65">
        <f t="shared" si="69"/>
        <v>52.86</v>
      </c>
      <c r="AA30" s="65">
        <f t="shared" si="69"/>
        <v>0</v>
      </c>
      <c r="AB30" s="65">
        <f t="shared" si="69"/>
        <v>0</v>
      </c>
      <c r="AC30" s="65">
        <f t="shared" si="69"/>
        <v>0</v>
      </c>
      <c r="AE30" s="64">
        <f t="shared" si="70"/>
        <v>0</v>
      </c>
      <c r="AF30" s="64">
        <f t="shared" si="70"/>
        <v>2</v>
      </c>
      <c r="AG30" s="64">
        <f t="shared" si="70"/>
        <v>0</v>
      </c>
      <c r="AH30" s="64">
        <f t="shared" si="70"/>
        <v>0</v>
      </c>
      <c r="AI30" s="64">
        <f t="shared" si="70"/>
        <v>0</v>
      </c>
      <c r="AK30" s="74">
        <f t="shared" si="71"/>
        <v>0</v>
      </c>
      <c r="AL30" s="74">
        <f t="shared" si="71"/>
        <v>29.65</v>
      </c>
      <c r="AM30" s="74">
        <f t="shared" si="71"/>
        <v>0</v>
      </c>
      <c r="AN30" s="74">
        <f t="shared" si="71"/>
        <v>0</v>
      </c>
      <c r="AO30" s="74">
        <f t="shared" si="71"/>
        <v>0</v>
      </c>
      <c r="AQ30" s="65">
        <f t="shared" si="72"/>
        <v>0</v>
      </c>
      <c r="AR30" s="65">
        <f t="shared" si="72"/>
        <v>59.3</v>
      </c>
      <c r="AS30" s="65">
        <f t="shared" si="72"/>
        <v>0</v>
      </c>
      <c r="AT30" s="65">
        <f t="shared" si="72"/>
        <v>0</v>
      </c>
      <c r="AU30" s="65">
        <f t="shared" si="72"/>
        <v>0</v>
      </c>
      <c r="AV30" s="65">
        <f>SUM(AR30)-SUM(Z30)</f>
        <v>6.4399999999999977</v>
      </c>
      <c r="AW30" s="306">
        <f t="shared" si="62"/>
        <v>0.12183125236473701</v>
      </c>
      <c r="AX30" s="299">
        <v>40</v>
      </c>
      <c r="AY30" s="85"/>
      <c r="AZ30" s="85">
        <v>26.291089999999997</v>
      </c>
      <c r="BA30" s="85"/>
      <c r="BB30" s="85"/>
      <c r="BC30" s="85"/>
      <c r="BD30" s="85"/>
      <c r="BE30" s="327">
        <f t="shared" si="73"/>
        <v>9.000000000000008E-2</v>
      </c>
      <c r="BF30" s="49"/>
      <c r="BG30" s="49">
        <f t="shared" ref="BG30:BG56" si="75">ROUND((T30*$BF$2)+$BE30-AZ30,2)</f>
        <v>0.63</v>
      </c>
      <c r="BH30" s="49"/>
      <c r="BI30" s="49"/>
      <c r="BJ30" s="49"/>
      <c r="BM30" s="214">
        <f t="shared" si="17"/>
        <v>0</v>
      </c>
      <c r="BN30" s="214">
        <f t="shared" si="18"/>
        <v>30.097714999999994</v>
      </c>
      <c r="BO30" s="214">
        <f t="shared" si="19"/>
        <v>0</v>
      </c>
      <c r="BP30" s="214">
        <f t="shared" si="20"/>
        <v>0</v>
      </c>
      <c r="BQ30" s="214">
        <f t="shared" si="38"/>
        <v>0</v>
      </c>
      <c r="BS30" s="49">
        <f t="shared" si="74"/>
        <v>0</v>
      </c>
      <c r="BT30" s="49">
        <f t="shared" si="74"/>
        <v>3.8066249999999968</v>
      </c>
      <c r="BU30" s="49">
        <f t="shared" si="74"/>
        <v>0</v>
      </c>
      <c r="BV30" s="49">
        <f t="shared" si="74"/>
        <v>0</v>
      </c>
      <c r="BW30" s="49">
        <f t="shared" si="74"/>
        <v>0</v>
      </c>
    </row>
    <row r="31" spans="2:75">
      <c r="B31" s="32">
        <v>2</v>
      </c>
      <c r="C31" s="511" t="s">
        <v>97</v>
      </c>
      <c r="D31" s="32" t="s">
        <v>499</v>
      </c>
      <c r="E31" s="512">
        <v>147</v>
      </c>
      <c r="F31" s="67"/>
      <c r="G31" s="67" t="str">
        <f t="shared" si="48"/>
        <v>042436L</v>
      </c>
      <c r="H31" s="40"/>
      <c r="I31" s="41" t="s">
        <v>606</v>
      </c>
      <c r="J31" t="s">
        <v>675</v>
      </c>
      <c r="K31" s="54" t="s">
        <v>109</v>
      </c>
      <c r="L31" s="84" t="s">
        <v>493</v>
      </c>
      <c r="M31" s="64">
        <f t="shared" si="51"/>
        <v>0</v>
      </c>
      <c r="N31" s="64">
        <f t="shared" si="51"/>
        <v>1</v>
      </c>
      <c r="O31" s="64">
        <f t="shared" si="51"/>
        <v>0</v>
      </c>
      <c r="P31" s="64">
        <f t="shared" si="51"/>
        <v>0</v>
      </c>
      <c r="Q31" s="64">
        <f t="shared" si="51"/>
        <v>0</v>
      </c>
      <c r="R31" s="64">
        <f>IF(SUM(M31:Q31)&gt;0,0,1)</f>
        <v>0</v>
      </c>
      <c r="S31" s="337">
        <v>0</v>
      </c>
      <c r="T31" s="349">
        <v>26.43</v>
      </c>
      <c r="U31" s="337">
        <v>0</v>
      </c>
      <c r="V31" s="337">
        <v>0</v>
      </c>
      <c r="W31" s="337">
        <v>0</v>
      </c>
      <c r="Y31" s="65">
        <f t="shared" si="69"/>
        <v>0</v>
      </c>
      <c r="Z31" s="65">
        <f t="shared" si="69"/>
        <v>26.43</v>
      </c>
      <c r="AA31" s="65">
        <f t="shared" si="69"/>
        <v>0</v>
      </c>
      <c r="AB31" s="65">
        <f t="shared" si="69"/>
        <v>0</v>
      </c>
      <c r="AC31" s="65">
        <f t="shared" si="69"/>
        <v>0</v>
      </c>
      <c r="AE31" s="64">
        <f>SUMIF($G:$G,TEXT(AE$3,"000")&amp;TEXT($L31,"000"),$E:$E)</f>
        <v>0</v>
      </c>
      <c r="AF31" s="64">
        <f>SUMIF($G:$G,TEXT(AF$3,"000")&amp;TEXT($L31,"000"),$E:$E)</f>
        <v>1</v>
      </c>
      <c r="AG31" s="64">
        <f>SUMIF($G:$G,TEXT(AG$3,"000")&amp;TEXT($L31,"000"),$E:$E)</f>
        <v>0</v>
      </c>
      <c r="AH31" s="64">
        <f>SUMIF($G:$G,TEXT(AH$3,"000")&amp;TEXT($L31,"000"),$E:$E)</f>
        <v>0</v>
      </c>
      <c r="AI31" s="64">
        <f>SUMIF($G:$G,TEXT(AI$3,"000")&amp;TEXT($L31,"000"),$E:$E)</f>
        <v>0</v>
      </c>
      <c r="AK31" s="74">
        <f t="shared" ref="AK31:AK62" si="76">ROUND(S31*(1+AK$1),2)</f>
        <v>0</v>
      </c>
      <c r="AL31" s="74">
        <f>AL30</f>
        <v>29.65</v>
      </c>
      <c r="AM31" s="74">
        <f t="shared" ref="AM31:AM62" si="77">ROUND(U31*(1+AM$1),2)</f>
        <v>0</v>
      </c>
      <c r="AN31" s="74">
        <f t="shared" ref="AN31:AN62" si="78">ROUND(V31*(1+AN$1),2)</f>
        <v>0</v>
      </c>
      <c r="AO31" s="74">
        <f t="shared" ref="AO31:AO62" si="79">ROUND(W31*(1+AO$1),2)</f>
        <v>0</v>
      </c>
      <c r="AQ31" s="65">
        <f t="shared" si="72"/>
        <v>0</v>
      </c>
      <c r="AR31" s="65">
        <f t="shared" si="72"/>
        <v>29.65</v>
      </c>
      <c r="AS31" s="65">
        <f t="shared" si="72"/>
        <v>0</v>
      </c>
      <c r="AT31" s="65">
        <f t="shared" si="72"/>
        <v>0</v>
      </c>
      <c r="AU31" s="65">
        <f t="shared" si="72"/>
        <v>0</v>
      </c>
      <c r="AV31" s="65">
        <f>SUM(AR31)-SUM(Z31)</f>
        <v>3.2199999999999989</v>
      </c>
      <c r="AW31" s="306">
        <f t="shared" si="62"/>
        <v>0.12183125236473701</v>
      </c>
      <c r="AX31" s="299">
        <v>26</v>
      </c>
      <c r="AY31" s="85"/>
      <c r="AZ31" s="85">
        <v>26.291089999999997</v>
      </c>
      <c r="BA31" s="85"/>
      <c r="BB31" s="85"/>
      <c r="BC31" s="85"/>
      <c r="BD31" s="85"/>
      <c r="BE31" s="327">
        <f t="shared" si="73"/>
        <v>0.06</v>
      </c>
      <c r="BF31" s="49"/>
      <c r="BG31" s="49">
        <f t="shared" si="75"/>
        <v>0.6</v>
      </c>
      <c r="BH31" s="49"/>
      <c r="BI31" s="49"/>
      <c r="BJ31" s="49"/>
      <c r="BM31" s="214">
        <f t="shared" si="17"/>
        <v>0</v>
      </c>
      <c r="BN31" s="214">
        <f t="shared" si="18"/>
        <v>30.097714999999994</v>
      </c>
      <c r="BO31" s="214">
        <f t="shared" si="19"/>
        <v>0</v>
      </c>
      <c r="BP31" s="214">
        <f t="shared" si="20"/>
        <v>0</v>
      </c>
      <c r="BQ31" s="214">
        <f t="shared" si="38"/>
        <v>0</v>
      </c>
      <c r="BS31" s="49">
        <f t="shared" si="74"/>
        <v>0</v>
      </c>
      <c r="BT31" s="49">
        <f t="shared" si="74"/>
        <v>3.8066249999999968</v>
      </c>
      <c r="BU31" s="49">
        <f t="shared" si="74"/>
        <v>0</v>
      </c>
      <c r="BV31" s="49">
        <f t="shared" si="74"/>
        <v>0</v>
      </c>
      <c r="BW31" s="49">
        <f t="shared" si="74"/>
        <v>0</v>
      </c>
    </row>
    <row r="32" spans="2:75">
      <c r="B32" s="32">
        <v>2</v>
      </c>
      <c r="C32" s="511" t="s">
        <v>97</v>
      </c>
      <c r="D32" s="32" t="s">
        <v>602</v>
      </c>
      <c r="E32" s="512">
        <v>280</v>
      </c>
      <c r="F32" s="67"/>
      <c r="G32" s="67" t="str">
        <f t="shared" si="48"/>
        <v>042436T</v>
      </c>
      <c r="H32" s="476"/>
      <c r="I32" t="s">
        <v>105</v>
      </c>
      <c r="J32" t="s">
        <v>675</v>
      </c>
      <c r="K32" s="54" t="s">
        <v>111</v>
      </c>
      <c r="L32" s="84">
        <v>431</v>
      </c>
      <c r="M32" s="64">
        <f t="shared" si="51"/>
        <v>0</v>
      </c>
      <c r="N32" s="64">
        <f t="shared" si="51"/>
        <v>485</v>
      </c>
      <c r="O32" s="64">
        <f t="shared" si="51"/>
        <v>1</v>
      </c>
      <c r="P32" s="64">
        <f t="shared" si="51"/>
        <v>0</v>
      </c>
      <c r="Q32" s="64">
        <f t="shared" si="51"/>
        <v>0</v>
      </c>
      <c r="R32" s="64">
        <f>IF(SUM(M32:Q32)&gt;0,0,1)</f>
        <v>0</v>
      </c>
      <c r="S32" s="337">
        <v>0</v>
      </c>
      <c r="T32" s="337">
        <v>15.24</v>
      </c>
      <c r="U32" s="337">
        <v>8.24</v>
      </c>
      <c r="V32" s="337">
        <v>0</v>
      </c>
      <c r="W32" s="337">
        <v>0</v>
      </c>
      <c r="Y32" s="65">
        <f t="shared" si="69"/>
        <v>0</v>
      </c>
      <c r="Z32" s="65">
        <f t="shared" si="69"/>
        <v>7391.4000000000005</v>
      </c>
      <c r="AA32" s="65">
        <f t="shared" si="69"/>
        <v>8.24</v>
      </c>
      <c r="AB32" s="65">
        <f t="shared" si="69"/>
        <v>0</v>
      </c>
      <c r="AC32" s="65">
        <f t="shared" si="69"/>
        <v>0</v>
      </c>
      <c r="AE32" s="64">
        <f>M32</f>
        <v>0</v>
      </c>
      <c r="AF32" s="64">
        <f t="shared" ref="AF32:AI35" si="80">N32</f>
        <v>485</v>
      </c>
      <c r="AG32" s="64">
        <f t="shared" si="80"/>
        <v>1</v>
      </c>
      <c r="AH32" s="64">
        <f t="shared" si="80"/>
        <v>0</v>
      </c>
      <c r="AI32" s="64">
        <f t="shared" si="80"/>
        <v>0</v>
      </c>
      <c r="AK32" s="74">
        <f t="shared" si="76"/>
        <v>0</v>
      </c>
      <c r="AL32" s="74">
        <f>ROUND(T32*(1+AL$1),2)</f>
        <v>17.100000000000001</v>
      </c>
      <c r="AM32" s="74">
        <f t="shared" si="77"/>
        <v>9.32</v>
      </c>
      <c r="AN32" s="74">
        <f t="shared" si="78"/>
        <v>0</v>
      </c>
      <c r="AO32" s="74">
        <f t="shared" si="79"/>
        <v>0</v>
      </c>
      <c r="AQ32" s="65">
        <f t="shared" si="72"/>
        <v>0</v>
      </c>
      <c r="AR32" s="65">
        <f t="shared" si="72"/>
        <v>8293.5</v>
      </c>
      <c r="AS32" s="65">
        <f t="shared" si="72"/>
        <v>9.32</v>
      </c>
      <c r="AT32" s="65">
        <f t="shared" si="72"/>
        <v>0</v>
      </c>
      <c r="AU32" s="65">
        <f t="shared" si="72"/>
        <v>0</v>
      </c>
      <c r="AV32" s="65">
        <f>SUM(AR32)-SUM(Z32)</f>
        <v>902.09999999999945</v>
      </c>
      <c r="AW32" s="306">
        <f t="shared" si="62"/>
        <v>0.12204724409448811</v>
      </c>
      <c r="AX32" s="299">
        <v>40</v>
      </c>
      <c r="AY32" s="85"/>
      <c r="AZ32" s="85"/>
      <c r="BA32" s="85">
        <v>8.1309509999999996</v>
      </c>
      <c r="BB32" s="85"/>
      <c r="BC32" s="85"/>
      <c r="BD32" s="85"/>
      <c r="BE32" s="327">
        <f t="shared" si="73"/>
        <v>9.000000000000008E-2</v>
      </c>
      <c r="BF32" s="49"/>
      <c r="BG32" s="49">
        <f t="shared" si="75"/>
        <v>15.56</v>
      </c>
      <c r="BH32" s="49">
        <f>ROUND((U32*$BF$2)+$BE32-BA32,2)</f>
        <v>0.32</v>
      </c>
      <c r="BI32" s="49"/>
      <c r="BJ32" s="49"/>
      <c r="BM32" s="214">
        <f t="shared" si="17"/>
        <v>0</v>
      </c>
      <c r="BN32" s="214">
        <f t="shared" si="18"/>
        <v>17.35821</v>
      </c>
      <c r="BO32" s="214">
        <f t="shared" si="19"/>
        <v>9.4607320000000001</v>
      </c>
      <c r="BP32" s="214">
        <f t="shared" si="20"/>
        <v>0</v>
      </c>
      <c r="BQ32" s="214">
        <f t="shared" si="38"/>
        <v>0</v>
      </c>
      <c r="BS32" s="49">
        <f t="shared" si="74"/>
        <v>0</v>
      </c>
      <c r="BT32" s="49">
        <f t="shared" si="74"/>
        <v>17.35821</v>
      </c>
      <c r="BU32" s="49">
        <f t="shared" si="74"/>
        <v>1.3297810000000005</v>
      </c>
      <c r="BV32" s="49">
        <f t="shared" si="74"/>
        <v>0</v>
      </c>
      <c r="BW32" s="49">
        <f t="shared" si="74"/>
        <v>0</v>
      </c>
    </row>
    <row r="33" spans="2:75">
      <c r="B33" s="32">
        <v>2</v>
      </c>
      <c r="C33" s="511" t="s">
        <v>97</v>
      </c>
      <c r="D33" s="32">
        <v>438</v>
      </c>
      <c r="E33" s="512">
        <v>11</v>
      </c>
      <c r="F33" s="67"/>
      <c r="G33" s="67" t="str">
        <f t="shared" si="48"/>
        <v>042438</v>
      </c>
      <c r="H33" s="40"/>
      <c r="I33" s="41" t="s">
        <v>606</v>
      </c>
      <c r="J33" t="s">
        <v>675</v>
      </c>
      <c r="K33" s="54" t="s">
        <v>109</v>
      </c>
      <c r="L33" s="84" t="s">
        <v>494</v>
      </c>
      <c r="M33" s="64">
        <f t="shared" si="51"/>
        <v>0</v>
      </c>
      <c r="N33" s="64">
        <f t="shared" si="51"/>
        <v>5366</v>
      </c>
      <c r="O33" s="64">
        <f t="shared" si="51"/>
        <v>0</v>
      </c>
      <c r="P33" s="64">
        <f t="shared" si="51"/>
        <v>0</v>
      </c>
      <c r="Q33" s="64">
        <f t="shared" si="51"/>
        <v>0</v>
      </c>
      <c r="R33" s="64">
        <f t="shared" ref="R33:R34" si="81">IF(SUM(M33:Q33)&gt;0,0,1)</f>
        <v>0</v>
      </c>
      <c r="S33" s="337">
        <v>0</v>
      </c>
      <c r="T33" s="349">
        <v>15.24</v>
      </c>
      <c r="U33" s="337">
        <v>0</v>
      </c>
      <c r="V33" s="337">
        <v>0</v>
      </c>
      <c r="W33" s="337">
        <v>0</v>
      </c>
      <c r="Y33" s="65">
        <f t="shared" si="69"/>
        <v>0</v>
      </c>
      <c r="Z33" s="65">
        <f t="shared" si="69"/>
        <v>81777.84</v>
      </c>
      <c r="AA33" s="65">
        <f t="shared" si="69"/>
        <v>0</v>
      </c>
      <c r="AB33" s="65">
        <f t="shared" si="69"/>
        <v>0</v>
      </c>
      <c r="AC33" s="65">
        <f t="shared" si="69"/>
        <v>0</v>
      </c>
      <c r="AE33" s="64">
        <f>SUMIF($G:$G,TEXT(AE$3,"000")&amp;TEXT($L33,"000"),$E:$E)</f>
        <v>0</v>
      </c>
      <c r="AF33" s="64">
        <f>SUMIF($G:$G,TEXT(AF$3,"000")&amp;TEXT($L33,"000"),$E:$E)</f>
        <v>5366</v>
      </c>
      <c r="AG33" s="64">
        <f>SUMIF($G:$G,TEXT(AG$3,"000")&amp;TEXT($L33,"000"),$E:$E)</f>
        <v>0</v>
      </c>
      <c r="AH33" s="64">
        <f>SUMIF($G:$G,TEXT(AH$3,"000")&amp;TEXT($L33,"000"),$E:$E)</f>
        <v>0</v>
      </c>
      <c r="AI33" s="64">
        <f>SUMIF($G:$G,TEXT(AI$3,"000")&amp;TEXT($L33,"000"),$E:$E)</f>
        <v>0</v>
      </c>
      <c r="AK33" s="74">
        <f t="shared" si="76"/>
        <v>0</v>
      </c>
      <c r="AL33" s="74">
        <f>AL32</f>
        <v>17.100000000000001</v>
      </c>
      <c r="AM33" s="74">
        <f t="shared" si="77"/>
        <v>0</v>
      </c>
      <c r="AN33" s="74">
        <f t="shared" si="78"/>
        <v>0</v>
      </c>
      <c r="AO33" s="74">
        <f t="shared" si="79"/>
        <v>0</v>
      </c>
      <c r="AQ33" s="65">
        <f t="shared" ref="AQ33:AQ53" si="82">IF(AND(AE33&lt;&gt;0,AK33=0),#VALUE!,AE33*AK33)</f>
        <v>0</v>
      </c>
      <c r="AR33" s="65">
        <f t="shared" ref="AR33:AR34" si="83">IF(AND(AF33&lt;&gt;0,AL33=0),#VALUE!,AF33*AL33)</f>
        <v>91758.6</v>
      </c>
      <c r="AS33" s="65">
        <f t="shared" ref="AS33:AS51" si="84">IF(AND(AG33&lt;&gt;0,AM33=0),#VALUE!,AG33*AM33)</f>
        <v>0</v>
      </c>
      <c r="AT33" s="65">
        <f t="shared" ref="AT33:AT51" si="85">IF(AND(AH33&lt;&gt;0,AN33=0),#VALUE!,AH33*AN33)</f>
        <v>0</v>
      </c>
      <c r="AU33" s="65">
        <f t="shared" ref="AU33:AU51" si="86">IF(AND(AI33&lt;&gt;0,AO33=0),#VALUE!,AI33*AO33)</f>
        <v>0</v>
      </c>
      <c r="AX33" s="299">
        <v>26</v>
      </c>
      <c r="AY33" s="85"/>
      <c r="AZ33" s="85"/>
      <c r="BA33" s="85"/>
      <c r="BB33" s="85"/>
      <c r="BC33" s="85"/>
      <c r="BD33" s="85"/>
      <c r="BE33" s="327">
        <f t="shared" si="73"/>
        <v>0.06</v>
      </c>
      <c r="BF33" s="49"/>
      <c r="BG33" s="49">
        <f t="shared" si="75"/>
        <v>15.53</v>
      </c>
      <c r="BH33" s="49"/>
      <c r="BI33" s="49"/>
      <c r="BJ33" s="49"/>
      <c r="BM33" s="214">
        <f t="shared" si="17"/>
        <v>0</v>
      </c>
      <c r="BN33" s="214">
        <f t="shared" si="18"/>
        <v>17.35821</v>
      </c>
      <c r="BO33" s="214">
        <f t="shared" si="19"/>
        <v>0</v>
      </c>
      <c r="BP33" s="214">
        <f t="shared" si="20"/>
        <v>0</v>
      </c>
      <c r="BQ33" s="214">
        <f t="shared" si="38"/>
        <v>0</v>
      </c>
      <c r="BS33" s="49">
        <f>BM33-AY33</f>
        <v>0</v>
      </c>
      <c r="BT33" s="49">
        <f t="shared" ref="BT33:BT34" si="87">BN33-AZ33</f>
        <v>17.35821</v>
      </c>
      <c r="BU33" s="49">
        <f t="shared" ref="BU33:BU34" si="88">BO33-BA33</f>
        <v>0</v>
      </c>
      <c r="BV33" s="49">
        <f t="shared" ref="BV33:BV34" si="89">BP33-BB33</f>
        <v>0</v>
      </c>
      <c r="BW33" s="49">
        <f t="shared" ref="BW33:BW34" si="90">BQ33-BC33</f>
        <v>0</v>
      </c>
    </row>
    <row r="34" spans="2:75">
      <c r="B34" s="32">
        <v>2</v>
      </c>
      <c r="C34" s="511" t="s">
        <v>97</v>
      </c>
      <c r="D34" s="32" t="s">
        <v>501</v>
      </c>
      <c r="E34" s="512">
        <v>14</v>
      </c>
      <c r="F34" s="67"/>
      <c r="G34" s="67" t="str">
        <f t="shared" si="48"/>
        <v>042441L</v>
      </c>
      <c r="H34" s="40"/>
      <c r="I34" t="s">
        <v>606</v>
      </c>
      <c r="J34" t="s">
        <v>675</v>
      </c>
      <c r="K34" s="54" t="s">
        <v>109</v>
      </c>
      <c r="L34" s="84" t="s">
        <v>597</v>
      </c>
      <c r="M34" s="64">
        <f t="shared" ref="M34:Q43" si="91">SUMIF($G:$G,TEXT(M$3,"000")&amp;TEXT($L34,"000"),$E:$E)</f>
        <v>0</v>
      </c>
      <c r="N34" s="64">
        <f t="shared" si="91"/>
        <v>1826</v>
      </c>
      <c r="O34" s="64">
        <f t="shared" si="91"/>
        <v>0</v>
      </c>
      <c r="P34" s="64">
        <f t="shared" si="91"/>
        <v>0</v>
      </c>
      <c r="Q34" s="64">
        <f t="shared" si="91"/>
        <v>0</v>
      </c>
      <c r="R34" s="64">
        <f t="shared" si="81"/>
        <v>0</v>
      </c>
      <c r="S34" s="337">
        <v>0</v>
      </c>
      <c r="T34" s="349">
        <v>10.32</v>
      </c>
      <c r="U34" s="337">
        <v>0</v>
      </c>
      <c r="V34" s="337">
        <v>0</v>
      </c>
      <c r="W34" s="337">
        <v>0</v>
      </c>
      <c r="Y34" s="65">
        <f>IF(AND(M34&lt;&gt;0,S34=0),#VALUE!,M34*S34)</f>
        <v>0</v>
      </c>
      <c r="Z34" s="65">
        <f t="shared" ref="Z34" si="92">IF(AND(N34&lt;&gt;0,T34=0),#VALUE!,N34*T34)</f>
        <v>18844.32</v>
      </c>
      <c r="AA34" s="495">
        <f t="shared" ref="AA34:AC35" si="93">IF(AND(O34&lt;&gt;0,U34=0),#VALUE!,O34*U34)</f>
        <v>0</v>
      </c>
      <c r="AB34" s="495">
        <f t="shared" si="93"/>
        <v>0</v>
      </c>
      <c r="AC34" s="495">
        <f t="shared" si="93"/>
        <v>0</v>
      </c>
      <c r="AE34" s="64">
        <f>M34</f>
        <v>0</v>
      </c>
      <c r="AF34" s="64">
        <f>N34</f>
        <v>1826</v>
      </c>
      <c r="AG34" s="64">
        <f>O34</f>
        <v>0</v>
      </c>
      <c r="AH34" s="64">
        <f>P34</f>
        <v>0</v>
      </c>
      <c r="AI34" s="64">
        <f>Q34</f>
        <v>0</v>
      </c>
      <c r="AK34" s="74">
        <f t="shared" si="76"/>
        <v>0</v>
      </c>
      <c r="AL34" s="74">
        <f>AL32-AL102</f>
        <v>12.180000000000001</v>
      </c>
      <c r="AM34" s="74">
        <f t="shared" si="77"/>
        <v>0</v>
      </c>
      <c r="AN34" s="74">
        <f t="shared" si="78"/>
        <v>0</v>
      </c>
      <c r="AO34" s="74">
        <f t="shared" si="79"/>
        <v>0</v>
      </c>
      <c r="AQ34" s="65">
        <f t="shared" si="82"/>
        <v>0</v>
      </c>
      <c r="AR34" s="65">
        <f t="shared" si="83"/>
        <v>22240.680000000004</v>
      </c>
      <c r="AS34" s="65">
        <f t="shared" si="84"/>
        <v>0</v>
      </c>
      <c r="AT34" s="65">
        <f t="shared" si="85"/>
        <v>0</v>
      </c>
      <c r="AU34" s="65">
        <f t="shared" si="86"/>
        <v>0</v>
      </c>
      <c r="AV34" s="65">
        <f>SUM(AQ34:AU34)-SUM(Y34:AC34)</f>
        <v>3396.3600000000042</v>
      </c>
      <c r="AW34" s="65"/>
      <c r="AX34" s="299">
        <v>26</v>
      </c>
      <c r="AY34" s="85"/>
      <c r="AZ34" s="85"/>
      <c r="BA34" s="85"/>
      <c r="BB34" s="85"/>
      <c r="BC34" s="85"/>
      <c r="BD34" s="85"/>
      <c r="BE34" s="327">
        <f t="shared" si="73"/>
        <v>0.06</v>
      </c>
      <c r="BF34" s="49"/>
      <c r="BG34" s="49">
        <f t="shared" si="75"/>
        <v>10.54</v>
      </c>
      <c r="BH34" s="49"/>
      <c r="BI34" s="49"/>
      <c r="BJ34" s="49"/>
      <c r="BM34" s="214">
        <f t="shared" si="17"/>
        <v>0</v>
      </c>
      <c r="BN34" s="214">
        <f t="shared" si="18"/>
        <v>12.363918</v>
      </c>
      <c r="BO34" s="214">
        <f t="shared" si="19"/>
        <v>0</v>
      </c>
      <c r="BP34" s="214">
        <f t="shared" si="20"/>
        <v>0</v>
      </c>
      <c r="BQ34" s="214">
        <f t="shared" si="38"/>
        <v>0</v>
      </c>
      <c r="BS34" s="49">
        <f>BM34-AY34</f>
        <v>0</v>
      </c>
      <c r="BT34" s="49">
        <f t="shared" si="87"/>
        <v>12.363918</v>
      </c>
      <c r="BU34" s="49">
        <f t="shared" si="88"/>
        <v>0</v>
      </c>
      <c r="BV34" s="49">
        <f t="shared" si="89"/>
        <v>0</v>
      </c>
      <c r="BW34" s="49">
        <f t="shared" si="90"/>
        <v>0</v>
      </c>
    </row>
    <row r="35" spans="2:75">
      <c r="B35" s="32">
        <v>2</v>
      </c>
      <c r="C35" s="511" t="s">
        <v>97</v>
      </c>
      <c r="D35" s="32" t="s">
        <v>614</v>
      </c>
      <c r="E35" s="512">
        <v>10</v>
      </c>
      <c r="F35" s="67"/>
      <c r="G35" s="67" t="str">
        <f t="shared" si="48"/>
        <v>042441T</v>
      </c>
      <c r="H35" s="40"/>
      <c r="I35" t="s">
        <v>105</v>
      </c>
      <c r="J35" t="s">
        <v>86</v>
      </c>
      <c r="K35" s="54" t="s">
        <v>111</v>
      </c>
      <c r="L35" s="84">
        <v>432</v>
      </c>
      <c r="M35" s="64">
        <f t="shared" si="91"/>
        <v>0</v>
      </c>
      <c r="N35" s="64">
        <f t="shared" si="91"/>
        <v>32</v>
      </c>
      <c r="O35" s="64">
        <f t="shared" si="91"/>
        <v>4</v>
      </c>
      <c r="P35" s="64">
        <f t="shared" si="91"/>
        <v>0</v>
      </c>
      <c r="Q35" s="64">
        <f t="shared" si="91"/>
        <v>0</v>
      </c>
      <c r="R35" s="64">
        <f t="shared" ref="R35:R48" si="94">IF(SUM(M35:Q35)&gt;0,0,1)</f>
        <v>0</v>
      </c>
      <c r="S35" s="337">
        <v>0</v>
      </c>
      <c r="T35" s="337">
        <v>28.47</v>
      </c>
      <c r="U35" s="337">
        <v>8.24</v>
      </c>
      <c r="V35" s="337">
        <v>0</v>
      </c>
      <c r="W35" s="337">
        <v>0</v>
      </c>
      <c r="Y35" s="65">
        <f>IF(AND(M35&lt;&gt;0,S35=0),#VALUE!,M35*S35)</f>
        <v>0</v>
      </c>
      <c r="Z35" s="65">
        <f>IF(AND(N35&lt;&gt;0,T35=0),#VALUE!,N35*T35)</f>
        <v>911.04</v>
      </c>
      <c r="AA35" s="65">
        <f t="shared" si="93"/>
        <v>32.96</v>
      </c>
      <c r="AB35" s="65">
        <f t="shared" si="93"/>
        <v>0</v>
      </c>
      <c r="AC35" s="65">
        <f t="shared" si="93"/>
        <v>0</v>
      </c>
      <c r="AE35" s="64">
        <f>M35</f>
        <v>0</v>
      </c>
      <c r="AF35" s="64">
        <f t="shared" si="80"/>
        <v>32</v>
      </c>
      <c r="AG35" s="64">
        <f t="shared" si="80"/>
        <v>4</v>
      </c>
      <c r="AH35" s="64">
        <f t="shared" si="80"/>
        <v>0</v>
      </c>
      <c r="AI35" s="64">
        <f t="shared" si="80"/>
        <v>0</v>
      </c>
      <c r="AK35" s="74">
        <f t="shared" si="76"/>
        <v>0</v>
      </c>
      <c r="AL35" s="74">
        <f>ROUND(T35*(1+AL$1),2)</f>
        <v>31.94</v>
      </c>
      <c r="AM35" s="74">
        <f t="shared" si="77"/>
        <v>9.32</v>
      </c>
      <c r="AN35" s="74">
        <f t="shared" si="78"/>
        <v>0</v>
      </c>
      <c r="AO35" s="74">
        <f t="shared" si="79"/>
        <v>0</v>
      </c>
      <c r="AQ35" s="65">
        <f t="shared" si="82"/>
        <v>0</v>
      </c>
      <c r="AR35" s="65">
        <f t="shared" ref="AR35:AR51" si="95">IF(AND(AF35&lt;&gt;0,AL35=0),#VALUE!,AF35*AL35)</f>
        <v>1022.08</v>
      </c>
      <c r="AS35" s="65">
        <f t="shared" si="84"/>
        <v>37.28</v>
      </c>
      <c r="AT35" s="65">
        <f t="shared" si="85"/>
        <v>0</v>
      </c>
      <c r="AU35" s="65">
        <f t="shared" si="86"/>
        <v>0</v>
      </c>
      <c r="AV35" s="65">
        <f t="shared" ref="AV35:AV55" si="96">SUM(AR35)-SUM(Z35)</f>
        <v>111.04000000000008</v>
      </c>
      <c r="AW35" s="306">
        <f t="shared" ref="AW35:AW55" si="97">AV35/Z35</f>
        <v>0.12188268352651924</v>
      </c>
      <c r="AX35" s="299">
        <v>40</v>
      </c>
      <c r="AY35" s="85"/>
      <c r="AZ35" s="85">
        <v>28.331440999999998</v>
      </c>
      <c r="BA35" s="85">
        <v>8.1309509999999996</v>
      </c>
      <c r="BB35" s="85"/>
      <c r="BC35" s="85"/>
      <c r="BD35" s="85"/>
      <c r="BE35" s="327">
        <f t="shared" si="73"/>
        <v>9.000000000000008E-2</v>
      </c>
      <c r="BF35" s="49"/>
      <c r="BG35" s="49">
        <f t="shared" si="75"/>
        <v>0.66</v>
      </c>
      <c r="BH35" s="49">
        <f>ROUND((U35*$BF$2)+$BE35-BA35,2)</f>
        <v>0.32</v>
      </c>
      <c r="BI35" s="49"/>
      <c r="BJ35" s="49"/>
      <c r="BM35" s="214">
        <f t="shared" si="17"/>
        <v>0</v>
      </c>
      <c r="BN35" s="214">
        <f t="shared" si="18"/>
        <v>32.422294000000001</v>
      </c>
      <c r="BO35" s="214">
        <f t="shared" si="19"/>
        <v>9.4607320000000001</v>
      </c>
      <c r="BP35" s="214">
        <f t="shared" si="20"/>
        <v>0</v>
      </c>
      <c r="BQ35" s="214">
        <f t="shared" si="38"/>
        <v>0</v>
      </c>
      <c r="BS35" s="49">
        <f>BM35-AY35</f>
        <v>0</v>
      </c>
      <c r="BT35" s="49">
        <f>BN35-AZ35</f>
        <v>4.0908530000000027</v>
      </c>
      <c r="BU35" s="49">
        <f>BO35-BA35</f>
        <v>1.3297810000000005</v>
      </c>
      <c r="BV35" s="49">
        <f>BP35-BB35</f>
        <v>0</v>
      </c>
      <c r="BW35" s="49">
        <f>BQ35-BC35</f>
        <v>0</v>
      </c>
    </row>
    <row r="36" spans="2:75">
      <c r="B36" s="32">
        <v>2</v>
      </c>
      <c r="C36" s="511" t="s">
        <v>97</v>
      </c>
      <c r="D36" s="32">
        <v>474</v>
      </c>
      <c r="E36" s="512">
        <v>83</v>
      </c>
      <c r="F36" s="67"/>
      <c r="G36" s="67" t="str">
        <f t="shared" si="48"/>
        <v>042474</v>
      </c>
      <c r="H36" s="40"/>
      <c r="I36" s="41" t="s">
        <v>606</v>
      </c>
      <c r="J36" t="s">
        <v>86</v>
      </c>
      <c r="K36" s="54" t="s">
        <v>109</v>
      </c>
      <c r="L36" s="84" t="s">
        <v>495</v>
      </c>
      <c r="M36" s="64">
        <f t="shared" si="91"/>
        <v>0</v>
      </c>
      <c r="N36" s="64">
        <f t="shared" si="91"/>
        <v>163</v>
      </c>
      <c r="O36" s="64">
        <f t="shared" si="91"/>
        <v>0</v>
      </c>
      <c r="P36" s="64">
        <f t="shared" si="91"/>
        <v>0</v>
      </c>
      <c r="Q36" s="64">
        <f t="shared" si="91"/>
        <v>0</v>
      </c>
      <c r="R36" s="64">
        <f t="shared" si="94"/>
        <v>0</v>
      </c>
      <c r="S36" s="337">
        <v>0</v>
      </c>
      <c r="T36" s="349">
        <v>28.47</v>
      </c>
      <c r="U36" s="337">
        <v>0</v>
      </c>
      <c r="V36" s="337">
        <v>0</v>
      </c>
      <c r="W36" s="337">
        <v>0</v>
      </c>
      <c r="Y36" s="65">
        <f t="shared" ref="Y36:AC37" si="98">IF(AND(M36&lt;&gt;0,S36=0),#VALUE!,M36*S36)</f>
        <v>0</v>
      </c>
      <c r="Z36" s="65">
        <f t="shared" si="98"/>
        <v>4640.6099999999997</v>
      </c>
      <c r="AA36" s="65">
        <f t="shared" si="98"/>
        <v>0</v>
      </c>
      <c r="AB36" s="65">
        <f t="shared" si="98"/>
        <v>0</v>
      </c>
      <c r="AC36" s="65">
        <f t="shared" si="98"/>
        <v>0</v>
      </c>
      <c r="AE36" s="64">
        <f>SUMIF($G:$G,TEXT(AE$3,"000")&amp;TEXT($L36,"000"),$E:$E)</f>
        <v>0</v>
      </c>
      <c r="AF36" s="64">
        <f>SUMIF($G:$G,TEXT(AF$3,"000")&amp;TEXT($L36,"000"),$E:$E)</f>
        <v>163</v>
      </c>
      <c r="AG36" s="64">
        <f>SUMIF($G:$G,TEXT(AG$3,"000")&amp;TEXT($L36,"000"),$E:$E)</f>
        <v>0</v>
      </c>
      <c r="AH36" s="64">
        <f>SUMIF($G:$G,TEXT(AH$3,"000")&amp;TEXT($L36,"000"),$E:$E)</f>
        <v>0</v>
      </c>
      <c r="AI36" s="64">
        <f>SUMIF($G:$G,TEXT(AI$3,"000")&amp;TEXT($L36,"000"),$E:$E)</f>
        <v>0</v>
      </c>
      <c r="AK36" s="74">
        <f t="shared" si="76"/>
        <v>0</v>
      </c>
      <c r="AL36" s="74">
        <f>AL35</f>
        <v>31.94</v>
      </c>
      <c r="AM36" s="74">
        <f t="shared" si="77"/>
        <v>0</v>
      </c>
      <c r="AN36" s="74">
        <f t="shared" si="78"/>
        <v>0</v>
      </c>
      <c r="AO36" s="74">
        <f t="shared" si="79"/>
        <v>0</v>
      </c>
      <c r="AQ36" s="65">
        <f t="shared" si="82"/>
        <v>0</v>
      </c>
      <c r="AR36" s="65">
        <f t="shared" si="95"/>
        <v>5206.22</v>
      </c>
      <c r="AS36" s="65">
        <f t="shared" si="84"/>
        <v>0</v>
      </c>
      <c r="AT36" s="65">
        <f t="shared" si="85"/>
        <v>0</v>
      </c>
      <c r="AU36" s="65">
        <f t="shared" si="86"/>
        <v>0</v>
      </c>
      <c r="AV36" s="65">
        <f t="shared" si="96"/>
        <v>565.61000000000058</v>
      </c>
      <c r="AW36" s="306">
        <f t="shared" si="97"/>
        <v>0.12188268352651928</v>
      </c>
      <c r="AX36" s="299">
        <v>26</v>
      </c>
      <c r="AY36" s="85"/>
      <c r="AZ36" s="85">
        <v>28.331440999999998</v>
      </c>
      <c r="BA36" s="85"/>
      <c r="BB36" s="85"/>
      <c r="BC36" s="85"/>
      <c r="BD36" s="85"/>
      <c r="BE36" s="327">
        <f t="shared" si="73"/>
        <v>0.06</v>
      </c>
      <c r="BF36" s="49"/>
      <c r="BG36" s="49">
        <f t="shared" si="75"/>
        <v>0.63</v>
      </c>
      <c r="BH36" s="49"/>
      <c r="BI36" s="49"/>
      <c r="BJ36" s="49"/>
      <c r="BM36" s="214">
        <f t="shared" si="17"/>
        <v>0</v>
      </c>
      <c r="BN36" s="214">
        <f t="shared" si="18"/>
        <v>32.422294000000001</v>
      </c>
      <c r="BO36" s="214">
        <f t="shared" si="19"/>
        <v>0</v>
      </c>
      <c r="BP36" s="214">
        <f t="shared" si="20"/>
        <v>0</v>
      </c>
      <c r="BQ36" s="214">
        <f t="shared" si="38"/>
        <v>0</v>
      </c>
      <c r="BS36" s="49">
        <f t="shared" ref="BS36:BW37" si="99">BM36-AY36</f>
        <v>0</v>
      </c>
      <c r="BT36" s="49">
        <f t="shared" si="99"/>
        <v>4.0908530000000027</v>
      </c>
      <c r="BU36" s="49">
        <f t="shared" si="99"/>
        <v>0</v>
      </c>
      <c r="BV36" s="49">
        <f t="shared" si="99"/>
        <v>0</v>
      </c>
      <c r="BW36" s="49">
        <f t="shared" si="99"/>
        <v>0</v>
      </c>
    </row>
    <row r="37" spans="2:75">
      <c r="B37" s="32">
        <v>2</v>
      </c>
      <c r="C37" s="511" t="s">
        <v>97</v>
      </c>
      <c r="D37" s="32" t="s">
        <v>502</v>
      </c>
      <c r="E37" s="512">
        <f>259+6</f>
        <v>265</v>
      </c>
      <c r="F37" s="67"/>
      <c r="G37" s="67" t="str">
        <f t="shared" si="48"/>
        <v>042474L</v>
      </c>
      <c r="H37" s="476"/>
      <c r="I37" t="s">
        <v>606</v>
      </c>
      <c r="J37" t="s">
        <v>86</v>
      </c>
      <c r="K37" s="54" t="s">
        <v>109</v>
      </c>
      <c r="L37" s="84" t="s">
        <v>599</v>
      </c>
      <c r="M37" s="64">
        <f t="shared" si="91"/>
        <v>0</v>
      </c>
      <c r="N37" s="64">
        <f t="shared" si="91"/>
        <v>28</v>
      </c>
      <c r="O37" s="64">
        <f t="shared" si="91"/>
        <v>0</v>
      </c>
      <c r="P37" s="64">
        <f t="shared" si="91"/>
        <v>0</v>
      </c>
      <c r="Q37" s="64">
        <f t="shared" si="91"/>
        <v>0</v>
      </c>
      <c r="R37" s="64">
        <f t="shared" si="94"/>
        <v>0</v>
      </c>
      <c r="S37" s="337">
        <v>0</v>
      </c>
      <c r="T37" s="349">
        <v>23.549999999999997</v>
      </c>
      <c r="U37" s="337">
        <v>0</v>
      </c>
      <c r="V37" s="337">
        <v>0</v>
      </c>
      <c r="W37" s="337">
        <v>0</v>
      </c>
      <c r="Y37" s="65">
        <f t="shared" si="98"/>
        <v>0</v>
      </c>
      <c r="Z37" s="65">
        <f>IF(AND(N37&lt;&gt;0,T37=0),#VALUE!,N37*T37)</f>
        <v>659.39999999999986</v>
      </c>
      <c r="AA37" s="65">
        <f t="shared" si="98"/>
        <v>0</v>
      </c>
      <c r="AB37" s="65">
        <f t="shared" si="98"/>
        <v>0</v>
      </c>
      <c r="AC37" s="65">
        <f t="shared" si="98"/>
        <v>0</v>
      </c>
      <c r="AE37" s="64">
        <f t="shared" ref="AE37:AI38" si="100">M37</f>
        <v>0</v>
      </c>
      <c r="AF37" s="64">
        <f t="shared" si="100"/>
        <v>28</v>
      </c>
      <c r="AG37" s="64">
        <f t="shared" si="100"/>
        <v>0</v>
      </c>
      <c r="AH37" s="64">
        <f t="shared" si="100"/>
        <v>0</v>
      </c>
      <c r="AI37" s="64">
        <f t="shared" si="100"/>
        <v>0</v>
      </c>
      <c r="AK37" s="74">
        <f t="shared" si="76"/>
        <v>0</v>
      </c>
      <c r="AL37" s="74">
        <f>AL36-AL102</f>
        <v>27.020000000000003</v>
      </c>
      <c r="AM37" s="74">
        <f t="shared" si="77"/>
        <v>0</v>
      </c>
      <c r="AN37" s="74">
        <f t="shared" si="78"/>
        <v>0</v>
      </c>
      <c r="AO37" s="74">
        <f t="shared" si="79"/>
        <v>0</v>
      </c>
      <c r="AQ37" s="65">
        <f t="shared" si="82"/>
        <v>0</v>
      </c>
      <c r="AR37" s="65">
        <f t="shared" si="95"/>
        <v>756.56000000000006</v>
      </c>
      <c r="AS37" s="65">
        <f t="shared" si="84"/>
        <v>0</v>
      </c>
      <c r="AT37" s="65">
        <f t="shared" si="85"/>
        <v>0</v>
      </c>
      <c r="AU37" s="65">
        <f t="shared" si="86"/>
        <v>0</v>
      </c>
      <c r="AV37" s="65">
        <f t="shared" si="96"/>
        <v>97.160000000000196</v>
      </c>
      <c r="AW37" s="306">
        <f t="shared" si="97"/>
        <v>0.14734607218683685</v>
      </c>
      <c r="AX37" s="299">
        <v>26</v>
      </c>
      <c r="AY37" s="85"/>
      <c r="AZ37" s="85">
        <v>23.022467999999996</v>
      </c>
      <c r="BA37" s="85"/>
      <c r="BB37" s="85"/>
      <c r="BC37" s="85"/>
      <c r="BD37" s="85"/>
      <c r="BE37" s="327">
        <f t="shared" si="73"/>
        <v>0.06</v>
      </c>
      <c r="BF37" s="49"/>
      <c r="BG37" s="49">
        <f t="shared" si="75"/>
        <v>0.94</v>
      </c>
      <c r="BH37" s="49"/>
      <c r="BI37" s="49"/>
      <c r="BJ37" s="49"/>
      <c r="BM37" s="214">
        <f t="shared" si="17"/>
        <v>0</v>
      </c>
      <c r="BN37" s="214">
        <f t="shared" si="18"/>
        <v>27.428001999999999</v>
      </c>
      <c r="BO37" s="214">
        <f t="shared" si="19"/>
        <v>0</v>
      </c>
      <c r="BP37" s="214">
        <f t="shared" si="20"/>
        <v>0</v>
      </c>
      <c r="BQ37" s="214">
        <f t="shared" si="38"/>
        <v>0</v>
      </c>
      <c r="BS37" s="49">
        <f t="shared" si="99"/>
        <v>0</v>
      </c>
      <c r="BT37" s="49">
        <f t="shared" si="99"/>
        <v>4.4055340000000029</v>
      </c>
      <c r="BU37" s="49">
        <f t="shared" si="99"/>
        <v>0</v>
      </c>
      <c r="BV37" s="49">
        <f t="shared" si="99"/>
        <v>0</v>
      </c>
      <c r="BW37" s="49">
        <f t="shared" si="99"/>
        <v>0</v>
      </c>
    </row>
    <row r="38" spans="2:75">
      <c r="B38" s="32">
        <v>2</v>
      </c>
      <c r="C38" s="511" t="s">
        <v>97</v>
      </c>
      <c r="D38" s="32">
        <v>475</v>
      </c>
      <c r="E38" s="512">
        <v>0</v>
      </c>
      <c r="F38" s="67"/>
      <c r="G38" s="67" t="str">
        <f t="shared" si="48"/>
        <v>042475</v>
      </c>
      <c r="H38" s="40"/>
      <c r="I38" t="s">
        <v>105</v>
      </c>
      <c r="J38" t="s">
        <v>87</v>
      </c>
      <c r="K38" s="54" t="s">
        <v>111</v>
      </c>
      <c r="L38" s="84">
        <v>433</v>
      </c>
      <c r="M38" s="64">
        <f t="shared" si="91"/>
        <v>0</v>
      </c>
      <c r="N38" s="64">
        <f t="shared" si="91"/>
        <v>7</v>
      </c>
      <c r="O38" s="64">
        <f t="shared" si="91"/>
        <v>10</v>
      </c>
      <c r="P38" s="64">
        <f t="shared" si="91"/>
        <v>0</v>
      </c>
      <c r="Q38" s="64">
        <f t="shared" si="91"/>
        <v>0</v>
      </c>
      <c r="R38" s="64">
        <f t="shared" si="94"/>
        <v>0</v>
      </c>
      <c r="S38" s="337">
        <v>0</v>
      </c>
      <c r="T38" s="337">
        <v>28.47</v>
      </c>
      <c r="U38" s="337">
        <v>8.24</v>
      </c>
      <c r="V38" s="337">
        <v>0</v>
      </c>
      <c r="W38" s="337">
        <v>0</v>
      </c>
      <c r="Y38" s="65">
        <f>IF(AND(M38&lt;&gt;0,S38=0),#VALUE!,M38*S38)</f>
        <v>0</v>
      </c>
      <c r="Z38" s="65">
        <f>IF(AND(N38&lt;&gt;0,T38=0),#VALUE!,N38*T38)</f>
        <v>199.29</v>
      </c>
      <c r="AA38" s="65">
        <f>IF(AND(O38&lt;&gt;0,U38=0),#VALUE!,O38*U38)</f>
        <v>82.4</v>
      </c>
      <c r="AB38" s="65">
        <f>IF(AND(P38&lt;&gt;0,V38=0),#VALUE!,P38*V38)</f>
        <v>0</v>
      </c>
      <c r="AC38" s="65">
        <f>IF(AND(Q38&lt;&gt;0,W38=0),#VALUE!,Q38*W38)</f>
        <v>0</v>
      </c>
      <c r="AE38" s="64">
        <f t="shared" si="100"/>
        <v>0</v>
      </c>
      <c r="AF38" s="64">
        <f t="shared" si="100"/>
        <v>7</v>
      </c>
      <c r="AG38" s="64">
        <f t="shared" si="100"/>
        <v>10</v>
      </c>
      <c r="AH38" s="64">
        <f t="shared" si="100"/>
        <v>0</v>
      </c>
      <c r="AI38" s="64">
        <f t="shared" si="100"/>
        <v>0</v>
      </c>
      <c r="AK38" s="74">
        <f t="shared" si="76"/>
        <v>0</v>
      </c>
      <c r="AL38" s="74">
        <f>ROUND(T38*(1+AL$1),2)</f>
        <v>31.94</v>
      </c>
      <c r="AM38" s="74">
        <f t="shared" si="77"/>
        <v>9.32</v>
      </c>
      <c r="AN38" s="74">
        <f t="shared" si="78"/>
        <v>0</v>
      </c>
      <c r="AO38" s="74">
        <f t="shared" si="79"/>
        <v>0</v>
      </c>
      <c r="AQ38" s="65">
        <f t="shared" si="82"/>
        <v>0</v>
      </c>
      <c r="AR38" s="65">
        <f t="shared" si="95"/>
        <v>223.58</v>
      </c>
      <c r="AS38" s="65">
        <f t="shared" si="84"/>
        <v>93.2</v>
      </c>
      <c r="AT38" s="65">
        <f t="shared" si="85"/>
        <v>0</v>
      </c>
      <c r="AU38" s="65">
        <f t="shared" si="86"/>
        <v>0</v>
      </c>
      <c r="AV38" s="65">
        <f t="shared" si="96"/>
        <v>24.29000000000002</v>
      </c>
      <c r="AW38" s="306">
        <f t="shared" si="97"/>
        <v>0.12188268352651925</v>
      </c>
      <c r="AX38" s="299">
        <v>40</v>
      </c>
      <c r="AY38" s="85"/>
      <c r="AZ38" s="85">
        <v>28.331440999999998</v>
      </c>
      <c r="BA38" s="85">
        <v>8.1309509999999996</v>
      </c>
      <c r="BB38" s="85"/>
      <c r="BC38" s="85"/>
      <c r="BD38" s="85"/>
      <c r="BE38" s="327">
        <f t="shared" si="73"/>
        <v>9.000000000000008E-2</v>
      </c>
      <c r="BF38" s="49"/>
      <c r="BG38" s="49">
        <f t="shared" si="75"/>
        <v>0.66</v>
      </c>
      <c r="BH38" s="49">
        <f>ROUND((U38*$BF$2)+$BE38-BA38,2)</f>
        <v>0.32</v>
      </c>
      <c r="BI38" s="49"/>
      <c r="BJ38" s="49"/>
      <c r="BM38" s="214">
        <f t="shared" si="17"/>
        <v>0</v>
      </c>
      <c r="BN38" s="214">
        <f t="shared" si="18"/>
        <v>32.422294000000001</v>
      </c>
      <c r="BO38" s="214">
        <f t="shared" si="19"/>
        <v>9.4607320000000001</v>
      </c>
      <c r="BP38" s="214">
        <f t="shared" si="20"/>
        <v>0</v>
      </c>
      <c r="BQ38" s="214">
        <f t="shared" si="38"/>
        <v>0</v>
      </c>
      <c r="BS38" s="49">
        <f>BM38-AY38</f>
        <v>0</v>
      </c>
      <c r="BT38" s="49">
        <f>BN38-AZ38</f>
        <v>4.0908530000000027</v>
      </c>
      <c r="BU38" s="49">
        <f>BO38-BA38</f>
        <v>1.3297810000000005</v>
      </c>
      <c r="BV38" s="49">
        <f>BP38-BB38</f>
        <v>0</v>
      </c>
      <c r="BW38" s="49">
        <f>BQ38-BC38</f>
        <v>0</v>
      </c>
    </row>
    <row r="39" spans="2:75">
      <c r="B39" s="32">
        <v>3</v>
      </c>
      <c r="C39" s="511" t="s">
        <v>97</v>
      </c>
      <c r="D39" s="32">
        <v>478</v>
      </c>
      <c r="E39" s="512">
        <v>0</v>
      </c>
      <c r="F39" s="67"/>
      <c r="G39" s="67" t="str">
        <f t="shared" si="48"/>
        <v>042478</v>
      </c>
      <c r="H39" s="40"/>
      <c r="I39" s="41" t="s">
        <v>606</v>
      </c>
      <c r="J39" t="s">
        <v>87</v>
      </c>
      <c r="K39" s="54" t="s">
        <v>109</v>
      </c>
      <c r="L39" s="84" t="s">
        <v>496</v>
      </c>
      <c r="M39" s="64">
        <f t="shared" si="91"/>
        <v>0</v>
      </c>
      <c r="N39" s="64">
        <f t="shared" si="91"/>
        <v>73</v>
      </c>
      <c r="O39" s="64">
        <f t="shared" si="91"/>
        <v>0</v>
      </c>
      <c r="P39" s="64">
        <f t="shared" si="91"/>
        <v>0</v>
      </c>
      <c r="Q39" s="64">
        <f t="shared" si="91"/>
        <v>0</v>
      </c>
      <c r="R39" s="64">
        <f t="shared" si="94"/>
        <v>0</v>
      </c>
      <c r="S39" s="337">
        <v>0</v>
      </c>
      <c r="T39" s="349">
        <v>28.47</v>
      </c>
      <c r="U39" s="337">
        <v>0</v>
      </c>
      <c r="V39" s="337">
        <v>0</v>
      </c>
      <c r="W39" s="337">
        <v>0</v>
      </c>
      <c r="Y39" s="65">
        <f t="shared" ref="Y39:AC40" si="101">IF(AND(M39&lt;&gt;0,S39=0),#VALUE!,M39*S39)</f>
        <v>0</v>
      </c>
      <c r="Z39" s="65">
        <f t="shared" si="101"/>
        <v>2078.31</v>
      </c>
      <c r="AA39" s="65">
        <f t="shared" si="101"/>
        <v>0</v>
      </c>
      <c r="AB39" s="65">
        <f t="shared" si="101"/>
        <v>0</v>
      </c>
      <c r="AC39" s="65">
        <f t="shared" si="101"/>
        <v>0</v>
      </c>
      <c r="AE39" s="64">
        <f>SUMIF($G:$G,TEXT(AE$3,"000")&amp;TEXT($L39,"000"),$E:$E)</f>
        <v>0</v>
      </c>
      <c r="AF39" s="64">
        <f>SUMIF($G:$G,TEXT(AF$3,"000")&amp;TEXT($L39,"000"),$E:$E)</f>
        <v>73</v>
      </c>
      <c r="AG39" s="64">
        <f>SUMIF($G:$G,TEXT(AG$3,"000")&amp;TEXT($L39,"000"),$E:$E)</f>
        <v>0</v>
      </c>
      <c r="AH39" s="64">
        <f>SUMIF($G:$G,TEXT(AH$3,"000")&amp;TEXT($L39,"000"),$E:$E)</f>
        <v>0</v>
      </c>
      <c r="AI39" s="64">
        <f>SUMIF($G:$G,TEXT(AI$3,"000")&amp;TEXT($L39,"000"),$E:$E)</f>
        <v>0</v>
      </c>
      <c r="AK39" s="74">
        <f t="shared" si="76"/>
        <v>0</v>
      </c>
      <c r="AL39" s="74">
        <f>AL38</f>
        <v>31.94</v>
      </c>
      <c r="AM39" s="74">
        <f t="shared" si="77"/>
        <v>0</v>
      </c>
      <c r="AN39" s="74">
        <f t="shared" si="78"/>
        <v>0</v>
      </c>
      <c r="AO39" s="74">
        <f t="shared" si="79"/>
        <v>0</v>
      </c>
      <c r="AQ39" s="65">
        <f t="shared" si="82"/>
        <v>0</v>
      </c>
      <c r="AR39" s="65">
        <f t="shared" si="95"/>
        <v>2331.62</v>
      </c>
      <c r="AS39" s="65">
        <f t="shared" si="84"/>
        <v>0</v>
      </c>
      <c r="AT39" s="65">
        <f t="shared" si="85"/>
        <v>0</v>
      </c>
      <c r="AU39" s="65">
        <f t="shared" si="86"/>
        <v>0</v>
      </c>
      <c r="AV39" s="65">
        <f t="shared" si="96"/>
        <v>253.30999999999995</v>
      </c>
      <c r="AW39" s="306">
        <f t="shared" si="97"/>
        <v>0.12188268352651913</v>
      </c>
      <c r="AX39" s="299">
        <v>26</v>
      </c>
      <c r="AY39" s="85"/>
      <c r="AZ39" s="85">
        <v>28.331440999999998</v>
      </c>
      <c r="BA39" s="85"/>
      <c r="BB39" s="85"/>
      <c r="BC39" s="85"/>
      <c r="BD39" s="85"/>
      <c r="BE39" s="327">
        <f t="shared" si="73"/>
        <v>0.06</v>
      </c>
      <c r="BF39" s="49"/>
      <c r="BG39" s="49">
        <f t="shared" si="75"/>
        <v>0.63</v>
      </c>
      <c r="BH39" s="49"/>
      <c r="BI39" s="49"/>
      <c r="BJ39" s="49"/>
      <c r="BM39" s="214">
        <f t="shared" si="17"/>
        <v>0</v>
      </c>
      <c r="BN39" s="214">
        <f t="shared" si="18"/>
        <v>32.422294000000001</v>
      </c>
      <c r="BO39" s="214">
        <f t="shared" si="19"/>
        <v>0</v>
      </c>
      <c r="BP39" s="214">
        <f t="shared" si="20"/>
        <v>0</v>
      </c>
      <c r="BQ39" s="214">
        <f t="shared" si="38"/>
        <v>0</v>
      </c>
      <c r="BS39" s="49">
        <f t="shared" ref="BS39:BW40" si="102">BM39-AY39</f>
        <v>0</v>
      </c>
      <c r="BT39" s="49">
        <f t="shared" si="102"/>
        <v>4.0908530000000027</v>
      </c>
      <c r="BU39" s="49">
        <f t="shared" si="102"/>
        <v>0</v>
      </c>
      <c r="BV39" s="49">
        <f t="shared" si="102"/>
        <v>0</v>
      </c>
      <c r="BW39" s="49">
        <f t="shared" si="102"/>
        <v>0</v>
      </c>
    </row>
    <row r="40" spans="2:75">
      <c r="B40" s="32">
        <v>2</v>
      </c>
      <c r="C40" s="511" t="s">
        <v>97</v>
      </c>
      <c r="D40" s="32">
        <v>484</v>
      </c>
      <c r="E40" s="512">
        <v>46</v>
      </c>
      <c r="F40" s="67"/>
      <c r="G40" s="67" t="str">
        <f t="shared" si="48"/>
        <v>042484</v>
      </c>
      <c r="H40" s="40"/>
      <c r="I40" t="s">
        <v>606</v>
      </c>
      <c r="J40" t="s">
        <v>87</v>
      </c>
      <c r="K40" s="54" t="s">
        <v>109</v>
      </c>
      <c r="L40" s="84" t="s">
        <v>600</v>
      </c>
      <c r="M40" s="64">
        <f t="shared" si="91"/>
        <v>0</v>
      </c>
      <c r="N40" s="64">
        <f t="shared" si="91"/>
        <v>67</v>
      </c>
      <c r="O40" s="64">
        <f t="shared" si="91"/>
        <v>0</v>
      </c>
      <c r="P40" s="64">
        <f t="shared" si="91"/>
        <v>0</v>
      </c>
      <c r="Q40" s="64">
        <f t="shared" si="91"/>
        <v>0</v>
      </c>
      <c r="R40" s="64">
        <f t="shared" si="94"/>
        <v>0</v>
      </c>
      <c r="S40" s="337">
        <v>0</v>
      </c>
      <c r="T40" s="349">
        <v>23.549999999999997</v>
      </c>
      <c r="U40" s="337">
        <v>0</v>
      </c>
      <c r="V40" s="337">
        <v>0</v>
      </c>
      <c r="W40" s="337">
        <v>0</v>
      </c>
      <c r="Y40" s="65">
        <f t="shared" si="101"/>
        <v>0</v>
      </c>
      <c r="Z40" s="65">
        <f t="shared" si="101"/>
        <v>1577.85</v>
      </c>
      <c r="AA40" s="65">
        <f t="shared" si="101"/>
        <v>0</v>
      </c>
      <c r="AB40" s="65">
        <f t="shared" si="101"/>
        <v>0</v>
      </c>
      <c r="AC40" s="65">
        <f t="shared" si="101"/>
        <v>0</v>
      </c>
      <c r="AE40" s="64">
        <f t="shared" ref="AE40:AI41" si="103">M40</f>
        <v>0</v>
      </c>
      <c r="AF40" s="64">
        <f t="shared" si="103"/>
        <v>67</v>
      </c>
      <c r="AG40" s="64">
        <f t="shared" si="103"/>
        <v>0</v>
      </c>
      <c r="AH40" s="64">
        <f t="shared" si="103"/>
        <v>0</v>
      </c>
      <c r="AI40" s="64">
        <f t="shared" si="103"/>
        <v>0</v>
      </c>
      <c r="AK40" s="74">
        <f t="shared" si="76"/>
        <v>0</v>
      </c>
      <c r="AL40" s="74">
        <f>AL39-AL102</f>
        <v>27.020000000000003</v>
      </c>
      <c r="AM40" s="74">
        <f t="shared" si="77"/>
        <v>0</v>
      </c>
      <c r="AN40" s="74">
        <f t="shared" si="78"/>
        <v>0</v>
      </c>
      <c r="AO40" s="74">
        <f t="shared" si="79"/>
        <v>0</v>
      </c>
      <c r="AQ40" s="65">
        <f t="shared" si="82"/>
        <v>0</v>
      </c>
      <c r="AR40" s="65">
        <f t="shared" si="95"/>
        <v>1810.3400000000001</v>
      </c>
      <c r="AS40" s="65">
        <f t="shared" si="84"/>
        <v>0</v>
      </c>
      <c r="AT40" s="65">
        <f t="shared" si="85"/>
        <v>0</v>
      </c>
      <c r="AU40" s="65">
        <f t="shared" si="86"/>
        <v>0</v>
      </c>
      <c r="AV40" s="65">
        <f t="shared" si="96"/>
        <v>232.49000000000024</v>
      </c>
      <c r="AW40" s="306">
        <f t="shared" si="97"/>
        <v>0.14734607218683668</v>
      </c>
      <c r="AX40" s="299">
        <v>26</v>
      </c>
      <c r="AY40" s="85"/>
      <c r="AZ40" s="85">
        <v>23.022467999999996</v>
      </c>
      <c r="BA40" s="85"/>
      <c r="BB40" s="85"/>
      <c r="BC40" s="85"/>
      <c r="BD40" s="85"/>
      <c r="BE40" s="327">
        <f t="shared" si="73"/>
        <v>0.06</v>
      </c>
      <c r="BF40" s="49"/>
      <c r="BG40" s="49">
        <f t="shared" si="75"/>
        <v>0.94</v>
      </c>
      <c r="BH40" s="49"/>
      <c r="BI40" s="49"/>
      <c r="BJ40" s="49"/>
      <c r="BM40" s="214">
        <f t="shared" si="17"/>
        <v>0</v>
      </c>
      <c r="BN40" s="214">
        <f t="shared" si="18"/>
        <v>27.428001999999999</v>
      </c>
      <c r="BO40" s="214">
        <f t="shared" si="19"/>
        <v>0</v>
      </c>
      <c r="BP40" s="214">
        <f t="shared" si="20"/>
        <v>0</v>
      </c>
      <c r="BQ40" s="214">
        <f t="shared" si="38"/>
        <v>0</v>
      </c>
      <c r="BS40" s="49">
        <f t="shared" si="102"/>
        <v>0</v>
      </c>
      <c r="BT40" s="49">
        <f t="shared" si="102"/>
        <v>4.4055340000000029</v>
      </c>
      <c r="BU40" s="49">
        <f t="shared" si="102"/>
        <v>0</v>
      </c>
      <c r="BV40" s="49">
        <f t="shared" si="102"/>
        <v>0</v>
      </c>
      <c r="BW40" s="49">
        <f t="shared" si="102"/>
        <v>0</v>
      </c>
    </row>
    <row r="41" spans="2:75">
      <c r="B41" s="32">
        <v>2</v>
      </c>
      <c r="C41" s="511" t="s">
        <v>97</v>
      </c>
      <c r="D41" s="32" t="s">
        <v>503</v>
      </c>
      <c r="E41" s="512">
        <v>127</v>
      </c>
      <c r="F41" s="67"/>
      <c r="G41" s="67" t="str">
        <f t="shared" si="48"/>
        <v>042484L</v>
      </c>
      <c r="H41" s="40"/>
      <c r="I41" t="s">
        <v>105</v>
      </c>
      <c r="J41" t="s">
        <v>87</v>
      </c>
      <c r="K41" s="54" t="s">
        <v>111</v>
      </c>
      <c r="L41" s="84">
        <v>434</v>
      </c>
      <c r="M41" s="64">
        <f t="shared" si="91"/>
        <v>0</v>
      </c>
      <c r="N41" s="64">
        <f t="shared" si="91"/>
        <v>1085</v>
      </c>
      <c r="O41" s="64">
        <f t="shared" si="91"/>
        <v>0</v>
      </c>
      <c r="P41" s="64">
        <f t="shared" si="91"/>
        <v>0</v>
      </c>
      <c r="Q41" s="64">
        <f t="shared" si="91"/>
        <v>0</v>
      </c>
      <c r="R41" s="64">
        <f t="shared" si="94"/>
        <v>0</v>
      </c>
      <c r="S41" s="337">
        <v>0</v>
      </c>
      <c r="T41" s="337">
        <v>16.05</v>
      </c>
      <c r="U41" s="337">
        <v>0</v>
      </c>
      <c r="V41" s="337">
        <v>0</v>
      </c>
      <c r="W41" s="337">
        <v>0</v>
      </c>
      <c r="Y41" s="65">
        <f t="shared" ref="Y41:AC43" si="104">IF(AND(M41&lt;&gt;0,S41=0),#VALUE!,M41*S41)</f>
        <v>0</v>
      </c>
      <c r="Z41" s="65">
        <f t="shared" si="104"/>
        <v>17414.25</v>
      </c>
      <c r="AA41" s="65">
        <f t="shared" si="104"/>
        <v>0</v>
      </c>
      <c r="AB41" s="65">
        <f t="shared" si="104"/>
        <v>0</v>
      </c>
      <c r="AC41" s="65">
        <f t="shared" si="104"/>
        <v>0</v>
      </c>
      <c r="AE41" s="64">
        <f t="shared" si="103"/>
        <v>0</v>
      </c>
      <c r="AF41" s="64">
        <f t="shared" si="103"/>
        <v>1085</v>
      </c>
      <c r="AG41" s="64">
        <f t="shared" si="103"/>
        <v>0</v>
      </c>
      <c r="AH41" s="64">
        <f t="shared" si="103"/>
        <v>0</v>
      </c>
      <c r="AI41" s="64">
        <f t="shared" si="103"/>
        <v>0</v>
      </c>
      <c r="AK41" s="74">
        <f t="shared" si="76"/>
        <v>0</v>
      </c>
      <c r="AL41" s="74">
        <f>ROUND(T41*(1+AL$1),2)</f>
        <v>18</v>
      </c>
      <c r="AM41" s="74">
        <f t="shared" si="77"/>
        <v>0</v>
      </c>
      <c r="AN41" s="74">
        <f t="shared" si="78"/>
        <v>0</v>
      </c>
      <c r="AO41" s="74">
        <f t="shared" si="79"/>
        <v>0</v>
      </c>
      <c r="AQ41" s="65">
        <f t="shared" si="82"/>
        <v>0</v>
      </c>
      <c r="AR41" s="65">
        <f t="shared" si="95"/>
        <v>19530</v>
      </c>
      <c r="AS41" s="65">
        <f t="shared" si="84"/>
        <v>0</v>
      </c>
      <c r="AT41" s="65">
        <f t="shared" si="85"/>
        <v>0</v>
      </c>
      <c r="AU41" s="65">
        <f t="shared" si="86"/>
        <v>0</v>
      </c>
      <c r="AV41" s="65">
        <f t="shared" si="96"/>
        <v>2115.75</v>
      </c>
      <c r="AW41" s="306">
        <f t="shared" si="97"/>
        <v>0.12149532710280374</v>
      </c>
      <c r="AX41" s="299">
        <v>40</v>
      </c>
      <c r="AY41" s="85"/>
      <c r="AZ41" s="85">
        <v>15.977673999999999</v>
      </c>
      <c r="BA41" s="85"/>
      <c r="BB41" s="85"/>
      <c r="BC41" s="85"/>
      <c r="BD41" s="85"/>
      <c r="BE41" s="327">
        <f t="shared" si="73"/>
        <v>9.000000000000008E-2</v>
      </c>
      <c r="BF41" s="49"/>
      <c r="BG41" s="49">
        <f t="shared" si="75"/>
        <v>0.4</v>
      </c>
      <c r="BH41" s="49"/>
      <c r="BI41" s="49"/>
      <c r="BJ41" s="49"/>
      <c r="BM41" s="214">
        <f t="shared" si="17"/>
        <v>0</v>
      </c>
      <c r="BN41" s="214">
        <f t="shared" si="18"/>
        <v>18.271799999999999</v>
      </c>
      <c r="BO41" s="214">
        <f t="shared" si="19"/>
        <v>0</v>
      </c>
      <c r="BP41" s="214">
        <f t="shared" si="20"/>
        <v>0</v>
      </c>
      <c r="BQ41" s="214">
        <f t="shared" si="38"/>
        <v>0</v>
      </c>
      <c r="BS41" s="49">
        <f t="shared" ref="BS41:BW43" si="105">BM41-AY41</f>
        <v>0</v>
      </c>
      <c r="BT41" s="49">
        <f t="shared" si="105"/>
        <v>2.2941260000000003</v>
      </c>
      <c r="BU41" s="49">
        <f t="shared" si="105"/>
        <v>0</v>
      </c>
      <c r="BV41" s="49">
        <f t="shared" si="105"/>
        <v>0</v>
      </c>
      <c r="BW41" s="49">
        <f t="shared" si="105"/>
        <v>0</v>
      </c>
    </row>
    <row r="42" spans="2:75">
      <c r="B42" s="32">
        <v>2</v>
      </c>
      <c r="C42" s="511" t="s">
        <v>97</v>
      </c>
      <c r="D42" s="180" t="s">
        <v>676</v>
      </c>
      <c r="E42" s="512">
        <v>43</v>
      </c>
      <c r="F42" s="67"/>
      <c r="G42" s="67" t="str">
        <f t="shared" ref="G42" si="106">IF(OR(ISBLANK(C42),ISBLANK(D42)),"",TEXT(C42,"000")&amp;TEXT(D42,"000"))</f>
        <v>042494L</v>
      </c>
      <c r="H42" s="40"/>
      <c r="I42" s="41" t="s">
        <v>606</v>
      </c>
      <c r="J42" t="s">
        <v>87</v>
      </c>
      <c r="K42" s="54" t="s">
        <v>109</v>
      </c>
      <c r="L42" s="84" t="s">
        <v>497</v>
      </c>
      <c r="M42" s="64">
        <f t="shared" si="91"/>
        <v>0</v>
      </c>
      <c r="N42" s="64">
        <f t="shared" si="91"/>
        <v>2446</v>
      </c>
      <c r="O42" s="64">
        <f t="shared" si="91"/>
        <v>0</v>
      </c>
      <c r="P42" s="64">
        <f t="shared" si="91"/>
        <v>0</v>
      </c>
      <c r="Q42" s="64">
        <f t="shared" si="91"/>
        <v>0</v>
      </c>
      <c r="R42" s="64">
        <f t="shared" si="94"/>
        <v>0</v>
      </c>
      <c r="S42" s="337">
        <v>0</v>
      </c>
      <c r="T42" s="349">
        <v>16.05</v>
      </c>
      <c r="U42" s="337">
        <v>0</v>
      </c>
      <c r="V42" s="337">
        <v>0</v>
      </c>
      <c r="W42" s="337">
        <v>0</v>
      </c>
      <c r="Y42" s="65">
        <f t="shared" si="104"/>
        <v>0</v>
      </c>
      <c r="Z42" s="65">
        <f t="shared" si="104"/>
        <v>39258.300000000003</v>
      </c>
      <c r="AA42" s="65">
        <f t="shared" si="104"/>
        <v>0</v>
      </c>
      <c r="AB42" s="65">
        <f t="shared" si="104"/>
        <v>0</v>
      </c>
      <c r="AC42" s="65">
        <f t="shared" si="104"/>
        <v>0</v>
      </c>
      <c r="AE42" s="64">
        <f>SUMIF($G:$G,TEXT(AE$3,"000")&amp;TEXT($L42,"000"),$E:$E)</f>
        <v>0</v>
      </c>
      <c r="AF42" s="64">
        <f>SUMIF($G:$G,TEXT(AF$3,"000")&amp;TEXT($L42,"000"),$E:$E)</f>
        <v>2446</v>
      </c>
      <c r="AG42" s="64">
        <f>SUMIF($G:$G,TEXT(AG$3,"000")&amp;TEXT($L42,"000"),$E:$E)</f>
        <v>0</v>
      </c>
      <c r="AH42" s="64">
        <f>SUMIF($G:$G,TEXT(AH$3,"000")&amp;TEXT($L42,"000"),$E:$E)</f>
        <v>0</v>
      </c>
      <c r="AI42" s="64">
        <f>SUMIF($G:$G,TEXT(AI$3,"000")&amp;TEXT($L42,"000"),$E:$E)</f>
        <v>0</v>
      </c>
      <c r="AK42" s="74">
        <f t="shared" si="76"/>
        <v>0</v>
      </c>
      <c r="AL42" s="74">
        <f>AL41</f>
        <v>18</v>
      </c>
      <c r="AM42" s="74">
        <f t="shared" si="77"/>
        <v>0</v>
      </c>
      <c r="AN42" s="74">
        <f t="shared" si="78"/>
        <v>0</v>
      </c>
      <c r="AO42" s="74">
        <f t="shared" si="79"/>
        <v>0</v>
      </c>
      <c r="AQ42" s="65">
        <f t="shared" si="82"/>
        <v>0</v>
      </c>
      <c r="AR42" s="65">
        <f t="shared" si="95"/>
        <v>44028</v>
      </c>
      <c r="AS42" s="65">
        <f t="shared" si="84"/>
        <v>0</v>
      </c>
      <c r="AT42" s="65">
        <f t="shared" si="85"/>
        <v>0</v>
      </c>
      <c r="AU42" s="65">
        <f t="shared" si="86"/>
        <v>0</v>
      </c>
      <c r="AV42" s="65">
        <f t="shared" si="96"/>
        <v>4769.6999999999971</v>
      </c>
      <c r="AW42" s="306">
        <f t="shared" si="97"/>
        <v>0.12149532710280365</v>
      </c>
      <c r="AX42" s="299">
        <v>26</v>
      </c>
      <c r="AY42" s="85"/>
      <c r="AZ42" s="85">
        <v>15.977673999999999</v>
      </c>
      <c r="BA42" s="85"/>
      <c r="BB42" s="85"/>
      <c r="BC42" s="85"/>
      <c r="BD42" s="85"/>
      <c r="BE42" s="327">
        <f t="shared" si="73"/>
        <v>0.06</v>
      </c>
      <c r="BF42" s="49"/>
      <c r="BG42" s="49">
        <f t="shared" si="75"/>
        <v>0.37</v>
      </c>
      <c r="BH42" s="49"/>
      <c r="BI42" s="49"/>
      <c r="BJ42" s="49"/>
      <c r="BM42" s="214">
        <f t="shared" si="17"/>
        <v>0</v>
      </c>
      <c r="BN42" s="214">
        <f t="shared" si="18"/>
        <v>18.271799999999999</v>
      </c>
      <c r="BO42" s="214">
        <f t="shared" si="19"/>
        <v>0</v>
      </c>
      <c r="BP42" s="214">
        <f t="shared" si="20"/>
        <v>0</v>
      </c>
      <c r="BQ42" s="214">
        <f t="shared" si="38"/>
        <v>0</v>
      </c>
      <c r="BS42" s="49">
        <f t="shared" si="105"/>
        <v>0</v>
      </c>
      <c r="BT42" s="49">
        <f t="shared" si="105"/>
        <v>2.2941260000000003</v>
      </c>
      <c r="BU42" s="49">
        <f t="shared" si="105"/>
        <v>0</v>
      </c>
      <c r="BV42" s="49">
        <f t="shared" si="105"/>
        <v>0</v>
      </c>
      <c r="BW42" s="49">
        <f t="shared" si="105"/>
        <v>0</v>
      </c>
    </row>
    <row r="43" spans="2:75">
      <c r="B43" s="32">
        <v>2</v>
      </c>
      <c r="C43" s="511" t="s">
        <v>97</v>
      </c>
      <c r="D43" s="32">
        <v>531</v>
      </c>
      <c r="E43" s="512">
        <v>150</v>
      </c>
      <c r="F43" s="67"/>
      <c r="G43" s="67" t="str">
        <f t="shared" ref="G43:G66" si="107">IF(OR(ISBLANK(C43),ISBLANK(D43)),"",TEXT(C43,"000")&amp;TEXT(D43,"000"))</f>
        <v>042531</v>
      </c>
      <c r="H43" s="40"/>
      <c r="I43" t="s">
        <v>105</v>
      </c>
      <c r="J43" t="s">
        <v>673</v>
      </c>
      <c r="K43" s="54" t="s">
        <v>111</v>
      </c>
      <c r="L43" s="84">
        <v>435</v>
      </c>
      <c r="M43" s="64">
        <f t="shared" si="91"/>
        <v>0</v>
      </c>
      <c r="N43" s="64">
        <f t="shared" si="91"/>
        <v>215</v>
      </c>
      <c r="O43" s="64">
        <f t="shared" si="91"/>
        <v>8</v>
      </c>
      <c r="P43" s="64">
        <f t="shared" si="91"/>
        <v>0</v>
      </c>
      <c r="Q43" s="64">
        <f t="shared" si="91"/>
        <v>20</v>
      </c>
      <c r="R43" s="64">
        <f t="shared" si="94"/>
        <v>0</v>
      </c>
      <c r="S43" s="337">
        <v>0</v>
      </c>
      <c r="T43" s="337">
        <v>15.24</v>
      </c>
      <c r="U43" s="337">
        <v>8.24</v>
      </c>
      <c r="V43" s="337">
        <v>0</v>
      </c>
      <c r="W43" s="337">
        <v>5.51</v>
      </c>
      <c r="Y43" s="65">
        <f t="shared" si="104"/>
        <v>0</v>
      </c>
      <c r="Z43" s="65">
        <f t="shared" si="104"/>
        <v>3276.6</v>
      </c>
      <c r="AA43" s="65">
        <f t="shared" si="104"/>
        <v>65.92</v>
      </c>
      <c r="AB43" s="65">
        <f t="shared" si="104"/>
        <v>0</v>
      </c>
      <c r="AC43" s="65">
        <f t="shared" si="104"/>
        <v>110.19999999999999</v>
      </c>
      <c r="AE43" s="64">
        <f>M43</f>
        <v>0</v>
      </c>
      <c r="AF43" s="64">
        <f>N43</f>
        <v>215</v>
      </c>
      <c r="AG43" s="64">
        <f>O43</f>
        <v>8</v>
      </c>
      <c r="AH43" s="64">
        <f>P43</f>
        <v>0</v>
      </c>
      <c r="AI43" s="64">
        <f>Q43</f>
        <v>20</v>
      </c>
      <c r="AK43" s="74">
        <f t="shared" si="76"/>
        <v>0</v>
      </c>
      <c r="AL43" s="74">
        <f>ROUND(T43*(1+AL$1),2)</f>
        <v>17.100000000000001</v>
      </c>
      <c r="AM43" s="74">
        <f t="shared" si="77"/>
        <v>9.32</v>
      </c>
      <c r="AN43" s="74">
        <f t="shared" si="78"/>
        <v>0</v>
      </c>
      <c r="AO43" s="74">
        <f t="shared" si="79"/>
        <v>6.23</v>
      </c>
      <c r="AQ43" s="65">
        <f t="shared" si="82"/>
        <v>0</v>
      </c>
      <c r="AR43" s="65">
        <f t="shared" si="95"/>
        <v>3676.5000000000005</v>
      </c>
      <c r="AS43" s="65">
        <f t="shared" si="84"/>
        <v>74.56</v>
      </c>
      <c r="AT43" s="65">
        <f t="shared" si="85"/>
        <v>0</v>
      </c>
      <c r="AU43" s="65">
        <f t="shared" si="86"/>
        <v>124.60000000000001</v>
      </c>
      <c r="AV43" s="65">
        <f t="shared" si="96"/>
        <v>399.90000000000055</v>
      </c>
      <c r="AW43" s="306">
        <f t="shared" si="97"/>
        <v>0.12204724409448836</v>
      </c>
      <c r="AX43" s="299">
        <v>40</v>
      </c>
      <c r="AY43" s="85"/>
      <c r="AZ43" s="85">
        <v>15.165593999999999</v>
      </c>
      <c r="BA43" s="85">
        <v>8.1300000000000008</v>
      </c>
      <c r="BB43" s="85"/>
      <c r="BC43" s="85">
        <v>5.43</v>
      </c>
      <c r="BD43" s="85"/>
      <c r="BE43" s="327">
        <f t="shared" si="73"/>
        <v>9.000000000000008E-2</v>
      </c>
      <c r="BF43" s="49"/>
      <c r="BG43" s="49">
        <f t="shared" si="75"/>
        <v>0.39</v>
      </c>
      <c r="BH43" s="49">
        <f>ROUND((U43*$BF$2)+$BE43-BA43,2)</f>
        <v>0.32</v>
      </c>
      <c r="BI43" s="49"/>
      <c r="BJ43" s="49">
        <f>ROUND((W43*$BF$2)+$BE43-BC43,2)</f>
        <v>0.25</v>
      </c>
      <c r="BM43" s="214">
        <f t="shared" si="17"/>
        <v>0</v>
      </c>
      <c r="BN43" s="214">
        <f t="shared" si="18"/>
        <v>17.35821</v>
      </c>
      <c r="BO43" s="214">
        <f t="shared" si="19"/>
        <v>9.4607320000000001</v>
      </c>
      <c r="BP43" s="214">
        <f t="shared" si="20"/>
        <v>0</v>
      </c>
      <c r="BQ43" s="214">
        <f t="shared" si="38"/>
        <v>6.3240729999999994</v>
      </c>
      <c r="BS43" s="49">
        <f t="shared" si="105"/>
        <v>0</v>
      </c>
      <c r="BT43" s="49">
        <f t="shared" si="105"/>
        <v>2.192616000000001</v>
      </c>
      <c r="BU43" s="49">
        <f t="shared" si="105"/>
        <v>1.3307319999999994</v>
      </c>
      <c r="BV43" s="49">
        <f t="shared" si="105"/>
        <v>0</v>
      </c>
      <c r="BW43" s="49">
        <f t="shared" si="105"/>
        <v>0.89407299999999967</v>
      </c>
    </row>
    <row r="44" spans="2:75">
      <c r="B44" s="32">
        <v>2</v>
      </c>
      <c r="C44" s="511" t="s">
        <v>97</v>
      </c>
      <c r="D44" s="32" t="s">
        <v>508</v>
      </c>
      <c r="E44" s="512">
        <v>1362</v>
      </c>
      <c r="F44" s="67"/>
      <c r="G44" s="67" t="str">
        <f t="shared" si="107"/>
        <v>042531L</v>
      </c>
      <c r="H44" s="40"/>
      <c r="I44" s="41" t="s">
        <v>606</v>
      </c>
      <c r="J44" t="s">
        <v>673</v>
      </c>
      <c r="K44" s="54" t="s">
        <v>109</v>
      </c>
      <c r="L44" s="84" t="s">
        <v>498</v>
      </c>
      <c r="M44" s="64">
        <f t="shared" ref="M44:Q53" si="108">SUMIF($G:$G,TEXT(M$3,"000")&amp;TEXT($L44,"000"),$E:$E)</f>
        <v>0</v>
      </c>
      <c r="N44" s="64">
        <f t="shared" si="108"/>
        <v>2632</v>
      </c>
      <c r="O44" s="64">
        <f t="shared" si="108"/>
        <v>0</v>
      </c>
      <c r="P44" s="64">
        <f t="shared" si="108"/>
        <v>0</v>
      </c>
      <c r="Q44" s="64">
        <f t="shared" si="108"/>
        <v>0</v>
      </c>
      <c r="R44" s="64">
        <f t="shared" si="94"/>
        <v>0</v>
      </c>
      <c r="S44" s="337">
        <v>0</v>
      </c>
      <c r="T44" s="349">
        <v>15.24</v>
      </c>
      <c r="U44" s="337">
        <v>0</v>
      </c>
      <c r="V44" s="337">
        <v>0</v>
      </c>
      <c r="W44" s="337">
        <v>0</v>
      </c>
      <c r="Y44" s="65">
        <f t="shared" ref="Y44:AC45" si="109">IF(AND(M44&lt;&gt;0,S44=0),#VALUE!,M44*S44)</f>
        <v>0</v>
      </c>
      <c r="Z44" s="65">
        <f t="shared" si="109"/>
        <v>40111.68</v>
      </c>
      <c r="AA44" s="495">
        <f t="shared" si="109"/>
        <v>0</v>
      </c>
      <c r="AB44" s="65">
        <f t="shared" si="109"/>
        <v>0</v>
      </c>
      <c r="AC44" s="65">
        <f t="shared" si="109"/>
        <v>0</v>
      </c>
      <c r="AE44" s="64">
        <f>SUMIF($G:$G,TEXT(AE$3,"000")&amp;TEXT($L44,"000"),$E:$E)</f>
        <v>0</v>
      </c>
      <c r="AF44" s="64">
        <f>SUMIF($G:$G,TEXT(AF$3,"000")&amp;TEXT($L44,"000"),$E:$E)</f>
        <v>2632</v>
      </c>
      <c r="AG44" s="64">
        <f>SUMIF($G:$G,TEXT(AG$3,"000")&amp;TEXT($L44,"000"),$E:$E)</f>
        <v>0</v>
      </c>
      <c r="AH44" s="64">
        <f>SUMIF($G:$G,TEXT(AH$3,"000")&amp;TEXT($L44,"000"),$E:$E)</f>
        <v>0</v>
      </c>
      <c r="AI44" s="64">
        <f>SUMIF($G:$G,TEXT(AI$3,"000")&amp;TEXT($L44,"000"),$E:$E)</f>
        <v>0</v>
      </c>
      <c r="AK44" s="74">
        <f t="shared" si="76"/>
        <v>0</v>
      </c>
      <c r="AL44" s="74">
        <f>AL43</f>
        <v>17.100000000000001</v>
      </c>
      <c r="AM44" s="74">
        <f t="shared" si="77"/>
        <v>0</v>
      </c>
      <c r="AN44" s="74">
        <f t="shared" si="78"/>
        <v>0</v>
      </c>
      <c r="AO44" s="74">
        <f t="shared" si="79"/>
        <v>0</v>
      </c>
      <c r="AQ44" s="65">
        <f t="shared" si="82"/>
        <v>0</v>
      </c>
      <c r="AR44" s="65">
        <f t="shared" si="95"/>
        <v>45007.200000000004</v>
      </c>
      <c r="AS44" s="65">
        <f t="shared" si="84"/>
        <v>0</v>
      </c>
      <c r="AT44" s="65">
        <f t="shared" si="85"/>
        <v>0</v>
      </c>
      <c r="AU44" s="65">
        <f t="shared" si="86"/>
        <v>0</v>
      </c>
      <c r="AV44" s="65">
        <f t="shared" si="96"/>
        <v>4895.5200000000041</v>
      </c>
      <c r="AW44" s="306">
        <f t="shared" si="97"/>
        <v>0.12204724409448829</v>
      </c>
      <c r="AX44" s="299">
        <v>26</v>
      </c>
      <c r="AY44" s="85"/>
      <c r="AZ44" s="85">
        <v>15.165593999999999</v>
      </c>
      <c r="BA44" s="85"/>
      <c r="BB44" s="85"/>
      <c r="BC44" s="85"/>
      <c r="BD44" s="85"/>
      <c r="BE44" s="327">
        <f t="shared" si="73"/>
        <v>0.06</v>
      </c>
      <c r="BF44" s="49"/>
      <c r="BG44" s="49">
        <f t="shared" si="75"/>
        <v>0.36</v>
      </c>
      <c r="BH44" s="49"/>
      <c r="BI44" s="49"/>
      <c r="BJ44" s="49"/>
      <c r="BM44" s="214">
        <f t="shared" si="17"/>
        <v>0</v>
      </c>
      <c r="BN44" s="214">
        <f t="shared" si="18"/>
        <v>17.35821</v>
      </c>
      <c r="BO44" s="214">
        <f t="shared" si="19"/>
        <v>0</v>
      </c>
      <c r="BP44" s="214">
        <f t="shared" si="20"/>
        <v>0</v>
      </c>
      <c r="BQ44" s="214">
        <f t="shared" si="38"/>
        <v>0</v>
      </c>
      <c r="BS44" s="49">
        <f t="shared" ref="BS44:BW45" si="110">BM44-AY44</f>
        <v>0</v>
      </c>
      <c r="BT44" s="49">
        <f t="shared" si="110"/>
        <v>2.192616000000001</v>
      </c>
      <c r="BU44" s="49">
        <f t="shared" si="110"/>
        <v>0</v>
      </c>
      <c r="BV44" s="49">
        <f t="shared" si="110"/>
        <v>0</v>
      </c>
      <c r="BW44" s="49">
        <f t="shared" si="110"/>
        <v>0</v>
      </c>
    </row>
    <row r="45" spans="2:75">
      <c r="B45" s="32">
        <v>2</v>
      </c>
      <c r="C45" s="511" t="s">
        <v>97</v>
      </c>
      <c r="D45" s="32" t="s">
        <v>603</v>
      </c>
      <c r="E45" s="512">
        <f>468+1</f>
        <v>469</v>
      </c>
      <c r="F45" s="67"/>
      <c r="G45" s="67" t="str">
        <f t="shared" si="107"/>
        <v>042531T</v>
      </c>
      <c r="H45" s="476"/>
      <c r="I45" t="s">
        <v>606</v>
      </c>
      <c r="J45" t="s">
        <v>673</v>
      </c>
      <c r="K45" s="54" t="s">
        <v>109</v>
      </c>
      <c r="L45" s="84" t="s">
        <v>601</v>
      </c>
      <c r="M45" s="64">
        <f t="shared" si="108"/>
        <v>0</v>
      </c>
      <c r="N45" s="64">
        <f t="shared" si="108"/>
        <v>1865</v>
      </c>
      <c r="O45" s="64">
        <f t="shared" si="108"/>
        <v>0</v>
      </c>
      <c r="P45" s="64">
        <f t="shared" si="108"/>
        <v>0</v>
      </c>
      <c r="Q45" s="64">
        <f t="shared" si="108"/>
        <v>0</v>
      </c>
      <c r="R45" s="64">
        <f t="shared" si="94"/>
        <v>0</v>
      </c>
      <c r="S45" s="337">
        <v>0</v>
      </c>
      <c r="T45" s="349">
        <v>10.32</v>
      </c>
      <c r="U45" s="337">
        <v>0</v>
      </c>
      <c r="V45" s="337">
        <v>0</v>
      </c>
      <c r="W45" s="337">
        <v>0</v>
      </c>
      <c r="Y45" s="65">
        <f t="shared" si="109"/>
        <v>0</v>
      </c>
      <c r="Z45" s="65">
        <f t="shared" si="109"/>
        <v>19246.8</v>
      </c>
      <c r="AA45" s="495">
        <f t="shared" si="109"/>
        <v>0</v>
      </c>
      <c r="AB45" s="65">
        <f t="shared" si="109"/>
        <v>0</v>
      </c>
      <c r="AC45" s="65">
        <f t="shared" si="109"/>
        <v>0</v>
      </c>
      <c r="AE45" s="64">
        <f t="shared" ref="AE45:AI46" si="111">M45</f>
        <v>0</v>
      </c>
      <c r="AF45" s="64">
        <f t="shared" si="111"/>
        <v>1865</v>
      </c>
      <c r="AG45" s="64">
        <f t="shared" si="111"/>
        <v>0</v>
      </c>
      <c r="AH45" s="64">
        <f t="shared" si="111"/>
        <v>0</v>
      </c>
      <c r="AI45" s="64">
        <f t="shared" si="111"/>
        <v>0</v>
      </c>
      <c r="AK45" s="74">
        <f t="shared" si="76"/>
        <v>0</v>
      </c>
      <c r="AL45" s="74">
        <f>AL44-AL102</f>
        <v>12.180000000000001</v>
      </c>
      <c r="AM45" s="74">
        <f t="shared" si="77"/>
        <v>0</v>
      </c>
      <c r="AN45" s="74">
        <f t="shared" si="78"/>
        <v>0</v>
      </c>
      <c r="AO45" s="74">
        <f t="shared" si="79"/>
        <v>0</v>
      </c>
      <c r="AQ45" s="65">
        <f t="shared" si="82"/>
        <v>0</v>
      </c>
      <c r="AR45" s="65">
        <f t="shared" si="95"/>
        <v>22715.700000000004</v>
      </c>
      <c r="AS45" s="65">
        <f t="shared" si="84"/>
        <v>0</v>
      </c>
      <c r="AT45" s="65">
        <f t="shared" si="85"/>
        <v>0</v>
      </c>
      <c r="AU45" s="65">
        <f t="shared" si="86"/>
        <v>0</v>
      </c>
      <c r="AV45" s="65">
        <f t="shared" si="96"/>
        <v>3468.9000000000051</v>
      </c>
      <c r="AW45" s="306">
        <f t="shared" si="97"/>
        <v>0.18023255813953515</v>
      </c>
      <c r="AX45" s="299">
        <v>26</v>
      </c>
      <c r="AY45" s="85"/>
      <c r="AZ45" s="85">
        <v>9.8566209999999987</v>
      </c>
      <c r="BA45" s="85"/>
      <c r="BB45" s="85"/>
      <c r="BC45" s="85"/>
      <c r="BD45" s="85"/>
      <c r="BE45" s="327">
        <f t="shared" si="73"/>
        <v>0.06</v>
      </c>
      <c r="BF45" s="49"/>
      <c r="BG45" s="49">
        <f t="shared" si="75"/>
        <v>0.68</v>
      </c>
      <c r="BH45" s="49"/>
      <c r="BI45" s="49"/>
      <c r="BJ45" s="49"/>
      <c r="BM45" s="214">
        <f t="shared" si="17"/>
        <v>0</v>
      </c>
      <c r="BN45" s="214">
        <f t="shared" si="18"/>
        <v>12.363918</v>
      </c>
      <c r="BO45" s="214">
        <f t="shared" si="19"/>
        <v>0</v>
      </c>
      <c r="BP45" s="214">
        <f t="shared" si="20"/>
        <v>0</v>
      </c>
      <c r="BQ45" s="214">
        <f t="shared" si="38"/>
        <v>0</v>
      </c>
      <c r="BS45" s="49">
        <f t="shared" si="110"/>
        <v>0</v>
      </c>
      <c r="BT45" s="49">
        <f t="shared" si="110"/>
        <v>2.5072970000000012</v>
      </c>
      <c r="BU45" s="49">
        <f t="shared" si="110"/>
        <v>0</v>
      </c>
      <c r="BV45" s="49">
        <f t="shared" si="110"/>
        <v>0</v>
      </c>
      <c r="BW45" s="49">
        <f t="shared" si="110"/>
        <v>0</v>
      </c>
    </row>
    <row r="46" spans="2:75">
      <c r="B46" s="32">
        <v>2</v>
      </c>
      <c r="C46" s="511" t="s">
        <v>97</v>
      </c>
      <c r="D46" s="32">
        <v>532</v>
      </c>
      <c r="E46" s="512">
        <v>92</v>
      </c>
      <c r="F46" s="67"/>
      <c r="G46" s="67" t="str">
        <f t="shared" si="107"/>
        <v>042532</v>
      </c>
      <c r="H46" s="40"/>
      <c r="I46" t="s">
        <v>105</v>
      </c>
      <c r="J46" t="s">
        <v>113</v>
      </c>
      <c r="K46" s="54" t="s">
        <v>111</v>
      </c>
      <c r="L46" s="84">
        <v>436</v>
      </c>
      <c r="M46" s="64">
        <f t="shared" si="108"/>
        <v>0</v>
      </c>
      <c r="N46" s="64">
        <f t="shared" si="108"/>
        <v>13</v>
      </c>
      <c r="O46" s="64">
        <f t="shared" si="108"/>
        <v>0</v>
      </c>
      <c r="P46" s="64">
        <f t="shared" si="108"/>
        <v>0</v>
      </c>
      <c r="Q46" s="64">
        <f t="shared" si="108"/>
        <v>0</v>
      </c>
      <c r="R46" s="64">
        <f t="shared" si="94"/>
        <v>0</v>
      </c>
      <c r="S46" s="337">
        <v>0</v>
      </c>
      <c r="T46" s="337">
        <v>17.28</v>
      </c>
      <c r="U46" s="337">
        <v>0</v>
      </c>
      <c r="V46" s="337">
        <v>0</v>
      </c>
      <c r="W46" s="337">
        <v>0</v>
      </c>
      <c r="Y46" s="65">
        <f>IF(AND(M46&lt;&gt;0,S46=0),#VALUE!,M46*S46)</f>
        <v>0</v>
      </c>
      <c r="Z46" s="65">
        <f>IF(AND(N46&lt;&gt;0,T46=0),#VALUE!,N46*T46)</f>
        <v>224.64000000000001</v>
      </c>
      <c r="AA46" s="65">
        <f>IF(AND(O46&lt;&gt;0,U46=0),#VALUE!,O46*U46)</f>
        <v>0</v>
      </c>
      <c r="AB46" s="65">
        <f>IF(AND(P46&lt;&gt;0,V46=0),#VALUE!,P46*V46)</f>
        <v>0</v>
      </c>
      <c r="AC46" s="65">
        <f>IF(AND(Q46&lt;&gt;0,W46=0),#VALUE!,Q46*W46)</f>
        <v>0</v>
      </c>
      <c r="AE46" s="64">
        <f t="shared" si="111"/>
        <v>0</v>
      </c>
      <c r="AF46" s="64">
        <f t="shared" si="111"/>
        <v>13</v>
      </c>
      <c r="AG46" s="64">
        <f t="shared" si="111"/>
        <v>0</v>
      </c>
      <c r="AH46" s="64">
        <f t="shared" si="111"/>
        <v>0</v>
      </c>
      <c r="AI46" s="64">
        <f t="shared" si="111"/>
        <v>0</v>
      </c>
      <c r="AK46" s="74">
        <f t="shared" si="76"/>
        <v>0</v>
      </c>
      <c r="AL46" s="74">
        <f>ROUND(T46*(1+AL$1),2)</f>
        <v>19.38</v>
      </c>
      <c r="AM46" s="74">
        <f t="shared" si="77"/>
        <v>0</v>
      </c>
      <c r="AN46" s="74">
        <f t="shared" si="78"/>
        <v>0</v>
      </c>
      <c r="AO46" s="74">
        <f t="shared" si="79"/>
        <v>0</v>
      </c>
      <c r="AQ46" s="65">
        <f t="shared" si="82"/>
        <v>0</v>
      </c>
      <c r="AR46" s="65">
        <f t="shared" si="95"/>
        <v>251.94</v>
      </c>
      <c r="AS46" s="65">
        <f t="shared" si="84"/>
        <v>0</v>
      </c>
      <c r="AT46" s="65">
        <f t="shared" si="85"/>
        <v>0</v>
      </c>
      <c r="AU46" s="65">
        <f t="shared" si="86"/>
        <v>0</v>
      </c>
      <c r="AV46" s="65">
        <f t="shared" si="96"/>
        <v>27.299999999999983</v>
      </c>
      <c r="AW46" s="306">
        <f t="shared" si="97"/>
        <v>0.12152777777777769</v>
      </c>
      <c r="AX46" s="299">
        <v>40</v>
      </c>
      <c r="AY46" s="85"/>
      <c r="AZ46" s="85">
        <v>17.195793999999999</v>
      </c>
      <c r="BA46" s="85"/>
      <c r="BB46" s="85"/>
      <c r="BC46" s="85"/>
      <c r="BD46" s="85"/>
      <c r="BE46" s="327">
        <f t="shared" si="73"/>
        <v>9.000000000000008E-2</v>
      </c>
      <c r="BF46" s="49"/>
      <c r="BG46" s="49">
        <f t="shared" si="75"/>
        <v>0.44</v>
      </c>
      <c r="BH46" s="49"/>
      <c r="BI46" s="49"/>
      <c r="BJ46" s="49"/>
      <c r="BM46" s="214">
        <f t="shared" si="17"/>
        <v>0</v>
      </c>
      <c r="BN46" s="214">
        <f t="shared" si="18"/>
        <v>19.672637999999996</v>
      </c>
      <c r="BO46" s="214">
        <f t="shared" si="19"/>
        <v>0</v>
      </c>
      <c r="BP46" s="214">
        <f t="shared" si="20"/>
        <v>0</v>
      </c>
      <c r="BQ46" s="214">
        <f t="shared" si="38"/>
        <v>0</v>
      </c>
      <c r="BS46" s="49">
        <f>BM46-AY46</f>
        <v>0</v>
      </c>
      <c r="BT46" s="49">
        <f>BN46-AZ46</f>
        <v>2.4768439999999963</v>
      </c>
      <c r="BU46" s="49">
        <f>BO46-BA46</f>
        <v>0</v>
      </c>
      <c r="BV46" s="49">
        <f>BP46-BB46</f>
        <v>0</v>
      </c>
      <c r="BW46" s="49">
        <f>BQ46-BC46</f>
        <v>0</v>
      </c>
    </row>
    <row r="47" spans="2:75">
      <c r="B47" s="32">
        <v>2</v>
      </c>
      <c r="C47" s="511" t="s">
        <v>97</v>
      </c>
      <c r="D47" s="32" t="s">
        <v>509</v>
      </c>
      <c r="E47" s="512">
        <v>714</v>
      </c>
      <c r="F47" s="67"/>
      <c r="G47" s="67" t="str">
        <f t="shared" si="107"/>
        <v>042532L</v>
      </c>
      <c r="H47" s="40"/>
      <c r="I47" s="41" t="s">
        <v>606</v>
      </c>
      <c r="J47" t="s">
        <v>113</v>
      </c>
      <c r="K47" s="54" t="s">
        <v>109</v>
      </c>
      <c r="L47" s="84" t="s">
        <v>499</v>
      </c>
      <c r="M47" s="64">
        <f t="shared" si="108"/>
        <v>0</v>
      </c>
      <c r="N47" s="64">
        <f t="shared" si="108"/>
        <v>147</v>
      </c>
      <c r="O47" s="64">
        <f t="shared" si="108"/>
        <v>0</v>
      </c>
      <c r="P47" s="64">
        <f t="shared" si="108"/>
        <v>0</v>
      </c>
      <c r="Q47" s="64">
        <f t="shared" si="108"/>
        <v>0</v>
      </c>
      <c r="R47" s="64">
        <f t="shared" si="94"/>
        <v>0</v>
      </c>
      <c r="S47" s="337">
        <v>0</v>
      </c>
      <c r="T47" s="349">
        <v>17.28</v>
      </c>
      <c r="U47" s="337">
        <v>0</v>
      </c>
      <c r="V47" s="337">
        <v>0</v>
      </c>
      <c r="W47" s="337">
        <v>0</v>
      </c>
      <c r="Y47" s="65">
        <f t="shared" ref="Y47:AC48" si="112">IF(AND(M47&lt;&gt;0,S47=0),#VALUE!,M47*S47)</f>
        <v>0</v>
      </c>
      <c r="Z47" s="65">
        <f t="shared" si="112"/>
        <v>2540.1600000000003</v>
      </c>
      <c r="AA47" s="65">
        <f t="shared" si="112"/>
        <v>0</v>
      </c>
      <c r="AB47" s="65">
        <f t="shared" si="112"/>
        <v>0</v>
      </c>
      <c r="AC47" s="65">
        <f t="shared" si="112"/>
        <v>0</v>
      </c>
      <c r="AE47" s="64">
        <f>SUMIF($G:$G,TEXT(AE$3,"000")&amp;TEXT($L47,"000"),$E:$E)</f>
        <v>0</v>
      </c>
      <c r="AF47" s="64">
        <f>SUMIF($G:$G,TEXT(AF$3,"000")&amp;TEXT($L47,"000"),$E:$E)</f>
        <v>147</v>
      </c>
      <c r="AG47" s="64">
        <f>SUMIF($G:$G,TEXT(AG$3,"000")&amp;TEXT($L47,"000"),$E:$E)</f>
        <v>0</v>
      </c>
      <c r="AH47" s="64">
        <f>SUMIF($G:$G,TEXT(AH$3,"000")&amp;TEXT($L47,"000"),$E:$E)</f>
        <v>0</v>
      </c>
      <c r="AI47" s="64">
        <f>SUMIF($G:$G,TEXT(AI$3,"000")&amp;TEXT($L47,"000"),$E:$E)</f>
        <v>0</v>
      </c>
      <c r="AK47" s="74">
        <f t="shared" si="76"/>
        <v>0</v>
      </c>
      <c r="AL47" s="74">
        <f>AL46</f>
        <v>19.38</v>
      </c>
      <c r="AM47" s="74">
        <f t="shared" si="77"/>
        <v>0</v>
      </c>
      <c r="AN47" s="74">
        <f t="shared" si="78"/>
        <v>0</v>
      </c>
      <c r="AO47" s="74">
        <f t="shared" si="79"/>
        <v>0</v>
      </c>
      <c r="AQ47" s="65">
        <f t="shared" si="82"/>
        <v>0</v>
      </c>
      <c r="AR47" s="65">
        <f t="shared" si="95"/>
        <v>2848.8599999999997</v>
      </c>
      <c r="AS47" s="65">
        <f t="shared" si="84"/>
        <v>0</v>
      </c>
      <c r="AT47" s="65">
        <f t="shared" si="85"/>
        <v>0</v>
      </c>
      <c r="AU47" s="65">
        <f t="shared" si="86"/>
        <v>0</v>
      </c>
      <c r="AV47" s="65">
        <f t="shared" si="96"/>
        <v>308.69999999999936</v>
      </c>
      <c r="AW47" s="306">
        <f t="shared" si="97"/>
        <v>0.12152777777777751</v>
      </c>
      <c r="AX47" s="299">
        <v>26</v>
      </c>
      <c r="AY47" s="85"/>
      <c r="AZ47" s="85">
        <v>17.195793999999999</v>
      </c>
      <c r="BA47" s="85"/>
      <c r="BB47" s="85"/>
      <c r="BC47" s="85"/>
      <c r="BD47" s="85"/>
      <c r="BE47" s="327">
        <f t="shared" si="73"/>
        <v>0.06</v>
      </c>
      <c r="BF47" s="49"/>
      <c r="BG47" s="49">
        <f t="shared" si="75"/>
        <v>0.41</v>
      </c>
      <c r="BH47" s="49"/>
      <c r="BI47" s="49"/>
      <c r="BJ47" s="49"/>
      <c r="BM47" s="214">
        <f t="shared" si="17"/>
        <v>0</v>
      </c>
      <c r="BN47" s="214">
        <f t="shared" si="18"/>
        <v>19.672637999999996</v>
      </c>
      <c r="BO47" s="214">
        <f t="shared" si="19"/>
        <v>0</v>
      </c>
      <c r="BP47" s="214">
        <f t="shared" si="20"/>
        <v>0</v>
      </c>
      <c r="BQ47" s="214">
        <f t="shared" si="38"/>
        <v>0</v>
      </c>
      <c r="BS47" s="49">
        <f t="shared" ref="BS47:BW48" si="113">BM47-AY47</f>
        <v>0</v>
      </c>
      <c r="BT47" s="49">
        <f t="shared" si="113"/>
        <v>2.4768439999999963</v>
      </c>
      <c r="BU47" s="49">
        <f t="shared" si="113"/>
        <v>0</v>
      </c>
      <c r="BV47" s="49">
        <f t="shared" si="113"/>
        <v>0</v>
      </c>
      <c r="BW47" s="49">
        <f t="shared" si="113"/>
        <v>0</v>
      </c>
    </row>
    <row r="48" spans="2:75">
      <c r="B48" s="32">
        <v>2</v>
      </c>
      <c r="C48" s="511" t="s">
        <v>97</v>
      </c>
      <c r="D48" s="32" t="s">
        <v>604</v>
      </c>
      <c r="E48" s="512">
        <v>150</v>
      </c>
      <c r="F48" s="67"/>
      <c r="G48" s="67" t="str">
        <f t="shared" si="107"/>
        <v>042532T</v>
      </c>
      <c r="H48" s="40"/>
      <c r="I48" t="s">
        <v>606</v>
      </c>
      <c r="J48" t="s">
        <v>113</v>
      </c>
      <c r="K48" s="54" t="s">
        <v>109</v>
      </c>
      <c r="L48" s="84" t="s">
        <v>602</v>
      </c>
      <c r="M48" s="64">
        <f t="shared" si="108"/>
        <v>0</v>
      </c>
      <c r="N48" s="64">
        <f t="shared" si="108"/>
        <v>280</v>
      </c>
      <c r="O48" s="64">
        <f t="shared" si="108"/>
        <v>0</v>
      </c>
      <c r="P48" s="64">
        <f t="shared" si="108"/>
        <v>0</v>
      </c>
      <c r="Q48" s="64">
        <f t="shared" si="108"/>
        <v>0</v>
      </c>
      <c r="R48" s="64">
        <f t="shared" si="94"/>
        <v>0</v>
      </c>
      <c r="S48" s="337">
        <v>0</v>
      </c>
      <c r="T48" s="349">
        <v>12.360000000000001</v>
      </c>
      <c r="U48" s="337">
        <v>0</v>
      </c>
      <c r="V48" s="337">
        <v>0</v>
      </c>
      <c r="W48" s="337">
        <v>0</v>
      </c>
      <c r="Y48" s="65">
        <f t="shared" si="112"/>
        <v>0</v>
      </c>
      <c r="Z48" s="65">
        <f t="shared" si="112"/>
        <v>3460.8</v>
      </c>
      <c r="AA48" s="65">
        <f t="shared" si="112"/>
        <v>0</v>
      </c>
      <c r="AB48" s="65">
        <f t="shared" si="112"/>
        <v>0</v>
      </c>
      <c r="AC48" s="65">
        <f t="shared" si="112"/>
        <v>0</v>
      </c>
      <c r="AE48" s="64">
        <f>M48</f>
        <v>0</v>
      </c>
      <c r="AF48" s="64">
        <f>N48</f>
        <v>280</v>
      </c>
      <c r="AG48" s="64">
        <f>O48</f>
        <v>0</v>
      </c>
      <c r="AH48" s="64">
        <f>P48</f>
        <v>0</v>
      </c>
      <c r="AI48" s="64">
        <f>Q48</f>
        <v>0</v>
      </c>
      <c r="AK48" s="74">
        <f t="shared" si="76"/>
        <v>0</v>
      </c>
      <c r="AL48" s="74">
        <f>AL47-AL102</f>
        <v>14.459999999999999</v>
      </c>
      <c r="AM48" s="74">
        <f t="shared" si="77"/>
        <v>0</v>
      </c>
      <c r="AN48" s="74">
        <f t="shared" si="78"/>
        <v>0</v>
      </c>
      <c r="AO48" s="74">
        <f t="shared" si="79"/>
        <v>0</v>
      </c>
      <c r="AQ48" s="65">
        <f t="shared" si="82"/>
        <v>0</v>
      </c>
      <c r="AR48" s="65">
        <f t="shared" si="95"/>
        <v>4048.7999999999997</v>
      </c>
      <c r="AS48" s="65">
        <f t="shared" si="84"/>
        <v>0</v>
      </c>
      <c r="AT48" s="65">
        <f t="shared" si="85"/>
        <v>0</v>
      </c>
      <c r="AU48" s="65">
        <f t="shared" si="86"/>
        <v>0</v>
      </c>
      <c r="AV48" s="65">
        <f t="shared" si="96"/>
        <v>587.99999999999955</v>
      </c>
      <c r="AW48" s="306">
        <f t="shared" si="97"/>
        <v>0.16990291262135909</v>
      </c>
      <c r="AX48" s="299">
        <v>26</v>
      </c>
      <c r="AY48" s="85"/>
      <c r="AZ48" s="85">
        <v>11.886820999999999</v>
      </c>
      <c r="BA48" s="85"/>
      <c r="BB48" s="85"/>
      <c r="BC48" s="85"/>
      <c r="BD48" s="85"/>
      <c r="BE48" s="327">
        <f t="shared" si="73"/>
        <v>0.06</v>
      </c>
      <c r="BF48" s="49"/>
      <c r="BG48" s="49">
        <f t="shared" si="75"/>
        <v>0.72</v>
      </c>
      <c r="BH48" s="49"/>
      <c r="BI48" s="49"/>
      <c r="BJ48" s="49"/>
      <c r="BM48" s="214">
        <f t="shared" si="17"/>
        <v>0</v>
      </c>
      <c r="BN48" s="214">
        <f t="shared" si="18"/>
        <v>14.678345999999998</v>
      </c>
      <c r="BO48" s="214">
        <f t="shared" si="19"/>
        <v>0</v>
      </c>
      <c r="BP48" s="214">
        <f t="shared" si="20"/>
        <v>0</v>
      </c>
      <c r="BQ48" s="214">
        <f t="shared" si="38"/>
        <v>0</v>
      </c>
      <c r="BS48" s="49">
        <f t="shared" si="113"/>
        <v>0</v>
      </c>
      <c r="BT48" s="49">
        <f t="shared" si="113"/>
        <v>2.7915249999999983</v>
      </c>
      <c r="BU48" s="49">
        <f t="shared" si="113"/>
        <v>0</v>
      </c>
      <c r="BV48" s="49">
        <f t="shared" si="113"/>
        <v>0</v>
      </c>
      <c r="BW48" s="49">
        <f t="shared" si="113"/>
        <v>0</v>
      </c>
    </row>
    <row r="49" spans="2:75">
      <c r="B49" s="32">
        <v>2</v>
      </c>
      <c r="C49" s="511" t="s">
        <v>97</v>
      </c>
      <c r="D49" s="32">
        <v>533</v>
      </c>
      <c r="E49" s="512">
        <v>8</v>
      </c>
      <c r="F49" s="67"/>
      <c r="G49" s="67" t="str">
        <f t="shared" si="107"/>
        <v>042533</v>
      </c>
      <c r="H49" s="40"/>
      <c r="I49" t="s">
        <v>114</v>
      </c>
      <c r="J49" t="s">
        <v>84</v>
      </c>
      <c r="K49" s="54" t="s">
        <v>115</v>
      </c>
      <c r="L49" s="84">
        <v>438</v>
      </c>
      <c r="M49" s="64">
        <f t="shared" si="108"/>
        <v>0</v>
      </c>
      <c r="N49" s="64">
        <f t="shared" si="108"/>
        <v>11</v>
      </c>
      <c r="O49" s="64">
        <f t="shared" si="108"/>
        <v>0</v>
      </c>
      <c r="P49" s="64">
        <f t="shared" si="108"/>
        <v>0</v>
      </c>
      <c r="Q49" s="64">
        <f t="shared" si="108"/>
        <v>0</v>
      </c>
      <c r="R49" s="64">
        <f t="shared" ref="R49:R78" si="114">IF(SUM(M49:Q49)&gt;0,0,1)</f>
        <v>0</v>
      </c>
      <c r="S49" s="337">
        <v>0</v>
      </c>
      <c r="T49" s="337">
        <v>16.05</v>
      </c>
      <c r="U49" s="337">
        <v>0</v>
      </c>
      <c r="V49" s="337">
        <v>0</v>
      </c>
      <c r="W49" s="337">
        <v>0</v>
      </c>
      <c r="Y49" s="65">
        <f>IF(AND(M49&lt;&gt;0,S49=0),#VALUE!,M49*S49)</f>
        <v>0</v>
      </c>
      <c r="Z49" s="65">
        <f>IF(AND(N49&lt;&gt;0,T49=0),#VALUE!,N49*T49)</f>
        <v>176.55</v>
      </c>
      <c r="AA49" s="65">
        <f>IF(AND(O49&lt;&gt;0,U49=0),#VALUE!,O49*U49)</f>
        <v>0</v>
      </c>
      <c r="AB49" s="65">
        <f>IF(AND(P49&lt;&gt;0,V49=0),#VALUE!,P49*V49)</f>
        <v>0</v>
      </c>
      <c r="AC49" s="65">
        <f>IF(AND(Q49&lt;&gt;0,W49=0),#VALUE!,Q49*W49)</f>
        <v>0</v>
      </c>
      <c r="AE49" s="64">
        <f>M49</f>
        <v>0</v>
      </c>
      <c r="AF49" s="64">
        <f t="shared" ref="AF49:AI49" si="115">N49</f>
        <v>11</v>
      </c>
      <c r="AG49" s="64">
        <f t="shared" si="115"/>
        <v>0</v>
      </c>
      <c r="AH49" s="64">
        <f t="shared" si="115"/>
        <v>0</v>
      </c>
      <c r="AI49" s="64">
        <f t="shared" si="115"/>
        <v>0</v>
      </c>
      <c r="AK49" s="74">
        <f t="shared" si="76"/>
        <v>0</v>
      </c>
      <c r="AL49" s="74">
        <f>ROUND(T49*(1+AL$1),2)</f>
        <v>18</v>
      </c>
      <c r="AM49" s="74">
        <f t="shared" si="77"/>
        <v>0</v>
      </c>
      <c r="AN49" s="74">
        <f t="shared" si="78"/>
        <v>0</v>
      </c>
      <c r="AO49" s="74">
        <f t="shared" si="79"/>
        <v>0</v>
      </c>
      <c r="AQ49" s="65">
        <f t="shared" si="82"/>
        <v>0</v>
      </c>
      <c r="AR49" s="65">
        <f t="shared" si="95"/>
        <v>198</v>
      </c>
      <c r="AS49" s="65">
        <f t="shared" si="84"/>
        <v>0</v>
      </c>
      <c r="AT49" s="65">
        <f t="shared" si="85"/>
        <v>0</v>
      </c>
      <c r="AU49" s="65">
        <f t="shared" si="86"/>
        <v>0</v>
      </c>
      <c r="AV49" s="65">
        <f t="shared" si="96"/>
        <v>21.449999999999989</v>
      </c>
      <c r="AW49" s="306">
        <f t="shared" si="97"/>
        <v>0.12149532710280367</v>
      </c>
      <c r="AX49" s="299">
        <v>40</v>
      </c>
      <c r="AY49" s="85"/>
      <c r="AZ49" s="85">
        <v>15.977673999999999</v>
      </c>
      <c r="BA49" s="85"/>
      <c r="BB49" s="85"/>
      <c r="BC49" s="85"/>
      <c r="BD49" s="85"/>
      <c r="BE49" s="327">
        <f t="shared" si="73"/>
        <v>9.000000000000008E-2</v>
      </c>
      <c r="BF49" s="49"/>
      <c r="BG49" s="49">
        <f t="shared" si="75"/>
        <v>0.4</v>
      </c>
      <c r="BH49" s="49"/>
      <c r="BI49" s="49"/>
      <c r="BJ49" s="49"/>
      <c r="BM49" s="214">
        <f t="shared" si="17"/>
        <v>0</v>
      </c>
      <c r="BN49" s="214">
        <f t="shared" si="18"/>
        <v>18.271799999999999</v>
      </c>
      <c r="BO49" s="214">
        <f t="shared" si="19"/>
        <v>0</v>
      </c>
      <c r="BP49" s="214">
        <f t="shared" si="20"/>
        <v>0</v>
      </c>
      <c r="BQ49" s="214">
        <f t="shared" si="38"/>
        <v>0</v>
      </c>
      <c r="BS49" s="49">
        <f>BM49-AY49</f>
        <v>0</v>
      </c>
      <c r="BT49" s="49">
        <f>BN49-AZ49</f>
        <v>2.2941260000000003</v>
      </c>
      <c r="BU49" s="49">
        <f>BO49-BA49</f>
        <v>0</v>
      </c>
      <c r="BV49" s="49">
        <f>BP49-BB49</f>
        <v>0</v>
      </c>
      <c r="BW49" s="49">
        <f>BQ49-BC49</f>
        <v>0</v>
      </c>
    </row>
    <row r="50" spans="2:75">
      <c r="B50" s="32">
        <v>2</v>
      </c>
      <c r="C50" s="511" t="s">
        <v>97</v>
      </c>
      <c r="D50" s="32" t="s">
        <v>510</v>
      </c>
      <c r="E50" s="512">
        <v>53</v>
      </c>
      <c r="F50" s="67"/>
      <c r="G50" s="67" t="str">
        <f t="shared" si="107"/>
        <v>042533L</v>
      </c>
      <c r="H50" s="40"/>
      <c r="I50" s="41" t="s">
        <v>610</v>
      </c>
      <c r="J50" s="41" t="s">
        <v>675</v>
      </c>
      <c r="K50" s="54" t="s">
        <v>109</v>
      </c>
      <c r="L50" s="84" t="s">
        <v>501</v>
      </c>
      <c r="M50" s="64">
        <f t="shared" si="108"/>
        <v>0</v>
      </c>
      <c r="N50" s="64">
        <f t="shared" si="108"/>
        <v>14</v>
      </c>
      <c r="O50" s="64">
        <f t="shared" si="108"/>
        <v>0</v>
      </c>
      <c r="P50" s="64">
        <f t="shared" si="108"/>
        <v>0</v>
      </c>
      <c r="Q50" s="64">
        <f t="shared" si="108"/>
        <v>0</v>
      </c>
      <c r="R50" s="64">
        <f t="shared" si="114"/>
        <v>0</v>
      </c>
      <c r="S50" s="337">
        <v>0</v>
      </c>
      <c r="T50" s="337">
        <v>29.23</v>
      </c>
      <c r="U50" s="337">
        <v>0</v>
      </c>
      <c r="V50" s="337">
        <v>0</v>
      </c>
      <c r="W50" s="337">
        <v>0</v>
      </c>
      <c r="Y50" s="65">
        <f t="shared" ref="Y50:AC51" si="116">IF(AND(M50&lt;&gt;0,S50=0),#VALUE!,M50*S50)</f>
        <v>0</v>
      </c>
      <c r="Z50" s="65">
        <f t="shared" si="116"/>
        <v>409.22</v>
      </c>
      <c r="AA50" s="65">
        <f t="shared" si="116"/>
        <v>0</v>
      </c>
      <c r="AB50" s="65">
        <f t="shared" si="116"/>
        <v>0</v>
      </c>
      <c r="AC50" s="65">
        <f t="shared" si="116"/>
        <v>0</v>
      </c>
      <c r="AE50" s="64">
        <f t="shared" ref="AE50:AI51" si="117">SUMIF($G:$G,TEXT(AE$3,"000")&amp;TEXT($L50,"000"),$E:$E)</f>
        <v>0</v>
      </c>
      <c r="AF50" s="64">
        <f t="shared" si="117"/>
        <v>14</v>
      </c>
      <c r="AG50" s="64">
        <f t="shared" si="117"/>
        <v>0</v>
      </c>
      <c r="AH50" s="64">
        <f t="shared" si="117"/>
        <v>0</v>
      </c>
      <c r="AI50" s="64">
        <f t="shared" si="117"/>
        <v>0</v>
      </c>
      <c r="AK50" s="74">
        <f t="shared" si="76"/>
        <v>0</v>
      </c>
      <c r="AL50" s="74">
        <f>ROUND(T50*(1+AL$1),2)</f>
        <v>32.79</v>
      </c>
      <c r="AM50" s="74">
        <f t="shared" si="77"/>
        <v>0</v>
      </c>
      <c r="AN50" s="74">
        <f t="shared" si="78"/>
        <v>0</v>
      </c>
      <c r="AO50" s="74">
        <f t="shared" si="79"/>
        <v>0</v>
      </c>
      <c r="AQ50" s="65">
        <f t="shared" si="82"/>
        <v>0</v>
      </c>
      <c r="AR50" s="65">
        <f t="shared" si="95"/>
        <v>459.06</v>
      </c>
      <c r="AS50" s="65">
        <f t="shared" si="84"/>
        <v>0</v>
      </c>
      <c r="AT50" s="65">
        <f t="shared" si="85"/>
        <v>0</v>
      </c>
      <c r="AU50" s="65">
        <f t="shared" si="86"/>
        <v>0</v>
      </c>
      <c r="AV50" s="65">
        <f t="shared" si="96"/>
        <v>49.839999999999975</v>
      </c>
      <c r="AW50" s="306">
        <f t="shared" si="97"/>
        <v>0.121792678754704</v>
      </c>
      <c r="AX50" s="299">
        <v>52</v>
      </c>
      <c r="AY50" s="85"/>
      <c r="AZ50" s="85">
        <v>29.092765999999997</v>
      </c>
      <c r="BA50" s="85"/>
      <c r="BB50" s="85"/>
      <c r="BC50" s="85"/>
      <c r="BD50" s="85"/>
      <c r="BE50" s="327">
        <f t="shared" si="73"/>
        <v>0.10999999999999999</v>
      </c>
      <c r="BF50" s="49"/>
      <c r="BG50" s="49">
        <f t="shared" si="75"/>
        <v>0.69</v>
      </c>
      <c r="BH50" s="49"/>
      <c r="BI50" s="49"/>
      <c r="BJ50" s="49"/>
      <c r="BM50" s="214">
        <f t="shared" si="17"/>
        <v>0</v>
      </c>
      <c r="BN50" s="214">
        <f t="shared" si="18"/>
        <v>33.285128999999998</v>
      </c>
      <c r="BO50" s="214">
        <f t="shared" si="19"/>
        <v>0</v>
      </c>
      <c r="BP50" s="214">
        <f t="shared" si="20"/>
        <v>0</v>
      </c>
      <c r="BQ50" s="214">
        <f t="shared" si="38"/>
        <v>0</v>
      </c>
      <c r="BS50" s="49">
        <f t="shared" ref="BS50:BW51" si="118">BM50-AY50</f>
        <v>0</v>
      </c>
      <c r="BT50" s="49">
        <f t="shared" si="118"/>
        <v>4.1923630000000003</v>
      </c>
      <c r="BU50" s="49">
        <f t="shared" si="118"/>
        <v>0</v>
      </c>
      <c r="BV50" s="49">
        <f t="shared" si="118"/>
        <v>0</v>
      </c>
      <c r="BW50" s="49">
        <f t="shared" si="118"/>
        <v>0</v>
      </c>
    </row>
    <row r="51" spans="2:75">
      <c r="B51" s="32">
        <v>2</v>
      </c>
      <c r="C51" s="511" t="s">
        <v>97</v>
      </c>
      <c r="D51" s="32" t="s">
        <v>605</v>
      </c>
      <c r="E51" s="512">
        <f>45+1</f>
        <v>46</v>
      </c>
      <c r="F51" s="67"/>
      <c r="G51" s="67" t="str">
        <f t="shared" si="107"/>
        <v>042533T</v>
      </c>
      <c r="H51" s="476"/>
      <c r="I51" s="41" t="s">
        <v>610</v>
      </c>
      <c r="J51" s="41" t="s">
        <v>675</v>
      </c>
      <c r="K51" s="54" t="s">
        <v>109</v>
      </c>
      <c r="L51" s="84" t="s">
        <v>614</v>
      </c>
      <c r="M51" s="64">
        <f t="shared" si="108"/>
        <v>0</v>
      </c>
      <c r="N51" s="64">
        <f t="shared" si="108"/>
        <v>10</v>
      </c>
      <c r="O51" s="64">
        <f t="shared" si="108"/>
        <v>0</v>
      </c>
      <c r="P51" s="64">
        <f t="shared" si="108"/>
        <v>0</v>
      </c>
      <c r="Q51" s="64">
        <f t="shared" si="108"/>
        <v>0</v>
      </c>
      <c r="R51" s="64">
        <f t="shared" si="114"/>
        <v>0</v>
      </c>
      <c r="S51" s="337">
        <v>0</v>
      </c>
      <c r="T51" s="349">
        <v>19.39</v>
      </c>
      <c r="U51" s="337">
        <v>0</v>
      </c>
      <c r="V51" s="337">
        <v>0</v>
      </c>
      <c r="W51" s="337">
        <v>0</v>
      </c>
      <c r="Y51" s="65">
        <f t="shared" si="116"/>
        <v>0</v>
      </c>
      <c r="Z51" s="65">
        <f t="shared" si="116"/>
        <v>193.9</v>
      </c>
      <c r="AA51" s="65">
        <f t="shared" si="116"/>
        <v>0</v>
      </c>
      <c r="AB51" s="65">
        <f t="shared" si="116"/>
        <v>0</v>
      </c>
      <c r="AC51" s="65">
        <f t="shared" si="116"/>
        <v>0</v>
      </c>
      <c r="AE51" s="64">
        <f t="shared" si="117"/>
        <v>0</v>
      </c>
      <c r="AF51" s="64">
        <f t="shared" si="117"/>
        <v>10</v>
      </c>
      <c r="AG51" s="64">
        <f t="shared" si="117"/>
        <v>0</v>
      </c>
      <c r="AH51" s="64">
        <f t="shared" si="117"/>
        <v>0</v>
      </c>
      <c r="AI51" s="64">
        <f t="shared" si="117"/>
        <v>0</v>
      </c>
      <c r="AK51" s="74">
        <f t="shared" si="76"/>
        <v>0</v>
      </c>
      <c r="AL51" s="74">
        <f>AL50-AL102-AL102</f>
        <v>22.949999999999996</v>
      </c>
      <c r="AM51" s="74">
        <f t="shared" si="77"/>
        <v>0</v>
      </c>
      <c r="AN51" s="74">
        <f t="shared" si="78"/>
        <v>0</v>
      </c>
      <c r="AO51" s="74">
        <f t="shared" si="79"/>
        <v>0</v>
      </c>
      <c r="AQ51" s="65">
        <f t="shared" si="82"/>
        <v>0</v>
      </c>
      <c r="AR51" s="65">
        <f t="shared" si="95"/>
        <v>229.49999999999994</v>
      </c>
      <c r="AS51" s="65">
        <f t="shared" si="84"/>
        <v>0</v>
      </c>
      <c r="AT51" s="65">
        <f t="shared" si="85"/>
        <v>0</v>
      </c>
      <c r="AU51" s="65">
        <f t="shared" si="86"/>
        <v>0</v>
      </c>
      <c r="AV51" s="65">
        <f t="shared" si="96"/>
        <v>35.599999999999937</v>
      </c>
      <c r="AW51" s="306">
        <f t="shared" si="97"/>
        <v>0.18359979370809662</v>
      </c>
      <c r="AX51" s="299">
        <v>52</v>
      </c>
      <c r="AY51" s="85"/>
      <c r="AZ51" s="85">
        <v>18.474819999999998</v>
      </c>
      <c r="BA51" s="85"/>
      <c r="BB51" s="85"/>
      <c r="BC51" s="85"/>
      <c r="BD51" s="85"/>
      <c r="BE51" s="327">
        <f t="shared" si="73"/>
        <v>0.10999999999999999</v>
      </c>
      <c r="BF51" s="49"/>
      <c r="BG51" s="49">
        <f t="shared" si="75"/>
        <v>1.32</v>
      </c>
      <c r="BH51" s="49"/>
      <c r="BI51" s="49"/>
      <c r="BJ51" s="49"/>
      <c r="BM51" s="214">
        <f t="shared" si="17"/>
        <v>0</v>
      </c>
      <c r="BN51" s="214">
        <f t="shared" si="18"/>
        <v>23.296544999999995</v>
      </c>
      <c r="BO51" s="214">
        <f t="shared" si="19"/>
        <v>0</v>
      </c>
      <c r="BP51" s="214">
        <f t="shared" si="20"/>
        <v>0</v>
      </c>
      <c r="BQ51" s="214">
        <f t="shared" si="38"/>
        <v>0</v>
      </c>
      <c r="BS51" s="49">
        <f t="shared" si="118"/>
        <v>0</v>
      </c>
      <c r="BT51" s="49">
        <f t="shared" si="118"/>
        <v>4.8217249999999972</v>
      </c>
      <c r="BU51" s="49">
        <f t="shared" si="118"/>
        <v>0</v>
      </c>
      <c r="BV51" s="49">
        <f t="shared" si="118"/>
        <v>0</v>
      </c>
      <c r="BW51" s="49">
        <f t="shared" si="118"/>
        <v>0</v>
      </c>
    </row>
    <row r="52" spans="2:75">
      <c r="B52" s="32">
        <v>2</v>
      </c>
      <c r="C52" s="511" t="s">
        <v>97</v>
      </c>
      <c r="D52" s="32">
        <v>535</v>
      </c>
      <c r="E52" s="512">
        <v>88</v>
      </c>
      <c r="F52" s="67"/>
      <c r="G52" s="67" t="str">
        <f t="shared" si="107"/>
        <v>042535</v>
      </c>
      <c r="H52" s="40"/>
      <c r="I52" t="s">
        <v>114</v>
      </c>
      <c r="J52" t="s">
        <v>87</v>
      </c>
      <c r="K52" s="54" t="s">
        <v>117</v>
      </c>
      <c r="L52" s="84">
        <v>474</v>
      </c>
      <c r="M52" s="64">
        <f t="shared" si="108"/>
        <v>0</v>
      </c>
      <c r="N52" s="64">
        <f t="shared" si="108"/>
        <v>83</v>
      </c>
      <c r="O52" s="64">
        <f t="shared" si="108"/>
        <v>0</v>
      </c>
      <c r="P52" s="64">
        <f t="shared" si="108"/>
        <v>0</v>
      </c>
      <c r="Q52" s="64">
        <f t="shared" si="108"/>
        <v>0</v>
      </c>
      <c r="R52" s="64">
        <f t="shared" si="114"/>
        <v>0</v>
      </c>
      <c r="S52" s="337">
        <v>0</v>
      </c>
      <c r="T52" s="337">
        <v>27.98</v>
      </c>
      <c r="U52" s="337">
        <v>0</v>
      </c>
      <c r="V52" s="337">
        <v>0</v>
      </c>
      <c r="W52" s="337">
        <v>0</v>
      </c>
      <c r="Y52" s="65">
        <f t="shared" ref="Y52:AC55" si="119">IF(AND(M52&lt;&gt;0,S52=0),#VALUE!,M52*S52)</f>
        <v>0</v>
      </c>
      <c r="Z52" s="65">
        <f t="shared" si="119"/>
        <v>2322.34</v>
      </c>
      <c r="AA52" s="65">
        <f t="shared" si="119"/>
        <v>0</v>
      </c>
      <c r="AB52" s="65">
        <f t="shared" si="119"/>
        <v>0</v>
      </c>
      <c r="AC52" s="65">
        <f t="shared" si="119"/>
        <v>0</v>
      </c>
      <c r="AE52" s="64">
        <f>M52</f>
        <v>0</v>
      </c>
      <c r="AF52" s="64">
        <f>N52</f>
        <v>83</v>
      </c>
      <c r="AG52" s="64">
        <f>O52</f>
        <v>0</v>
      </c>
      <c r="AH52" s="64">
        <f>P52</f>
        <v>0</v>
      </c>
      <c r="AI52" s="64">
        <f>Q52</f>
        <v>0</v>
      </c>
      <c r="AK52" s="74">
        <f t="shared" si="76"/>
        <v>0</v>
      </c>
      <c r="AL52" s="74">
        <f>ROUND(T52*(1+AL$1),2)</f>
        <v>31.39</v>
      </c>
      <c r="AM52" s="74">
        <f t="shared" si="77"/>
        <v>0</v>
      </c>
      <c r="AN52" s="74">
        <f t="shared" si="78"/>
        <v>0</v>
      </c>
      <c r="AO52" s="74">
        <f t="shared" si="79"/>
        <v>0</v>
      </c>
      <c r="AQ52" s="65">
        <f t="shared" si="82"/>
        <v>0</v>
      </c>
      <c r="AR52" s="65">
        <f t="shared" ref="AR52:AR74" si="120">IF(AND(AF52&lt;&gt;0,AL52=0),#VALUE!,AF52*AL52)</f>
        <v>2605.37</v>
      </c>
      <c r="AS52" s="65">
        <f t="shared" ref="AS52:AU53" si="121">IF(AND(AG52&lt;&gt;0,AM52=0),#VALUE!,AG52*AM52)</f>
        <v>0</v>
      </c>
      <c r="AT52" s="65">
        <f t="shared" si="121"/>
        <v>0</v>
      </c>
      <c r="AU52" s="65">
        <f t="shared" si="121"/>
        <v>0</v>
      </c>
      <c r="AV52" s="65">
        <f t="shared" si="96"/>
        <v>283.02999999999975</v>
      </c>
      <c r="AW52" s="306">
        <f t="shared" si="97"/>
        <v>0.12187276626161532</v>
      </c>
      <c r="AX52" s="299">
        <v>40</v>
      </c>
      <c r="AY52" s="85"/>
      <c r="AZ52" s="85">
        <v>27.834042</v>
      </c>
      <c r="BA52" s="85"/>
      <c r="BB52" s="85"/>
      <c r="BC52" s="85"/>
      <c r="BD52" s="85"/>
      <c r="BE52" s="327">
        <f t="shared" si="73"/>
        <v>9.000000000000008E-2</v>
      </c>
      <c r="BF52" s="49"/>
      <c r="BG52" s="49">
        <f t="shared" si="75"/>
        <v>0.66</v>
      </c>
      <c r="BH52" s="49"/>
      <c r="BI52" s="49"/>
      <c r="BJ52" s="49"/>
      <c r="BM52" s="214">
        <f t="shared" si="17"/>
        <v>0</v>
      </c>
      <c r="BN52" s="214">
        <f t="shared" si="18"/>
        <v>31.863988999999997</v>
      </c>
      <c r="BO52" s="214">
        <f t="shared" si="19"/>
        <v>0</v>
      </c>
      <c r="BP52" s="214">
        <f t="shared" si="20"/>
        <v>0</v>
      </c>
      <c r="BQ52" s="214">
        <f t="shared" si="38"/>
        <v>0</v>
      </c>
      <c r="BS52" s="49">
        <f>BM52-AY52</f>
        <v>0</v>
      </c>
      <c r="BT52" s="49">
        <f>BN52-AZ52</f>
        <v>4.0299469999999964</v>
      </c>
      <c r="BU52" s="49">
        <f>BO52-BA52</f>
        <v>0</v>
      </c>
      <c r="BV52" s="49">
        <f>BP52-BB52</f>
        <v>0</v>
      </c>
      <c r="BW52" s="49">
        <f>BQ52-BC52</f>
        <v>0</v>
      </c>
    </row>
    <row r="53" spans="2:75">
      <c r="B53" s="32">
        <v>2</v>
      </c>
      <c r="C53" s="511" t="s">
        <v>97</v>
      </c>
      <c r="D53" s="32" t="s">
        <v>511</v>
      </c>
      <c r="E53" s="512">
        <f>865+1</f>
        <v>866</v>
      </c>
      <c r="F53" s="67"/>
      <c r="G53" s="67" t="str">
        <f t="shared" si="107"/>
        <v>042535L</v>
      </c>
      <c r="H53" s="476"/>
      <c r="I53" s="41" t="s">
        <v>613</v>
      </c>
      <c r="J53" t="s">
        <v>87</v>
      </c>
      <c r="K53" s="54" t="s">
        <v>505</v>
      </c>
      <c r="L53" s="84" t="s">
        <v>502</v>
      </c>
      <c r="M53" s="64">
        <f t="shared" si="108"/>
        <v>0</v>
      </c>
      <c r="N53" s="64">
        <f t="shared" si="108"/>
        <v>265</v>
      </c>
      <c r="O53" s="64">
        <f t="shared" si="108"/>
        <v>0</v>
      </c>
      <c r="P53" s="64">
        <f t="shared" si="108"/>
        <v>0</v>
      </c>
      <c r="Q53" s="64">
        <f t="shared" si="108"/>
        <v>0</v>
      </c>
      <c r="R53" s="64">
        <f t="shared" si="114"/>
        <v>0</v>
      </c>
      <c r="S53" s="337">
        <v>0</v>
      </c>
      <c r="T53" s="349">
        <v>27.98</v>
      </c>
      <c r="U53" s="337">
        <v>0</v>
      </c>
      <c r="V53" s="337">
        <v>0</v>
      </c>
      <c r="W53" s="337">
        <v>0</v>
      </c>
      <c r="Y53" s="65">
        <f t="shared" si="119"/>
        <v>0</v>
      </c>
      <c r="Z53" s="65">
        <f t="shared" si="119"/>
        <v>7414.7</v>
      </c>
      <c r="AA53" s="65">
        <f t="shared" si="119"/>
        <v>0</v>
      </c>
      <c r="AB53" s="65">
        <f t="shared" si="119"/>
        <v>0</v>
      </c>
      <c r="AC53" s="495">
        <f t="shared" si="119"/>
        <v>0</v>
      </c>
      <c r="AE53" s="64">
        <f>SUMIF($G:$G,TEXT(AE$3,"000")&amp;TEXT($L53,"000"),$E:$E)</f>
        <v>0</v>
      </c>
      <c r="AF53" s="64">
        <f>SUMIF($G:$G,TEXT(AF$3,"000")&amp;TEXT($L53,"000"),$E:$E)</f>
        <v>265</v>
      </c>
      <c r="AG53" s="64">
        <f>SUMIF($G:$G,TEXT(AG$3,"000")&amp;TEXT($L53,"000"),$E:$E)</f>
        <v>0</v>
      </c>
      <c r="AH53" s="64">
        <f>SUMIF($G:$G,TEXT(AH$3,"000")&amp;TEXT($L53,"000"),$E:$E)</f>
        <v>0</v>
      </c>
      <c r="AI53" s="64">
        <f>SUMIF($G:$G,TEXT(AI$3,"000")&amp;TEXT($L53,"000"),$E:$E)</f>
        <v>0</v>
      </c>
      <c r="AK53" s="74">
        <f t="shared" si="76"/>
        <v>0</v>
      </c>
      <c r="AL53" s="74">
        <f>AL52</f>
        <v>31.39</v>
      </c>
      <c r="AM53" s="74">
        <f t="shared" si="77"/>
        <v>0</v>
      </c>
      <c r="AN53" s="74">
        <f t="shared" si="78"/>
        <v>0</v>
      </c>
      <c r="AO53" s="74">
        <f t="shared" si="79"/>
        <v>0</v>
      </c>
      <c r="AQ53" s="65">
        <f t="shared" si="82"/>
        <v>0</v>
      </c>
      <c r="AR53" s="65">
        <f t="shared" si="120"/>
        <v>8318.35</v>
      </c>
      <c r="AS53" s="65">
        <f t="shared" si="121"/>
        <v>0</v>
      </c>
      <c r="AT53" s="65">
        <f t="shared" si="121"/>
        <v>0</v>
      </c>
      <c r="AU53" s="65">
        <f t="shared" si="121"/>
        <v>0</v>
      </c>
      <c r="AV53" s="65">
        <f t="shared" si="96"/>
        <v>903.65000000000055</v>
      </c>
      <c r="AW53" s="306">
        <f t="shared" si="97"/>
        <v>0.12187276626161551</v>
      </c>
      <c r="AX53" s="299">
        <v>26</v>
      </c>
      <c r="AY53" s="85"/>
      <c r="AZ53" s="85">
        <v>27.834042</v>
      </c>
      <c r="BA53" s="85"/>
      <c r="BB53" s="85"/>
      <c r="BC53" s="85"/>
      <c r="BD53" s="85"/>
      <c r="BE53" s="327">
        <f t="shared" si="73"/>
        <v>0.06</v>
      </c>
      <c r="BF53" s="49"/>
      <c r="BG53" s="49">
        <f t="shared" si="75"/>
        <v>0.63</v>
      </c>
      <c r="BH53" s="49"/>
      <c r="BI53" s="49"/>
      <c r="BJ53" s="49"/>
      <c r="BM53" s="214">
        <f t="shared" si="17"/>
        <v>0</v>
      </c>
      <c r="BN53" s="214">
        <f t="shared" si="18"/>
        <v>31.863988999999997</v>
      </c>
      <c r="BO53" s="214">
        <f t="shared" si="19"/>
        <v>0</v>
      </c>
      <c r="BP53" s="214">
        <f t="shared" si="20"/>
        <v>0</v>
      </c>
      <c r="BQ53" s="214">
        <f t="shared" si="38"/>
        <v>0</v>
      </c>
      <c r="BS53" s="49">
        <f t="shared" ref="BS53:BW53" si="122">BM53-AY53</f>
        <v>0</v>
      </c>
      <c r="BT53" s="49">
        <f t="shared" si="122"/>
        <v>4.0299469999999964</v>
      </c>
      <c r="BU53" s="49">
        <f t="shared" si="122"/>
        <v>0</v>
      </c>
      <c r="BV53" s="49">
        <f t="shared" si="122"/>
        <v>0</v>
      </c>
      <c r="BW53" s="49">
        <f t="shared" si="122"/>
        <v>0</v>
      </c>
    </row>
    <row r="54" spans="2:75">
      <c r="B54" s="32">
        <v>2</v>
      </c>
      <c r="C54" s="511" t="s">
        <v>97</v>
      </c>
      <c r="D54" s="32" t="s">
        <v>607</v>
      </c>
      <c r="E54" s="512">
        <f>403+1+1</f>
        <v>405</v>
      </c>
      <c r="F54" s="67"/>
      <c r="G54" s="67" t="str">
        <f t="shared" si="107"/>
        <v>042535T</v>
      </c>
      <c r="H54" s="476"/>
      <c r="I54" t="s">
        <v>114</v>
      </c>
      <c r="J54" t="s">
        <v>87</v>
      </c>
      <c r="K54" s="54" t="s">
        <v>118</v>
      </c>
      <c r="L54" s="84">
        <v>484</v>
      </c>
      <c r="M54" s="64">
        <f t="shared" ref="M54:Q63" si="123">SUMIF($G:$G,TEXT(M$3,"000")&amp;TEXT($L54,"000"),$E:$E)</f>
        <v>0</v>
      </c>
      <c r="N54" s="64">
        <f t="shared" si="123"/>
        <v>46</v>
      </c>
      <c r="O54" s="64">
        <f t="shared" si="123"/>
        <v>0</v>
      </c>
      <c r="P54" s="64">
        <f t="shared" si="123"/>
        <v>0</v>
      </c>
      <c r="Q54" s="64">
        <f t="shared" si="123"/>
        <v>0</v>
      </c>
      <c r="R54" s="64">
        <f t="shared" si="114"/>
        <v>0</v>
      </c>
      <c r="S54" s="337">
        <v>0</v>
      </c>
      <c r="T54" s="337">
        <v>26.63</v>
      </c>
      <c r="U54" s="337">
        <v>0</v>
      </c>
      <c r="V54" s="337">
        <v>0</v>
      </c>
      <c r="W54" s="337">
        <v>0</v>
      </c>
      <c r="Y54" s="65">
        <f t="shared" si="119"/>
        <v>0</v>
      </c>
      <c r="Z54" s="65">
        <f t="shared" si="119"/>
        <v>1224.98</v>
      </c>
      <c r="AA54" s="65">
        <f t="shared" si="119"/>
        <v>0</v>
      </c>
      <c r="AB54" s="65">
        <f t="shared" si="119"/>
        <v>0</v>
      </c>
      <c r="AC54" s="65">
        <f t="shared" si="119"/>
        <v>0</v>
      </c>
      <c r="AE54" s="64">
        <f>M54</f>
        <v>0</v>
      </c>
      <c r="AF54" s="64">
        <f t="shared" ref="AF54:AI54" si="124">N54</f>
        <v>46</v>
      </c>
      <c r="AG54" s="64">
        <f t="shared" si="124"/>
        <v>0</v>
      </c>
      <c r="AH54" s="64">
        <f t="shared" si="124"/>
        <v>0</v>
      </c>
      <c r="AI54" s="64">
        <f t="shared" si="124"/>
        <v>0</v>
      </c>
      <c r="AK54" s="74">
        <f t="shared" si="76"/>
        <v>0</v>
      </c>
      <c r="AL54" s="74">
        <f>ROUND(T54*(1+AL$1),2)</f>
        <v>29.87</v>
      </c>
      <c r="AM54" s="74">
        <f t="shared" si="77"/>
        <v>0</v>
      </c>
      <c r="AN54" s="74">
        <f t="shared" si="78"/>
        <v>0</v>
      </c>
      <c r="AO54" s="74">
        <f t="shared" si="79"/>
        <v>0</v>
      </c>
      <c r="AQ54" s="65">
        <f t="shared" ref="AQ54:AQ79" si="125">IF(AND(AE54&lt;&gt;0,AK54=0),#VALUE!,AE54*AK54)</f>
        <v>0</v>
      </c>
      <c r="AR54" s="65">
        <f t="shared" si="120"/>
        <v>1374.02</v>
      </c>
      <c r="AS54" s="65">
        <f t="shared" ref="AS54:AS79" si="126">IF(AND(AG54&lt;&gt;0,AM54=0),#VALUE!,AG54*AM54)</f>
        <v>0</v>
      </c>
      <c r="AT54" s="65">
        <f t="shared" ref="AT54:AT79" si="127">IF(AND(AH54&lt;&gt;0,AN54=0),#VALUE!,AH54*AN54)</f>
        <v>0</v>
      </c>
      <c r="AU54" s="65">
        <f t="shared" ref="AU54:AU79" si="128">IF(AND(AI54&lt;&gt;0,AO54=0),#VALUE!,AI54*AO54)</f>
        <v>0</v>
      </c>
      <c r="AV54" s="65">
        <f t="shared" si="96"/>
        <v>149.03999999999996</v>
      </c>
      <c r="AW54" s="306">
        <f t="shared" si="97"/>
        <v>0.1216672925272249</v>
      </c>
      <c r="AX54" s="299">
        <v>40</v>
      </c>
      <c r="AY54" s="85"/>
      <c r="AZ54" s="85">
        <v>26.494109999999999</v>
      </c>
      <c r="BA54" s="85"/>
      <c r="BB54" s="85"/>
      <c r="BC54" s="85"/>
      <c r="BD54" s="85"/>
      <c r="BE54" s="327">
        <f t="shared" si="73"/>
        <v>9.000000000000008E-2</v>
      </c>
      <c r="BF54" s="49"/>
      <c r="BG54" s="49">
        <f t="shared" si="75"/>
        <v>0.63</v>
      </c>
      <c r="BH54" s="49"/>
      <c r="BI54" s="49"/>
      <c r="BJ54" s="49"/>
      <c r="BM54" s="214">
        <f t="shared" si="17"/>
        <v>0</v>
      </c>
      <c r="BN54" s="214">
        <f t="shared" si="18"/>
        <v>30.321036999999997</v>
      </c>
      <c r="BO54" s="214">
        <f t="shared" si="19"/>
        <v>0</v>
      </c>
      <c r="BP54" s="214">
        <f t="shared" si="20"/>
        <v>0</v>
      </c>
      <c r="BQ54" s="214">
        <f t="shared" si="38"/>
        <v>0</v>
      </c>
      <c r="BS54" s="49">
        <f t="shared" ref="BS54:BW55" si="129">BM54-AY54</f>
        <v>0</v>
      </c>
      <c r="BT54" s="49">
        <f t="shared" si="129"/>
        <v>3.8269269999999977</v>
      </c>
      <c r="BU54" s="49">
        <f t="shared" si="129"/>
        <v>0</v>
      </c>
      <c r="BV54" s="49">
        <f t="shared" si="129"/>
        <v>0</v>
      </c>
      <c r="BW54" s="49">
        <f t="shared" si="129"/>
        <v>0</v>
      </c>
    </row>
    <row r="55" spans="2:75">
      <c r="B55" s="32">
        <v>2</v>
      </c>
      <c r="C55" s="511" t="s">
        <v>97</v>
      </c>
      <c r="D55" s="32">
        <v>536</v>
      </c>
      <c r="E55" s="512">
        <v>83</v>
      </c>
      <c r="F55" s="67"/>
      <c r="G55" s="67" t="str">
        <f t="shared" si="107"/>
        <v>042536</v>
      </c>
      <c r="H55" s="40"/>
      <c r="I55" s="41" t="s">
        <v>613</v>
      </c>
      <c r="J55" t="s">
        <v>87</v>
      </c>
      <c r="K55" s="54" t="s">
        <v>506</v>
      </c>
      <c r="L55" s="84" t="s">
        <v>503</v>
      </c>
      <c r="M55" s="64">
        <f t="shared" si="123"/>
        <v>0</v>
      </c>
      <c r="N55" s="64">
        <f t="shared" si="123"/>
        <v>127</v>
      </c>
      <c r="O55" s="64">
        <f t="shared" si="123"/>
        <v>0</v>
      </c>
      <c r="P55" s="64">
        <f t="shared" si="123"/>
        <v>0</v>
      </c>
      <c r="Q55" s="64">
        <f t="shared" si="123"/>
        <v>0</v>
      </c>
      <c r="R55" s="64">
        <f t="shared" si="114"/>
        <v>0</v>
      </c>
      <c r="S55" s="337">
        <v>0</v>
      </c>
      <c r="T55" s="349">
        <v>26.63</v>
      </c>
      <c r="U55" s="337">
        <v>0</v>
      </c>
      <c r="V55" s="337">
        <v>0</v>
      </c>
      <c r="W55" s="337">
        <v>0</v>
      </c>
      <c r="Y55" s="65">
        <f t="shared" si="119"/>
        <v>0</v>
      </c>
      <c r="Z55" s="65">
        <f t="shared" si="119"/>
        <v>3382.0099999999998</v>
      </c>
      <c r="AA55" s="65">
        <f t="shared" si="119"/>
        <v>0</v>
      </c>
      <c r="AB55" s="65">
        <f t="shared" si="119"/>
        <v>0</v>
      </c>
      <c r="AC55" s="65">
        <f t="shared" si="119"/>
        <v>0</v>
      </c>
      <c r="AE55" s="64">
        <f t="shared" ref="AE55:AI58" si="130">SUMIF($G:$G,TEXT(AE$3,"000")&amp;TEXT($L55,"000"),$E:$E)</f>
        <v>0</v>
      </c>
      <c r="AF55" s="64">
        <f t="shared" si="130"/>
        <v>127</v>
      </c>
      <c r="AG55" s="64">
        <f t="shared" si="130"/>
        <v>0</v>
      </c>
      <c r="AH55" s="64">
        <f t="shared" si="130"/>
        <v>0</v>
      </c>
      <c r="AI55" s="64">
        <f t="shared" si="130"/>
        <v>0</v>
      </c>
      <c r="AK55" s="74">
        <f t="shared" si="76"/>
        <v>0</v>
      </c>
      <c r="AL55" s="74">
        <f>AL54</f>
        <v>29.87</v>
      </c>
      <c r="AM55" s="74">
        <f t="shared" si="77"/>
        <v>0</v>
      </c>
      <c r="AN55" s="74">
        <f t="shared" si="78"/>
        <v>0</v>
      </c>
      <c r="AO55" s="74">
        <f t="shared" si="79"/>
        <v>0</v>
      </c>
      <c r="AQ55" s="65">
        <f t="shared" si="125"/>
        <v>0</v>
      </c>
      <c r="AR55" s="65">
        <f t="shared" si="120"/>
        <v>3793.4900000000002</v>
      </c>
      <c r="AS55" s="65">
        <f t="shared" si="126"/>
        <v>0</v>
      </c>
      <c r="AT55" s="65">
        <f t="shared" si="127"/>
        <v>0</v>
      </c>
      <c r="AU55" s="65">
        <f t="shared" si="128"/>
        <v>0</v>
      </c>
      <c r="AV55" s="65">
        <f t="shared" si="96"/>
        <v>411.48000000000047</v>
      </c>
      <c r="AW55" s="306">
        <f t="shared" si="97"/>
        <v>0.12166729252722508</v>
      </c>
      <c r="AX55" s="299">
        <v>26</v>
      </c>
      <c r="AY55" s="85"/>
      <c r="AZ55" s="85">
        <v>26.494109999999999</v>
      </c>
      <c r="BA55" s="85"/>
      <c r="BB55" s="85"/>
      <c r="BC55" s="85"/>
      <c r="BD55" s="85"/>
      <c r="BE55" s="327">
        <f t="shared" si="73"/>
        <v>0.06</v>
      </c>
      <c r="BF55" s="49"/>
      <c r="BG55" s="49">
        <f t="shared" si="75"/>
        <v>0.6</v>
      </c>
      <c r="BH55" s="49"/>
      <c r="BI55" s="49"/>
      <c r="BJ55" s="49"/>
      <c r="BM55" s="214">
        <f t="shared" si="17"/>
        <v>0</v>
      </c>
      <c r="BN55" s="214">
        <f t="shared" si="18"/>
        <v>30.321036999999997</v>
      </c>
      <c r="BO55" s="214">
        <f t="shared" si="19"/>
        <v>0</v>
      </c>
      <c r="BP55" s="214">
        <f t="shared" si="20"/>
        <v>0</v>
      </c>
      <c r="BQ55" s="214">
        <f t="shared" si="38"/>
        <v>0</v>
      </c>
      <c r="BS55" s="49">
        <f t="shared" si="129"/>
        <v>0</v>
      </c>
      <c r="BT55" s="49">
        <f t="shared" si="129"/>
        <v>3.8269269999999977</v>
      </c>
      <c r="BU55" s="49">
        <f t="shared" si="129"/>
        <v>0</v>
      </c>
      <c r="BV55" s="49">
        <f t="shared" si="129"/>
        <v>0</v>
      </c>
      <c r="BW55" s="49">
        <f t="shared" si="129"/>
        <v>0</v>
      </c>
    </row>
    <row r="56" spans="2:75">
      <c r="B56" s="32">
        <v>2</v>
      </c>
      <c r="C56" s="511" t="s">
        <v>97</v>
      </c>
      <c r="D56" s="32" t="s">
        <v>512</v>
      </c>
      <c r="E56" s="512">
        <v>340</v>
      </c>
      <c r="F56" s="67"/>
      <c r="G56" s="67" t="str">
        <f t="shared" si="107"/>
        <v>042536L</v>
      </c>
      <c r="H56" s="40"/>
      <c r="I56" s="41" t="s">
        <v>606</v>
      </c>
      <c r="J56" t="s">
        <v>678</v>
      </c>
      <c r="K56" s="54" t="s">
        <v>109</v>
      </c>
      <c r="L56" s="371" t="s">
        <v>676</v>
      </c>
      <c r="M56" s="64">
        <f t="shared" si="123"/>
        <v>0</v>
      </c>
      <c r="N56" s="64">
        <f t="shared" si="123"/>
        <v>43</v>
      </c>
      <c r="O56" s="64">
        <f t="shared" si="123"/>
        <v>0</v>
      </c>
      <c r="P56" s="64">
        <f t="shared" si="123"/>
        <v>0</v>
      </c>
      <c r="Q56" s="64">
        <f t="shared" si="123"/>
        <v>0</v>
      </c>
      <c r="R56" s="64">
        <f t="shared" ref="R56" si="131">IF(SUM(M56:Q56)&gt;0,0,1)</f>
        <v>0</v>
      </c>
      <c r="S56" s="337">
        <v>0</v>
      </c>
      <c r="T56" s="337">
        <v>29.44</v>
      </c>
      <c r="U56" s="337">
        <v>0</v>
      </c>
      <c r="V56" s="337">
        <v>0</v>
      </c>
      <c r="W56" s="337">
        <v>0</v>
      </c>
      <c r="Y56" s="65">
        <f t="shared" ref="Y56" si="132">IF(AND(M56&lt;&gt;0,S56=0),#VALUE!,M56*S56)</f>
        <v>0</v>
      </c>
      <c r="Z56" s="65">
        <f t="shared" ref="Z56" si="133">IF(AND(N56&lt;&gt;0,T56=0),#VALUE!,N56*T56)</f>
        <v>1265.92</v>
      </c>
      <c r="AA56" s="65">
        <f t="shared" ref="AA56" si="134">IF(AND(O56&lt;&gt;0,U56=0),#VALUE!,O56*U56)</f>
        <v>0</v>
      </c>
      <c r="AB56" s="65">
        <f t="shared" ref="AB56" si="135">IF(AND(P56&lt;&gt;0,V56=0),#VALUE!,P56*V56)</f>
        <v>0</v>
      </c>
      <c r="AC56" s="65">
        <f t="shared" ref="AC56" si="136">IF(AND(Q56&lt;&gt;0,W56=0),#VALUE!,Q56*W56)</f>
        <v>0</v>
      </c>
      <c r="AE56" s="64">
        <f t="shared" si="130"/>
        <v>0</v>
      </c>
      <c r="AF56" s="64">
        <f t="shared" si="130"/>
        <v>43</v>
      </c>
      <c r="AG56" s="64">
        <f t="shared" si="130"/>
        <v>0</v>
      </c>
      <c r="AH56" s="64">
        <f t="shared" si="130"/>
        <v>0</v>
      </c>
      <c r="AI56" s="64">
        <f t="shared" si="130"/>
        <v>0</v>
      </c>
      <c r="AK56" s="74">
        <f t="shared" si="76"/>
        <v>0</v>
      </c>
      <c r="AL56" s="74">
        <f>ROUND(T56*(1+AL$1),2)</f>
        <v>33.03</v>
      </c>
      <c r="AM56" s="74">
        <f t="shared" si="77"/>
        <v>0</v>
      </c>
      <c r="AN56" s="74">
        <f t="shared" si="78"/>
        <v>0</v>
      </c>
      <c r="AO56" s="74">
        <f t="shared" si="79"/>
        <v>0</v>
      </c>
      <c r="AQ56" s="65">
        <f t="shared" si="125"/>
        <v>0</v>
      </c>
      <c r="AR56" s="65">
        <f t="shared" si="120"/>
        <v>1420.29</v>
      </c>
      <c r="AS56" s="65">
        <f t="shared" si="126"/>
        <v>0</v>
      </c>
      <c r="AT56" s="65">
        <f t="shared" si="127"/>
        <v>0</v>
      </c>
      <c r="AU56" s="65">
        <f t="shared" si="128"/>
        <v>0</v>
      </c>
      <c r="AX56" s="299">
        <v>26</v>
      </c>
      <c r="AY56" s="85"/>
      <c r="AZ56" s="85">
        <v>29.295785999999996</v>
      </c>
      <c r="BA56" s="85"/>
      <c r="BB56" s="85"/>
      <c r="BC56" s="85"/>
      <c r="BD56" s="85"/>
      <c r="BE56" s="327">
        <f t="shared" ref="BE56" si="137">ROUND(AX56*$BE$2,2)+ROUND(AX56*$BE$1,2)</f>
        <v>0.06</v>
      </c>
      <c r="BF56" s="49"/>
      <c r="BG56" s="49">
        <f t="shared" si="75"/>
        <v>0.65</v>
      </c>
      <c r="BH56" s="49"/>
      <c r="BI56" s="49"/>
      <c r="BJ56" s="49"/>
      <c r="BM56" s="214">
        <f t="shared" si="17"/>
        <v>0</v>
      </c>
      <c r="BN56" s="214">
        <f t="shared" si="18"/>
        <v>33.528752999999995</v>
      </c>
      <c r="BO56" s="214">
        <f t="shared" si="19"/>
        <v>0</v>
      </c>
      <c r="BP56" s="214">
        <f t="shared" si="20"/>
        <v>0</v>
      </c>
      <c r="BQ56" s="214">
        <f t="shared" si="38"/>
        <v>0</v>
      </c>
      <c r="BS56" s="49">
        <f t="shared" ref="BS56" si="138">BM56-AY56</f>
        <v>0</v>
      </c>
      <c r="BT56" s="49">
        <f t="shared" ref="BT56" si="139">BN56-AZ56</f>
        <v>4.2329669999999986</v>
      </c>
      <c r="BU56" s="49">
        <f t="shared" ref="BU56" si="140">BO56-BA56</f>
        <v>0</v>
      </c>
      <c r="BV56" s="49">
        <f t="shared" ref="BV56" si="141">BP56-BB56</f>
        <v>0</v>
      </c>
      <c r="BW56" s="49">
        <f t="shared" ref="BW56" si="142">BQ56-BC56</f>
        <v>0</v>
      </c>
    </row>
    <row r="57" spans="2:75">
      <c r="B57" s="32">
        <v>2</v>
      </c>
      <c r="C57" s="511" t="s">
        <v>97</v>
      </c>
      <c r="D57" s="32" t="s">
        <v>608</v>
      </c>
      <c r="E57" s="512">
        <v>342</v>
      </c>
      <c r="F57" s="67"/>
      <c r="G57" s="67" t="str">
        <f t="shared" si="107"/>
        <v>042536T</v>
      </c>
      <c r="H57" s="40"/>
      <c r="I57" t="s">
        <v>411</v>
      </c>
      <c r="J57" t="s">
        <v>480</v>
      </c>
      <c r="K57" s="54" t="s">
        <v>111</v>
      </c>
      <c r="L57" s="84">
        <v>499</v>
      </c>
      <c r="M57" s="64">
        <f t="shared" si="123"/>
        <v>0</v>
      </c>
      <c r="N57" s="64">
        <f t="shared" si="123"/>
        <v>0</v>
      </c>
      <c r="O57" s="64">
        <f t="shared" si="123"/>
        <v>0</v>
      </c>
      <c r="P57" s="64">
        <f t="shared" si="123"/>
        <v>0</v>
      </c>
      <c r="Q57" s="64">
        <f t="shared" si="123"/>
        <v>41</v>
      </c>
      <c r="R57" s="64">
        <f t="shared" si="114"/>
        <v>0</v>
      </c>
      <c r="S57" s="337">
        <v>0</v>
      </c>
      <c r="T57" s="337">
        <v>0</v>
      </c>
      <c r="U57" s="337">
        <v>0</v>
      </c>
      <c r="V57" s="337">
        <v>0</v>
      </c>
      <c r="W57" s="337">
        <v>3.05</v>
      </c>
      <c r="Y57" s="65">
        <f t="shared" ref="Y57:AC62" si="143">IF(AND(M57&lt;&gt;0,S57=0),#VALUE!,M57*S57)</f>
        <v>0</v>
      </c>
      <c r="Z57" s="65">
        <f t="shared" si="143"/>
        <v>0</v>
      </c>
      <c r="AA57" s="65">
        <f t="shared" si="143"/>
        <v>0</v>
      </c>
      <c r="AB57" s="65">
        <f t="shared" si="143"/>
        <v>0</v>
      </c>
      <c r="AC57" s="65">
        <f t="shared" si="143"/>
        <v>125.05</v>
      </c>
      <c r="AE57" s="64">
        <f t="shared" si="130"/>
        <v>0</v>
      </c>
      <c r="AF57" s="64">
        <f t="shared" si="130"/>
        <v>0</v>
      </c>
      <c r="AG57" s="64">
        <f t="shared" si="130"/>
        <v>0</v>
      </c>
      <c r="AH57" s="64">
        <f t="shared" si="130"/>
        <v>0</v>
      </c>
      <c r="AI57" s="64">
        <f t="shared" si="130"/>
        <v>41</v>
      </c>
      <c r="AK57" s="74">
        <f t="shared" si="76"/>
        <v>0</v>
      </c>
      <c r="AL57" s="74">
        <f>ROUND(T57*(1+AL$1),2)</f>
        <v>0</v>
      </c>
      <c r="AM57" s="74">
        <f t="shared" si="77"/>
        <v>0</v>
      </c>
      <c r="AN57" s="74">
        <f t="shared" si="78"/>
        <v>0</v>
      </c>
      <c r="AO57" s="74">
        <f t="shared" si="79"/>
        <v>3.45</v>
      </c>
      <c r="AQ57" s="65">
        <f t="shared" si="125"/>
        <v>0</v>
      </c>
      <c r="AR57" s="65">
        <f t="shared" si="120"/>
        <v>0</v>
      </c>
      <c r="AS57" s="65">
        <f t="shared" si="126"/>
        <v>0</v>
      </c>
      <c r="AT57" s="65">
        <f t="shared" si="127"/>
        <v>0</v>
      </c>
      <c r="AU57" s="65">
        <f t="shared" si="128"/>
        <v>141.45000000000002</v>
      </c>
      <c r="AV57" s="65">
        <f>SUM(AR57)-SUM(Z57)</f>
        <v>0</v>
      </c>
      <c r="AW57" s="306" t="e">
        <f>AV57/Z57</f>
        <v>#DIV/0!</v>
      </c>
      <c r="AX57" s="299">
        <v>21</v>
      </c>
      <c r="AY57" s="85"/>
      <c r="AZ57" s="85"/>
      <c r="BA57" s="85"/>
      <c r="BB57" s="85"/>
      <c r="BC57" s="85">
        <v>3.01</v>
      </c>
      <c r="BD57" s="85"/>
      <c r="BE57" s="327">
        <f t="shared" ref="BE57:BE78" si="144">ROUND(AX57*$BE$2,2)+ROUND(AX57*$BE$1,2)</f>
        <v>3.999999999999998E-2</v>
      </c>
      <c r="BF57" s="49"/>
      <c r="BG57" s="49"/>
      <c r="BH57" s="49"/>
      <c r="BI57" s="49"/>
      <c r="BJ57" s="49">
        <f>ROUND((W57*$BF$2)+$BE57-BC57,2)</f>
        <v>0.13</v>
      </c>
      <c r="BM57" s="214">
        <f t="shared" si="17"/>
        <v>0</v>
      </c>
      <c r="BN57" s="214">
        <f t="shared" si="18"/>
        <v>0</v>
      </c>
      <c r="BO57" s="214">
        <f t="shared" si="19"/>
        <v>0</v>
      </c>
      <c r="BP57" s="214">
        <f t="shared" si="20"/>
        <v>0</v>
      </c>
      <c r="BQ57" s="214">
        <f t="shared" si="38"/>
        <v>3.5020949999999997</v>
      </c>
      <c r="BS57" s="49">
        <f t="shared" ref="BS57:BW57" si="145">BM57-AY57</f>
        <v>0</v>
      </c>
      <c r="BT57" s="49">
        <f t="shared" si="145"/>
        <v>0</v>
      </c>
      <c r="BU57" s="49">
        <f t="shared" si="145"/>
        <v>0</v>
      </c>
      <c r="BV57" s="49">
        <f t="shared" si="145"/>
        <v>0</v>
      </c>
      <c r="BW57" s="49">
        <f t="shared" si="145"/>
        <v>0.49209499999999995</v>
      </c>
    </row>
    <row r="58" spans="2:75">
      <c r="B58" s="32">
        <v>2</v>
      </c>
      <c r="C58" s="511" t="s">
        <v>97</v>
      </c>
      <c r="D58" s="32">
        <v>541</v>
      </c>
      <c r="E58" s="512">
        <v>2</v>
      </c>
      <c r="F58" s="67"/>
      <c r="G58" s="67" t="str">
        <f t="shared" si="107"/>
        <v>042541</v>
      </c>
      <c r="H58" s="40"/>
      <c r="I58" t="s">
        <v>110</v>
      </c>
      <c r="J58" t="s">
        <v>108</v>
      </c>
      <c r="K58" s="54">
        <v>10000</v>
      </c>
      <c r="L58" s="84">
        <v>515</v>
      </c>
      <c r="M58" s="64">
        <f t="shared" si="123"/>
        <v>0</v>
      </c>
      <c r="N58" s="64">
        <f t="shared" si="123"/>
        <v>0</v>
      </c>
      <c r="O58" s="64">
        <f t="shared" si="123"/>
        <v>0</v>
      </c>
      <c r="P58" s="64">
        <f t="shared" si="123"/>
        <v>1</v>
      </c>
      <c r="Q58" s="64">
        <f t="shared" si="123"/>
        <v>0</v>
      </c>
      <c r="R58" s="64">
        <f t="shared" si="114"/>
        <v>0</v>
      </c>
      <c r="S58" s="337">
        <v>0</v>
      </c>
      <c r="T58" s="337">
        <v>0</v>
      </c>
      <c r="U58" s="337">
        <v>0</v>
      </c>
      <c r="V58" s="337">
        <v>10.6</v>
      </c>
      <c r="W58" s="337">
        <v>0</v>
      </c>
      <c r="Y58" s="65">
        <f t="shared" si="143"/>
        <v>0</v>
      </c>
      <c r="Z58" s="65">
        <f t="shared" si="143"/>
        <v>0</v>
      </c>
      <c r="AA58" s="65">
        <f t="shared" si="143"/>
        <v>0</v>
      </c>
      <c r="AB58" s="65">
        <f t="shared" si="143"/>
        <v>10.6</v>
      </c>
      <c r="AC58" s="65">
        <f t="shared" si="143"/>
        <v>0</v>
      </c>
      <c r="AE58" s="64">
        <f t="shared" si="130"/>
        <v>0</v>
      </c>
      <c r="AF58" s="64">
        <f t="shared" si="130"/>
        <v>0</v>
      </c>
      <c r="AG58" s="64">
        <f t="shared" si="130"/>
        <v>0</v>
      </c>
      <c r="AH58" s="64">
        <f t="shared" si="130"/>
        <v>1</v>
      </c>
      <c r="AI58" s="64">
        <f t="shared" si="130"/>
        <v>0</v>
      </c>
      <c r="AK58" s="74">
        <f t="shared" si="76"/>
        <v>0</v>
      </c>
      <c r="AL58" s="74">
        <f>ROUND(T58*(1+AL$1),2)</f>
        <v>0</v>
      </c>
      <c r="AM58" s="74">
        <f t="shared" si="77"/>
        <v>0</v>
      </c>
      <c r="AN58" s="74">
        <f t="shared" si="78"/>
        <v>11.98</v>
      </c>
      <c r="AO58" s="74">
        <f t="shared" si="79"/>
        <v>0</v>
      </c>
      <c r="AQ58" s="65">
        <f t="shared" si="125"/>
        <v>0</v>
      </c>
      <c r="AR58" s="65">
        <f t="shared" si="120"/>
        <v>0</v>
      </c>
      <c r="AS58" s="65">
        <f t="shared" si="126"/>
        <v>0</v>
      </c>
      <c r="AT58" s="65">
        <f t="shared" si="127"/>
        <v>11.98</v>
      </c>
      <c r="AU58" s="65">
        <f t="shared" si="128"/>
        <v>0</v>
      </c>
      <c r="AV58" s="65">
        <f>SUM(AR58)-SUM(Z58)</f>
        <v>0</v>
      </c>
      <c r="AW58" s="306" t="e">
        <f>AV58/Z58</f>
        <v>#DIV/0!</v>
      </c>
      <c r="AX58" s="299">
        <v>111</v>
      </c>
      <c r="AY58" s="85"/>
      <c r="AZ58" s="85"/>
      <c r="BA58" s="85"/>
      <c r="BB58" s="85">
        <v>10.46</v>
      </c>
      <c r="BC58" s="85"/>
      <c r="BD58" s="85"/>
      <c r="BE58" s="327">
        <f t="shared" si="144"/>
        <v>0.25</v>
      </c>
      <c r="BF58" s="49"/>
      <c r="BG58" s="49"/>
      <c r="BH58" s="49"/>
      <c r="BI58" s="49">
        <f>ROUND((V58*$BF$2)+$BE58-BB58,2)</f>
        <v>0.55000000000000004</v>
      </c>
      <c r="BJ58" s="49"/>
      <c r="BM58" s="214">
        <f t="shared" si="17"/>
        <v>0</v>
      </c>
      <c r="BN58" s="214">
        <f t="shared" si="18"/>
        <v>0</v>
      </c>
      <c r="BO58" s="214">
        <f t="shared" si="19"/>
        <v>0</v>
      </c>
      <c r="BP58" s="214">
        <f t="shared" si="20"/>
        <v>12.160898</v>
      </c>
      <c r="BQ58" s="214">
        <f t="shared" si="38"/>
        <v>0</v>
      </c>
      <c r="BS58" s="49">
        <f t="shared" ref="BS58:BW60" si="146">BM58-AY58</f>
        <v>0</v>
      </c>
      <c r="BT58" s="49">
        <f t="shared" si="146"/>
        <v>0</v>
      </c>
      <c r="BU58" s="49">
        <f t="shared" si="146"/>
        <v>0</v>
      </c>
      <c r="BV58" s="49">
        <f t="shared" si="146"/>
        <v>1.7008979999999987</v>
      </c>
      <c r="BW58" s="49">
        <f t="shared" si="146"/>
        <v>0</v>
      </c>
    </row>
    <row r="59" spans="2:75">
      <c r="B59" s="32">
        <v>2</v>
      </c>
      <c r="C59" s="511" t="s">
        <v>97</v>
      </c>
      <c r="D59" s="32" t="s">
        <v>513</v>
      </c>
      <c r="E59" s="512">
        <v>0</v>
      </c>
      <c r="F59" s="67"/>
      <c r="G59" s="67" t="str">
        <f t="shared" si="107"/>
        <v>042541L</v>
      </c>
      <c r="H59" s="40"/>
      <c r="I59" t="s">
        <v>105</v>
      </c>
      <c r="J59" t="s">
        <v>674</v>
      </c>
      <c r="K59" s="54" t="s">
        <v>119</v>
      </c>
      <c r="L59" s="84">
        <v>531</v>
      </c>
      <c r="M59" s="64">
        <f t="shared" si="123"/>
        <v>0</v>
      </c>
      <c r="N59" s="64">
        <f t="shared" si="123"/>
        <v>150</v>
      </c>
      <c r="O59" s="64">
        <f t="shared" si="123"/>
        <v>0</v>
      </c>
      <c r="P59" s="64">
        <f t="shared" si="123"/>
        <v>0</v>
      </c>
      <c r="Q59" s="64">
        <f t="shared" si="123"/>
        <v>0</v>
      </c>
      <c r="R59" s="64">
        <f t="shared" si="114"/>
        <v>0</v>
      </c>
      <c r="S59" s="337">
        <v>0</v>
      </c>
      <c r="T59" s="337">
        <v>21.19</v>
      </c>
      <c r="U59" s="337">
        <v>12.83</v>
      </c>
      <c r="V59" s="337">
        <v>0</v>
      </c>
      <c r="W59" s="337">
        <v>0</v>
      </c>
      <c r="Y59" s="65">
        <f t="shared" si="143"/>
        <v>0</v>
      </c>
      <c r="Z59" s="65">
        <f t="shared" si="143"/>
        <v>3178.5</v>
      </c>
      <c r="AA59" s="65">
        <f t="shared" si="143"/>
        <v>0</v>
      </c>
      <c r="AB59" s="65">
        <f t="shared" si="143"/>
        <v>0</v>
      </c>
      <c r="AC59" s="65">
        <f t="shared" si="143"/>
        <v>0</v>
      </c>
      <c r="AE59" s="64">
        <f>M59</f>
        <v>0</v>
      </c>
      <c r="AF59" s="64">
        <f t="shared" ref="AF59:AF74" si="147">N59</f>
        <v>150</v>
      </c>
      <c r="AG59" s="64">
        <f t="shared" ref="AG59:AG74" si="148">O59</f>
        <v>0</v>
      </c>
      <c r="AH59" s="64">
        <f t="shared" ref="AH59:AH74" si="149">P59</f>
        <v>0</v>
      </c>
      <c r="AI59" s="64">
        <f t="shared" ref="AI59:AI74" si="150">Q59</f>
        <v>0</v>
      </c>
      <c r="AK59" s="74">
        <f t="shared" si="76"/>
        <v>0</v>
      </c>
      <c r="AL59" s="74">
        <f>ROUND(T59*(1+AL$1),2)</f>
        <v>23.77</v>
      </c>
      <c r="AM59" s="74">
        <f t="shared" si="77"/>
        <v>14.5</v>
      </c>
      <c r="AN59" s="74">
        <f t="shared" si="78"/>
        <v>0</v>
      </c>
      <c r="AO59" s="74">
        <f t="shared" si="79"/>
        <v>0</v>
      </c>
      <c r="AQ59" s="65">
        <f t="shared" si="125"/>
        <v>0</v>
      </c>
      <c r="AR59" s="65">
        <f t="shared" si="120"/>
        <v>3565.5</v>
      </c>
      <c r="AS59" s="65">
        <f t="shared" si="126"/>
        <v>0</v>
      </c>
      <c r="AT59" s="65">
        <f t="shared" si="127"/>
        <v>0</v>
      </c>
      <c r="AU59" s="65">
        <f t="shared" si="128"/>
        <v>0</v>
      </c>
      <c r="AV59" s="65">
        <f>SUM(AR59)-SUM(Z59)</f>
        <v>387</v>
      </c>
      <c r="AW59" s="306">
        <f>AV59/Z59</f>
        <v>0.12175554506842851</v>
      </c>
      <c r="AX59" s="299">
        <v>85</v>
      </c>
      <c r="AY59" s="85"/>
      <c r="AZ59" s="85"/>
      <c r="BA59" s="85">
        <v>12.66</v>
      </c>
      <c r="BB59" s="85"/>
      <c r="BC59" s="85"/>
      <c r="BD59" s="85"/>
      <c r="BE59" s="327">
        <f t="shared" si="144"/>
        <v>0.17999999999999994</v>
      </c>
      <c r="BF59" s="49"/>
      <c r="BG59" s="49"/>
      <c r="BH59" s="49">
        <f>ROUND((U59*$BF$2)+$BE59-BA59,2)</f>
        <v>0.54</v>
      </c>
      <c r="BI59" s="49"/>
      <c r="BJ59" s="49"/>
      <c r="BM59" s="214">
        <f t="shared" si="17"/>
        <v>0</v>
      </c>
      <c r="BN59" s="214">
        <f t="shared" si="18"/>
        <v>24.128926999999997</v>
      </c>
      <c r="BO59" s="214">
        <f t="shared" si="19"/>
        <v>14.718949999999998</v>
      </c>
      <c r="BP59" s="214">
        <f t="shared" si="20"/>
        <v>0</v>
      </c>
      <c r="BQ59" s="214">
        <f t="shared" si="38"/>
        <v>0</v>
      </c>
      <c r="BS59" s="49">
        <f t="shared" si="146"/>
        <v>0</v>
      </c>
      <c r="BT59" s="49">
        <f t="shared" si="146"/>
        <v>24.128926999999997</v>
      </c>
      <c r="BU59" s="49">
        <f t="shared" si="146"/>
        <v>2.0589499999999976</v>
      </c>
      <c r="BV59" s="49">
        <f t="shared" si="146"/>
        <v>0</v>
      </c>
      <c r="BW59" s="49">
        <f t="shared" si="146"/>
        <v>0</v>
      </c>
    </row>
    <row r="60" spans="2:75">
      <c r="B60" s="32">
        <v>2</v>
      </c>
      <c r="C60" s="511" t="s">
        <v>97</v>
      </c>
      <c r="D60" s="32" t="s">
        <v>609</v>
      </c>
      <c r="E60" s="512">
        <v>0</v>
      </c>
      <c r="F60" s="67"/>
      <c r="G60" s="67" t="str">
        <f t="shared" si="107"/>
        <v>042541T</v>
      </c>
      <c r="H60" s="40"/>
      <c r="I60" s="41" t="s">
        <v>606</v>
      </c>
      <c r="J60" t="s">
        <v>674</v>
      </c>
      <c r="K60" s="54" t="s">
        <v>517</v>
      </c>
      <c r="L60" s="84" t="s">
        <v>508</v>
      </c>
      <c r="M60" s="64">
        <f t="shared" si="123"/>
        <v>0</v>
      </c>
      <c r="N60" s="64">
        <f t="shared" si="123"/>
        <v>1362</v>
      </c>
      <c r="O60" s="64">
        <f t="shared" si="123"/>
        <v>0</v>
      </c>
      <c r="P60" s="64">
        <f t="shared" si="123"/>
        <v>0</v>
      </c>
      <c r="Q60" s="64">
        <f t="shared" si="123"/>
        <v>0</v>
      </c>
      <c r="R60" s="64">
        <f t="shared" ref="R60:R61" si="151">IF(SUM(M60:Q60)&gt;0,0,1)</f>
        <v>0</v>
      </c>
      <c r="S60" s="337">
        <v>0</v>
      </c>
      <c r="T60" s="349">
        <v>21.19</v>
      </c>
      <c r="U60" s="337">
        <v>0</v>
      </c>
      <c r="V60" s="337">
        <v>0</v>
      </c>
      <c r="W60" s="337">
        <v>0</v>
      </c>
      <c r="Y60" s="65">
        <f t="shared" si="143"/>
        <v>0</v>
      </c>
      <c r="Z60" s="65">
        <f t="shared" si="143"/>
        <v>28860.780000000002</v>
      </c>
      <c r="AA60" s="65">
        <f t="shared" si="143"/>
        <v>0</v>
      </c>
      <c r="AB60" s="65">
        <f t="shared" si="143"/>
        <v>0</v>
      </c>
      <c r="AC60" s="65">
        <f t="shared" si="143"/>
        <v>0</v>
      </c>
      <c r="AE60" s="64">
        <f>SUMIF($G:$G,TEXT(AE$3,"000")&amp;TEXT($L60,"000"),$E:$E)</f>
        <v>0</v>
      </c>
      <c r="AF60" s="64">
        <f>SUMIF($G:$G,TEXT(AF$3,"000")&amp;TEXT($L60,"000"),$E:$E)</f>
        <v>1362</v>
      </c>
      <c r="AG60" s="64">
        <f>SUMIF($G:$G,TEXT(AG$3,"000")&amp;TEXT($L60,"000"),$E:$E)</f>
        <v>0</v>
      </c>
      <c r="AH60" s="64">
        <f>SUMIF($G:$G,TEXT(AH$3,"000")&amp;TEXT($L60,"000"),$E:$E)</f>
        <v>0</v>
      </c>
      <c r="AI60" s="64">
        <f>SUMIF($G:$G,TEXT(AI$3,"000")&amp;TEXT($L60,"000"),$E:$E)</f>
        <v>0</v>
      </c>
      <c r="AK60" s="74">
        <f t="shared" si="76"/>
        <v>0</v>
      </c>
      <c r="AL60" s="74">
        <f>AL59</f>
        <v>23.77</v>
      </c>
      <c r="AM60" s="74">
        <f t="shared" si="77"/>
        <v>0</v>
      </c>
      <c r="AN60" s="74">
        <f t="shared" si="78"/>
        <v>0</v>
      </c>
      <c r="AO60" s="74">
        <f t="shared" si="79"/>
        <v>0</v>
      </c>
      <c r="AQ60" s="65">
        <f t="shared" si="125"/>
        <v>0</v>
      </c>
      <c r="AR60" s="65">
        <f t="shared" si="120"/>
        <v>32374.739999999998</v>
      </c>
      <c r="AS60" s="65">
        <f t="shared" si="126"/>
        <v>0</v>
      </c>
      <c r="AT60" s="65">
        <f t="shared" si="127"/>
        <v>0</v>
      </c>
      <c r="AU60" s="65">
        <f t="shared" si="128"/>
        <v>0</v>
      </c>
      <c r="AX60" s="299">
        <v>39</v>
      </c>
      <c r="AY60" s="85"/>
      <c r="AZ60" s="85"/>
      <c r="BA60" s="85"/>
      <c r="BB60" s="85"/>
      <c r="BC60" s="85"/>
      <c r="BD60" s="85"/>
      <c r="BE60" s="327">
        <f t="shared" si="144"/>
        <v>8.0000000000000016E-2</v>
      </c>
      <c r="BF60" s="49"/>
      <c r="BG60" s="49">
        <f t="shared" ref="BG60:BG79" si="152">ROUND((T60*$BF$2)+$BE60-AZ60,2)</f>
        <v>21.59</v>
      </c>
      <c r="BH60" s="49"/>
      <c r="BI60" s="49"/>
      <c r="BJ60" s="49"/>
      <c r="BM60" s="214">
        <f t="shared" si="17"/>
        <v>0</v>
      </c>
      <c r="BN60" s="214">
        <f t="shared" si="18"/>
        <v>24.128926999999997</v>
      </c>
      <c r="BO60" s="214">
        <f t="shared" si="19"/>
        <v>0</v>
      </c>
      <c r="BP60" s="214">
        <f t="shared" si="20"/>
        <v>0</v>
      </c>
      <c r="BQ60" s="214">
        <f t="shared" si="38"/>
        <v>0</v>
      </c>
      <c r="BS60" s="49">
        <f t="shared" si="146"/>
        <v>0</v>
      </c>
      <c r="BT60" s="49">
        <f t="shared" si="146"/>
        <v>24.128926999999997</v>
      </c>
      <c r="BU60" s="49">
        <f t="shared" si="146"/>
        <v>0</v>
      </c>
      <c r="BV60" s="49">
        <f t="shared" si="146"/>
        <v>0</v>
      </c>
      <c r="BW60" s="49">
        <f t="shared" si="146"/>
        <v>0</v>
      </c>
    </row>
    <row r="61" spans="2:75">
      <c r="B61" s="32">
        <v>2</v>
      </c>
      <c r="C61" s="511" t="s">
        <v>97</v>
      </c>
      <c r="D61" s="32" t="s">
        <v>514</v>
      </c>
      <c r="E61" s="512">
        <v>15</v>
      </c>
      <c r="F61" s="67"/>
      <c r="G61" s="67" t="str">
        <f t="shared" si="107"/>
        <v>042542L</v>
      </c>
      <c r="H61" s="40"/>
      <c r="I61" t="s">
        <v>606</v>
      </c>
      <c r="J61" t="s">
        <v>674</v>
      </c>
      <c r="K61" s="54" t="s">
        <v>517</v>
      </c>
      <c r="L61" s="84" t="s">
        <v>603</v>
      </c>
      <c r="M61" s="64">
        <f t="shared" si="123"/>
        <v>0</v>
      </c>
      <c r="N61" s="64">
        <f t="shared" si="123"/>
        <v>469</v>
      </c>
      <c r="O61" s="64">
        <f t="shared" si="123"/>
        <v>0</v>
      </c>
      <c r="P61" s="64">
        <f t="shared" si="123"/>
        <v>0</v>
      </c>
      <c r="Q61" s="64">
        <f t="shared" si="123"/>
        <v>0</v>
      </c>
      <c r="R61" s="64">
        <f t="shared" si="151"/>
        <v>0</v>
      </c>
      <c r="S61" s="337">
        <v>0</v>
      </c>
      <c r="T61" s="349">
        <v>15.98</v>
      </c>
      <c r="U61" s="337">
        <v>0</v>
      </c>
      <c r="V61" s="337">
        <v>0</v>
      </c>
      <c r="W61" s="337">
        <v>0</v>
      </c>
      <c r="Y61" s="65">
        <f t="shared" si="143"/>
        <v>0</v>
      </c>
      <c r="Z61" s="65">
        <f t="shared" si="143"/>
        <v>7494.62</v>
      </c>
      <c r="AA61" s="65">
        <f t="shared" si="143"/>
        <v>0</v>
      </c>
      <c r="AB61" s="65">
        <f t="shared" si="143"/>
        <v>0</v>
      </c>
      <c r="AC61" s="65">
        <f t="shared" si="143"/>
        <v>0</v>
      </c>
      <c r="AE61" s="64">
        <f t="shared" ref="AE61" si="153">M61</f>
        <v>0</v>
      </c>
      <c r="AF61" s="64">
        <f t="shared" ref="AF61" si="154">N61</f>
        <v>469</v>
      </c>
      <c r="AG61" s="64">
        <f t="shared" ref="AG61" si="155">O61</f>
        <v>0</v>
      </c>
      <c r="AH61" s="64">
        <f t="shared" ref="AH61" si="156">P61</f>
        <v>0</v>
      </c>
      <c r="AI61" s="64">
        <f t="shared" ref="AI61" si="157">Q61</f>
        <v>0</v>
      </c>
      <c r="AK61" s="74">
        <f t="shared" si="76"/>
        <v>0</v>
      </c>
      <c r="AL61" s="74">
        <f>AL59-AL103</f>
        <v>18.559999999999999</v>
      </c>
      <c r="AM61" s="74">
        <f t="shared" si="77"/>
        <v>0</v>
      </c>
      <c r="AN61" s="74">
        <f t="shared" si="78"/>
        <v>0</v>
      </c>
      <c r="AO61" s="74">
        <f t="shared" si="79"/>
        <v>0</v>
      </c>
      <c r="AQ61" s="65">
        <f t="shared" si="125"/>
        <v>0</v>
      </c>
      <c r="AR61" s="65">
        <f t="shared" si="120"/>
        <v>8704.64</v>
      </c>
      <c r="AS61" s="65">
        <f t="shared" si="126"/>
        <v>0</v>
      </c>
      <c r="AT61" s="65">
        <f t="shared" si="127"/>
        <v>0</v>
      </c>
      <c r="AU61" s="65">
        <f t="shared" si="128"/>
        <v>0</v>
      </c>
      <c r="AV61" s="65">
        <f>SUM(AQ61:AU61)-SUM(Y61:AC61)</f>
        <v>1210.0199999999995</v>
      </c>
      <c r="AW61" s="65"/>
      <c r="AX61" s="299">
        <v>39</v>
      </c>
      <c r="AY61" s="85"/>
      <c r="AZ61" s="85"/>
      <c r="BA61" s="85"/>
      <c r="BB61" s="85"/>
      <c r="BC61" s="85"/>
      <c r="BD61" s="85"/>
      <c r="BE61" s="327">
        <f t="shared" si="144"/>
        <v>8.0000000000000016E-2</v>
      </c>
      <c r="BF61" s="49"/>
      <c r="BG61" s="49">
        <f t="shared" si="152"/>
        <v>16.3</v>
      </c>
      <c r="BH61" s="49"/>
      <c r="BI61" s="49"/>
      <c r="BJ61" s="49"/>
      <c r="BM61" s="214">
        <f t="shared" si="17"/>
        <v>0</v>
      </c>
      <c r="BN61" s="214">
        <f t="shared" si="18"/>
        <v>18.840255999999997</v>
      </c>
      <c r="BO61" s="214">
        <f t="shared" si="19"/>
        <v>0</v>
      </c>
      <c r="BP61" s="214">
        <f t="shared" si="20"/>
        <v>0</v>
      </c>
      <c r="BQ61" s="214">
        <f t="shared" si="38"/>
        <v>0</v>
      </c>
      <c r="BS61" s="49">
        <f t="shared" ref="BS61:BS104" si="158">BM61-AY61</f>
        <v>0</v>
      </c>
      <c r="BT61" s="49">
        <f t="shared" ref="BT61:BW62" si="159">BN61-AZ61</f>
        <v>18.840255999999997</v>
      </c>
      <c r="BU61" s="49">
        <f t="shared" si="159"/>
        <v>0</v>
      </c>
      <c r="BV61" s="49">
        <f t="shared" si="159"/>
        <v>0</v>
      </c>
      <c r="BW61" s="49">
        <f t="shared" si="159"/>
        <v>0</v>
      </c>
    </row>
    <row r="62" spans="2:75">
      <c r="B62" s="32">
        <v>2</v>
      </c>
      <c r="C62" s="511" t="s">
        <v>97</v>
      </c>
      <c r="D62" s="32" t="s">
        <v>611</v>
      </c>
      <c r="E62" s="512">
        <v>8</v>
      </c>
      <c r="F62" s="67"/>
      <c r="G62" s="67" t="str">
        <f t="shared" si="107"/>
        <v>042542T</v>
      </c>
      <c r="H62" s="40"/>
      <c r="I62" t="s">
        <v>105</v>
      </c>
      <c r="J62" t="s">
        <v>86</v>
      </c>
      <c r="K62" s="54" t="s">
        <v>119</v>
      </c>
      <c r="L62" s="84">
        <v>532</v>
      </c>
      <c r="M62" s="64">
        <f t="shared" si="123"/>
        <v>0</v>
      </c>
      <c r="N62" s="64">
        <f t="shared" si="123"/>
        <v>92</v>
      </c>
      <c r="O62" s="64">
        <f t="shared" si="123"/>
        <v>89</v>
      </c>
      <c r="P62" s="64">
        <f t="shared" si="123"/>
        <v>0</v>
      </c>
      <c r="Q62" s="64">
        <f t="shared" si="123"/>
        <v>0</v>
      </c>
      <c r="R62" s="64">
        <f t="shared" si="114"/>
        <v>0</v>
      </c>
      <c r="S62" s="337">
        <v>0</v>
      </c>
      <c r="T62" s="337">
        <v>38.1</v>
      </c>
      <c r="U62" s="337">
        <v>12.83</v>
      </c>
      <c r="V62" s="337">
        <v>0</v>
      </c>
      <c r="W62" s="337">
        <v>0</v>
      </c>
      <c r="Y62" s="65">
        <f t="shared" si="143"/>
        <v>0</v>
      </c>
      <c r="Z62" s="65">
        <f t="shared" si="143"/>
        <v>3505.2000000000003</v>
      </c>
      <c r="AA62" s="65">
        <f t="shared" si="143"/>
        <v>1141.8700000000001</v>
      </c>
      <c r="AB62" s="65">
        <f t="shared" si="143"/>
        <v>0</v>
      </c>
      <c r="AC62" s="65">
        <f t="shared" si="143"/>
        <v>0</v>
      </c>
      <c r="AE62" s="64">
        <f>M62</f>
        <v>0</v>
      </c>
      <c r="AF62" s="64">
        <f t="shared" si="147"/>
        <v>92</v>
      </c>
      <c r="AG62" s="64">
        <f t="shared" si="148"/>
        <v>89</v>
      </c>
      <c r="AH62" s="64">
        <f t="shared" si="149"/>
        <v>0</v>
      </c>
      <c r="AI62" s="64">
        <f t="shared" si="150"/>
        <v>0</v>
      </c>
      <c r="AK62" s="74">
        <f t="shared" si="76"/>
        <v>0</v>
      </c>
      <c r="AL62" s="74">
        <f>ROUND(T62*(1+AL$1),2)</f>
        <v>42.74</v>
      </c>
      <c r="AM62" s="74">
        <f t="shared" si="77"/>
        <v>14.5</v>
      </c>
      <c r="AN62" s="74">
        <f t="shared" si="78"/>
        <v>0</v>
      </c>
      <c r="AO62" s="74">
        <f t="shared" si="79"/>
        <v>0</v>
      </c>
      <c r="AQ62" s="65">
        <f t="shared" si="125"/>
        <v>0</v>
      </c>
      <c r="AR62" s="65">
        <f t="shared" si="120"/>
        <v>3932.0800000000004</v>
      </c>
      <c r="AS62" s="65">
        <f t="shared" si="126"/>
        <v>1290.5</v>
      </c>
      <c r="AT62" s="65">
        <f t="shared" si="127"/>
        <v>0</v>
      </c>
      <c r="AU62" s="65">
        <f t="shared" si="128"/>
        <v>0</v>
      </c>
      <c r="AV62" s="65">
        <f t="shared" ref="AV62:AV78" si="160">SUM(AR62)-SUM(Z62)</f>
        <v>426.88000000000011</v>
      </c>
      <c r="AW62" s="306">
        <f t="shared" ref="AW62:AW78" si="161">AV62/Z62</f>
        <v>0.12178477690288717</v>
      </c>
      <c r="AX62" s="299">
        <v>85</v>
      </c>
      <c r="AY62" s="85"/>
      <c r="AZ62" s="85">
        <v>37.903833999999996</v>
      </c>
      <c r="BA62" s="85">
        <v>12.66</v>
      </c>
      <c r="BB62" s="85"/>
      <c r="BC62" s="85"/>
      <c r="BD62" s="85"/>
      <c r="BE62" s="327">
        <f t="shared" si="144"/>
        <v>0.17999999999999994</v>
      </c>
      <c r="BF62" s="49"/>
      <c r="BG62" s="49">
        <f t="shared" si="152"/>
        <v>0.95</v>
      </c>
      <c r="BH62" s="49">
        <f>ROUND((U62*$BF$2)+$BE62-BA62,2)</f>
        <v>0.54</v>
      </c>
      <c r="BI62" s="49"/>
      <c r="BJ62" s="49"/>
      <c r="BM62" s="214">
        <f t="shared" si="17"/>
        <v>0</v>
      </c>
      <c r="BN62" s="214">
        <f t="shared" si="18"/>
        <v>43.385373999999999</v>
      </c>
      <c r="BO62" s="214">
        <f t="shared" si="19"/>
        <v>14.718949999999998</v>
      </c>
      <c r="BP62" s="214">
        <f t="shared" si="20"/>
        <v>0</v>
      </c>
      <c r="BQ62" s="214">
        <f t="shared" si="38"/>
        <v>0</v>
      </c>
      <c r="BS62" s="49">
        <f t="shared" si="158"/>
        <v>0</v>
      </c>
      <c r="BT62" s="49">
        <f t="shared" si="159"/>
        <v>5.4815400000000025</v>
      </c>
      <c r="BU62" s="49">
        <f t="shared" si="159"/>
        <v>2.0589499999999976</v>
      </c>
      <c r="BV62" s="49">
        <f t="shared" si="159"/>
        <v>0</v>
      </c>
      <c r="BW62" s="49">
        <f t="shared" si="159"/>
        <v>0</v>
      </c>
    </row>
    <row r="63" spans="2:75">
      <c r="B63" s="32">
        <v>2</v>
      </c>
      <c r="C63" s="511" t="s">
        <v>97</v>
      </c>
      <c r="D63" s="32" t="s">
        <v>619</v>
      </c>
      <c r="E63" s="512">
        <v>8</v>
      </c>
      <c r="F63" s="67"/>
      <c r="G63" s="67" t="str">
        <f t="shared" si="107"/>
        <v>042546T</v>
      </c>
      <c r="H63" s="40"/>
      <c r="I63" s="41" t="s">
        <v>606</v>
      </c>
      <c r="J63" t="s">
        <v>86</v>
      </c>
      <c r="K63" s="54" t="s">
        <v>517</v>
      </c>
      <c r="L63" s="84" t="s">
        <v>509</v>
      </c>
      <c r="M63" s="64">
        <f t="shared" si="123"/>
        <v>0</v>
      </c>
      <c r="N63" s="64">
        <f t="shared" si="123"/>
        <v>714</v>
      </c>
      <c r="O63" s="64">
        <f t="shared" si="123"/>
        <v>0</v>
      </c>
      <c r="P63" s="64">
        <f t="shared" si="123"/>
        <v>0</v>
      </c>
      <c r="Q63" s="64">
        <f t="shared" si="123"/>
        <v>0</v>
      </c>
      <c r="R63" s="64">
        <f t="shared" si="114"/>
        <v>0</v>
      </c>
      <c r="S63" s="337">
        <v>0</v>
      </c>
      <c r="T63" s="349">
        <v>38.1</v>
      </c>
      <c r="U63" s="337">
        <v>0</v>
      </c>
      <c r="V63" s="337">
        <v>0</v>
      </c>
      <c r="W63" s="337">
        <v>0</v>
      </c>
      <c r="Y63" s="65">
        <f t="shared" ref="Y63:AC64" si="162">IF(AND(M63&lt;&gt;0,S63=0),#VALUE!,M63*S63)</f>
        <v>0</v>
      </c>
      <c r="Z63" s="65">
        <f t="shared" si="162"/>
        <v>27203.4</v>
      </c>
      <c r="AA63" s="65">
        <f t="shared" si="162"/>
        <v>0</v>
      </c>
      <c r="AB63" s="65">
        <f t="shared" si="162"/>
        <v>0</v>
      </c>
      <c r="AC63" s="65">
        <f t="shared" si="162"/>
        <v>0</v>
      </c>
      <c r="AE63" s="64">
        <f>SUMIF($G:$G,TEXT(AE$3,"000")&amp;TEXT($L63,"000"),$E:$E)</f>
        <v>0</v>
      </c>
      <c r="AF63" s="64">
        <f>SUMIF($G:$G,TEXT(AF$3,"000")&amp;TEXT($L63,"000"),$E:$E)</f>
        <v>714</v>
      </c>
      <c r="AG63" s="64">
        <f>SUMIF($G:$G,TEXT(AG$3,"000")&amp;TEXT($L63,"000"),$E:$E)</f>
        <v>0</v>
      </c>
      <c r="AH63" s="64">
        <f>SUMIF($G:$G,TEXT(AH$3,"000")&amp;TEXT($L63,"000"),$E:$E)</f>
        <v>0</v>
      </c>
      <c r="AI63" s="64">
        <f>SUMIF($G:$G,TEXT(AI$3,"000")&amp;TEXT($L63,"000"),$E:$E)</f>
        <v>0</v>
      </c>
      <c r="AK63" s="74">
        <f t="shared" ref="AK63:AK94" si="163">ROUND(S63*(1+AK$1),2)</f>
        <v>0</v>
      </c>
      <c r="AL63" s="74">
        <f>AL62</f>
        <v>42.74</v>
      </c>
      <c r="AM63" s="74">
        <f t="shared" ref="AM63:AM84" si="164">ROUND(U63*(1+AM$1),2)</f>
        <v>0</v>
      </c>
      <c r="AN63" s="74">
        <f t="shared" ref="AN63:AN84" si="165">ROUND(V63*(1+AN$1),2)</f>
        <v>0</v>
      </c>
      <c r="AO63" s="74">
        <f t="shared" ref="AO63:AO84" si="166">ROUND(W63*(1+AO$1),2)</f>
        <v>0</v>
      </c>
      <c r="AQ63" s="65">
        <f t="shared" si="125"/>
        <v>0</v>
      </c>
      <c r="AR63" s="65">
        <f t="shared" si="120"/>
        <v>30516.36</v>
      </c>
      <c r="AS63" s="65">
        <f t="shared" si="126"/>
        <v>0</v>
      </c>
      <c r="AT63" s="65">
        <f t="shared" si="127"/>
        <v>0</v>
      </c>
      <c r="AU63" s="65">
        <f t="shared" si="128"/>
        <v>0</v>
      </c>
      <c r="AV63" s="65">
        <f t="shared" si="160"/>
        <v>3312.9599999999991</v>
      </c>
      <c r="AW63" s="306">
        <f t="shared" si="161"/>
        <v>0.1217847769028871</v>
      </c>
      <c r="AX63" s="299">
        <v>39</v>
      </c>
      <c r="AY63" s="85"/>
      <c r="AZ63" s="85">
        <v>37.903833999999996</v>
      </c>
      <c r="BA63" s="85"/>
      <c r="BB63" s="85"/>
      <c r="BC63" s="85"/>
      <c r="BD63" s="85"/>
      <c r="BE63" s="327">
        <f t="shared" si="144"/>
        <v>8.0000000000000016E-2</v>
      </c>
      <c r="BF63" s="49"/>
      <c r="BG63" s="49">
        <f t="shared" si="152"/>
        <v>0.85</v>
      </c>
      <c r="BH63" s="49"/>
      <c r="BI63" s="49"/>
      <c r="BJ63" s="49"/>
      <c r="BM63" s="214">
        <f t="shared" si="17"/>
        <v>0</v>
      </c>
      <c r="BN63" s="214">
        <f t="shared" si="18"/>
        <v>43.385373999999999</v>
      </c>
      <c r="BO63" s="214">
        <f t="shared" si="19"/>
        <v>0</v>
      </c>
      <c r="BP63" s="214">
        <f t="shared" si="20"/>
        <v>0</v>
      </c>
      <c r="BQ63" s="214">
        <f t="shared" si="38"/>
        <v>0</v>
      </c>
      <c r="BS63" s="49">
        <f t="shared" si="158"/>
        <v>0</v>
      </c>
      <c r="BT63" s="49">
        <f t="shared" ref="BT63:BW64" si="167">BN63-AZ63</f>
        <v>5.4815400000000025</v>
      </c>
      <c r="BU63" s="49">
        <f t="shared" si="167"/>
        <v>0</v>
      </c>
      <c r="BV63" s="49">
        <f t="shared" si="167"/>
        <v>0</v>
      </c>
      <c r="BW63" s="49">
        <f t="shared" si="167"/>
        <v>0</v>
      </c>
    </row>
    <row r="64" spans="2:75">
      <c r="B64" s="32">
        <v>2</v>
      </c>
      <c r="C64" s="511" t="s">
        <v>97</v>
      </c>
      <c r="D64" s="180" t="s">
        <v>677</v>
      </c>
      <c r="E64" s="512">
        <v>6</v>
      </c>
      <c r="F64" s="67"/>
      <c r="G64" s="67" t="str">
        <f t="shared" ref="G64" si="168">IF(OR(ISBLANK(C64),ISBLANK(D64)),"",TEXT(C64,"000")&amp;TEXT(D64,"000"))</f>
        <v>042594L</v>
      </c>
      <c r="H64" s="40"/>
      <c r="I64" t="s">
        <v>606</v>
      </c>
      <c r="J64" t="s">
        <v>86</v>
      </c>
      <c r="K64" s="54" t="s">
        <v>517</v>
      </c>
      <c r="L64" s="84" t="s">
        <v>604</v>
      </c>
      <c r="M64" s="64">
        <f t="shared" ref="M64:Q73" si="169">SUMIF($G:$G,TEXT(M$3,"000")&amp;TEXT($L64,"000"),$E:$E)</f>
        <v>0</v>
      </c>
      <c r="N64" s="64">
        <f t="shared" si="169"/>
        <v>150</v>
      </c>
      <c r="O64" s="64">
        <f t="shared" si="169"/>
        <v>0</v>
      </c>
      <c r="P64" s="64">
        <f t="shared" si="169"/>
        <v>0</v>
      </c>
      <c r="Q64" s="64">
        <f t="shared" si="169"/>
        <v>0</v>
      </c>
      <c r="R64" s="64">
        <f t="shared" si="114"/>
        <v>0</v>
      </c>
      <c r="S64" s="337">
        <v>0</v>
      </c>
      <c r="T64" s="349">
        <v>32.89</v>
      </c>
      <c r="U64" s="337">
        <v>0</v>
      </c>
      <c r="V64" s="337">
        <v>0</v>
      </c>
      <c r="W64" s="337">
        <v>0</v>
      </c>
      <c r="Y64" s="65">
        <f t="shared" si="162"/>
        <v>0</v>
      </c>
      <c r="Z64" s="65">
        <f t="shared" si="162"/>
        <v>4933.5</v>
      </c>
      <c r="AA64" s="65">
        <f t="shared" si="162"/>
        <v>0</v>
      </c>
      <c r="AB64" s="65">
        <f t="shared" si="162"/>
        <v>0</v>
      </c>
      <c r="AC64" s="65">
        <f t="shared" si="162"/>
        <v>0</v>
      </c>
      <c r="AE64" s="64">
        <f>M64</f>
        <v>0</v>
      </c>
      <c r="AF64" s="64">
        <f>N64</f>
        <v>150</v>
      </c>
      <c r="AG64" s="64">
        <f>O64</f>
        <v>0</v>
      </c>
      <c r="AH64" s="64">
        <f>P64</f>
        <v>0</v>
      </c>
      <c r="AI64" s="64">
        <f>Q64</f>
        <v>0</v>
      </c>
      <c r="AK64" s="74">
        <f t="shared" si="163"/>
        <v>0</v>
      </c>
      <c r="AL64" s="74">
        <f>AL63-AL103</f>
        <v>37.53</v>
      </c>
      <c r="AM64" s="74">
        <f t="shared" si="164"/>
        <v>0</v>
      </c>
      <c r="AN64" s="74">
        <f t="shared" si="165"/>
        <v>0</v>
      </c>
      <c r="AO64" s="74">
        <f t="shared" si="166"/>
        <v>0</v>
      </c>
      <c r="AQ64" s="65">
        <f t="shared" si="125"/>
        <v>0</v>
      </c>
      <c r="AR64" s="65">
        <f t="shared" si="120"/>
        <v>5629.5</v>
      </c>
      <c r="AS64" s="65">
        <f t="shared" si="126"/>
        <v>0</v>
      </c>
      <c r="AT64" s="65">
        <f t="shared" si="127"/>
        <v>0</v>
      </c>
      <c r="AU64" s="65">
        <f t="shared" si="128"/>
        <v>0</v>
      </c>
      <c r="AV64" s="65">
        <f t="shared" si="160"/>
        <v>696</v>
      </c>
      <c r="AW64" s="306">
        <f t="shared" si="161"/>
        <v>0.14107631498935846</v>
      </c>
      <c r="AX64" s="299">
        <v>39</v>
      </c>
      <c r="AY64" s="85"/>
      <c r="AZ64" s="85">
        <v>32.290331000000002</v>
      </c>
      <c r="BA64" s="85"/>
      <c r="BB64" s="85"/>
      <c r="BC64" s="85"/>
      <c r="BD64" s="85"/>
      <c r="BE64" s="327">
        <f t="shared" si="144"/>
        <v>8.0000000000000016E-2</v>
      </c>
      <c r="BF64" s="49"/>
      <c r="BG64" s="49">
        <f t="shared" si="152"/>
        <v>1.18</v>
      </c>
      <c r="BH64" s="49"/>
      <c r="BI64" s="49"/>
      <c r="BJ64" s="49"/>
      <c r="BM64" s="214">
        <f t="shared" si="17"/>
        <v>0</v>
      </c>
      <c r="BN64" s="214">
        <f t="shared" si="18"/>
        <v>38.096702999999998</v>
      </c>
      <c r="BO64" s="214">
        <f t="shared" si="19"/>
        <v>0</v>
      </c>
      <c r="BP64" s="214">
        <f t="shared" si="20"/>
        <v>0</v>
      </c>
      <c r="BQ64" s="214">
        <f t="shared" si="38"/>
        <v>0</v>
      </c>
      <c r="BS64" s="49">
        <f t="shared" si="158"/>
        <v>0</v>
      </c>
      <c r="BT64" s="49">
        <f t="shared" si="167"/>
        <v>5.8063719999999961</v>
      </c>
      <c r="BU64" s="49">
        <f t="shared" si="167"/>
        <v>0</v>
      </c>
      <c r="BV64" s="49">
        <f t="shared" si="167"/>
        <v>0</v>
      </c>
      <c r="BW64" s="49">
        <f t="shared" si="167"/>
        <v>0</v>
      </c>
    </row>
    <row r="65" spans="2:75">
      <c r="B65" s="32">
        <v>2</v>
      </c>
      <c r="C65" s="511" t="s">
        <v>97</v>
      </c>
      <c r="D65" s="32">
        <v>631</v>
      </c>
      <c r="E65" s="512">
        <v>37</v>
      </c>
      <c r="F65" s="67"/>
      <c r="G65" s="67" t="str">
        <f t="shared" si="107"/>
        <v>042631</v>
      </c>
      <c r="H65" s="40"/>
      <c r="I65" t="s">
        <v>105</v>
      </c>
      <c r="J65" t="s">
        <v>87</v>
      </c>
      <c r="K65" s="54" t="s">
        <v>119</v>
      </c>
      <c r="L65" s="84">
        <v>533</v>
      </c>
      <c r="M65" s="64">
        <f t="shared" si="169"/>
        <v>0</v>
      </c>
      <c r="N65" s="64">
        <f t="shared" si="169"/>
        <v>8</v>
      </c>
      <c r="O65" s="64">
        <f t="shared" si="169"/>
        <v>2</v>
      </c>
      <c r="P65" s="64">
        <f t="shared" si="169"/>
        <v>0</v>
      </c>
      <c r="Q65" s="64">
        <f t="shared" si="169"/>
        <v>0</v>
      </c>
      <c r="R65" s="64">
        <f t="shared" si="114"/>
        <v>0</v>
      </c>
      <c r="S65" s="337">
        <v>0</v>
      </c>
      <c r="T65" s="337">
        <v>38.1</v>
      </c>
      <c r="U65" s="337">
        <v>12.83</v>
      </c>
      <c r="V65" s="337">
        <v>0</v>
      </c>
      <c r="W65" s="337">
        <v>0</v>
      </c>
      <c r="Y65" s="65">
        <f>IF(AND(M65&lt;&gt;0,S65=0),#VALUE!,M65*S65)</f>
        <v>0</v>
      </c>
      <c r="Z65" s="65">
        <f>IF(AND(N65&lt;&gt;0,T65=0),#VALUE!,N65*T65)</f>
        <v>304.8</v>
      </c>
      <c r="AA65" s="65">
        <f>IF(AND(O65&lt;&gt;0,U65=0),#VALUE!,O65*U65)</f>
        <v>25.66</v>
      </c>
      <c r="AB65" s="65">
        <f>IF(AND(P65&lt;&gt;0,V65=0),#VALUE!,P65*V65)</f>
        <v>0</v>
      </c>
      <c r="AC65" s="65">
        <f>IF(AND(Q65&lt;&gt;0,W65=0),#VALUE!,Q65*W65)</f>
        <v>0</v>
      </c>
      <c r="AE65" s="64">
        <f>M65</f>
        <v>0</v>
      </c>
      <c r="AF65" s="64">
        <f t="shared" si="147"/>
        <v>8</v>
      </c>
      <c r="AG65" s="64">
        <f t="shared" si="148"/>
        <v>2</v>
      </c>
      <c r="AH65" s="64">
        <f t="shared" si="149"/>
        <v>0</v>
      </c>
      <c r="AI65" s="64">
        <f t="shared" si="150"/>
        <v>0</v>
      </c>
      <c r="AK65" s="74">
        <f t="shared" si="163"/>
        <v>0</v>
      </c>
      <c r="AL65" s="74">
        <f>ROUND(T65*(1+AL$1),2)</f>
        <v>42.74</v>
      </c>
      <c r="AM65" s="74">
        <f t="shared" si="164"/>
        <v>14.5</v>
      </c>
      <c r="AN65" s="74">
        <f t="shared" si="165"/>
        <v>0</v>
      </c>
      <c r="AO65" s="74">
        <f t="shared" si="166"/>
        <v>0</v>
      </c>
      <c r="AQ65" s="65">
        <f t="shared" si="125"/>
        <v>0</v>
      </c>
      <c r="AR65" s="65">
        <f t="shared" si="120"/>
        <v>341.92</v>
      </c>
      <c r="AS65" s="65">
        <f t="shared" si="126"/>
        <v>29</v>
      </c>
      <c r="AT65" s="65">
        <f t="shared" si="127"/>
        <v>0</v>
      </c>
      <c r="AU65" s="65">
        <f t="shared" si="128"/>
        <v>0</v>
      </c>
      <c r="AV65" s="65">
        <f t="shared" si="160"/>
        <v>37.120000000000005</v>
      </c>
      <c r="AW65" s="306">
        <f t="shared" si="161"/>
        <v>0.12178477690288715</v>
      </c>
      <c r="AX65" s="299">
        <v>85</v>
      </c>
      <c r="AY65" s="85"/>
      <c r="AZ65" s="85">
        <v>37.903833999999996</v>
      </c>
      <c r="BA65" s="85">
        <v>12.66</v>
      </c>
      <c r="BB65" s="85"/>
      <c r="BC65" s="85"/>
      <c r="BD65" s="85"/>
      <c r="BE65" s="327">
        <f t="shared" si="144"/>
        <v>0.17999999999999994</v>
      </c>
      <c r="BF65" s="49"/>
      <c r="BG65" s="49">
        <f t="shared" si="152"/>
        <v>0.95</v>
      </c>
      <c r="BH65" s="49">
        <f>ROUND((U65*$BF$2)+$BE65-BA65,2)</f>
        <v>0.54</v>
      </c>
      <c r="BI65" s="49"/>
      <c r="BJ65" s="49"/>
      <c r="BM65" s="214">
        <f t="shared" si="17"/>
        <v>0</v>
      </c>
      <c r="BN65" s="214">
        <f t="shared" si="18"/>
        <v>43.385373999999999</v>
      </c>
      <c r="BO65" s="214">
        <f t="shared" si="19"/>
        <v>14.718949999999998</v>
      </c>
      <c r="BP65" s="214">
        <f t="shared" si="20"/>
        <v>0</v>
      </c>
      <c r="BQ65" s="214">
        <f t="shared" si="38"/>
        <v>0</v>
      </c>
      <c r="BS65" s="49">
        <f t="shared" si="158"/>
        <v>0</v>
      </c>
      <c r="BT65" s="49">
        <f>BN65-AZ65</f>
        <v>5.4815400000000025</v>
      </c>
      <c r="BU65" s="49">
        <f>BO65-BA65</f>
        <v>2.0589499999999976</v>
      </c>
      <c r="BV65" s="49">
        <f>BP65-BB65</f>
        <v>0</v>
      </c>
      <c r="BW65" s="49">
        <f>BQ65-BC65</f>
        <v>0</v>
      </c>
    </row>
    <row r="66" spans="2:75">
      <c r="B66" s="32">
        <v>2</v>
      </c>
      <c r="C66" s="511" t="s">
        <v>97</v>
      </c>
      <c r="D66" s="32">
        <v>633</v>
      </c>
      <c r="E66" s="512">
        <v>33</v>
      </c>
      <c r="F66" s="67"/>
      <c r="G66" s="67" t="str">
        <f t="shared" si="107"/>
        <v>042633</v>
      </c>
      <c r="H66" s="40"/>
      <c r="I66" s="41" t="s">
        <v>606</v>
      </c>
      <c r="J66" t="s">
        <v>87</v>
      </c>
      <c r="K66" s="54" t="s">
        <v>517</v>
      </c>
      <c r="L66" s="84" t="s">
        <v>510</v>
      </c>
      <c r="M66" s="64">
        <f t="shared" si="169"/>
        <v>0</v>
      </c>
      <c r="N66" s="64">
        <f t="shared" si="169"/>
        <v>53</v>
      </c>
      <c r="O66" s="64">
        <f t="shared" si="169"/>
        <v>0</v>
      </c>
      <c r="P66" s="64">
        <f t="shared" si="169"/>
        <v>0</v>
      </c>
      <c r="Q66" s="64">
        <f t="shared" si="169"/>
        <v>0</v>
      </c>
      <c r="R66" s="64">
        <f t="shared" si="114"/>
        <v>0</v>
      </c>
      <c r="S66" s="337">
        <v>0</v>
      </c>
      <c r="T66" s="349">
        <v>38.1</v>
      </c>
      <c r="U66" s="337">
        <v>0</v>
      </c>
      <c r="V66" s="337">
        <v>0</v>
      </c>
      <c r="W66" s="337">
        <v>0</v>
      </c>
      <c r="Y66" s="65">
        <f t="shared" ref="Y66:AC67" si="170">IF(AND(M66&lt;&gt;0,S66=0),#VALUE!,M66*S66)</f>
        <v>0</v>
      </c>
      <c r="Z66" s="65">
        <f t="shared" si="170"/>
        <v>2019.3000000000002</v>
      </c>
      <c r="AA66" s="65">
        <f t="shared" si="170"/>
        <v>0</v>
      </c>
      <c r="AB66" s="65">
        <f t="shared" si="170"/>
        <v>0</v>
      </c>
      <c r="AC66" s="65">
        <f t="shared" si="170"/>
        <v>0</v>
      </c>
      <c r="AE66" s="64">
        <f>SUMIF($G:$G,TEXT(AE$3,"000")&amp;TEXT($L66,"000"),$E:$E)</f>
        <v>0</v>
      </c>
      <c r="AF66" s="64">
        <f>SUMIF($G:$G,TEXT(AF$3,"000")&amp;TEXT($L66,"000"),$E:$E)</f>
        <v>53</v>
      </c>
      <c r="AG66" s="64">
        <f>SUMIF($G:$G,TEXT(AG$3,"000")&amp;TEXT($L66,"000"),$E:$E)</f>
        <v>0</v>
      </c>
      <c r="AH66" s="64">
        <f>SUMIF($G:$G,TEXT(AH$3,"000")&amp;TEXT($L66,"000"),$E:$E)</f>
        <v>0</v>
      </c>
      <c r="AI66" s="64">
        <f>SUMIF($G:$G,TEXT(AI$3,"000")&amp;TEXT($L66,"000"),$E:$E)</f>
        <v>0</v>
      </c>
      <c r="AK66" s="74">
        <f t="shared" si="163"/>
        <v>0</v>
      </c>
      <c r="AL66" s="74">
        <f>AL65</f>
        <v>42.74</v>
      </c>
      <c r="AM66" s="74">
        <f t="shared" si="164"/>
        <v>0</v>
      </c>
      <c r="AN66" s="74">
        <f t="shared" si="165"/>
        <v>0</v>
      </c>
      <c r="AO66" s="74">
        <f t="shared" si="166"/>
        <v>0</v>
      </c>
      <c r="AQ66" s="65">
        <f t="shared" si="125"/>
        <v>0</v>
      </c>
      <c r="AR66" s="65">
        <f t="shared" si="120"/>
        <v>2265.2200000000003</v>
      </c>
      <c r="AS66" s="65">
        <f t="shared" si="126"/>
        <v>0</v>
      </c>
      <c r="AT66" s="65">
        <f t="shared" si="127"/>
        <v>0</v>
      </c>
      <c r="AU66" s="65">
        <f t="shared" si="128"/>
        <v>0</v>
      </c>
      <c r="AV66" s="65">
        <f t="shared" si="160"/>
        <v>245.92000000000007</v>
      </c>
      <c r="AW66" s="306">
        <f t="shared" si="161"/>
        <v>0.12178477690288717</v>
      </c>
      <c r="AX66" s="299">
        <v>39</v>
      </c>
      <c r="AY66" s="85"/>
      <c r="AZ66" s="85">
        <v>37.903833999999996</v>
      </c>
      <c r="BA66" s="85"/>
      <c r="BB66" s="85"/>
      <c r="BC66" s="85"/>
      <c r="BD66" s="85"/>
      <c r="BE66" s="327">
        <f t="shared" si="144"/>
        <v>8.0000000000000016E-2</v>
      </c>
      <c r="BF66" s="49"/>
      <c r="BG66" s="49">
        <f t="shared" si="152"/>
        <v>0.85</v>
      </c>
      <c r="BH66" s="49"/>
      <c r="BI66" s="49"/>
      <c r="BJ66" s="49"/>
      <c r="BM66" s="214">
        <f t="shared" si="17"/>
        <v>0</v>
      </c>
      <c r="BN66" s="214">
        <f t="shared" si="18"/>
        <v>43.385373999999999</v>
      </c>
      <c r="BO66" s="214">
        <f t="shared" si="19"/>
        <v>0</v>
      </c>
      <c r="BP66" s="214">
        <f t="shared" si="20"/>
        <v>0</v>
      </c>
      <c r="BQ66" s="214">
        <f t="shared" si="38"/>
        <v>0</v>
      </c>
      <c r="BS66" s="49">
        <f t="shared" si="158"/>
        <v>0</v>
      </c>
      <c r="BT66" s="49">
        <f t="shared" ref="BT66:BW67" si="171">BN66-AZ66</f>
        <v>5.4815400000000025</v>
      </c>
      <c r="BU66" s="49">
        <f t="shared" si="171"/>
        <v>0</v>
      </c>
      <c r="BV66" s="49">
        <f t="shared" si="171"/>
        <v>0</v>
      </c>
      <c r="BW66" s="49">
        <f t="shared" si="171"/>
        <v>0</v>
      </c>
    </row>
    <row r="67" spans="2:75">
      <c r="B67" s="32">
        <v>2</v>
      </c>
      <c r="C67" s="511" t="s">
        <v>97</v>
      </c>
      <c r="D67" s="32">
        <v>636</v>
      </c>
      <c r="E67" s="512">
        <v>2</v>
      </c>
      <c r="F67" s="67"/>
      <c r="G67" s="67" t="str">
        <f t="shared" ref="G67:G80" si="172">IF(OR(ISBLANK(C67),ISBLANK(D67)),"",TEXT(C67,"000")&amp;TEXT(D67,"000"))</f>
        <v>042636</v>
      </c>
      <c r="H67" s="40"/>
      <c r="I67" t="s">
        <v>606</v>
      </c>
      <c r="J67" t="s">
        <v>87</v>
      </c>
      <c r="K67" s="54" t="s">
        <v>517</v>
      </c>
      <c r="L67" s="84" t="s">
        <v>605</v>
      </c>
      <c r="M67" s="64">
        <f t="shared" si="169"/>
        <v>0</v>
      </c>
      <c r="N67" s="64">
        <f t="shared" si="169"/>
        <v>46</v>
      </c>
      <c r="O67" s="64">
        <f t="shared" si="169"/>
        <v>0</v>
      </c>
      <c r="P67" s="64">
        <f t="shared" si="169"/>
        <v>0</v>
      </c>
      <c r="Q67" s="64">
        <f t="shared" si="169"/>
        <v>0</v>
      </c>
      <c r="R67" s="64">
        <f t="shared" si="114"/>
        <v>0</v>
      </c>
      <c r="S67" s="337">
        <v>0</v>
      </c>
      <c r="T67" s="349">
        <v>32.89</v>
      </c>
      <c r="U67" s="337">
        <v>0</v>
      </c>
      <c r="V67" s="337">
        <v>0</v>
      </c>
      <c r="W67" s="337">
        <v>0</v>
      </c>
      <c r="Y67" s="65">
        <f t="shared" si="170"/>
        <v>0</v>
      </c>
      <c r="Z67" s="65">
        <f t="shared" si="170"/>
        <v>1512.94</v>
      </c>
      <c r="AA67" s="495">
        <f t="shared" si="170"/>
        <v>0</v>
      </c>
      <c r="AB67" s="65">
        <f t="shared" si="170"/>
        <v>0</v>
      </c>
      <c r="AC67" s="65">
        <f t="shared" si="170"/>
        <v>0</v>
      </c>
      <c r="AE67" s="64">
        <f>M67</f>
        <v>0</v>
      </c>
      <c r="AF67" s="64">
        <f>N67</f>
        <v>46</v>
      </c>
      <c r="AG67" s="64">
        <f>O67</f>
        <v>0</v>
      </c>
      <c r="AH67" s="64">
        <f>P67</f>
        <v>0</v>
      </c>
      <c r="AI67" s="64">
        <f>Q67</f>
        <v>0</v>
      </c>
      <c r="AK67" s="74">
        <f t="shared" si="163"/>
        <v>0</v>
      </c>
      <c r="AL67" s="74">
        <f>AL66-AL103</f>
        <v>37.53</v>
      </c>
      <c r="AM67" s="74">
        <f t="shared" si="164"/>
        <v>0</v>
      </c>
      <c r="AN67" s="74">
        <f t="shared" si="165"/>
        <v>0</v>
      </c>
      <c r="AO67" s="74">
        <f t="shared" si="166"/>
        <v>0</v>
      </c>
      <c r="AQ67" s="65">
        <f t="shared" si="125"/>
        <v>0</v>
      </c>
      <c r="AR67" s="65">
        <f t="shared" si="120"/>
        <v>1726.38</v>
      </c>
      <c r="AS67" s="65">
        <f t="shared" si="126"/>
        <v>0</v>
      </c>
      <c r="AT67" s="65">
        <f t="shared" si="127"/>
        <v>0</v>
      </c>
      <c r="AU67" s="65">
        <f t="shared" si="128"/>
        <v>0</v>
      </c>
      <c r="AV67" s="65">
        <f t="shared" si="160"/>
        <v>213.44000000000005</v>
      </c>
      <c r="AW67" s="306">
        <f t="shared" si="161"/>
        <v>0.14107631498935849</v>
      </c>
      <c r="AX67" s="299">
        <v>39</v>
      </c>
      <c r="AY67" s="85"/>
      <c r="AZ67" s="85">
        <v>32.290331000000002</v>
      </c>
      <c r="BA67" s="85"/>
      <c r="BB67" s="85"/>
      <c r="BC67" s="85"/>
      <c r="BD67" s="85"/>
      <c r="BE67" s="327">
        <f t="shared" si="144"/>
        <v>8.0000000000000016E-2</v>
      </c>
      <c r="BF67" s="49"/>
      <c r="BG67" s="49">
        <f t="shared" si="152"/>
        <v>1.18</v>
      </c>
      <c r="BH67" s="49"/>
      <c r="BI67" s="49"/>
      <c r="BJ67" s="49"/>
      <c r="BM67" s="214">
        <f t="shared" si="17"/>
        <v>0</v>
      </c>
      <c r="BN67" s="214">
        <f t="shared" si="18"/>
        <v>38.096702999999998</v>
      </c>
      <c r="BO67" s="214">
        <f t="shared" si="19"/>
        <v>0</v>
      </c>
      <c r="BP67" s="214">
        <f t="shared" si="20"/>
        <v>0</v>
      </c>
      <c r="BQ67" s="214">
        <f t="shared" si="38"/>
        <v>0</v>
      </c>
      <c r="BS67" s="49">
        <f t="shared" si="158"/>
        <v>0</v>
      </c>
      <c r="BT67" s="49">
        <f t="shared" si="171"/>
        <v>5.8063719999999961</v>
      </c>
      <c r="BU67" s="49">
        <f t="shared" si="171"/>
        <v>0</v>
      </c>
      <c r="BV67" s="49">
        <f t="shared" si="171"/>
        <v>0</v>
      </c>
      <c r="BW67" s="49">
        <f t="shared" si="171"/>
        <v>0</v>
      </c>
    </row>
    <row r="68" spans="2:75">
      <c r="B68" s="32">
        <v>2</v>
      </c>
      <c r="C68" s="511" t="s">
        <v>97</v>
      </c>
      <c r="D68" s="32">
        <v>831</v>
      </c>
      <c r="E68" s="512">
        <v>0</v>
      </c>
      <c r="F68" s="67"/>
      <c r="G68" s="67" t="str">
        <f t="shared" si="172"/>
        <v>042831</v>
      </c>
      <c r="H68" s="40"/>
      <c r="I68" t="s">
        <v>105</v>
      </c>
      <c r="J68" t="s">
        <v>673</v>
      </c>
      <c r="K68" s="54" t="s">
        <v>119</v>
      </c>
      <c r="L68" s="84">
        <v>535</v>
      </c>
      <c r="M68" s="64">
        <f t="shared" si="169"/>
        <v>0</v>
      </c>
      <c r="N68" s="64">
        <f t="shared" si="169"/>
        <v>88</v>
      </c>
      <c r="O68" s="64">
        <f t="shared" si="169"/>
        <v>7</v>
      </c>
      <c r="P68" s="64">
        <f t="shared" si="169"/>
        <v>0</v>
      </c>
      <c r="Q68" s="64">
        <f t="shared" si="169"/>
        <v>40</v>
      </c>
      <c r="R68" s="64">
        <f t="shared" si="114"/>
        <v>0</v>
      </c>
      <c r="S68" s="337">
        <v>0</v>
      </c>
      <c r="T68" s="337">
        <v>21.19</v>
      </c>
      <c r="U68" s="337">
        <v>12.83</v>
      </c>
      <c r="V68" s="337">
        <v>0</v>
      </c>
      <c r="W68" s="337">
        <v>10.14</v>
      </c>
      <c r="Y68" s="65">
        <f>IF(AND(M68&lt;&gt;0,S68=0),#VALUE!,M68*S68)</f>
        <v>0</v>
      </c>
      <c r="Z68" s="65">
        <f>IF(AND(N68&lt;&gt;0,T68=0),#VALUE!,N68*T68)</f>
        <v>1864.72</v>
      </c>
      <c r="AA68" s="65">
        <f>IF(AND(O68&lt;&gt;0,U68=0),#VALUE!,O68*U68)</f>
        <v>89.81</v>
      </c>
      <c r="AB68" s="65">
        <f>IF(AND(P68&lt;&gt;0,V68=0),#VALUE!,P68*V68)</f>
        <v>0</v>
      </c>
      <c r="AC68" s="65">
        <f>IF(AND(Q68&lt;&gt;0,W68=0),#VALUE!,Q68*W68)</f>
        <v>405.6</v>
      </c>
      <c r="AE68" s="64">
        <f>M68</f>
        <v>0</v>
      </c>
      <c r="AF68" s="64">
        <f t="shared" si="147"/>
        <v>88</v>
      </c>
      <c r="AG68" s="64">
        <f t="shared" si="148"/>
        <v>7</v>
      </c>
      <c r="AH68" s="64">
        <f t="shared" si="149"/>
        <v>0</v>
      </c>
      <c r="AI68" s="64">
        <f t="shared" si="150"/>
        <v>40</v>
      </c>
      <c r="AK68" s="74">
        <f t="shared" si="163"/>
        <v>0</v>
      </c>
      <c r="AL68" s="74">
        <f>ROUND(T68*(1+AL$1),2)</f>
        <v>23.77</v>
      </c>
      <c r="AM68" s="74">
        <f t="shared" si="164"/>
        <v>14.5</v>
      </c>
      <c r="AN68" s="74">
        <f t="shared" si="165"/>
        <v>0</v>
      </c>
      <c r="AO68" s="74">
        <f t="shared" si="166"/>
        <v>11.46</v>
      </c>
      <c r="AQ68" s="65">
        <f t="shared" si="125"/>
        <v>0</v>
      </c>
      <c r="AR68" s="65">
        <f t="shared" si="120"/>
        <v>2091.7599999999998</v>
      </c>
      <c r="AS68" s="65">
        <f t="shared" si="126"/>
        <v>101.5</v>
      </c>
      <c r="AT68" s="65">
        <f t="shared" si="127"/>
        <v>0</v>
      </c>
      <c r="AU68" s="65">
        <f t="shared" si="128"/>
        <v>458.40000000000003</v>
      </c>
      <c r="AV68" s="65">
        <f t="shared" si="160"/>
        <v>227.03999999999974</v>
      </c>
      <c r="AW68" s="306">
        <f t="shared" si="161"/>
        <v>0.12175554506842837</v>
      </c>
      <c r="AX68" s="299">
        <v>85</v>
      </c>
      <c r="AY68" s="85"/>
      <c r="AZ68" s="85">
        <v>21.083626999999996</v>
      </c>
      <c r="BA68" s="85">
        <v>12.66</v>
      </c>
      <c r="BB68" s="85"/>
      <c r="BC68" s="85">
        <v>10.01</v>
      </c>
      <c r="BD68" s="85"/>
      <c r="BE68" s="327">
        <f t="shared" si="144"/>
        <v>0.17999999999999994</v>
      </c>
      <c r="BF68" s="49"/>
      <c r="BG68" s="49">
        <f t="shared" si="152"/>
        <v>0.61</v>
      </c>
      <c r="BH68" s="49">
        <f>ROUND((U68*$BF$2)+$BE68-BA68,2)</f>
        <v>0.54</v>
      </c>
      <c r="BI68" s="49"/>
      <c r="BJ68" s="49">
        <f>ROUND((W68*$BF$2)+$BE68-BC68,2)</f>
        <v>0.46</v>
      </c>
      <c r="BM68" s="214">
        <f t="shared" ref="BM68:BP104" si="173">AK68*$BM$1</f>
        <v>0</v>
      </c>
      <c r="BN68" s="214">
        <f t="shared" si="173"/>
        <v>24.128926999999997</v>
      </c>
      <c r="BO68" s="214">
        <f t="shared" si="173"/>
        <v>14.718949999999998</v>
      </c>
      <c r="BP68" s="214">
        <f t="shared" si="173"/>
        <v>0</v>
      </c>
      <c r="BQ68" s="214">
        <f t="shared" si="38"/>
        <v>11.633046</v>
      </c>
      <c r="BS68" s="49">
        <f t="shared" si="158"/>
        <v>0</v>
      </c>
      <c r="BT68" s="49">
        <f>BN68-AZ68</f>
        <v>3.045300000000001</v>
      </c>
      <c r="BU68" s="49">
        <f>BO68-BA68</f>
        <v>2.0589499999999976</v>
      </c>
      <c r="BV68" s="49">
        <f>BP68-BB68</f>
        <v>0</v>
      </c>
      <c r="BW68" s="49">
        <f>BQ68-BC68</f>
        <v>1.6230460000000004</v>
      </c>
    </row>
    <row r="69" spans="2:75">
      <c r="B69" s="32">
        <v>2</v>
      </c>
      <c r="C69" s="511" t="s">
        <v>97</v>
      </c>
      <c r="D69" s="32" t="s">
        <v>612</v>
      </c>
      <c r="E69" s="512">
        <v>40</v>
      </c>
      <c r="F69" s="67"/>
      <c r="G69" s="67" t="str">
        <f t="shared" si="172"/>
        <v>042831T</v>
      </c>
      <c r="H69" s="476"/>
      <c r="I69" s="41" t="s">
        <v>606</v>
      </c>
      <c r="J69" t="s">
        <v>673</v>
      </c>
      <c r="K69" s="54" t="s">
        <v>517</v>
      </c>
      <c r="L69" s="84" t="s">
        <v>511</v>
      </c>
      <c r="M69" s="64">
        <f t="shared" si="169"/>
        <v>0</v>
      </c>
      <c r="N69" s="64">
        <f t="shared" si="169"/>
        <v>866</v>
      </c>
      <c r="O69" s="64">
        <f t="shared" si="169"/>
        <v>0</v>
      </c>
      <c r="P69" s="64">
        <f t="shared" si="169"/>
        <v>0</v>
      </c>
      <c r="Q69" s="64">
        <f t="shared" si="169"/>
        <v>0</v>
      </c>
      <c r="R69" s="64">
        <f t="shared" si="114"/>
        <v>0</v>
      </c>
      <c r="S69" s="337">
        <v>0</v>
      </c>
      <c r="T69" s="349">
        <v>21.19</v>
      </c>
      <c r="U69" s="337">
        <v>0</v>
      </c>
      <c r="V69" s="337">
        <v>0</v>
      </c>
      <c r="W69" s="337">
        <v>0</v>
      </c>
      <c r="Y69" s="65">
        <f t="shared" ref="Y69:AC70" si="174">IF(AND(M69&lt;&gt;0,S69=0),#VALUE!,M69*S69)</f>
        <v>0</v>
      </c>
      <c r="Z69" s="65">
        <f t="shared" si="174"/>
        <v>18350.54</v>
      </c>
      <c r="AA69" s="495">
        <f t="shared" si="174"/>
        <v>0</v>
      </c>
      <c r="AB69" s="65">
        <f t="shared" si="174"/>
        <v>0</v>
      </c>
      <c r="AC69" s="65">
        <f t="shared" si="174"/>
        <v>0</v>
      </c>
      <c r="AE69" s="64">
        <f>SUMIF($G:$G,TEXT(AE$3,"000")&amp;TEXT($L69,"000"),$E:$E)</f>
        <v>0</v>
      </c>
      <c r="AF69" s="64">
        <f>SUMIF($G:$G,TEXT(AF$3,"000")&amp;TEXT($L69,"000"),$E:$E)</f>
        <v>866</v>
      </c>
      <c r="AG69" s="64">
        <f>SUMIF($G:$G,TEXT(AG$3,"000")&amp;TEXT($L69,"000"),$E:$E)</f>
        <v>0</v>
      </c>
      <c r="AH69" s="64">
        <f>SUMIF($G:$G,TEXT(AH$3,"000")&amp;TEXT($L69,"000"),$E:$E)</f>
        <v>0</v>
      </c>
      <c r="AI69" s="64">
        <f>SUMIF($G:$G,TEXT(AI$3,"000")&amp;TEXT($L69,"000"),$E:$E)</f>
        <v>0</v>
      </c>
      <c r="AK69" s="74">
        <f t="shared" si="163"/>
        <v>0</v>
      </c>
      <c r="AL69" s="74">
        <f>AL68</f>
        <v>23.77</v>
      </c>
      <c r="AM69" s="74">
        <f t="shared" si="164"/>
        <v>0</v>
      </c>
      <c r="AN69" s="74">
        <f t="shared" si="165"/>
        <v>0</v>
      </c>
      <c r="AO69" s="74">
        <f t="shared" si="166"/>
        <v>0</v>
      </c>
      <c r="AQ69" s="65">
        <f t="shared" si="125"/>
        <v>0</v>
      </c>
      <c r="AR69" s="65">
        <f t="shared" si="120"/>
        <v>20584.82</v>
      </c>
      <c r="AS69" s="65">
        <f t="shared" si="126"/>
        <v>0</v>
      </c>
      <c r="AT69" s="65">
        <f t="shared" si="127"/>
        <v>0</v>
      </c>
      <c r="AU69" s="65">
        <f t="shared" si="128"/>
        <v>0</v>
      </c>
      <c r="AV69" s="65">
        <f t="shared" si="160"/>
        <v>2234.2799999999988</v>
      </c>
      <c r="AW69" s="306">
        <f t="shared" si="161"/>
        <v>0.12175554506842844</v>
      </c>
      <c r="AX69" s="299">
        <v>39</v>
      </c>
      <c r="AY69" s="85"/>
      <c r="AZ69" s="85">
        <v>21.083626999999996</v>
      </c>
      <c r="BA69" s="85"/>
      <c r="BB69" s="85"/>
      <c r="BC69" s="85"/>
      <c r="BD69" s="85"/>
      <c r="BE69" s="327">
        <f t="shared" si="144"/>
        <v>8.0000000000000016E-2</v>
      </c>
      <c r="BF69" s="49"/>
      <c r="BG69" s="49">
        <f t="shared" si="152"/>
        <v>0.51</v>
      </c>
      <c r="BH69" s="49"/>
      <c r="BI69" s="49"/>
      <c r="BJ69" s="49"/>
      <c r="BM69" s="214">
        <f t="shared" si="173"/>
        <v>0</v>
      </c>
      <c r="BN69" s="214">
        <f t="shared" si="173"/>
        <v>24.128926999999997</v>
      </c>
      <c r="BO69" s="214">
        <f t="shared" si="173"/>
        <v>0</v>
      </c>
      <c r="BP69" s="214">
        <f t="shared" si="173"/>
        <v>0</v>
      </c>
      <c r="BQ69" s="214">
        <f t="shared" ref="BQ69:BQ104" si="175">AO69*$BM$1</f>
        <v>0</v>
      </c>
      <c r="BS69" s="49">
        <f t="shared" si="158"/>
        <v>0</v>
      </c>
      <c r="BT69" s="49">
        <f t="shared" ref="BT69:BW70" si="176">BN69-AZ69</f>
        <v>3.045300000000001</v>
      </c>
      <c r="BU69" s="49">
        <f t="shared" si="176"/>
        <v>0</v>
      </c>
      <c r="BV69" s="49">
        <f t="shared" si="176"/>
        <v>0</v>
      </c>
      <c r="BW69" s="49">
        <f t="shared" si="176"/>
        <v>0</v>
      </c>
    </row>
    <row r="70" spans="2:75">
      <c r="B70" s="32">
        <v>2</v>
      </c>
      <c r="C70" s="511" t="s">
        <v>97</v>
      </c>
      <c r="D70" s="32" t="s">
        <v>536</v>
      </c>
      <c r="E70" s="512">
        <v>1</v>
      </c>
      <c r="F70" s="67"/>
      <c r="G70" s="67" t="str">
        <f t="shared" si="172"/>
        <v>042831L</v>
      </c>
      <c r="H70" s="40"/>
      <c r="I70" t="s">
        <v>606</v>
      </c>
      <c r="J70" t="s">
        <v>673</v>
      </c>
      <c r="K70" s="54" t="s">
        <v>517</v>
      </c>
      <c r="L70" s="84" t="s">
        <v>607</v>
      </c>
      <c r="M70" s="64">
        <f t="shared" si="169"/>
        <v>0</v>
      </c>
      <c r="N70" s="64">
        <f t="shared" si="169"/>
        <v>405</v>
      </c>
      <c r="O70" s="64">
        <f t="shared" si="169"/>
        <v>0</v>
      </c>
      <c r="P70" s="64">
        <f t="shared" si="169"/>
        <v>0</v>
      </c>
      <c r="Q70" s="64">
        <f t="shared" si="169"/>
        <v>0</v>
      </c>
      <c r="R70" s="64">
        <f t="shared" si="114"/>
        <v>0</v>
      </c>
      <c r="S70" s="337">
        <v>0</v>
      </c>
      <c r="T70" s="349">
        <v>15.98</v>
      </c>
      <c r="U70" s="337">
        <v>0</v>
      </c>
      <c r="V70" s="337">
        <v>0</v>
      </c>
      <c r="W70" s="337">
        <v>0</v>
      </c>
      <c r="Y70" s="65">
        <f t="shared" si="174"/>
        <v>0</v>
      </c>
      <c r="Z70" s="65">
        <f t="shared" si="174"/>
        <v>6471.9000000000005</v>
      </c>
      <c r="AA70" s="495">
        <f t="shared" si="174"/>
        <v>0</v>
      </c>
      <c r="AB70" s="65">
        <f t="shared" si="174"/>
        <v>0</v>
      </c>
      <c r="AC70" s="495">
        <f t="shared" si="174"/>
        <v>0</v>
      </c>
      <c r="AE70" s="64">
        <f>M70</f>
        <v>0</v>
      </c>
      <c r="AF70" s="64">
        <f>N70</f>
        <v>405</v>
      </c>
      <c r="AG70" s="64">
        <f>O70</f>
        <v>0</v>
      </c>
      <c r="AH70" s="64">
        <f>P70</f>
        <v>0</v>
      </c>
      <c r="AI70" s="64">
        <f>Q70</f>
        <v>0</v>
      </c>
      <c r="AK70" s="74">
        <f t="shared" si="163"/>
        <v>0</v>
      </c>
      <c r="AL70" s="74">
        <f>AL69-AL103</f>
        <v>18.559999999999999</v>
      </c>
      <c r="AM70" s="74">
        <f t="shared" si="164"/>
        <v>0</v>
      </c>
      <c r="AN70" s="74">
        <f t="shared" si="165"/>
        <v>0</v>
      </c>
      <c r="AO70" s="74">
        <f t="shared" si="166"/>
        <v>0</v>
      </c>
      <c r="AQ70" s="65">
        <f t="shared" si="125"/>
        <v>0</v>
      </c>
      <c r="AR70" s="65">
        <f t="shared" si="120"/>
        <v>7516.7999999999993</v>
      </c>
      <c r="AS70" s="65">
        <f t="shared" si="126"/>
        <v>0</v>
      </c>
      <c r="AT70" s="65">
        <f t="shared" si="127"/>
        <v>0</v>
      </c>
      <c r="AU70" s="65">
        <f t="shared" si="128"/>
        <v>0</v>
      </c>
      <c r="AV70" s="65">
        <f t="shared" si="160"/>
        <v>1044.8999999999987</v>
      </c>
      <c r="AW70" s="306">
        <f t="shared" si="161"/>
        <v>0.16145181476846038</v>
      </c>
      <c r="AX70" s="299">
        <v>39</v>
      </c>
      <c r="AY70" s="85"/>
      <c r="AZ70" s="85">
        <v>15.470123999999997</v>
      </c>
      <c r="BA70" s="85"/>
      <c r="BB70" s="85"/>
      <c r="BC70" s="85"/>
      <c r="BD70" s="85"/>
      <c r="BE70" s="327">
        <f t="shared" si="144"/>
        <v>8.0000000000000016E-2</v>
      </c>
      <c r="BF70" s="49"/>
      <c r="BG70" s="49">
        <f t="shared" si="152"/>
        <v>0.83</v>
      </c>
      <c r="BH70" s="49"/>
      <c r="BI70" s="49"/>
      <c r="BJ70" s="49"/>
      <c r="BM70" s="214">
        <f t="shared" si="173"/>
        <v>0</v>
      </c>
      <c r="BN70" s="214">
        <f t="shared" si="173"/>
        <v>18.840255999999997</v>
      </c>
      <c r="BO70" s="214">
        <f t="shared" si="173"/>
        <v>0</v>
      </c>
      <c r="BP70" s="214">
        <f t="shared" si="173"/>
        <v>0</v>
      </c>
      <c r="BQ70" s="214">
        <f t="shared" si="175"/>
        <v>0</v>
      </c>
      <c r="BS70" s="49">
        <f t="shared" si="158"/>
        <v>0</v>
      </c>
      <c r="BT70" s="49">
        <f t="shared" si="176"/>
        <v>3.3701319999999999</v>
      </c>
      <c r="BU70" s="49">
        <f t="shared" si="176"/>
        <v>0</v>
      </c>
      <c r="BV70" s="49">
        <f t="shared" si="176"/>
        <v>0</v>
      </c>
      <c r="BW70" s="49">
        <f t="shared" si="176"/>
        <v>0</v>
      </c>
    </row>
    <row r="71" spans="2:75">
      <c r="B71" s="32">
        <v>2</v>
      </c>
      <c r="C71" s="511" t="s">
        <v>97</v>
      </c>
      <c r="D71" s="32">
        <v>832</v>
      </c>
      <c r="E71" s="512">
        <v>0</v>
      </c>
      <c r="F71" s="67"/>
      <c r="G71" s="67" t="str">
        <f t="shared" si="172"/>
        <v>042832</v>
      </c>
      <c r="H71" s="40"/>
      <c r="I71" t="s">
        <v>105</v>
      </c>
      <c r="J71" t="s">
        <v>113</v>
      </c>
      <c r="K71" s="54" t="s">
        <v>119</v>
      </c>
      <c r="L71" s="84">
        <v>536</v>
      </c>
      <c r="M71" s="64">
        <f t="shared" si="169"/>
        <v>0</v>
      </c>
      <c r="N71" s="64">
        <f t="shared" si="169"/>
        <v>83</v>
      </c>
      <c r="O71" s="64">
        <f t="shared" si="169"/>
        <v>0</v>
      </c>
      <c r="P71" s="64">
        <f t="shared" si="169"/>
        <v>0</v>
      </c>
      <c r="Q71" s="64">
        <f t="shared" si="169"/>
        <v>0</v>
      </c>
      <c r="R71" s="64">
        <f t="shared" si="114"/>
        <v>0</v>
      </c>
      <c r="S71" s="337">
        <v>0</v>
      </c>
      <c r="T71" s="337">
        <v>25.74</v>
      </c>
      <c r="U71" s="337">
        <v>0</v>
      </c>
      <c r="V71" s="337">
        <v>0</v>
      </c>
      <c r="W71" s="337">
        <v>0</v>
      </c>
      <c r="Y71" s="65">
        <f>IF(AND(M71&lt;&gt;0,S71=0),#VALUE!,M71*S71)</f>
        <v>0</v>
      </c>
      <c r="Z71" s="65">
        <f>IF(AND(N71&lt;&gt;0,T71=0),#VALUE!,N71*T71)</f>
        <v>2136.42</v>
      </c>
      <c r="AA71" s="65">
        <f>IF(AND(O71&lt;&gt;0,U71=0),#VALUE!,O71*U71)</f>
        <v>0</v>
      </c>
      <c r="AB71" s="65">
        <f>IF(AND(P71&lt;&gt;0,V71=0),#VALUE!,P71*V71)</f>
        <v>0</v>
      </c>
      <c r="AC71" s="65">
        <f>IF(AND(Q71&lt;&gt;0,W71=0),#VALUE!,Q71*W71)</f>
        <v>0</v>
      </c>
      <c r="AE71" s="64">
        <f>M71</f>
        <v>0</v>
      </c>
      <c r="AF71" s="64">
        <f t="shared" si="147"/>
        <v>83</v>
      </c>
      <c r="AG71" s="64">
        <f t="shared" si="148"/>
        <v>0</v>
      </c>
      <c r="AH71" s="64">
        <f t="shared" si="149"/>
        <v>0</v>
      </c>
      <c r="AI71" s="64">
        <f t="shared" si="150"/>
        <v>0</v>
      </c>
      <c r="AK71" s="74">
        <f t="shared" si="163"/>
        <v>0</v>
      </c>
      <c r="AL71" s="74">
        <f>ROUND(T71*(1+AL$1),2)</f>
        <v>28.88</v>
      </c>
      <c r="AM71" s="74">
        <f t="shared" si="164"/>
        <v>0</v>
      </c>
      <c r="AN71" s="74">
        <f t="shared" si="165"/>
        <v>0</v>
      </c>
      <c r="AO71" s="74">
        <f t="shared" si="166"/>
        <v>0</v>
      </c>
      <c r="AQ71" s="65">
        <f t="shared" si="125"/>
        <v>0</v>
      </c>
      <c r="AR71" s="65">
        <f t="shared" si="120"/>
        <v>2397.04</v>
      </c>
      <c r="AS71" s="65">
        <f t="shared" si="126"/>
        <v>0</v>
      </c>
      <c r="AT71" s="65">
        <f t="shared" si="127"/>
        <v>0</v>
      </c>
      <c r="AU71" s="65">
        <f t="shared" si="128"/>
        <v>0</v>
      </c>
      <c r="AV71" s="65">
        <f t="shared" si="160"/>
        <v>260.61999999999989</v>
      </c>
      <c r="AW71" s="306">
        <f t="shared" si="161"/>
        <v>0.12198912198912193</v>
      </c>
      <c r="AX71" s="299">
        <v>85</v>
      </c>
      <c r="AY71" s="85"/>
      <c r="AZ71" s="85">
        <v>25.600821999999997</v>
      </c>
      <c r="BA71" s="85"/>
      <c r="BB71" s="85"/>
      <c r="BC71" s="85"/>
      <c r="BD71" s="85"/>
      <c r="BE71" s="327">
        <f t="shared" si="144"/>
        <v>0.17999999999999994</v>
      </c>
      <c r="BF71" s="49"/>
      <c r="BG71" s="49">
        <f t="shared" si="152"/>
        <v>0.71</v>
      </c>
      <c r="BH71" s="49"/>
      <c r="BI71" s="49"/>
      <c r="BJ71" s="49"/>
      <c r="BM71" s="214">
        <f t="shared" si="173"/>
        <v>0</v>
      </c>
      <c r="BN71" s="214">
        <f t="shared" si="173"/>
        <v>29.316087999999997</v>
      </c>
      <c r="BO71" s="214">
        <f t="shared" si="173"/>
        <v>0</v>
      </c>
      <c r="BP71" s="214">
        <f t="shared" si="173"/>
        <v>0</v>
      </c>
      <c r="BQ71" s="214">
        <f t="shared" si="175"/>
        <v>0</v>
      </c>
      <c r="BS71" s="49">
        <f t="shared" si="158"/>
        <v>0</v>
      </c>
      <c r="BT71" s="49">
        <f>BN71-AZ71</f>
        <v>3.7152659999999997</v>
      </c>
      <c r="BU71" s="49">
        <f>BO71-BA71</f>
        <v>0</v>
      </c>
      <c r="BV71" s="49">
        <f>BP71-BB71</f>
        <v>0</v>
      </c>
      <c r="BW71" s="49">
        <f>BQ71-BC71</f>
        <v>0</v>
      </c>
    </row>
    <row r="72" spans="2:75">
      <c r="B72" s="32">
        <v>2</v>
      </c>
      <c r="C72" s="511" t="s">
        <v>97</v>
      </c>
      <c r="D72" s="32" t="s">
        <v>664</v>
      </c>
      <c r="E72" s="512">
        <f>2+1</f>
        <v>3</v>
      </c>
      <c r="F72" s="67"/>
      <c r="G72" s="67" t="str">
        <f t="shared" si="172"/>
        <v>042832T</v>
      </c>
      <c r="H72" s="476"/>
      <c r="I72" s="41" t="s">
        <v>606</v>
      </c>
      <c r="J72" t="s">
        <v>113</v>
      </c>
      <c r="K72" s="54" t="s">
        <v>517</v>
      </c>
      <c r="L72" s="84" t="s">
        <v>512</v>
      </c>
      <c r="M72" s="64">
        <f t="shared" si="169"/>
        <v>0</v>
      </c>
      <c r="N72" s="64">
        <f t="shared" si="169"/>
        <v>340</v>
      </c>
      <c r="O72" s="64">
        <f t="shared" si="169"/>
        <v>0</v>
      </c>
      <c r="P72" s="64">
        <f t="shared" si="169"/>
        <v>0</v>
      </c>
      <c r="Q72" s="64">
        <f t="shared" si="169"/>
        <v>0</v>
      </c>
      <c r="R72" s="64">
        <f t="shared" si="114"/>
        <v>0</v>
      </c>
      <c r="S72" s="337">
        <v>0</v>
      </c>
      <c r="T72" s="349">
        <v>25.74</v>
      </c>
      <c r="U72" s="337">
        <v>0</v>
      </c>
      <c r="V72" s="337">
        <v>0</v>
      </c>
      <c r="W72" s="337">
        <v>0</v>
      </c>
      <c r="Y72" s="65">
        <f t="shared" ref="Y72:AC73" si="177">IF(AND(M72&lt;&gt;0,S72=0),#VALUE!,M72*S72)</f>
        <v>0</v>
      </c>
      <c r="Z72" s="65">
        <f t="shared" si="177"/>
        <v>8751.6</v>
      </c>
      <c r="AA72" s="65">
        <f t="shared" si="177"/>
        <v>0</v>
      </c>
      <c r="AB72" s="65">
        <f t="shared" si="177"/>
        <v>0</v>
      </c>
      <c r="AC72" s="65">
        <f t="shared" si="177"/>
        <v>0</v>
      </c>
      <c r="AE72" s="64">
        <f>SUMIF($G:$G,TEXT(AE$3,"000")&amp;TEXT($L72,"000"),$E:$E)</f>
        <v>0</v>
      </c>
      <c r="AF72" s="64">
        <f>SUMIF($G:$G,TEXT(AF$3,"000")&amp;TEXT($L72,"000"),$E:$E)</f>
        <v>340</v>
      </c>
      <c r="AG72" s="64">
        <f>SUMIF($G:$G,TEXT(AG$3,"000")&amp;TEXT($L72,"000"),$E:$E)</f>
        <v>0</v>
      </c>
      <c r="AH72" s="64">
        <f>SUMIF($G:$G,TEXT(AH$3,"000")&amp;TEXT($L72,"000"),$E:$E)</f>
        <v>0</v>
      </c>
      <c r="AI72" s="64">
        <f>SUMIF($G:$G,TEXT(AI$3,"000")&amp;TEXT($L72,"000"),$E:$E)</f>
        <v>0</v>
      </c>
      <c r="AK72" s="74">
        <f t="shared" si="163"/>
        <v>0</v>
      </c>
      <c r="AL72" s="74">
        <f>AL71</f>
        <v>28.88</v>
      </c>
      <c r="AM72" s="74">
        <f t="shared" si="164"/>
        <v>0</v>
      </c>
      <c r="AN72" s="74">
        <f t="shared" si="165"/>
        <v>0</v>
      </c>
      <c r="AO72" s="74">
        <f t="shared" si="166"/>
        <v>0</v>
      </c>
      <c r="AQ72" s="65">
        <f t="shared" si="125"/>
        <v>0</v>
      </c>
      <c r="AR72" s="65">
        <f t="shared" si="120"/>
        <v>9819.1999999999989</v>
      </c>
      <c r="AS72" s="65">
        <f t="shared" si="126"/>
        <v>0</v>
      </c>
      <c r="AT72" s="65">
        <f t="shared" si="127"/>
        <v>0</v>
      </c>
      <c r="AU72" s="65">
        <f t="shared" si="128"/>
        <v>0</v>
      </c>
      <c r="AV72" s="65">
        <f t="shared" si="160"/>
        <v>1067.5999999999985</v>
      </c>
      <c r="AW72" s="306">
        <f t="shared" si="161"/>
        <v>0.12198912198912182</v>
      </c>
      <c r="AX72" s="299">
        <v>39</v>
      </c>
      <c r="AY72" s="85"/>
      <c r="AZ72" s="85">
        <v>25.600821999999997</v>
      </c>
      <c r="BA72" s="85"/>
      <c r="BB72" s="85"/>
      <c r="BC72" s="85"/>
      <c r="BD72" s="85"/>
      <c r="BE72" s="327">
        <f t="shared" si="144"/>
        <v>8.0000000000000016E-2</v>
      </c>
      <c r="BF72" s="49"/>
      <c r="BG72" s="49">
        <f t="shared" si="152"/>
        <v>0.61</v>
      </c>
      <c r="BH72" s="49"/>
      <c r="BI72" s="49"/>
      <c r="BJ72" s="49"/>
      <c r="BM72" s="214">
        <f t="shared" si="173"/>
        <v>0</v>
      </c>
      <c r="BN72" s="214">
        <f t="shared" si="173"/>
        <v>29.316087999999997</v>
      </c>
      <c r="BO72" s="214">
        <f t="shared" si="173"/>
        <v>0</v>
      </c>
      <c r="BP72" s="214">
        <f t="shared" si="173"/>
        <v>0</v>
      </c>
      <c r="BQ72" s="214">
        <f t="shared" si="175"/>
        <v>0</v>
      </c>
      <c r="BS72" s="49">
        <f t="shared" si="158"/>
        <v>0</v>
      </c>
      <c r="BT72" s="49">
        <f t="shared" ref="BT72:BW73" si="178">BN72-AZ72</f>
        <v>3.7152659999999997</v>
      </c>
      <c r="BU72" s="49">
        <f t="shared" si="178"/>
        <v>0</v>
      </c>
      <c r="BV72" s="49">
        <f t="shared" si="178"/>
        <v>0</v>
      </c>
      <c r="BW72" s="49">
        <f t="shared" si="178"/>
        <v>0</v>
      </c>
    </row>
    <row r="73" spans="2:75">
      <c r="B73" s="32">
        <v>2</v>
      </c>
      <c r="C73" s="511" t="s">
        <v>97</v>
      </c>
      <c r="D73" s="32" t="s">
        <v>537</v>
      </c>
      <c r="E73" s="512">
        <v>1</v>
      </c>
      <c r="F73" s="67"/>
      <c r="G73" s="67" t="str">
        <f t="shared" si="172"/>
        <v>042832L</v>
      </c>
      <c r="H73" s="40"/>
      <c r="I73" t="s">
        <v>606</v>
      </c>
      <c r="J73" t="s">
        <v>113</v>
      </c>
      <c r="K73" s="54" t="s">
        <v>517</v>
      </c>
      <c r="L73" s="84" t="s">
        <v>608</v>
      </c>
      <c r="M73" s="64">
        <f t="shared" si="169"/>
        <v>0</v>
      </c>
      <c r="N73" s="64">
        <f t="shared" si="169"/>
        <v>342</v>
      </c>
      <c r="O73" s="64">
        <f t="shared" si="169"/>
        <v>0</v>
      </c>
      <c r="P73" s="64">
        <f t="shared" si="169"/>
        <v>0</v>
      </c>
      <c r="Q73" s="64">
        <f t="shared" si="169"/>
        <v>0</v>
      </c>
      <c r="R73" s="64">
        <f t="shared" si="114"/>
        <v>0</v>
      </c>
      <c r="S73" s="337">
        <v>0</v>
      </c>
      <c r="T73" s="349">
        <v>20.529999999999998</v>
      </c>
      <c r="U73" s="337">
        <v>0</v>
      </c>
      <c r="V73" s="337">
        <v>0</v>
      </c>
      <c r="W73" s="337">
        <v>0</v>
      </c>
      <c r="Y73" s="65">
        <f t="shared" si="177"/>
        <v>0</v>
      </c>
      <c r="Z73" s="65">
        <f t="shared" si="177"/>
        <v>7021.2599999999993</v>
      </c>
      <c r="AA73" s="65">
        <f t="shared" si="177"/>
        <v>0</v>
      </c>
      <c r="AB73" s="65">
        <f t="shared" si="177"/>
        <v>0</v>
      </c>
      <c r="AC73" s="65">
        <f t="shared" si="177"/>
        <v>0</v>
      </c>
      <c r="AE73" s="64">
        <f>M73</f>
        <v>0</v>
      </c>
      <c r="AF73" s="64">
        <f>N73</f>
        <v>342</v>
      </c>
      <c r="AG73" s="64">
        <f>O73</f>
        <v>0</v>
      </c>
      <c r="AH73" s="64">
        <f>P73</f>
        <v>0</v>
      </c>
      <c r="AI73" s="64">
        <f>Q73</f>
        <v>0</v>
      </c>
      <c r="AK73" s="74">
        <f t="shared" si="163"/>
        <v>0</v>
      </c>
      <c r="AL73" s="74">
        <f>AL72-AL103</f>
        <v>23.669999999999998</v>
      </c>
      <c r="AM73" s="74">
        <f t="shared" si="164"/>
        <v>0</v>
      </c>
      <c r="AN73" s="74">
        <f t="shared" si="165"/>
        <v>0</v>
      </c>
      <c r="AO73" s="74">
        <f t="shared" si="166"/>
        <v>0</v>
      </c>
      <c r="AQ73" s="65">
        <f t="shared" si="125"/>
        <v>0</v>
      </c>
      <c r="AR73" s="65">
        <f t="shared" si="120"/>
        <v>8095.1399999999994</v>
      </c>
      <c r="AS73" s="65">
        <f t="shared" si="126"/>
        <v>0</v>
      </c>
      <c r="AT73" s="65">
        <f t="shared" si="127"/>
        <v>0</v>
      </c>
      <c r="AU73" s="65">
        <f t="shared" si="128"/>
        <v>0</v>
      </c>
      <c r="AV73" s="65">
        <f t="shared" si="160"/>
        <v>1073.8800000000001</v>
      </c>
      <c r="AW73" s="306">
        <f t="shared" si="161"/>
        <v>0.15294690696541649</v>
      </c>
      <c r="AX73" s="299">
        <v>39</v>
      </c>
      <c r="AY73" s="85"/>
      <c r="AZ73" s="85">
        <v>19.987318999999996</v>
      </c>
      <c r="BA73" s="85"/>
      <c r="BB73" s="85"/>
      <c r="BC73" s="85"/>
      <c r="BD73" s="85"/>
      <c r="BE73" s="327">
        <f t="shared" si="144"/>
        <v>8.0000000000000016E-2</v>
      </c>
      <c r="BF73" s="49"/>
      <c r="BG73" s="49">
        <f t="shared" si="152"/>
        <v>0.93</v>
      </c>
      <c r="BH73" s="49"/>
      <c r="BI73" s="49"/>
      <c r="BJ73" s="49"/>
      <c r="BM73" s="214">
        <f t="shared" si="173"/>
        <v>0</v>
      </c>
      <c r="BN73" s="214">
        <f t="shared" si="173"/>
        <v>24.027416999999996</v>
      </c>
      <c r="BO73" s="214">
        <f t="shared" si="173"/>
        <v>0</v>
      </c>
      <c r="BP73" s="214">
        <f t="shared" si="173"/>
        <v>0</v>
      </c>
      <c r="BQ73" s="214">
        <f t="shared" si="175"/>
        <v>0</v>
      </c>
      <c r="BS73" s="49">
        <f t="shared" si="158"/>
        <v>0</v>
      </c>
      <c r="BT73" s="49">
        <f t="shared" si="178"/>
        <v>4.0400980000000004</v>
      </c>
      <c r="BU73" s="49">
        <f t="shared" si="178"/>
        <v>0</v>
      </c>
      <c r="BV73" s="49">
        <f t="shared" si="178"/>
        <v>0</v>
      </c>
      <c r="BW73" s="49">
        <f t="shared" si="178"/>
        <v>0</v>
      </c>
    </row>
    <row r="74" spans="2:75">
      <c r="B74" s="32">
        <v>2</v>
      </c>
      <c r="C74" s="511" t="s">
        <v>97</v>
      </c>
      <c r="D74" s="32">
        <v>835</v>
      </c>
      <c r="E74" s="512">
        <v>2</v>
      </c>
      <c r="F74" s="67"/>
      <c r="G74" s="67" t="str">
        <f t="shared" si="172"/>
        <v>042835</v>
      </c>
      <c r="H74" s="40"/>
      <c r="I74" t="s">
        <v>116</v>
      </c>
      <c r="J74" t="s">
        <v>675</v>
      </c>
      <c r="K74" s="54" t="s">
        <v>119</v>
      </c>
      <c r="L74" s="84">
        <v>541</v>
      </c>
      <c r="M74" s="64">
        <f t="shared" ref="M74:Q83" si="179">SUMIF($G:$G,TEXT(M$3,"000")&amp;TEXT($L74,"000"),$E:$E)</f>
        <v>0</v>
      </c>
      <c r="N74" s="64">
        <f t="shared" si="179"/>
        <v>2</v>
      </c>
      <c r="O74" s="64">
        <f t="shared" si="179"/>
        <v>0</v>
      </c>
      <c r="P74" s="64">
        <f t="shared" si="179"/>
        <v>0</v>
      </c>
      <c r="Q74" s="64">
        <f t="shared" si="179"/>
        <v>0</v>
      </c>
      <c r="R74" s="64">
        <f t="shared" si="114"/>
        <v>0</v>
      </c>
      <c r="S74" s="337">
        <v>0</v>
      </c>
      <c r="T74" s="337">
        <v>46.93</v>
      </c>
      <c r="U74" s="337">
        <v>0</v>
      </c>
      <c r="V74" s="337">
        <v>0</v>
      </c>
      <c r="W74" s="337">
        <v>0</v>
      </c>
      <c r="Y74" s="65">
        <f>IF(AND(M74&lt;&gt;0,S74=0),#VALUE!,M74*S74)</f>
        <v>0</v>
      </c>
      <c r="Z74" s="65">
        <f>IF(AND(N74&lt;&gt;0,T74=0),#VALUE!,N74*T74)</f>
        <v>93.86</v>
      </c>
      <c r="AA74" s="65">
        <f>IF(AND(O74&lt;&gt;0,U74=0),#VALUE!,O74*U74)</f>
        <v>0</v>
      </c>
      <c r="AB74" s="65">
        <f>IF(AND(P74&lt;&gt;0,V74=0),#VALUE!,P74*V74)</f>
        <v>0</v>
      </c>
      <c r="AC74" s="65">
        <f>IF(AND(Q74&lt;&gt;0,W74=0),#VALUE!,Q74*W74)</f>
        <v>0</v>
      </c>
      <c r="AE74" s="64">
        <f>M74</f>
        <v>0</v>
      </c>
      <c r="AF74" s="64">
        <f t="shared" si="147"/>
        <v>2</v>
      </c>
      <c r="AG74" s="64">
        <f t="shared" si="148"/>
        <v>0</v>
      </c>
      <c r="AH74" s="64">
        <f t="shared" si="149"/>
        <v>0</v>
      </c>
      <c r="AI74" s="64">
        <f t="shared" si="150"/>
        <v>0</v>
      </c>
      <c r="AK74" s="74">
        <f t="shared" si="163"/>
        <v>0</v>
      </c>
      <c r="AL74" s="74">
        <f>ROUND(T74*(1+AL$1),2)</f>
        <v>52.65</v>
      </c>
      <c r="AM74" s="74">
        <f t="shared" si="164"/>
        <v>0</v>
      </c>
      <c r="AN74" s="74">
        <f t="shared" si="165"/>
        <v>0</v>
      </c>
      <c r="AO74" s="74">
        <f t="shared" si="166"/>
        <v>0</v>
      </c>
      <c r="AQ74" s="65">
        <f t="shared" si="125"/>
        <v>0</v>
      </c>
      <c r="AR74" s="65">
        <f t="shared" si="120"/>
        <v>105.3</v>
      </c>
      <c r="AS74" s="65">
        <f t="shared" si="126"/>
        <v>0</v>
      </c>
      <c r="AT74" s="65">
        <f t="shared" si="127"/>
        <v>0</v>
      </c>
      <c r="AU74" s="65">
        <f t="shared" si="128"/>
        <v>0</v>
      </c>
      <c r="AV74" s="65">
        <f t="shared" si="160"/>
        <v>11.439999999999998</v>
      </c>
      <c r="AW74" s="306">
        <f t="shared" si="161"/>
        <v>0.12188365650969527</v>
      </c>
      <c r="AX74" s="299">
        <v>170</v>
      </c>
      <c r="AY74" s="85"/>
      <c r="AZ74" s="85">
        <v>46.694599999999994</v>
      </c>
      <c r="BA74" s="85"/>
      <c r="BB74" s="85"/>
      <c r="BC74" s="85"/>
      <c r="BD74" s="85"/>
      <c r="BE74" s="327">
        <f t="shared" si="144"/>
        <v>0.38000000000000012</v>
      </c>
      <c r="BF74" s="49"/>
      <c r="BG74" s="49">
        <f t="shared" si="152"/>
        <v>1.32</v>
      </c>
      <c r="BH74" s="49"/>
      <c r="BI74" s="49"/>
      <c r="BJ74" s="49"/>
      <c r="BM74" s="214">
        <f t="shared" si="173"/>
        <v>0</v>
      </c>
      <c r="BN74" s="214">
        <f t="shared" si="173"/>
        <v>53.445014999999991</v>
      </c>
      <c r="BO74" s="214">
        <f t="shared" si="173"/>
        <v>0</v>
      </c>
      <c r="BP74" s="214">
        <f t="shared" si="173"/>
        <v>0</v>
      </c>
      <c r="BQ74" s="214">
        <f t="shared" si="175"/>
        <v>0</v>
      </c>
      <c r="BS74" s="49">
        <f t="shared" si="158"/>
        <v>0</v>
      </c>
      <c r="BT74" s="49">
        <f>BN74-AZ74</f>
        <v>6.7504149999999967</v>
      </c>
      <c r="BU74" s="49">
        <f>BO74-BA74</f>
        <v>0</v>
      </c>
      <c r="BV74" s="49">
        <f>BP74-BB74</f>
        <v>0</v>
      </c>
      <c r="BW74" s="49">
        <f>BQ74-BC74</f>
        <v>0</v>
      </c>
    </row>
    <row r="75" spans="2:75">
      <c r="B75" s="32">
        <v>2</v>
      </c>
      <c r="C75" s="511" t="s">
        <v>97</v>
      </c>
      <c r="D75" s="32" t="s">
        <v>620</v>
      </c>
      <c r="E75" s="512">
        <v>36</v>
      </c>
      <c r="F75" s="67"/>
      <c r="G75" s="67" t="str">
        <f t="shared" si="172"/>
        <v>042835T</v>
      </c>
      <c r="H75" s="40"/>
      <c r="I75" s="41" t="s">
        <v>610</v>
      </c>
      <c r="J75" t="s">
        <v>675</v>
      </c>
      <c r="K75" s="54" t="s">
        <v>517</v>
      </c>
      <c r="L75" s="84" t="s">
        <v>513</v>
      </c>
      <c r="M75" s="64">
        <f t="shared" si="179"/>
        <v>0</v>
      </c>
      <c r="N75" s="64">
        <f t="shared" si="179"/>
        <v>0</v>
      </c>
      <c r="O75" s="64">
        <f t="shared" si="179"/>
        <v>0</v>
      </c>
      <c r="P75" s="64">
        <f t="shared" si="179"/>
        <v>0</v>
      </c>
      <c r="Q75" s="64">
        <f t="shared" si="179"/>
        <v>0</v>
      </c>
      <c r="R75" s="64">
        <f t="shared" si="114"/>
        <v>1</v>
      </c>
      <c r="S75" s="337">
        <v>0</v>
      </c>
      <c r="T75" s="349">
        <v>46.93</v>
      </c>
      <c r="U75" s="337">
        <v>0</v>
      </c>
      <c r="V75" s="337">
        <v>0</v>
      </c>
      <c r="W75" s="337">
        <v>0</v>
      </c>
      <c r="Y75" s="65">
        <f t="shared" ref="Y75:AC75" si="180">IF(AND(M75&lt;&gt;0,S75=0),#VALUE!,M75*S75)</f>
        <v>0</v>
      </c>
      <c r="Z75" s="65">
        <f t="shared" si="180"/>
        <v>0</v>
      </c>
      <c r="AA75" s="65">
        <f t="shared" si="180"/>
        <v>0</v>
      </c>
      <c r="AB75" s="65">
        <f t="shared" si="180"/>
        <v>0</v>
      </c>
      <c r="AC75" s="65">
        <f t="shared" si="180"/>
        <v>0</v>
      </c>
      <c r="AE75" s="64">
        <f t="shared" ref="AE75:AI76" si="181">SUMIF($G:$G,TEXT(AE$3,"000")&amp;TEXT($L75,"000"),$E:$E)</f>
        <v>0</v>
      </c>
      <c r="AF75" s="64">
        <f t="shared" si="181"/>
        <v>0</v>
      </c>
      <c r="AG75" s="64">
        <f t="shared" si="181"/>
        <v>0</v>
      </c>
      <c r="AH75" s="64">
        <f t="shared" si="181"/>
        <v>0</v>
      </c>
      <c r="AI75" s="64">
        <f t="shared" si="181"/>
        <v>0</v>
      </c>
      <c r="AK75" s="74">
        <f t="shared" si="163"/>
        <v>0</v>
      </c>
      <c r="AL75" s="74">
        <f>AL74</f>
        <v>52.65</v>
      </c>
      <c r="AM75" s="74">
        <f t="shared" si="164"/>
        <v>0</v>
      </c>
      <c r="AN75" s="74">
        <f t="shared" si="165"/>
        <v>0</v>
      </c>
      <c r="AO75" s="74">
        <f t="shared" si="166"/>
        <v>0</v>
      </c>
      <c r="AQ75" s="65">
        <f t="shared" ref="AQ75" si="182">IF(AND(AE75&lt;&gt;0,AK75=0),#VALUE!,AE75*AK75)</f>
        <v>0</v>
      </c>
      <c r="AR75" s="65">
        <f t="shared" ref="AR75" si="183">IF(AND(AF75&lt;&gt;0,AL75=0),#VALUE!,AF75*AL75)</f>
        <v>0</v>
      </c>
      <c r="AS75" s="65">
        <f t="shared" ref="AS75" si="184">IF(AND(AG75&lt;&gt;0,AM75=0),#VALUE!,AG75*AM75)</f>
        <v>0</v>
      </c>
      <c r="AT75" s="65">
        <f t="shared" ref="AT75" si="185">IF(AND(AH75&lt;&gt;0,AN75=0),#VALUE!,AH75*AN75)</f>
        <v>0</v>
      </c>
      <c r="AU75" s="65">
        <f t="shared" ref="AU75" si="186">IF(AND(AI75&lt;&gt;0,AO75=0),#VALUE!,AI75*AO75)</f>
        <v>0</v>
      </c>
      <c r="AV75" s="65">
        <f t="shared" si="160"/>
        <v>0</v>
      </c>
      <c r="AW75" s="306" t="e">
        <f t="shared" si="161"/>
        <v>#DIV/0!</v>
      </c>
      <c r="AX75" s="299">
        <v>78</v>
      </c>
      <c r="AY75" s="85"/>
      <c r="AZ75" s="85">
        <v>46.694599999999994</v>
      </c>
      <c r="BA75" s="85"/>
      <c r="BB75" s="85"/>
      <c r="BC75" s="85"/>
      <c r="BD75" s="85"/>
      <c r="BE75" s="327">
        <f t="shared" si="144"/>
        <v>0.18000000000000005</v>
      </c>
      <c r="BF75" s="49"/>
      <c r="BG75" s="49">
        <f t="shared" si="152"/>
        <v>1.1200000000000001</v>
      </c>
      <c r="BH75" s="49"/>
      <c r="BI75" s="49"/>
      <c r="BJ75" s="49"/>
      <c r="BM75" s="214">
        <f t="shared" si="173"/>
        <v>0</v>
      </c>
      <c r="BN75" s="214">
        <f t="shared" si="173"/>
        <v>53.445014999999991</v>
      </c>
      <c r="BO75" s="214">
        <f t="shared" si="173"/>
        <v>0</v>
      </c>
      <c r="BP75" s="214">
        <f t="shared" si="173"/>
        <v>0</v>
      </c>
      <c r="BQ75" s="214">
        <f t="shared" si="175"/>
        <v>0</v>
      </c>
      <c r="BS75" s="49">
        <f t="shared" si="158"/>
        <v>0</v>
      </c>
      <c r="BT75" s="49">
        <f t="shared" ref="BT75:BW75" si="187">BN75-AZ75</f>
        <v>6.7504149999999967</v>
      </c>
      <c r="BU75" s="49">
        <f t="shared" si="187"/>
        <v>0</v>
      </c>
      <c r="BV75" s="49">
        <f t="shared" si="187"/>
        <v>0</v>
      </c>
      <c r="BW75" s="49">
        <f t="shared" si="187"/>
        <v>0</v>
      </c>
    </row>
    <row r="76" spans="2:75">
      <c r="B76" s="32">
        <v>2</v>
      </c>
      <c r="C76" s="511" t="s">
        <v>97</v>
      </c>
      <c r="D76" s="32" t="s">
        <v>538</v>
      </c>
      <c r="E76" s="512">
        <v>11</v>
      </c>
      <c r="F76" s="67"/>
      <c r="G76" s="67" t="str">
        <f t="shared" si="172"/>
        <v>042835L</v>
      </c>
      <c r="I76" s="41" t="s">
        <v>610</v>
      </c>
      <c r="J76" t="s">
        <v>86</v>
      </c>
      <c r="K76" s="54" t="s">
        <v>517</v>
      </c>
      <c r="L76" s="84" t="s">
        <v>514</v>
      </c>
      <c r="M76" s="64">
        <f t="shared" si="179"/>
        <v>0</v>
      </c>
      <c r="N76" s="64">
        <f t="shared" si="179"/>
        <v>15</v>
      </c>
      <c r="O76" s="64">
        <f t="shared" si="179"/>
        <v>0</v>
      </c>
      <c r="P76" s="64">
        <f t="shared" si="179"/>
        <v>0</v>
      </c>
      <c r="Q76" s="64">
        <f t="shared" si="179"/>
        <v>0</v>
      </c>
      <c r="R76" s="64">
        <f t="shared" si="114"/>
        <v>0</v>
      </c>
      <c r="S76" s="337">
        <v>0</v>
      </c>
      <c r="T76" s="337">
        <v>64.569999999999993</v>
      </c>
      <c r="U76" s="337">
        <v>0</v>
      </c>
      <c r="V76" s="337">
        <v>0</v>
      </c>
      <c r="W76" s="337">
        <v>0</v>
      </c>
      <c r="Y76" s="65">
        <f t="shared" ref="Y76:AC79" si="188">IF(AND(M76&lt;&gt;0,S76=0),#VALUE!,M76*S76)</f>
        <v>0</v>
      </c>
      <c r="Z76" s="65">
        <f t="shared" si="188"/>
        <v>968.55</v>
      </c>
      <c r="AA76" s="65">
        <f t="shared" si="188"/>
        <v>0</v>
      </c>
      <c r="AB76" s="65">
        <f t="shared" si="188"/>
        <v>0</v>
      </c>
      <c r="AC76" s="65">
        <f t="shared" si="188"/>
        <v>0</v>
      </c>
      <c r="AE76" s="64">
        <f t="shared" si="181"/>
        <v>0</v>
      </c>
      <c r="AF76" s="64">
        <f t="shared" si="181"/>
        <v>15</v>
      </c>
      <c r="AG76" s="64">
        <f t="shared" si="181"/>
        <v>0</v>
      </c>
      <c r="AH76" s="64">
        <f t="shared" si="181"/>
        <v>0</v>
      </c>
      <c r="AI76" s="64">
        <f t="shared" si="181"/>
        <v>0</v>
      </c>
      <c r="AK76" s="74">
        <f t="shared" si="163"/>
        <v>0</v>
      </c>
      <c r="AL76" s="74">
        <f>ROUND(T76*(1+AL$1),2)</f>
        <v>72.430000000000007</v>
      </c>
      <c r="AM76" s="74">
        <f t="shared" si="164"/>
        <v>0</v>
      </c>
      <c r="AN76" s="74">
        <f t="shared" si="165"/>
        <v>0</v>
      </c>
      <c r="AO76" s="74">
        <f t="shared" si="166"/>
        <v>0</v>
      </c>
      <c r="AQ76" s="65">
        <f t="shared" si="125"/>
        <v>0</v>
      </c>
      <c r="AR76" s="65">
        <f t="shared" ref="AR76:AR79" si="189">IF(AND(AF76&lt;&gt;0,AL76=0),#VALUE!,AF76*AL76)</f>
        <v>1086.45</v>
      </c>
      <c r="AS76" s="65">
        <f t="shared" si="126"/>
        <v>0</v>
      </c>
      <c r="AT76" s="65">
        <f t="shared" si="127"/>
        <v>0</v>
      </c>
      <c r="AU76" s="65">
        <f t="shared" si="128"/>
        <v>0</v>
      </c>
      <c r="AV76" s="65">
        <f t="shared" si="160"/>
        <v>117.90000000000009</v>
      </c>
      <c r="AW76" s="306">
        <f t="shared" si="161"/>
        <v>0.12172835682205368</v>
      </c>
      <c r="AX76" s="299">
        <v>78</v>
      </c>
      <c r="AY76" s="85"/>
      <c r="AZ76" s="85">
        <v>64.245678999999996</v>
      </c>
      <c r="BA76" s="85"/>
      <c r="BB76" s="85"/>
      <c r="BC76" s="85"/>
      <c r="BD76" s="85"/>
      <c r="BE76" s="327">
        <f t="shared" si="144"/>
        <v>0.18000000000000005</v>
      </c>
      <c r="BF76" s="49"/>
      <c r="BG76" s="49">
        <f t="shared" si="152"/>
        <v>1.48</v>
      </c>
      <c r="BH76" s="49"/>
      <c r="BI76" s="49"/>
      <c r="BJ76" s="49"/>
      <c r="BM76" s="214">
        <f t="shared" si="173"/>
        <v>0</v>
      </c>
      <c r="BN76" s="214">
        <f t="shared" si="173"/>
        <v>73.523692999999994</v>
      </c>
      <c r="BO76" s="214">
        <f t="shared" si="173"/>
        <v>0</v>
      </c>
      <c r="BP76" s="214">
        <f t="shared" si="173"/>
        <v>0</v>
      </c>
      <c r="BQ76" s="214">
        <f t="shared" si="175"/>
        <v>0</v>
      </c>
      <c r="BS76" s="49">
        <f t="shared" si="158"/>
        <v>0</v>
      </c>
      <c r="BT76" s="49">
        <f>BN76-AZ76</f>
        <v>9.2780139999999989</v>
      </c>
      <c r="BU76" s="49">
        <f>BO76-BA76</f>
        <v>0</v>
      </c>
      <c r="BV76" s="49">
        <f>BP76-BB76</f>
        <v>0</v>
      </c>
      <c r="BW76" s="49">
        <f>BQ76-BC76</f>
        <v>0</v>
      </c>
    </row>
    <row r="77" spans="2:75">
      <c r="B77" s="32">
        <v>2</v>
      </c>
      <c r="C77" s="511" t="s">
        <v>97</v>
      </c>
      <c r="D77" s="32" t="s">
        <v>665</v>
      </c>
      <c r="E77" s="512">
        <v>4</v>
      </c>
      <c r="F77" s="67"/>
      <c r="G77" s="67" t="str">
        <f t="shared" si="172"/>
        <v>042836T</v>
      </c>
      <c r="H77" s="476"/>
      <c r="I77" t="s">
        <v>610</v>
      </c>
      <c r="J77" t="s">
        <v>86</v>
      </c>
      <c r="K77" s="54" t="s">
        <v>517</v>
      </c>
      <c r="L77" s="84" t="s">
        <v>611</v>
      </c>
      <c r="M77" s="64">
        <f t="shared" si="179"/>
        <v>0</v>
      </c>
      <c r="N77" s="64">
        <f t="shared" si="179"/>
        <v>8</v>
      </c>
      <c r="O77" s="64">
        <f t="shared" si="179"/>
        <v>0</v>
      </c>
      <c r="P77" s="64">
        <f t="shared" si="179"/>
        <v>0</v>
      </c>
      <c r="Q77" s="64">
        <f t="shared" si="179"/>
        <v>0</v>
      </c>
      <c r="R77" s="64">
        <f t="shared" si="114"/>
        <v>0</v>
      </c>
      <c r="S77" s="337">
        <v>0</v>
      </c>
      <c r="T77" s="349">
        <v>54.149999999999991</v>
      </c>
      <c r="U77" s="337">
        <v>0</v>
      </c>
      <c r="V77" s="337">
        <v>0</v>
      </c>
      <c r="W77" s="337">
        <v>0</v>
      </c>
      <c r="Y77" s="65">
        <f t="shared" si="188"/>
        <v>0</v>
      </c>
      <c r="Z77" s="65">
        <f t="shared" si="188"/>
        <v>433.19999999999993</v>
      </c>
      <c r="AA77" s="65">
        <f t="shared" si="188"/>
        <v>0</v>
      </c>
      <c r="AB77" s="65">
        <f t="shared" si="188"/>
        <v>0</v>
      </c>
      <c r="AC77" s="65">
        <f t="shared" si="188"/>
        <v>0</v>
      </c>
      <c r="AE77" s="64">
        <f t="shared" ref="AE77:AI78" si="190">M77</f>
        <v>0</v>
      </c>
      <c r="AF77" s="64">
        <f t="shared" si="190"/>
        <v>8</v>
      </c>
      <c r="AG77" s="64">
        <f t="shared" si="190"/>
        <v>0</v>
      </c>
      <c r="AH77" s="64">
        <f t="shared" si="190"/>
        <v>0</v>
      </c>
      <c r="AI77" s="64">
        <f t="shared" si="190"/>
        <v>0</v>
      </c>
      <c r="AK77" s="74">
        <f t="shared" si="163"/>
        <v>0</v>
      </c>
      <c r="AL77" s="74">
        <f>AL76-AL103-AL103</f>
        <v>62.010000000000012</v>
      </c>
      <c r="AM77" s="74">
        <f t="shared" si="164"/>
        <v>0</v>
      </c>
      <c r="AN77" s="74">
        <f t="shared" si="165"/>
        <v>0</v>
      </c>
      <c r="AO77" s="74">
        <f t="shared" si="166"/>
        <v>0</v>
      </c>
      <c r="AQ77" s="65">
        <f t="shared" si="125"/>
        <v>0</v>
      </c>
      <c r="AR77" s="65">
        <f t="shared" si="189"/>
        <v>496.0800000000001</v>
      </c>
      <c r="AS77" s="65">
        <f t="shared" si="126"/>
        <v>0</v>
      </c>
      <c r="AT77" s="65">
        <f t="shared" si="127"/>
        <v>0</v>
      </c>
      <c r="AU77" s="65">
        <f t="shared" si="128"/>
        <v>0</v>
      </c>
      <c r="AV77" s="65">
        <f t="shared" si="160"/>
        <v>62.880000000000166</v>
      </c>
      <c r="AW77" s="306">
        <f t="shared" si="161"/>
        <v>0.14515235457063752</v>
      </c>
      <c r="AX77" s="299">
        <v>78</v>
      </c>
      <c r="AY77" s="85"/>
      <c r="AZ77" s="85">
        <v>53.018672999999993</v>
      </c>
      <c r="BA77" s="85"/>
      <c r="BB77" s="85"/>
      <c r="BC77" s="85"/>
      <c r="BD77" s="85"/>
      <c r="BE77" s="327">
        <f t="shared" si="144"/>
        <v>0.18000000000000005</v>
      </c>
      <c r="BF77" s="49"/>
      <c r="BG77" s="49">
        <f t="shared" si="152"/>
        <v>2.13</v>
      </c>
      <c r="BH77" s="49"/>
      <c r="BI77" s="49"/>
      <c r="BJ77" s="49"/>
      <c r="BM77" s="214">
        <f t="shared" si="173"/>
        <v>0</v>
      </c>
      <c r="BN77" s="214">
        <f t="shared" si="173"/>
        <v>62.946351000000007</v>
      </c>
      <c r="BO77" s="214">
        <f t="shared" si="173"/>
        <v>0</v>
      </c>
      <c r="BP77" s="214">
        <f t="shared" si="173"/>
        <v>0</v>
      </c>
      <c r="BQ77" s="214">
        <f t="shared" si="175"/>
        <v>0</v>
      </c>
      <c r="BS77" s="49">
        <f t="shared" si="158"/>
        <v>0</v>
      </c>
      <c r="BT77" s="49">
        <f t="shared" ref="BT77:BW79" si="191">BN77-AZ77</f>
        <v>9.9276780000000144</v>
      </c>
      <c r="BU77" s="49">
        <f t="shared" si="191"/>
        <v>0</v>
      </c>
      <c r="BV77" s="49">
        <f t="shared" si="191"/>
        <v>0</v>
      </c>
      <c r="BW77" s="49">
        <f t="shared" si="191"/>
        <v>0</v>
      </c>
    </row>
    <row r="78" spans="2:75">
      <c r="B78" s="32">
        <v>2</v>
      </c>
      <c r="C78" s="511" t="s">
        <v>97</v>
      </c>
      <c r="D78" s="32" t="s">
        <v>539</v>
      </c>
      <c r="E78" s="512">
        <v>1</v>
      </c>
      <c r="G78" s="67" t="str">
        <f t="shared" si="172"/>
        <v>042836L</v>
      </c>
      <c r="H78" s="476"/>
      <c r="I78" t="s">
        <v>610</v>
      </c>
      <c r="J78" t="s">
        <v>113</v>
      </c>
      <c r="K78" s="54" t="s">
        <v>517</v>
      </c>
      <c r="L78" s="84" t="s">
        <v>619</v>
      </c>
      <c r="M78" s="64">
        <f t="shared" si="179"/>
        <v>0</v>
      </c>
      <c r="N78" s="64">
        <f t="shared" si="179"/>
        <v>8</v>
      </c>
      <c r="O78" s="64">
        <f t="shared" si="179"/>
        <v>0</v>
      </c>
      <c r="P78" s="64">
        <f t="shared" si="179"/>
        <v>0</v>
      </c>
      <c r="Q78" s="64">
        <f t="shared" si="179"/>
        <v>0</v>
      </c>
      <c r="R78" s="64">
        <f t="shared" si="114"/>
        <v>0</v>
      </c>
      <c r="S78" s="337">
        <v>0</v>
      </c>
      <c r="T78" s="349">
        <v>41.05</v>
      </c>
      <c r="U78" s="337">
        <v>0</v>
      </c>
      <c r="V78" s="337">
        <v>0</v>
      </c>
      <c r="W78" s="337">
        <v>0</v>
      </c>
      <c r="Y78" s="65">
        <f t="shared" si="188"/>
        <v>0</v>
      </c>
      <c r="Z78" s="65">
        <f t="shared" si="188"/>
        <v>328.4</v>
      </c>
      <c r="AA78" s="65">
        <f t="shared" si="188"/>
        <v>0</v>
      </c>
      <c r="AB78" s="65">
        <f t="shared" si="188"/>
        <v>0</v>
      </c>
      <c r="AC78" s="65">
        <f t="shared" si="188"/>
        <v>0</v>
      </c>
      <c r="AE78" s="64">
        <f t="shared" si="190"/>
        <v>0</v>
      </c>
      <c r="AF78" s="64">
        <f t="shared" si="190"/>
        <v>8</v>
      </c>
      <c r="AG78" s="64">
        <f t="shared" si="190"/>
        <v>0</v>
      </c>
      <c r="AH78" s="64">
        <f t="shared" si="190"/>
        <v>0</v>
      </c>
      <c r="AI78" s="64">
        <f t="shared" si="190"/>
        <v>0</v>
      </c>
      <c r="AK78" s="74">
        <f t="shared" si="163"/>
        <v>0</v>
      </c>
      <c r="AL78" s="74">
        <f>AL143-AL103-AL103</f>
        <v>47.32</v>
      </c>
      <c r="AM78" s="74">
        <f t="shared" si="164"/>
        <v>0</v>
      </c>
      <c r="AN78" s="74">
        <f t="shared" si="165"/>
        <v>0</v>
      </c>
      <c r="AO78" s="74">
        <f t="shared" si="166"/>
        <v>0</v>
      </c>
      <c r="AQ78" s="65">
        <f t="shared" si="125"/>
        <v>0</v>
      </c>
      <c r="AR78" s="65">
        <f t="shared" si="189"/>
        <v>378.56</v>
      </c>
      <c r="AS78" s="65">
        <f t="shared" si="126"/>
        <v>0</v>
      </c>
      <c r="AT78" s="65">
        <f t="shared" si="127"/>
        <v>0</v>
      </c>
      <c r="AU78" s="65">
        <f t="shared" si="128"/>
        <v>0</v>
      </c>
      <c r="AV78" s="65">
        <f t="shared" si="160"/>
        <v>50.160000000000025</v>
      </c>
      <c r="AW78" s="306">
        <f t="shared" si="161"/>
        <v>0.15274056029232652</v>
      </c>
      <c r="AX78" s="299">
        <v>78</v>
      </c>
      <c r="AY78" s="85"/>
      <c r="AZ78" s="85">
        <v>38.340326999999995</v>
      </c>
      <c r="BA78" s="85"/>
      <c r="BB78" s="85"/>
      <c r="BC78" s="85"/>
      <c r="BD78" s="85"/>
      <c r="BE78" s="327">
        <f t="shared" si="144"/>
        <v>0.18000000000000005</v>
      </c>
      <c r="BF78" s="49"/>
      <c r="BG78" s="49">
        <f t="shared" si="152"/>
        <v>3.51</v>
      </c>
      <c r="BH78" s="49"/>
      <c r="BI78" s="49"/>
      <c r="BJ78" s="49"/>
      <c r="BM78" s="214">
        <f t="shared" si="173"/>
        <v>0</v>
      </c>
      <c r="BN78" s="214">
        <f t="shared" si="173"/>
        <v>48.034531999999999</v>
      </c>
      <c r="BO78" s="214">
        <f t="shared" si="173"/>
        <v>0</v>
      </c>
      <c r="BP78" s="214">
        <f t="shared" si="173"/>
        <v>0</v>
      </c>
      <c r="BQ78" s="214">
        <f t="shared" si="175"/>
        <v>0</v>
      </c>
      <c r="BS78" s="49">
        <f t="shared" si="158"/>
        <v>0</v>
      </c>
      <c r="BT78" s="49">
        <f t="shared" si="191"/>
        <v>9.6942050000000037</v>
      </c>
      <c r="BU78" s="49">
        <f t="shared" si="191"/>
        <v>0</v>
      </c>
      <c r="BV78" s="49">
        <f t="shared" si="191"/>
        <v>0</v>
      </c>
      <c r="BW78" s="49">
        <f t="shared" si="191"/>
        <v>0</v>
      </c>
    </row>
    <row r="79" spans="2:75">
      <c r="B79" s="32">
        <v>2</v>
      </c>
      <c r="C79" s="511" t="s">
        <v>97</v>
      </c>
      <c r="D79" s="32">
        <v>842</v>
      </c>
      <c r="E79" s="512">
        <v>2</v>
      </c>
      <c r="F79" s="67"/>
      <c r="G79" s="67" t="str">
        <f t="shared" si="172"/>
        <v>042842</v>
      </c>
      <c r="H79" s="40"/>
      <c r="I79" t="s">
        <v>606</v>
      </c>
      <c r="J79" t="s">
        <v>679</v>
      </c>
      <c r="K79" s="54" t="s">
        <v>517</v>
      </c>
      <c r="L79" s="371" t="s">
        <v>677</v>
      </c>
      <c r="M79" s="64">
        <f t="shared" si="179"/>
        <v>0</v>
      </c>
      <c r="N79" s="64">
        <f t="shared" si="179"/>
        <v>6</v>
      </c>
      <c r="O79" s="64">
        <f t="shared" si="179"/>
        <v>0</v>
      </c>
      <c r="P79" s="64">
        <f t="shared" si="179"/>
        <v>0</v>
      </c>
      <c r="Q79" s="64">
        <f t="shared" si="179"/>
        <v>0</v>
      </c>
      <c r="R79" s="64">
        <f t="shared" ref="R79" si="192">IF(SUM(M79:Q79)&gt;0,0,1)</f>
        <v>0</v>
      </c>
      <c r="S79" s="337">
        <v>0</v>
      </c>
      <c r="T79" s="337">
        <v>32.43</v>
      </c>
      <c r="U79" s="337">
        <v>0</v>
      </c>
      <c r="V79" s="337">
        <v>0</v>
      </c>
      <c r="W79" s="337">
        <v>0</v>
      </c>
      <c r="Y79" s="65">
        <f t="shared" si="188"/>
        <v>0</v>
      </c>
      <c r="Z79" s="65">
        <f t="shared" si="188"/>
        <v>194.57999999999998</v>
      </c>
      <c r="AA79" s="65">
        <f t="shared" si="188"/>
        <v>0</v>
      </c>
      <c r="AB79" s="65">
        <f t="shared" si="188"/>
        <v>0</v>
      </c>
      <c r="AC79" s="65">
        <f t="shared" si="188"/>
        <v>0</v>
      </c>
      <c r="AE79" s="64">
        <f t="shared" ref="AE79:AI80" si="193">M79</f>
        <v>0</v>
      </c>
      <c r="AF79" s="64">
        <f t="shared" si="193"/>
        <v>6</v>
      </c>
      <c r="AG79" s="64">
        <f t="shared" si="193"/>
        <v>0</v>
      </c>
      <c r="AH79" s="64">
        <f t="shared" si="193"/>
        <v>0</v>
      </c>
      <c r="AI79" s="64">
        <f t="shared" si="193"/>
        <v>0</v>
      </c>
      <c r="AK79" s="74">
        <f t="shared" si="163"/>
        <v>0</v>
      </c>
      <c r="AL79" s="74">
        <f t="shared" ref="AL79:AL88" si="194">ROUND(T79*(1+AL$1),2)</f>
        <v>36.380000000000003</v>
      </c>
      <c r="AM79" s="74">
        <f t="shared" si="164"/>
        <v>0</v>
      </c>
      <c r="AN79" s="74">
        <f t="shared" si="165"/>
        <v>0</v>
      </c>
      <c r="AO79" s="74">
        <f t="shared" si="166"/>
        <v>0</v>
      </c>
      <c r="AQ79" s="65">
        <f t="shared" si="125"/>
        <v>0</v>
      </c>
      <c r="AR79" s="65">
        <f t="shared" si="189"/>
        <v>218.28000000000003</v>
      </c>
      <c r="AS79" s="65">
        <f t="shared" si="126"/>
        <v>0</v>
      </c>
      <c r="AT79" s="65">
        <f t="shared" si="127"/>
        <v>0</v>
      </c>
      <c r="AU79" s="65">
        <f t="shared" si="128"/>
        <v>0</v>
      </c>
      <c r="AV79" s="65">
        <f>SUM(AQ79:AU79)-SUM(Y79:AC79)</f>
        <v>23.700000000000045</v>
      </c>
      <c r="AW79" s="65"/>
      <c r="AX79" s="299">
        <v>39</v>
      </c>
      <c r="AY79" s="85"/>
      <c r="AZ79" s="85">
        <v>32.270028999999994</v>
      </c>
      <c r="BA79" s="85"/>
      <c r="BB79" s="85"/>
      <c r="BC79" s="85"/>
      <c r="BD79" s="85"/>
      <c r="BE79" s="327">
        <f t="shared" ref="BE79" si="195">ROUND(AX79*$BE$2,2)+ROUND(AX79*$BE$1,2)</f>
        <v>8.0000000000000016E-2</v>
      </c>
      <c r="BF79" s="49"/>
      <c r="BG79" s="49">
        <f t="shared" si="152"/>
        <v>0.73</v>
      </c>
      <c r="BH79" s="49"/>
      <c r="BI79" s="49"/>
      <c r="BJ79" s="49"/>
      <c r="BM79" s="214">
        <f t="shared" si="173"/>
        <v>0</v>
      </c>
      <c r="BN79" s="214">
        <f t="shared" si="173"/>
        <v>36.929338000000001</v>
      </c>
      <c r="BO79" s="214">
        <f t="shared" si="173"/>
        <v>0</v>
      </c>
      <c r="BP79" s="214">
        <f t="shared" si="173"/>
        <v>0</v>
      </c>
      <c r="BQ79" s="214">
        <f t="shared" si="175"/>
        <v>0</v>
      </c>
      <c r="BS79" s="49">
        <f t="shared" si="158"/>
        <v>0</v>
      </c>
      <c r="BT79" s="49">
        <f t="shared" si="191"/>
        <v>4.6593090000000075</v>
      </c>
      <c r="BU79" s="49">
        <f t="shared" si="191"/>
        <v>0</v>
      </c>
      <c r="BV79" s="49">
        <f t="shared" si="191"/>
        <v>0</v>
      </c>
      <c r="BW79" s="49">
        <f t="shared" si="191"/>
        <v>0</v>
      </c>
    </row>
    <row r="80" spans="2:75">
      <c r="B80" s="32">
        <v>2</v>
      </c>
      <c r="C80" s="511" t="s">
        <v>97</v>
      </c>
      <c r="D80" s="180" t="s">
        <v>809</v>
      </c>
      <c r="E80">
        <v>4</v>
      </c>
      <c r="G80" s="67" t="str">
        <f t="shared" si="172"/>
        <v>042894L</v>
      </c>
      <c r="H80" s="476"/>
      <c r="I80" t="s">
        <v>110</v>
      </c>
      <c r="J80" t="s">
        <v>108</v>
      </c>
      <c r="K80" s="54">
        <v>20000</v>
      </c>
      <c r="L80" s="84">
        <v>615</v>
      </c>
      <c r="M80" s="64">
        <f t="shared" si="179"/>
        <v>0</v>
      </c>
      <c r="N80" s="64">
        <f t="shared" si="179"/>
        <v>0</v>
      </c>
      <c r="O80" s="64">
        <f t="shared" si="179"/>
        <v>0</v>
      </c>
      <c r="P80" s="64">
        <f t="shared" si="179"/>
        <v>81</v>
      </c>
      <c r="Q80" s="64">
        <f t="shared" si="179"/>
        <v>0</v>
      </c>
      <c r="R80" s="64">
        <f>IF(SUM(M80:Q80)&gt;0,0,1)</f>
        <v>0</v>
      </c>
      <c r="S80" s="337">
        <v>0</v>
      </c>
      <c r="T80" s="337">
        <v>0</v>
      </c>
      <c r="U80" s="337">
        <v>0</v>
      </c>
      <c r="V80" s="337">
        <v>16.38</v>
      </c>
      <c r="W80" s="337">
        <v>0</v>
      </c>
      <c r="Y80" s="65">
        <f>IF(AND(M80&lt;&gt;0,S80=0),#VALUE!,M80*S80)</f>
        <v>0</v>
      </c>
      <c r="Z80" s="65">
        <f>IF(AND(N80&lt;&gt;0,T80=0),#VALUE!,N80*T80)</f>
        <v>0</v>
      </c>
      <c r="AA80" s="65">
        <f>IF(AND(O80&lt;&gt;0,U80=0),#VALUE!,O80*U80)</f>
        <v>0</v>
      </c>
      <c r="AB80" s="65">
        <f>IF(AND(P80&lt;&gt;0,V80=0),#VALUE!,P80*V80)</f>
        <v>1326.78</v>
      </c>
      <c r="AC80" s="65">
        <f>IF(AND(Q80&lt;&gt;0,W80=0),#VALUE!,Q80*W80)</f>
        <v>0</v>
      </c>
      <c r="AE80" s="64">
        <f t="shared" si="193"/>
        <v>0</v>
      </c>
      <c r="AF80" s="64">
        <f t="shared" si="193"/>
        <v>0</v>
      </c>
      <c r="AG80" s="64">
        <f t="shared" si="193"/>
        <v>0</v>
      </c>
      <c r="AH80" s="64">
        <f t="shared" si="193"/>
        <v>81</v>
      </c>
      <c r="AI80" s="64">
        <f t="shared" si="193"/>
        <v>0</v>
      </c>
      <c r="AK80" s="74">
        <f t="shared" si="163"/>
        <v>0</v>
      </c>
      <c r="AL80" s="74">
        <f t="shared" si="194"/>
        <v>0</v>
      </c>
      <c r="AM80" s="74">
        <f t="shared" si="164"/>
        <v>0</v>
      </c>
      <c r="AN80" s="74">
        <f t="shared" si="165"/>
        <v>18.52</v>
      </c>
      <c r="AO80" s="74">
        <f t="shared" si="166"/>
        <v>0</v>
      </c>
      <c r="AQ80" s="65">
        <f t="shared" ref="AQ80:AQ88" si="196">IF(AND(AE80&lt;&gt;0,AK80=0),#VALUE!,AE80*AK80)</f>
        <v>0</v>
      </c>
      <c r="AR80" s="65">
        <f>IF(AND(AF80&lt;&gt;0,AL80=0),#VALUE!,AF80*AL80)</f>
        <v>0</v>
      </c>
      <c r="AS80" s="65">
        <f t="shared" ref="AS80:AS88" si="197">IF(AND(AG80&lt;&gt;0,AM80=0),#VALUE!,AG80*AM80)</f>
        <v>0</v>
      </c>
      <c r="AT80" s="65">
        <f t="shared" ref="AT80:AT88" si="198">IF(AND(AH80&lt;&gt;0,AN80=0),#VALUE!,AH80*AN80)</f>
        <v>1500.12</v>
      </c>
      <c r="AU80" s="65">
        <f t="shared" ref="AU80:AU88" si="199">IF(AND(AI80&lt;&gt;0,AO80=0),#VALUE!,AI80*AO80)</f>
        <v>0</v>
      </c>
      <c r="AV80" s="65">
        <f t="shared" ref="AV80:AV88" si="200">SUM(AR80)-SUM(Z80)</f>
        <v>0</v>
      </c>
      <c r="AW80" s="306" t="e">
        <f t="shared" ref="AW80:AW88" si="201">AV80/Z80</f>
        <v>#DIV/0!</v>
      </c>
      <c r="AX80" s="299">
        <v>182</v>
      </c>
      <c r="AY80" s="85"/>
      <c r="AZ80" s="85"/>
      <c r="BA80" s="85"/>
      <c r="BB80" s="85">
        <v>16.16</v>
      </c>
      <c r="BC80" s="85"/>
      <c r="BD80" s="85"/>
      <c r="BE80" s="327">
        <f t="shared" ref="BE80:BE88" si="202">ROUND(AX80*$BE$2,2)+ROUND(AX80*$BE$1,2)</f>
        <v>0.41000000000000014</v>
      </c>
      <c r="BF80" s="49"/>
      <c r="BG80" s="49"/>
      <c r="BH80" s="49"/>
      <c r="BI80" s="49">
        <f>ROUND((V80*$BF$2)+$BE80-BB80,2)</f>
        <v>0.88</v>
      </c>
      <c r="BJ80" s="49"/>
      <c r="BM80" s="214">
        <f t="shared" si="173"/>
        <v>0</v>
      </c>
      <c r="BN80" s="214">
        <f t="shared" si="173"/>
        <v>0</v>
      </c>
      <c r="BO80" s="214">
        <f t="shared" si="173"/>
        <v>0</v>
      </c>
      <c r="BP80" s="214">
        <f t="shared" si="173"/>
        <v>18.799651999999998</v>
      </c>
      <c r="BQ80" s="214">
        <f t="shared" si="175"/>
        <v>0</v>
      </c>
      <c r="BS80" s="49">
        <f t="shared" si="158"/>
        <v>0</v>
      </c>
      <c r="BT80" s="49">
        <f>BN80-AZ80</f>
        <v>0</v>
      </c>
      <c r="BU80" s="49">
        <f>BO80-BA80</f>
        <v>0</v>
      </c>
      <c r="BV80" s="49">
        <f>BP80-BB80</f>
        <v>2.6396519999999981</v>
      </c>
      <c r="BW80" s="49">
        <f>BQ80-BC80</f>
        <v>0</v>
      </c>
    </row>
    <row r="81" spans="2:75">
      <c r="E81" s="645">
        <f>SUM(E13:E80)</f>
        <v>22777</v>
      </c>
      <c r="F81" s="67"/>
      <c r="G81" s="67" t="str">
        <f t="shared" ref="G81:G97" si="203">IF(OR(ISBLANK(C81),ISBLANK(D81)),"",TEXT(C81,"000")&amp;TEXT(D81,"000"))</f>
        <v/>
      </c>
      <c r="H81" s="40"/>
      <c r="I81" t="s">
        <v>110</v>
      </c>
      <c r="J81" s="41" t="s">
        <v>739</v>
      </c>
      <c r="K81" s="54">
        <v>20000</v>
      </c>
      <c r="L81" s="84">
        <v>618</v>
      </c>
      <c r="M81" s="64">
        <f t="shared" si="179"/>
        <v>0</v>
      </c>
      <c r="N81" s="64">
        <f t="shared" si="179"/>
        <v>0</v>
      </c>
      <c r="O81" s="64">
        <f t="shared" si="179"/>
        <v>0</v>
      </c>
      <c r="P81" s="64">
        <f t="shared" si="179"/>
        <v>81</v>
      </c>
      <c r="Q81" s="64">
        <f t="shared" si="179"/>
        <v>0</v>
      </c>
      <c r="R81" s="64">
        <f t="shared" ref="R81" si="204">IF(SUM(M81:Q81)&gt;0,0,1)</f>
        <v>0</v>
      </c>
      <c r="S81" s="337">
        <v>0</v>
      </c>
      <c r="T81" s="337">
        <v>0</v>
      </c>
      <c r="U81" s="337">
        <v>0</v>
      </c>
      <c r="V81" s="349">
        <v>9.69</v>
      </c>
      <c r="W81" s="337">
        <v>0</v>
      </c>
      <c r="Y81" s="65">
        <f t="shared" ref="Y81" si="205">IF(AND(M81&lt;&gt;0,S81=0),#VALUE!,M81*S81)</f>
        <v>0</v>
      </c>
      <c r="Z81" s="65">
        <f t="shared" ref="Z81" si="206">IF(AND(N81&lt;&gt;0,T81=0),#VALUE!,N81*T81)</f>
        <v>0</v>
      </c>
      <c r="AA81" s="65">
        <f t="shared" ref="AA81" si="207">IF(AND(O81&lt;&gt;0,U81=0),#VALUE!,O81*U81)</f>
        <v>0</v>
      </c>
      <c r="AB81" s="65">
        <f t="shared" ref="AB81" si="208">IF(AND(P81&lt;&gt;0,V81=0),#VALUE!,P81*V81)</f>
        <v>784.89</v>
      </c>
      <c r="AC81" s="65">
        <f t="shared" ref="AC81" si="209">IF(AND(Q81&lt;&gt;0,W81=0),#VALUE!,Q81*W81)</f>
        <v>0</v>
      </c>
      <c r="AE81" s="64">
        <f t="shared" ref="AE81" si="210">M81</f>
        <v>0</v>
      </c>
      <c r="AF81" s="64">
        <f t="shared" ref="AF81" si="211">N81</f>
        <v>0</v>
      </c>
      <c r="AG81" s="64">
        <f t="shared" ref="AG81" si="212">O81</f>
        <v>0</v>
      </c>
      <c r="AH81" s="64">
        <f t="shared" ref="AH81" si="213">P81</f>
        <v>81</v>
      </c>
      <c r="AI81" s="64">
        <f t="shared" ref="AI81" si="214">Q81</f>
        <v>0</v>
      </c>
      <c r="AK81" s="74">
        <f t="shared" si="163"/>
        <v>0</v>
      </c>
      <c r="AL81" s="74">
        <f t="shared" si="194"/>
        <v>0</v>
      </c>
      <c r="AM81" s="74">
        <f t="shared" si="164"/>
        <v>0</v>
      </c>
      <c r="AN81" s="74">
        <f t="shared" si="165"/>
        <v>10.95</v>
      </c>
      <c r="AO81" s="74">
        <f t="shared" si="166"/>
        <v>0</v>
      </c>
      <c r="AQ81" s="65">
        <f t="shared" ref="AQ81" si="215">IF(AND(AE81&lt;&gt;0,AK81=0),#VALUE!,AE81*AK81)</f>
        <v>0</v>
      </c>
      <c r="AR81" s="65">
        <f t="shared" ref="AR81" si="216">IF(AND(AF81&lt;&gt;0,AL81=0),#VALUE!,AF81*AL81)</f>
        <v>0</v>
      </c>
      <c r="AS81" s="65">
        <f t="shared" ref="AS81" si="217">IF(AND(AG81&lt;&gt;0,AM81=0),#VALUE!,AG81*AM81)</f>
        <v>0</v>
      </c>
      <c r="AT81" s="65">
        <f t="shared" ref="AT81" si="218">IF(AND(AH81&lt;&gt;0,AN81=0),#VALUE!,AH81*AN81)</f>
        <v>886.94999999999993</v>
      </c>
      <c r="AU81" s="65">
        <f t="shared" ref="AU81" si="219">IF(AND(AI81&lt;&gt;0,AO81=0),#VALUE!,AI81*AO81)</f>
        <v>0</v>
      </c>
      <c r="AV81" s="65">
        <f t="shared" si="200"/>
        <v>0</v>
      </c>
      <c r="AW81" s="306" t="e">
        <f t="shared" si="201"/>
        <v>#DIV/0!</v>
      </c>
      <c r="AX81" s="299">
        <v>124</v>
      </c>
      <c r="AY81" s="85"/>
      <c r="AZ81" s="85"/>
      <c r="BA81" s="85"/>
      <c r="BB81" s="85">
        <v>9.7799999999999994</v>
      </c>
      <c r="BC81" s="85"/>
      <c r="BD81" s="85"/>
      <c r="BE81" s="327">
        <f t="shared" ref="BE81" si="220">ROUND(AX81*$BE$2,2)+ROUND(AX81*$BE$1,2)</f>
        <v>0.28000000000000003</v>
      </c>
      <c r="BF81" s="49"/>
      <c r="BG81" s="49"/>
      <c r="BH81" s="49"/>
      <c r="BI81" s="49">
        <f>ROUND((V81*$BF$2)+$BE81-BB81,2)</f>
        <v>0.34</v>
      </c>
      <c r="BJ81" s="49"/>
      <c r="BM81" s="214">
        <f t="shared" si="173"/>
        <v>0</v>
      </c>
      <c r="BN81" s="214">
        <f t="shared" si="173"/>
        <v>0</v>
      </c>
      <c r="BO81" s="214">
        <f t="shared" si="173"/>
        <v>0</v>
      </c>
      <c r="BP81" s="214">
        <f t="shared" si="173"/>
        <v>11.115344999999998</v>
      </c>
      <c r="BQ81" s="214">
        <f t="shared" si="175"/>
        <v>0</v>
      </c>
      <c r="BS81" s="49">
        <f t="shared" si="158"/>
        <v>0</v>
      </c>
      <c r="BT81" s="49">
        <f t="shared" ref="BT81" si="221">BN81-AZ81</f>
        <v>0</v>
      </c>
      <c r="BU81" s="49">
        <f t="shared" ref="BU81" si="222">BO81-BA81</f>
        <v>0</v>
      </c>
      <c r="BV81" s="49">
        <f t="shared" ref="BV81" si="223">BP81-BB81</f>
        <v>1.3353449999999984</v>
      </c>
      <c r="BW81" s="49">
        <f t="shared" ref="BW81" si="224">BQ81-BC81</f>
        <v>0</v>
      </c>
    </row>
    <row r="82" spans="2:75">
      <c r="E82" s="67"/>
      <c r="F82" s="67"/>
      <c r="G82" s="67" t="str">
        <f t="shared" si="203"/>
        <v/>
      </c>
      <c r="H82" s="476"/>
      <c r="I82" t="s">
        <v>105</v>
      </c>
      <c r="J82" t="s">
        <v>675</v>
      </c>
      <c r="K82" s="54" t="s">
        <v>120</v>
      </c>
      <c r="L82" s="84">
        <v>631</v>
      </c>
      <c r="M82" s="64">
        <f t="shared" si="179"/>
        <v>0</v>
      </c>
      <c r="N82" s="64">
        <f t="shared" si="179"/>
        <v>37</v>
      </c>
      <c r="O82" s="64">
        <f t="shared" si="179"/>
        <v>0</v>
      </c>
      <c r="P82" s="64">
        <f t="shared" si="179"/>
        <v>0</v>
      </c>
      <c r="Q82" s="64">
        <f t="shared" si="179"/>
        <v>0</v>
      </c>
      <c r="R82" s="64">
        <f t="shared" ref="R82:R98" si="225">IF(SUM(M82:Q82)&gt;0,0,1)</f>
        <v>0</v>
      </c>
      <c r="S82" s="337">
        <v>0</v>
      </c>
      <c r="T82" s="337">
        <v>25.8</v>
      </c>
      <c r="U82" s="337">
        <v>0</v>
      </c>
      <c r="V82" s="337">
        <v>0</v>
      </c>
      <c r="W82" s="337">
        <v>0</v>
      </c>
      <c r="Y82" s="65">
        <f t="shared" ref="Y82:AC89" si="226">IF(AND(M82&lt;&gt;0,S82=0),#VALUE!,M82*S82)</f>
        <v>0</v>
      </c>
      <c r="Z82" s="65">
        <f t="shared" si="226"/>
        <v>954.6</v>
      </c>
      <c r="AA82" s="65">
        <f t="shared" si="226"/>
        <v>0</v>
      </c>
      <c r="AB82" s="65">
        <f t="shared" si="226"/>
        <v>0</v>
      </c>
      <c r="AC82" s="65">
        <f t="shared" si="226"/>
        <v>0</v>
      </c>
      <c r="AE82" s="64">
        <f t="shared" ref="AE82:AI89" si="227">M82</f>
        <v>0</v>
      </c>
      <c r="AF82" s="64">
        <f t="shared" si="227"/>
        <v>37</v>
      </c>
      <c r="AG82" s="64">
        <f t="shared" si="227"/>
        <v>0</v>
      </c>
      <c r="AH82" s="64">
        <f t="shared" si="227"/>
        <v>0</v>
      </c>
      <c r="AI82" s="64">
        <f t="shared" si="227"/>
        <v>0</v>
      </c>
      <c r="AK82" s="74">
        <f t="shared" si="163"/>
        <v>0</v>
      </c>
      <c r="AL82" s="74">
        <f t="shared" si="194"/>
        <v>28.94</v>
      </c>
      <c r="AM82" s="347">
        <f t="shared" si="164"/>
        <v>0</v>
      </c>
      <c r="AN82" s="74">
        <f t="shared" si="165"/>
        <v>0</v>
      </c>
      <c r="AO82" s="74">
        <f t="shared" si="166"/>
        <v>0</v>
      </c>
      <c r="AQ82" s="65">
        <f t="shared" si="196"/>
        <v>0</v>
      </c>
      <c r="AR82" s="65">
        <f t="shared" ref="AR82:AR95" si="228">IF(AND(AF82&lt;&gt;0,AL82=0),#VALUE!,AF82*AL82)</f>
        <v>1070.78</v>
      </c>
      <c r="AS82" s="65">
        <f t="shared" si="197"/>
        <v>0</v>
      </c>
      <c r="AT82" s="65">
        <f t="shared" si="198"/>
        <v>0</v>
      </c>
      <c r="AU82" s="65">
        <f t="shared" si="199"/>
        <v>0</v>
      </c>
      <c r="AV82" s="65">
        <f t="shared" si="200"/>
        <v>116.17999999999995</v>
      </c>
      <c r="AW82" s="306">
        <f t="shared" si="201"/>
        <v>0.1217054263565891</v>
      </c>
      <c r="AX82" s="299">
        <v>107</v>
      </c>
      <c r="AY82" s="85"/>
      <c r="AZ82" s="85">
        <v>25.682029999999997</v>
      </c>
      <c r="BA82" s="85">
        <v>14.729100999999998</v>
      </c>
      <c r="BB82" s="85"/>
      <c r="BC82" s="85"/>
      <c r="BD82" s="85"/>
      <c r="BE82" s="327">
        <f t="shared" si="202"/>
        <v>0.22999999999999998</v>
      </c>
      <c r="BF82" s="49"/>
      <c r="BG82" s="49">
        <f>ROUND((T82*$BF$2)+$BE82-AZ82,2)</f>
        <v>0.74</v>
      </c>
      <c r="BH82" s="49">
        <f>ROUND((U82*$BF$2)+$BE82-BA82,2)</f>
        <v>-14.5</v>
      </c>
      <c r="BI82" s="49"/>
      <c r="BJ82" s="49"/>
      <c r="BM82" s="214">
        <f t="shared" si="173"/>
        <v>0</v>
      </c>
      <c r="BN82" s="214">
        <f t="shared" si="173"/>
        <v>29.376994</v>
      </c>
      <c r="BO82" s="214">
        <f t="shared" si="173"/>
        <v>0</v>
      </c>
      <c r="BP82" s="214">
        <f t="shared" si="173"/>
        <v>0</v>
      </c>
      <c r="BQ82" s="214">
        <f t="shared" si="175"/>
        <v>0</v>
      </c>
      <c r="BS82" s="49">
        <f t="shared" si="158"/>
        <v>0</v>
      </c>
      <c r="BT82" s="49">
        <f t="shared" ref="BT82:BW89" si="229">BN82-AZ82</f>
        <v>3.6949640000000024</v>
      </c>
      <c r="BU82" s="49">
        <f t="shared" si="229"/>
        <v>-14.729100999999998</v>
      </c>
      <c r="BV82" s="49">
        <f t="shared" si="229"/>
        <v>0</v>
      </c>
      <c r="BW82" s="49">
        <f t="shared" si="229"/>
        <v>0</v>
      </c>
    </row>
    <row r="83" spans="2:75">
      <c r="B83" s="32">
        <v>2</v>
      </c>
      <c r="C83" s="511" t="s">
        <v>98</v>
      </c>
      <c r="D83" s="32">
        <v>431</v>
      </c>
      <c r="E83" s="512">
        <v>1</v>
      </c>
      <c r="F83" s="67"/>
      <c r="G83" s="67" t="str">
        <f t="shared" si="203"/>
        <v>044431</v>
      </c>
      <c r="H83" s="40"/>
      <c r="I83" t="s">
        <v>105</v>
      </c>
      <c r="J83" t="s">
        <v>87</v>
      </c>
      <c r="K83" s="54" t="s">
        <v>120</v>
      </c>
      <c r="L83" s="84">
        <v>633</v>
      </c>
      <c r="M83" s="64">
        <f t="shared" si="179"/>
        <v>0</v>
      </c>
      <c r="N83" s="64">
        <f t="shared" si="179"/>
        <v>33</v>
      </c>
      <c r="O83" s="64">
        <f t="shared" si="179"/>
        <v>0</v>
      </c>
      <c r="P83" s="64">
        <f t="shared" si="179"/>
        <v>0</v>
      </c>
      <c r="Q83" s="64">
        <f t="shared" si="179"/>
        <v>0</v>
      </c>
      <c r="R83" s="64">
        <f t="shared" si="225"/>
        <v>0</v>
      </c>
      <c r="S83" s="337">
        <v>0</v>
      </c>
      <c r="T83" s="337">
        <v>42.73</v>
      </c>
      <c r="U83" s="337">
        <v>0</v>
      </c>
      <c r="V83" s="337">
        <v>0</v>
      </c>
      <c r="W83" s="337">
        <v>0</v>
      </c>
      <c r="Y83" s="65">
        <f t="shared" si="226"/>
        <v>0</v>
      </c>
      <c r="Z83" s="65">
        <f t="shared" si="226"/>
        <v>1410.09</v>
      </c>
      <c r="AA83" s="65">
        <f t="shared" si="226"/>
        <v>0</v>
      </c>
      <c r="AB83" s="65">
        <f t="shared" si="226"/>
        <v>0</v>
      </c>
      <c r="AC83" s="65">
        <f t="shared" si="226"/>
        <v>0</v>
      </c>
      <c r="AE83" s="64">
        <f t="shared" si="227"/>
        <v>0</v>
      </c>
      <c r="AF83" s="64">
        <f t="shared" si="227"/>
        <v>33</v>
      </c>
      <c r="AG83" s="64">
        <f t="shared" si="227"/>
        <v>0</v>
      </c>
      <c r="AH83" s="64">
        <f t="shared" si="227"/>
        <v>0</v>
      </c>
      <c r="AI83" s="64">
        <f t="shared" si="227"/>
        <v>0</v>
      </c>
      <c r="AK83" s="74">
        <f t="shared" si="163"/>
        <v>0</v>
      </c>
      <c r="AL83" s="74">
        <f t="shared" si="194"/>
        <v>47.93</v>
      </c>
      <c r="AM83" s="347">
        <f t="shared" si="164"/>
        <v>0</v>
      </c>
      <c r="AN83" s="74">
        <f t="shared" si="165"/>
        <v>0</v>
      </c>
      <c r="AO83" s="74">
        <f t="shared" si="166"/>
        <v>0</v>
      </c>
      <c r="AQ83" s="65">
        <f t="shared" si="196"/>
        <v>0</v>
      </c>
      <c r="AR83" s="65">
        <f t="shared" si="228"/>
        <v>1581.69</v>
      </c>
      <c r="AS83" s="65">
        <f t="shared" si="197"/>
        <v>0</v>
      </c>
      <c r="AT83" s="65">
        <f t="shared" si="198"/>
        <v>0</v>
      </c>
      <c r="AU83" s="65">
        <f t="shared" si="199"/>
        <v>0</v>
      </c>
      <c r="AV83" s="65">
        <f t="shared" si="200"/>
        <v>171.60000000000014</v>
      </c>
      <c r="AW83" s="306">
        <f t="shared" si="201"/>
        <v>0.12169435993447238</v>
      </c>
      <c r="AX83" s="299">
        <v>107</v>
      </c>
      <c r="AY83" s="85"/>
      <c r="AZ83" s="85">
        <v>42.512388000000001</v>
      </c>
      <c r="BA83" s="85">
        <v>14.729100999999998</v>
      </c>
      <c r="BB83" s="85"/>
      <c r="BC83" s="85"/>
      <c r="BD83" s="85"/>
      <c r="BE83" s="327">
        <f t="shared" si="202"/>
        <v>0.22999999999999998</v>
      </c>
      <c r="BF83" s="49"/>
      <c r="BG83" s="49">
        <f>ROUND((T83*$BF$2)+$BE83-AZ83,2)</f>
        <v>1.0900000000000001</v>
      </c>
      <c r="BH83" s="49">
        <f>ROUND((U83*$BF$2)+$BE83-BA83,2)</f>
        <v>-14.5</v>
      </c>
      <c r="BI83" s="49"/>
      <c r="BJ83" s="49"/>
      <c r="BM83" s="214">
        <f t="shared" si="173"/>
        <v>0</v>
      </c>
      <c r="BN83" s="214">
        <f t="shared" si="173"/>
        <v>48.653742999999992</v>
      </c>
      <c r="BO83" s="214">
        <f t="shared" si="173"/>
        <v>0</v>
      </c>
      <c r="BP83" s="214">
        <f t="shared" si="173"/>
        <v>0</v>
      </c>
      <c r="BQ83" s="214">
        <f t="shared" si="175"/>
        <v>0</v>
      </c>
      <c r="BS83" s="49">
        <f t="shared" si="158"/>
        <v>0</v>
      </c>
      <c r="BT83" s="49">
        <f t="shared" si="229"/>
        <v>6.1413549999999901</v>
      </c>
      <c r="BU83" s="49">
        <f t="shared" si="229"/>
        <v>-14.729100999999998</v>
      </c>
      <c r="BV83" s="49">
        <f t="shared" si="229"/>
        <v>0</v>
      </c>
      <c r="BW83" s="49">
        <f t="shared" si="229"/>
        <v>0</v>
      </c>
    </row>
    <row r="84" spans="2:75">
      <c r="B84" s="32">
        <v>2</v>
      </c>
      <c r="C84" s="511" t="s">
        <v>98</v>
      </c>
      <c r="D84" s="32">
        <v>432</v>
      </c>
      <c r="E84" s="512">
        <v>4</v>
      </c>
      <c r="F84" s="67"/>
      <c r="G84" s="67" t="str">
        <f t="shared" si="203"/>
        <v>044432</v>
      </c>
      <c r="H84" s="40"/>
      <c r="I84" t="s">
        <v>105</v>
      </c>
      <c r="J84" t="s">
        <v>121</v>
      </c>
      <c r="K84" s="54" t="s">
        <v>120</v>
      </c>
      <c r="L84" s="84">
        <v>635</v>
      </c>
      <c r="M84" s="64">
        <f t="shared" ref="M84:Q98" si="230">SUMIF($G:$G,TEXT(M$3,"000")&amp;TEXT($L84,"000"),$E:$E)</f>
        <v>0</v>
      </c>
      <c r="N84" s="64">
        <f t="shared" si="230"/>
        <v>0</v>
      </c>
      <c r="O84" s="64">
        <f t="shared" si="230"/>
        <v>13</v>
      </c>
      <c r="P84" s="64">
        <f t="shared" si="230"/>
        <v>0</v>
      </c>
      <c r="Q84" s="64">
        <f t="shared" si="230"/>
        <v>220</v>
      </c>
      <c r="R84" s="64">
        <f t="shared" si="225"/>
        <v>0</v>
      </c>
      <c r="S84" s="337">
        <v>0</v>
      </c>
      <c r="T84" s="337">
        <v>0</v>
      </c>
      <c r="U84" s="337">
        <v>14.92</v>
      </c>
      <c r="V84" s="337">
        <v>0</v>
      </c>
      <c r="W84" s="337">
        <v>12.21</v>
      </c>
      <c r="Y84" s="65">
        <f t="shared" si="226"/>
        <v>0</v>
      </c>
      <c r="Z84" s="495">
        <f t="shared" si="226"/>
        <v>0</v>
      </c>
      <c r="AA84" s="65">
        <f t="shared" si="226"/>
        <v>193.96</v>
      </c>
      <c r="AB84" s="65">
        <f t="shared" si="226"/>
        <v>0</v>
      </c>
      <c r="AC84" s="65">
        <f t="shared" si="226"/>
        <v>2686.2000000000003</v>
      </c>
      <c r="AE84" s="64">
        <f t="shared" si="227"/>
        <v>0</v>
      </c>
      <c r="AF84" s="64">
        <f t="shared" si="227"/>
        <v>0</v>
      </c>
      <c r="AG84" s="64">
        <f t="shared" si="227"/>
        <v>13</v>
      </c>
      <c r="AH84" s="64">
        <f t="shared" si="227"/>
        <v>0</v>
      </c>
      <c r="AI84" s="64">
        <f t="shared" si="227"/>
        <v>220</v>
      </c>
      <c r="AK84" s="74">
        <f t="shared" si="163"/>
        <v>0</v>
      </c>
      <c r="AL84" s="74">
        <f t="shared" si="194"/>
        <v>0</v>
      </c>
      <c r="AM84" s="74">
        <f t="shared" si="164"/>
        <v>16.87</v>
      </c>
      <c r="AN84" s="74">
        <f t="shared" si="165"/>
        <v>0</v>
      </c>
      <c r="AO84" s="74">
        <f t="shared" si="166"/>
        <v>13.8</v>
      </c>
      <c r="AQ84" s="65">
        <f t="shared" si="196"/>
        <v>0</v>
      </c>
      <c r="AR84" s="65">
        <f t="shared" si="228"/>
        <v>0</v>
      </c>
      <c r="AS84" s="65">
        <f t="shared" si="197"/>
        <v>219.31</v>
      </c>
      <c r="AT84" s="65">
        <f t="shared" si="198"/>
        <v>0</v>
      </c>
      <c r="AU84" s="65">
        <f t="shared" si="199"/>
        <v>3036</v>
      </c>
      <c r="AV84" s="65">
        <f t="shared" si="200"/>
        <v>0</v>
      </c>
      <c r="AW84" s="306" t="e">
        <f t="shared" si="201"/>
        <v>#DIV/0!</v>
      </c>
      <c r="AX84" s="299">
        <v>107</v>
      </c>
      <c r="AY84" s="85"/>
      <c r="AZ84" s="85"/>
      <c r="BA84" s="85">
        <v>14.729100999999998</v>
      </c>
      <c r="BB84" s="85"/>
      <c r="BC84" s="85">
        <v>12.049236999999998</v>
      </c>
      <c r="BD84" s="85"/>
      <c r="BE84" s="327">
        <f t="shared" si="202"/>
        <v>0.22999999999999998</v>
      </c>
      <c r="BF84" s="49"/>
      <c r="BG84" s="49"/>
      <c r="BH84" s="49">
        <f>ROUND((U84*$BF$2)+$BE84-BA84,2)</f>
        <v>0.65</v>
      </c>
      <c r="BI84" s="49"/>
      <c r="BJ84" s="49">
        <f>ROUND((W84*$BF$2)+$BE84-BC84,2)</f>
        <v>0.57999999999999996</v>
      </c>
      <c r="BM84" s="214">
        <f t="shared" si="173"/>
        <v>0</v>
      </c>
      <c r="BN84" s="214">
        <f t="shared" si="173"/>
        <v>0</v>
      </c>
      <c r="BO84" s="214">
        <f t="shared" si="173"/>
        <v>17.124737</v>
      </c>
      <c r="BP84" s="214">
        <f t="shared" si="173"/>
        <v>0</v>
      </c>
      <c r="BQ84" s="214">
        <f t="shared" si="175"/>
        <v>14.008379999999999</v>
      </c>
      <c r="BS84" s="49">
        <f t="shared" si="158"/>
        <v>0</v>
      </c>
      <c r="BT84" s="49">
        <f t="shared" si="229"/>
        <v>0</v>
      </c>
      <c r="BU84" s="49">
        <f t="shared" si="229"/>
        <v>2.3956360000000014</v>
      </c>
      <c r="BV84" s="49">
        <f t="shared" si="229"/>
        <v>0</v>
      </c>
      <c r="BW84" s="49">
        <f t="shared" si="229"/>
        <v>1.959143000000001</v>
      </c>
    </row>
    <row r="85" spans="2:75">
      <c r="B85" s="32">
        <v>2</v>
      </c>
      <c r="C85" s="511" t="s">
        <v>98</v>
      </c>
      <c r="D85" s="32">
        <v>433</v>
      </c>
      <c r="E85" s="512">
        <v>10</v>
      </c>
      <c r="F85" s="67"/>
      <c r="G85" s="67" t="str">
        <f t="shared" si="203"/>
        <v>044433</v>
      </c>
      <c r="H85" s="40"/>
      <c r="I85" t="s">
        <v>105</v>
      </c>
      <c r="J85" t="s">
        <v>113</v>
      </c>
      <c r="K85" s="54" t="s">
        <v>120</v>
      </c>
      <c r="L85" s="84">
        <v>636</v>
      </c>
      <c r="M85" s="64">
        <f t="shared" si="230"/>
        <v>0</v>
      </c>
      <c r="N85" s="64">
        <f t="shared" si="230"/>
        <v>2</v>
      </c>
      <c r="O85" s="64">
        <f t="shared" si="230"/>
        <v>0</v>
      </c>
      <c r="P85" s="64">
        <f t="shared" si="230"/>
        <v>0</v>
      </c>
      <c r="Q85" s="64">
        <f t="shared" si="230"/>
        <v>0</v>
      </c>
      <c r="R85" s="64">
        <f t="shared" si="225"/>
        <v>0</v>
      </c>
      <c r="S85" s="337">
        <v>0</v>
      </c>
      <c r="T85" s="337">
        <v>30.35</v>
      </c>
      <c r="U85" s="337">
        <v>0</v>
      </c>
      <c r="V85" s="337">
        <v>0</v>
      </c>
      <c r="W85" s="337">
        <v>0</v>
      </c>
      <c r="Y85" s="65">
        <f t="shared" si="226"/>
        <v>0</v>
      </c>
      <c r="Z85" s="65">
        <f t="shared" si="226"/>
        <v>60.7</v>
      </c>
      <c r="AA85" s="65">
        <f t="shared" si="226"/>
        <v>0</v>
      </c>
      <c r="AB85" s="65">
        <f t="shared" si="226"/>
        <v>0</v>
      </c>
      <c r="AC85" s="65">
        <f t="shared" si="226"/>
        <v>0</v>
      </c>
      <c r="AE85" s="64">
        <f t="shared" si="227"/>
        <v>0</v>
      </c>
      <c r="AF85" s="64">
        <f t="shared" si="227"/>
        <v>2</v>
      </c>
      <c r="AG85" s="64">
        <f t="shared" si="227"/>
        <v>0</v>
      </c>
      <c r="AH85" s="64">
        <f t="shared" si="227"/>
        <v>0</v>
      </c>
      <c r="AI85" s="64">
        <f t="shared" si="227"/>
        <v>0</v>
      </c>
      <c r="AK85" s="74">
        <f t="shared" si="163"/>
        <v>0</v>
      </c>
      <c r="AL85" s="74">
        <f t="shared" si="194"/>
        <v>34.049999999999997</v>
      </c>
      <c r="AM85" s="74">
        <f>ROUND(U85*(1+AM$1),2)</f>
        <v>0</v>
      </c>
      <c r="AN85" s="74">
        <f>ROUND(V85*(1+AN$1),2)</f>
        <v>0</v>
      </c>
      <c r="AO85" s="74">
        <f t="shared" ref="AO85:AO104" si="231">ROUND(W85*(1+AO$1),2)</f>
        <v>0</v>
      </c>
      <c r="AQ85" s="65">
        <f t="shared" si="196"/>
        <v>0</v>
      </c>
      <c r="AR85" s="65">
        <f t="shared" si="228"/>
        <v>68.099999999999994</v>
      </c>
      <c r="AS85" s="65">
        <f t="shared" si="197"/>
        <v>0</v>
      </c>
      <c r="AT85" s="65">
        <f t="shared" si="198"/>
        <v>0</v>
      </c>
      <c r="AU85" s="65">
        <f t="shared" si="199"/>
        <v>0</v>
      </c>
      <c r="AV85" s="65">
        <f t="shared" si="200"/>
        <v>7.3999999999999915</v>
      </c>
      <c r="AW85" s="306">
        <f t="shared" si="201"/>
        <v>0.12191103789126839</v>
      </c>
      <c r="AX85" s="299">
        <v>107</v>
      </c>
      <c r="AY85" s="85"/>
      <c r="AZ85" s="85">
        <v>30.199224999999998</v>
      </c>
      <c r="BA85" s="85"/>
      <c r="BB85" s="85"/>
      <c r="BC85" s="85"/>
      <c r="BD85" s="85"/>
      <c r="BE85" s="327">
        <f t="shared" si="202"/>
        <v>0.22999999999999998</v>
      </c>
      <c r="BF85" s="49"/>
      <c r="BG85" s="49">
        <f>ROUND((T85*$BF$2)+$BE85-AZ85,2)</f>
        <v>0.84</v>
      </c>
      <c r="BH85" s="49"/>
      <c r="BI85" s="49"/>
      <c r="BJ85" s="49"/>
      <c r="BM85" s="214">
        <f t="shared" si="173"/>
        <v>0</v>
      </c>
      <c r="BN85" s="214">
        <f t="shared" si="173"/>
        <v>34.564154999999992</v>
      </c>
      <c r="BO85" s="214">
        <f t="shared" si="173"/>
        <v>0</v>
      </c>
      <c r="BP85" s="214">
        <f t="shared" si="173"/>
        <v>0</v>
      </c>
      <c r="BQ85" s="214">
        <f t="shared" si="175"/>
        <v>0</v>
      </c>
      <c r="BS85" s="49">
        <f t="shared" si="158"/>
        <v>0</v>
      </c>
      <c r="BT85" s="49">
        <f t="shared" si="229"/>
        <v>4.364929999999994</v>
      </c>
      <c r="BU85" s="49">
        <f t="shared" si="229"/>
        <v>0</v>
      </c>
      <c r="BV85" s="49">
        <f t="shared" si="229"/>
        <v>0</v>
      </c>
      <c r="BW85" s="49">
        <f t="shared" si="229"/>
        <v>0</v>
      </c>
    </row>
    <row r="86" spans="2:75">
      <c r="B86" s="32">
        <v>2</v>
      </c>
      <c r="C86" s="511" t="s">
        <v>98</v>
      </c>
      <c r="D86" s="32">
        <v>435</v>
      </c>
      <c r="E86" s="512">
        <v>8</v>
      </c>
      <c r="F86" s="67"/>
      <c r="G86" s="67" t="str">
        <f t="shared" si="203"/>
        <v>044435</v>
      </c>
      <c r="H86" s="40"/>
      <c r="I86" t="s">
        <v>110</v>
      </c>
      <c r="J86" t="s">
        <v>108</v>
      </c>
      <c r="K86" s="54">
        <v>35000</v>
      </c>
      <c r="L86" s="84">
        <v>715</v>
      </c>
      <c r="M86" s="64">
        <f t="shared" si="230"/>
        <v>0</v>
      </c>
      <c r="N86" s="64">
        <f t="shared" si="230"/>
        <v>0</v>
      </c>
      <c r="O86" s="64">
        <f t="shared" si="230"/>
        <v>0</v>
      </c>
      <c r="P86" s="64">
        <f t="shared" si="230"/>
        <v>3</v>
      </c>
      <c r="Q86" s="64">
        <f t="shared" si="230"/>
        <v>0</v>
      </c>
      <c r="R86" s="64">
        <f t="shared" si="225"/>
        <v>0</v>
      </c>
      <c r="S86" s="337">
        <v>0</v>
      </c>
      <c r="T86" s="337">
        <v>0</v>
      </c>
      <c r="U86" s="337">
        <v>0</v>
      </c>
      <c r="V86" s="337">
        <v>26.59</v>
      </c>
      <c r="W86" s="337">
        <v>0</v>
      </c>
      <c r="Y86" s="65">
        <f t="shared" si="226"/>
        <v>0</v>
      </c>
      <c r="Z86" s="65">
        <f t="shared" si="226"/>
        <v>0</v>
      </c>
      <c r="AA86" s="65">
        <f t="shared" si="226"/>
        <v>0</v>
      </c>
      <c r="AB86" s="65">
        <f t="shared" si="226"/>
        <v>79.77</v>
      </c>
      <c r="AC86" s="65">
        <f t="shared" si="226"/>
        <v>0</v>
      </c>
      <c r="AE86" s="64">
        <f t="shared" si="227"/>
        <v>0</v>
      </c>
      <c r="AF86" s="64">
        <f t="shared" si="227"/>
        <v>0</v>
      </c>
      <c r="AG86" s="64">
        <f t="shared" si="227"/>
        <v>0</v>
      </c>
      <c r="AH86" s="64">
        <f t="shared" si="227"/>
        <v>3</v>
      </c>
      <c r="AI86" s="64">
        <f t="shared" si="227"/>
        <v>0</v>
      </c>
      <c r="AK86" s="74">
        <f t="shared" si="163"/>
        <v>0</v>
      </c>
      <c r="AL86" s="74">
        <f t="shared" si="194"/>
        <v>0</v>
      </c>
      <c r="AM86" s="74">
        <f>ROUND(U86*(1+AM$1),2)</f>
        <v>0</v>
      </c>
      <c r="AN86" s="74">
        <f>ROUND(V86*(1+AN$1),2)</f>
        <v>30.06</v>
      </c>
      <c r="AO86" s="74">
        <f t="shared" si="231"/>
        <v>0</v>
      </c>
      <c r="AQ86" s="65">
        <f t="shared" si="196"/>
        <v>0</v>
      </c>
      <c r="AR86" s="65">
        <f t="shared" si="228"/>
        <v>0</v>
      </c>
      <c r="AS86" s="65">
        <f t="shared" si="197"/>
        <v>0</v>
      </c>
      <c r="AT86" s="65">
        <f t="shared" si="198"/>
        <v>90.179999999999993</v>
      </c>
      <c r="AU86" s="65">
        <f t="shared" si="199"/>
        <v>0</v>
      </c>
      <c r="AV86" s="65">
        <f t="shared" si="200"/>
        <v>0</v>
      </c>
      <c r="AW86" s="306" t="e">
        <f t="shared" si="201"/>
        <v>#DIV/0!</v>
      </c>
      <c r="AX86" s="299">
        <v>285</v>
      </c>
      <c r="AY86" s="85"/>
      <c r="AZ86" s="85"/>
      <c r="BA86" s="85"/>
      <c r="BB86" s="85">
        <v>26.230183999999998</v>
      </c>
      <c r="BC86" s="85"/>
      <c r="BD86" s="85"/>
      <c r="BE86" s="327">
        <f t="shared" si="202"/>
        <v>0.63000000000000034</v>
      </c>
      <c r="BF86" s="49"/>
      <c r="BG86" s="49"/>
      <c r="BH86" s="49"/>
      <c r="BI86" s="49">
        <f>ROUND((V86*$BF$2)+$BE86-BB86,2)</f>
        <v>1.39</v>
      </c>
      <c r="BJ86" s="49"/>
      <c r="BM86" s="214">
        <f t="shared" si="173"/>
        <v>0</v>
      </c>
      <c r="BN86" s="214">
        <f t="shared" si="173"/>
        <v>0</v>
      </c>
      <c r="BO86" s="214">
        <f t="shared" si="173"/>
        <v>0</v>
      </c>
      <c r="BP86" s="214">
        <f t="shared" si="173"/>
        <v>30.513905999999995</v>
      </c>
      <c r="BQ86" s="214">
        <f t="shared" si="175"/>
        <v>0</v>
      </c>
      <c r="BS86" s="49">
        <f t="shared" si="158"/>
        <v>0</v>
      </c>
      <c r="BT86" s="49">
        <f t="shared" si="229"/>
        <v>0</v>
      </c>
      <c r="BU86" s="49">
        <f t="shared" si="229"/>
        <v>0</v>
      </c>
      <c r="BV86" s="49">
        <f t="shared" si="229"/>
        <v>4.2837219999999974</v>
      </c>
      <c r="BW86" s="49">
        <f t="shared" si="229"/>
        <v>0</v>
      </c>
    </row>
    <row r="87" spans="2:75">
      <c r="B87" s="32">
        <v>2</v>
      </c>
      <c r="C87" s="511" t="s">
        <v>98</v>
      </c>
      <c r="D87" s="32">
        <v>531</v>
      </c>
      <c r="E87" s="512">
        <v>0</v>
      </c>
      <c r="F87" s="67"/>
      <c r="G87" s="67" t="str">
        <f t="shared" si="203"/>
        <v>044531</v>
      </c>
      <c r="H87" s="40"/>
      <c r="I87" t="s">
        <v>105</v>
      </c>
      <c r="J87" t="s">
        <v>86</v>
      </c>
      <c r="K87" s="54" t="s">
        <v>122</v>
      </c>
      <c r="L87" s="84">
        <v>732</v>
      </c>
      <c r="M87" s="64">
        <f t="shared" si="230"/>
        <v>0</v>
      </c>
      <c r="N87" s="64">
        <f t="shared" si="230"/>
        <v>0</v>
      </c>
      <c r="O87" s="64">
        <f t="shared" si="230"/>
        <v>7</v>
      </c>
      <c r="P87" s="64">
        <f t="shared" si="230"/>
        <v>0</v>
      </c>
      <c r="Q87" s="64">
        <f t="shared" si="230"/>
        <v>0</v>
      </c>
      <c r="R87" s="64">
        <f t="shared" si="225"/>
        <v>0</v>
      </c>
      <c r="S87" s="337">
        <v>0</v>
      </c>
      <c r="T87" s="337">
        <v>0</v>
      </c>
      <c r="U87" s="337">
        <v>17.510000000000002</v>
      </c>
      <c r="V87" s="337">
        <v>0</v>
      </c>
      <c r="W87" s="337">
        <v>0</v>
      </c>
      <c r="Y87" s="65">
        <f t="shared" si="226"/>
        <v>0</v>
      </c>
      <c r="Z87" s="65">
        <f t="shared" si="226"/>
        <v>0</v>
      </c>
      <c r="AA87" s="65">
        <f t="shared" si="226"/>
        <v>122.57000000000001</v>
      </c>
      <c r="AB87" s="65">
        <f t="shared" si="226"/>
        <v>0</v>
      </c>
      <c r="AC87" s="65">
        <f t="shared" si="226"/>
        <v>0</v>
      </c>
      <c r="AE87" s="64">
        <f t="shared" si="227"/>
        <v>0</v>
      </c>
      <c r="AF87" s="64">
        <f t="shared" si="227"/>
        <v>0</v>
      </c>
      <c r="AG87" s="64">
        <f t="shared" si="227"/>
        <v>7</v>
      </c>
      <c r="AH87" s="64">
        <f t="shared" si="227"/>
        <v>0</v>
      </c>
      <c r="AI87" s="64">
        <f t="shared" si="227"/>
        <v>0</v>
      </c>
      <c r="AK87" s="74">
        <f t="shared" si="163"/>
        <v>0</v>
      </c>
      <c r="AL87" s="74">
        <f t="shared" si="194"/>
        <v>0</v>
      </c>
      <c r="AM87" s="74">
        <f>ROUND(U87*(1+AM$1),2)</f>
        <v>19.8</v>
      </c>
      <c r="AN87" s="74">
        <f t="shared" ref="AN87:AN104" si="232">ROUND(V87*(1+AN$1),2)</f>
        <v>0</v>
      </c>
      <c r="AO87" s="74">
        <f t="shared" si="231"/>
        <v>0</v>
      </c>
      <c r="AQ87" s="65">
        <f t="shared" si="196"/>
        <v>0</v>
      </c>
      <c r="AR87" s="65">
        <f t="shared" si="228"/>
        <v>0</v>
      </c>
      <c r="AS87" s="65">
        <f t="shared" si="197"/>
        <v>138.6</v>
      </c>
      <c r="AT87" s="65">
        <f t="shared" si="198"/>
        <v>0</v>
      </c>
      <c r="AU87" s="65">
        <f t="shared" si="199"/>
        <v>0</v>
      </c>
      <c r="AV87" s="65">
        <f t="shared" si="200"/>
        <v>0</v>
      </c>
      <c r="AW87" s="306" t="e">
        <f t="shared" si="201"/>
        <v>#DIV/0!</v>
      </c>
      <c r="AX87" s="299">
        <v>133</v>
      </c>
      <c r="AY87" s="85"/>
      <c r="AZ87" s="85"/>
      <c r="BA87" s="85">
        <v>17.277001999999996</v>
      </c>
      <c r="BB87" s="85"/>
      <c r="BC87" s="85"/>
      <c r="BD87" s="85"/>
      <c r="BE87" s="327">
        <f t="shared" si="202"/>
        <v>0.29000000000000004</v>
      </c>
      <c r="BF87" s="49"/>
      <c r="BG87" s="49"/>
      <c r="BH87" s="49">
        <f>ROUND((U87*$BF$2)+$BE87-BA87,2)</f>
        <v>0.79</v>
      </c>
      <c r="BI87" s="49"/>
      <c r="BJ87" s="49"/>
      <c r="BM87" s="214">
        <f t="shared" si="173"/>
        <v>0</v>
      </c>
      <c r="BN87" s="214">
        <f t="shared" si="173"/>
        <v>0</v>
      </c>
      <c r="BO87" s="214">
        <f t="shared" si="173"/>
        <v>20.098979999999997</v>
      </c>
      <c r="BP87" s="214">
        <f t="shared" si="173"/>
        <v>0</v>
      </c>
      <c r="BQ87" s="214">
        <f t="shared" si="175"/>
        <v>0</v>
      </c>
      <c r="BS87" s="49">
        <f t="shared" si="158"/>
        <v>0</v>
      </c>
      <c r="BT87" s="49">
        <f t="shared" si="229"/>
        <v>0</v>
      </c>
      <c r="BU87" s="49">
        <f t="shared" si="229"/>
        <v>2.8219780000000014</v>
      </c>
      <c r="BV87" s="49">
        <f t="shared" si="229"/>
        <v>0</v>
      </c>
      <c r="BW87" s="49">
        <f t="shared" si="229"/>
        <v>0</v>
      </c>
    </row>
    <row r="88" spans="2:75">
      <c r="B88" s="32">
        <v>2</v>
      </c>
      <c r="C88" s="511" t="s">
        <v>98</v>
      </c>
      <c r="D88" s="32">
        <v>532</v>
      </c>
      <c r="E88" s="512">
        <v>89</v>
      </c>
      <c r="F88" s="67"/>
      <c r="G88" s="67" t="str">
        <f t="shared" si="203"/>
        <v>044532</v>
      </c>
      <c r="H88" s="40"/>
      <c r="I88" t="s">
        <v>105</v>
      </c>
      <c r="J88" t="s">
        <v>112</v>
      </c>
      <c r="K88" s="54" t="s">
        <v>122</v>
      </c>
      <c r="L88" s="84">
        <v>735</v>
      </c>
      <c r="M88" s="64">
        <f t="shared" si="230"/>
        <v>0</v>
      </c>
      <c r="N88" s="64">
        <f t="shared" si="230"/>
        <v>0</v>
      </c>
      <c r="O88" s="64">
        <f t="shared" si="230"/>
        <v>1</v>
      </c>
      <c r="P88" s="64">
        <f t="shared" si="230"/>
        <v>0</v>
      </c>
      <c r="Q88" s="64">
        <f t="shared" si="230"/>
        <v>142</v>
      </c>
      <c r="R88" s="64">
        <f t="shared" si="225"/>
        <v>0</v>
      </c>
      <c r="S88" s="337">
        <v>0</v>
      </c>
      <c r="T88" s="337">
        <v>0</v>
      </c>
      <c r="U88" s="337">
        <v>17.510000000000002</v>
      </c>
      <c r="V88" s="337">
        <v>0</v>
      </c>
      <c r="W88" s="337">
        <v>14.73</v>
      </c>
      <c r="Y88" s="65">
        <f t="shared" si="226"/>
        <v>0</v>
      </c>
      <c r="Z88" s="65">
        <f t="shared" si="226"/>
        <v>0</v>
      </c>
      <c r="AA88" s="65">
        <f t="shared" si="226"/>
        <v>17.510000000000002</v>
      </c>
      <c r="AB88" s="65">
        <f t="shared" si="226"/>
        <v>0</v>
      </c>
      <c r="AC88" s="65">
        <f t="shared" si="226"/>
        <v>2091.66</v>
      </c>
      <c r="AE88" s="64">
        <f t="shared" si="227"/>
        <v>0</v>
      </c>
      <c r="AF88" s="64">
        <f t="shared" si="227"/>
        <v>0</v>
      </c>
      <c r="AG88" s="64">
        <f t="shared" si="227"/>
        <v>1</v>
      </c>
      <c r="AH88" s="64">
        <f t="shared" si="227"/>
        <v>0</v>
      </c>
      <c r="AI88" s="64">
        <f t="shared" si="227"/>
        <v>142</v>
      </c>
      <c r="AK88" s="74">
        <f t="shared" si="163"/>
        <v>0</v>
      </c>
      <c r="AL88" s="74">
        <f t="shared" si="194"/>
        <v>0</v>
      </c>
      <c r="AM88" s="74">
        <f>ROUND(U88*(1+AM$1),2)</f>
        <v>19.8</v>
      </c>
      <c r="AN88" s="74">
        <f t="shared" si="232"/>
        <v>0</v>
      </c>
      <c r="AO88" s="74">
        <f t="shared" si="231"/>
        <v>16.649999999999999</v>
      </c>
      <c r="AQ88" s="65">
        <f t="shared" si="196"/>
        <v>0</v>
      </c>
      <c r="AR88" s="65">
        <f t="shared" si="228"/>
        <v>0</v>
      </c>
      <c r="AS88" s="65">
        <f t="shared" si="197"/>
        <v>19.8</v>
      </c>
      <c r="AT88" s="65">
        <f t="shared" si="198"/>
        <v>0</v>
      </c>
      <c r="AU88" s="65">
        <f t="shared" si="199"/>
        <v>2364.2999999999997</v>
      </c>
      <c r="AV88" s="65">
        <f t="shared" si="200"/>
        <v>0</v>
      </c>
      <c r="AW88" s="306" t="e">
        <f t="shared" si="201"/>
        <v>#DIV/0!</v>
      </c>
      <c r="AX88" s="299">
        <v>133</v>
      </c>
      <c r="AY88" s="85"/>
      <c r="AZ88" s="85"/>
      <c r="BA88" s="85">
        <v>17.277001999999996</v>
      </c>
      <c r="BB88" s="85"/>
      <c r="BC88" s="85">
        <v>14.536231999999998</v>
      </c>
      <c r="BD88" s="85"/>
      <c r="BE88" s="327">
        <f t="shared" si="202"/>
        <v>0.29000000000000004</v>
      </c>
      <c r="BF88" s="49"/>
      <c r="BG88" s="49"/>
      <c r="BH88" s="49">
        <f>ROUND((U88*$BF$2)+$BE88-BA88,2)</f>
        <v>0.79</v>
      </c>
      <c r="BI88" s="49"/>
      <c r="BJ88" s="49">
        <f>ROUND((W88*$BF$2)+$BE88-BC88,2)</f>
        <v>0.71</v>
      </c>
      <c r="BM88" s="214">
        <f t="shared" si="173"/>
        <v>0</v>
      </c>
      <c r="BN88" s="214">
        <f t="shared" si="173"/>
        <v>0</v>
      </c>
      <c r="BO88" s="214">
        <f t="shared" si="173"/>
        <v>20.098979999999997</v>
      </c>
      <c r="BP88" s="214">
        <f t="shared" si="173"/>
        <v>0</v>
      </c>
      <c r="BQ88" s="214">
        <f t="shared" si="175"/>
        <v>16.901414999999997</v>
      </c>
      <c r="BS88" s="49">
        <f t="shared" si="158"/>
        <v>0</v>
      </c>
      <c r="BT88" s="49">
        <f t="shared" si="229"/>
        <v>0</v>
      </c>
      <c r="BU88" s="49">
        <f t="shared" si="229"/>
        <v>2.8219780000000014</v>
      </c>
      <c r="BV88" s="49">
        <f t="shared" si="229"/>
        <v>0</v>
      </c>
      <c r="BW88" s="49">
        <f t="shared" si="229"/>
        <v>2.3651829999999983</v>
      </c>
    </row>
    <row r="89" spans="2:75">
      <c r="B89" s="32">
        <v>2</v>
      </c>
      <c r="C89" s="511" t="s">
        <v>98</v>
      </c>
      <c r="D89" s="32">
        <v>533</v>
      </c>
      <c r="E89" s="512">
        <v>2</v>
      </c>
      <c r="F89" s="67"/>
      <c r="G89" s="67" t="str">
        <f t="shared" si="203"/>
        <v>044533</v>
      </c>
      <c r="H89" s="40"/>
      <c r="I89" t="s">
        <v>606</v>
      </c>
      <c r="J89" t="s">
        <v>674</v>
      </c>
      <c r="K89" s="54" t="s">
        <v>535</v>
      </c>
      <c r="L89" s="84" t="s">
        <v>612</v>
      </c>
      <c r="M89" s="64">
        <f t="shared" si="230"/>
        <v>0</v>
      </c>
      <c r="N89" s="64">
        <f t="shared" si="230"/>
        <v>40</v>
      </c>
      <c r="O89" s="64">
        <f t="shared" si="230"/>
        <v>0</v>
      </c>
      <c r="P89" s="64">
        <f t="shared" si="230"/>
        <v>0</v>
      </c>
      <c r="Q89" s="64">
        <f t="shared" si="230"/>
        <v>0</v>
      </c>
      <c r="R89" s="64">
        <f t="shared" si="225"/>
        <v>0</v>
      </c>
      <c r="S89" s="337">
        <v>0</v>
      </c>
      <c r="T89" s="349">
        <v>22.61</v>
      </c>
      <c r="U89" s="337">
        <v>0</v>
      </c>
      <c r="V89" s="337">
        <v>0</v>
      </c>
      <c r="W89" s="337">
        <v>0</v>
      </c>
      <c r="Y89" s="65">
        <f t="shared" si="226"/>
        <v>0</v>
      </c>
      <c r="Z89" s="65">
        <f t="shared" si="226"/>
        <v>904.4</v>
      </c>
      <c r="AA89" s="65">
        <f t="shared" si="226"/>
        <v>0</v>
      </c>
      <c r="AB89" s="65">
        <f t="shared" si="226"/>
        <v>0</v>
      </c>
      <c r="AC89" s="65">
        <f t="shared" si="226"/>
        <v>0</v>
      </c>
      <c r="AE89" s="64">
        <f t="shared" si="227"/>
        <v>0</v>
      </c>
      <c r="AF89" s="64">
        <f t="shared" si="227"/>
        <v>40</v>
      </c>
      <c r="AG89" s="64">
        <f t="shared" si="227"/>
        <v>0</v>
      </c>
      <c r="AH89" s="64">
        <f t="shared" si="227"/>
        <v>0</v>
      </c>
      <c r="AI89" s="64">
        <f t="shared" si="227"/>
        <v>0</v>
      </c>
      <c r="AK89" s="74">
        <f t="shared" si="163"/>
        <v>0</v>
      </c>
      <c r="AL89" s="74">
        <f>AL154-AL104</f>
        <v>26.269999999999996</v>
      </c>
      <c r="AM89" s="74">
        <f t="shared" ref="AM89:AM104" si="233">ROUND(U89*(1+AM$1),2)</f>
        <v>0</v>
      </c>
      <c r="AN89" s="74">
        <f t="shared" si="232"/>
        <v>0</v>
      </c>
      <c r="AO89" s="74">
        <f t="shared" si="231"/>
        <v>0</v>
      </c>
      <c r="AQ89" s="65">
        <f t="shared" ref="AQ89:AQ96" si="234">IF(AND(AE89&lt;&gt;0,AK89=0),#VALUE!,AE89*AK89)</f>
        <v>0</v>
      </c>
      <c r="AR89" s="65">
        <f t="shared" si="228"/>
        <v>1050.7999999999997</v>
      </c>
      <c r="AS89" s="65">
        <f t="shared" ref="AS89:AU96" si="235">IF(AND(AG89&lt;&gt;0,AM89=0),#VALUE!,AG89*AM89)</f>
        <v>0</v>
      </c>
      <c r="AT89" s="65">
        <f t="shared" si="235"/>
        <v>0</v>
      </c>
      <c r="AU89" s="65">
        <f t="shared" si="235"/>
        <v>0</v>
      </c>
      <c r="AV89" s="65">
        <f>SUM(AQ89:AU89)-SUM(Y89:AC89)</f>
        <v>146.39999999999975</v>
      </c>
      <c r="AW89" s="65"/>
      <c r="AX89" s="299">
        <v>83</v>
      </c>
      <c r="AY89" s="85"/>
      <c r="AZ89" s="85"/>
      <c r="BA89" s="85"/>
      <c r="BB89" s="85"/>
      <c r="BC89" s="85"/>
      <c r="BD89" s="85"/>
      <c r="BE89" s="327">
        <f>ROUND(AX89*$BE$2,2)+ROUND(AX89*$BE$1,2)</f>
        <v>0.18999999999999995</v>
      </c>
      <c r="BF89" s="49"/>
      <c r="BG89" s="49">
        <f>ROUND((T89*$BF$2)+$BE89-AZ89,2)</f>
        <v>23.14</v>
      </c>
      <c r="BH89" s="49"/>
      <c r="BI89" s="49"/>
      <c r="BJ89" s="49"/>
      <c r="BM89" s="214">
        <f t="shared" si="173"/>
        <v>0</v>
      </c>
      <c r="BN89" s="214">
        <f t="shared" si="173"/>
        <v>26.666676999999993</v>
      </c>
      <c r="BO89" s="214">
        <f t="shared" si="173"/>
        <v>0</v>
      </c>
      <c r="BP89" s="214">
        <f t="shared" si="173"/>
        <v>0</v>
      </c>
      <c r="BQ89" s="214">
        <f t="shared" si="175"/>
        <v>0</v>
      </c>
      <c r="BS89" s="49">
        <f t="shared" si="158"/>
        <v>0</v>
      </c>
      <c r="BT89" s="49">
        <f t="shared" si="229"/>
        <v>26.666676999999993</v>
      </c>
      <c r="BU89" s="49">
        <f t="shared" si="229"/>
        <v>0</v>
      </c>
      <c r="BV89" s="49">
        <f t="shared" si="229"/>
        <v>0</v>
      </c>
      <c r="BW89" s="49">
        <f t="shared" si="229"/>
        <v>0</v>
      </c>
    </row>
    <row r="90" spans="2:75">
      <c r="B90" s="32">
        <v>2</v>
      </c>
      <c r="C90" s="511" t="s">
        <v>98</v>
      </c>
      <c r="D90" s="32">
        <v>535</v>
      </c>
      <c r="E90" s="512">
        <v>7</v>
      </c>
      <c r="F90" s="67"/>
      <c r="G90" s="67" t="str">
        <f t="shared" si="203"/>
        <v>044535</v>
      </c>
      <c r="H90" s="40"/>
      <c r="I90" s="41" t="s">
        <v>606</v>
      </c>
      <c r="J90" t="s">
        <v>674</v>
      </c>
      <c r="K90" s="54" t="s">
        <v>535</v>
      </c>
      <c r="L90" s="84" t="s">
        <v>536</v>
      </c>
      <c r="M90" s="64">
        <f t="shared" si="230"/>
        <v>0</v>
      </c>
      <c r="N90" s="64">
        <f t="shared" si="230"/>
        <v>1</v>
      </c>
      <c r="O90" s="64">
        <f t="shared" si="230"/>
        <v>0</v>
      </c>
      <c r="P90" s="64">
        <f t="shared" si="230"/>
        <v>0</v>
      </c>
      <c r="Q90" s="64">
        <f t="shared" si="230"/>
        <v>0</v>
      </c>
      <c r="R90" s="64">
        <f t="shared" si="225"/>
        <v>0</v>
      </c>
      <c r="S90" s="337">
        <v>0</v>
      </c>
      <c r="T90" s="349">
        <v>30.07</v>
      </c>
      <c r="U90" s="337">
        <v>0</v>
      </c>
      <c r="V90" s="337">
        <v>0</v>
      </c>
      <c r="W90" s="337">
        <v>0</v>
      </c>
      <c r="Z90" s="65">
        <f t="shared" ref="Z90:AC91" si="236">IF(AND(N90&lt;&gt;0,T90=0),#VALUE!,N90*T90)</f>
        <v>30.07</v>
      </c>
      <c r="AA90" s="65">
        <f t="shared" si="236"/>
        <v>0</v>
      </c>
      <c r="AB90" s="65">
        <f t="shared" si="236"/>
        <v>0</v>
      </c>
      <c r="AC90" s="65">
        <f t="shared" si="236"/>
        <v>0</v>
      </c>
      <c r="AE90" s="64">
        <f t="shared" ref="AE90:AI101" si="237">SUMIF($G:$G,TEXT(AE$3,"000")&amp;TEXT($L90,"000"),$E:$E)</f>
        <v>0</v>
      </c>
      <c r="AF90" s="64">
        <f t="shared" si="237"/>
        <v>1</v>
      </c>
      <c r="AG90" s="64">
        <f t="shared" si="237"/>
        <v>0</v>
      </c>
      <c r="AH90" s="64">
        <f t="shared" si="237"/>
        <v>0</v>
      </c>
      <c r="AI90" s="64">
        <f t="shared" si="237"/>
        <v>0</v>
      </c>
      <c r="AK90" s="74">
        <f t="shared" si="163"/>
        <v>0</v>
      </c>
      <c r="AL90" s="74">
        <f>AL154</f>
        <v>33.729999999999997</v>
      </c>
      <c r="AM90" s="74">
        <f t="shared" si="233"/>
        <v>0</v>
      </c>
      <c r="AN90" s="74">
        <f t="shared" si="232"/>
        <v>0</v>
      </c>
      <c r="AO90" s="74">
        <f t="shared" si="231"/>
        <v>0</v>
      </c>
      <c r="AQ90" s="65">
        <f t="shared" si="234"/>
        <v>0</v>
      </c>
      <c r="AR90" s="65">
        <f t="shared" si="228"/>
        <v>33.729999999999997</v>
      </c>
      <c r="AS90" s="65">
        <f t="shared" si="235"/>
        <v>0</v>
      </c>
      <c r="AT90" s="65">
        <f t="shared" si="235"/>
        <v>0</v>
      </c>
      <c r="AU90" s="65">
        <f t="shared" si="235"/>
        <v>0</v>
      </c>
      <c r="BM90" s="214">
        <f t="shared" si="173"/>
        <v>0</v>
      </c>
      <c r="BN90" s="214">
        <f t="shared" si="173"/>
        <v>34.239322999999992</v>
      </c>
      <c r="BO90" s="214">
        <f t="shared" si="173"/>
        <v>0</v>
      </c>
      <c r="BP90" s="214">
        <f t="shared" si="173"/>
        <v>0</v>
      </c>
      <c r="BQ90" s="214">
        <f t="shared" si="175"/>
        <v>0</v>
      </c>
      <c r="BS90" s="49">
        <f t="shared" si="158"/>
        <v>0</v>
      </c>
      <c r="BT90" s="49">
        <f t="shared" ref="BT90:BT103" si="238">BN90-AZ90</f>
        <v>34.239322999999992</v>
      </c>
      <c r="BU90" s="49">
        <f t="shared" ref="BU90:BU104" si="239">BO90-BA90</f>
        <v>0</v>
      </c>
      <c r="BV90" s="49">
        <f t="shared" ref="BV90:BV104" si="240">BP90-BB90</f>
        <v>0</v>
      </c>
      <c r="BW90" s="49">
        <f t="shared" ref="BW90:BW104" si="241">BQ90-BC90</f>
        <v>0</v>
      </c>
    </row>
    <row r="91" spans="2:75">
      <c r="B91" s="32">
        <v>2</v>
      </c>
      <c r="C91" s="511" t="s">
        <v>98</v>
      </c>
      <c r="D91" s="32">
        <v>632</v>
      </c>
      <c r="E91" s="512">
        <v>0</v>
      </c>
      <c r="F91" s="67"/>
      <c r="G91" s="67" t="str">
        <f t="shared" si="203"/>
        <v>044632</v>
      </c>
      <c r="H91" s="40"/>
      <c r="I91" s="41" t="s">
        <v>606</v>
      </c>
      <c r="J91" t="s">
        <v>86</v>
      </c>
      <c r="K91" s="54" t="s">
        <v>535</v>
      </c>
      <c r="L91" s="84" t="s">
        <v>664</v>
      </c>
      <c r="M91" s="64">
        <f t="shared" si="230"/>
        <v>0</v>
      </c>
      <c r="N91" s="64">
        <f t="shared" si="230"/>
        <v>3</v>
      </c>
      <c r="O91" s="64">
        <f t="shared" si="230"/>
        <v>0</v>
      </c>
      <c r="P91" s="64">
        <f t="shared" si="230"/>
        <v>0</v>
      </c>
      <c r="Q91" s="64">
        <f t="shared" si="230"/>
        <v>0</v>
      </c>
      <c r="R91" s="64">
        <f t="shared" si="225"/>
        <v>0</v>
      </c>
      <c r="S91" s="337">
        <v>0</v>
      </c>
      <c r="T91" s="349">
        <v>49.519999999999996</v>
      </c>
      <c r="U91" s="337">
        <v>0</v>
      </c>
      <c r="V91" s="337">
        <v>0</v>
      </c>
      <c r="W91" s="337">
        <v>0</v>
      </c>
      <c r="Z91" s="65">
        <f t="shared" si="236"/>
        <v>148.56</v>
      </c>
      <c r="AA91" s="495">
        <f t="shared" si="236"/>
        <v>0</v>
      </c>
      <c r="AB91" s="65">
        <f t="shared" si="236"/>
        <v>0</v>
      </c>
      <c r="AC91" s="65">
        <f t="shared" si="236"/>
        <v>0</v>
      </c>
      <c r="AE91" s="64">
        <f t="shared" si="237"/>
        <v>0</v>
      </c>
      <c r="AF91" s="64">
        <f t="shared" si="237"/>
        <v>3</v>
      </c>
      <c r="AG91" s="64">
        <f t="shared" si="237"/>
        <v>0</v>
      </c>
      <c r="AH91" s="64">
        <f t="shared" si="237"/>
        <v>0</v>
      </c>
      <c r="AI91" s="64">
        <f t="shared" si="237"/>
        <v>0</v>
      </c>
      <c r="AK91" s="74">
        <f t="shared" si="163"/>
        <v>0</v>
      </c>
      <c r="AL91" s="74">
        <f>AL92-AL104</f>
        <v>56.46</v>
      </c>
      <c r="AM91" s="74">
        <f t="shared" si="233"/>
        <v>0</v>
      </c>
      <c r="AN91" s="74">
        <f t="shared" si="232"/>
        <v>0</v>
      </c>
      <c r="AO91" s="74">
        <f t="shared" si="231"/>
        <v>0</v>
      </c>
      <c r="AQ91" s="65">
        <f t="shared" si="234"/>
        <v>0</v>
      </c>
      <c r="AR91" s="65">
        <f t="shared" si="228"/>
        <v>169.38</v>
      </c>
      <c r="AS91" s="65">
        <f t="shared" si="235"/>
        <v>0</v>
      </c>
      <c r="AT91" s="65">
        <f t="shared" si="235"/>
        <v>0</v>
      </c>
      <c r="AU91" s="65">
        <f t="shared" si="235"/>
        <v>0</v>
      </c>
      <c r="AV91" s="65">
        <f t="shared" ref="AV91:AV92" si="242">SUM(AR91)-SUM(Z91)</f>
        <v>20.819999999999993</v>
      </c>
      <c r="AW91" s="306">
        <f t="shared" ref="AW91:AW100" si="243">AV91/Z91</f>
        <v>0.14014539579967686</v>
      </c>
      <c r="BM91" s="214">
        <f t="shared" si="173"/>
        <v>0</v>
      </c>
      <c r="BN91" s="214">
        <f t="shared" si="173"/>
        <v>57.312545999999998</v>
      </c>
      <c r="BO91" s="214">
        <f t="shared" si="173"/>
        <v>0</v>
      </c>
      <c r="BP91" s="214">
        <f t="shared" si="173"/>
        <v>0</v>
      </c>
      <c r="BQ91" s="214">
        <f t="shared" si="175"/>
        <v>0</v>
      </c>
      <c r="BS91" s="49">
        <f t="shared" si="158"/>
        <v>0</v>
      </c>
      <c r="BT91" s="49">
        <f t="shared" si="238"/>
        <v>57.312545999999998</v>
      </c>
      <c r="BU91" s="49">
        <f t="shared" si="239"/>
        <v>0</v>
      </c>
      <c r="BV91" s="49">
        <f t="shared" si="240"/>
        <v>0</v>
      </c>
      <c r="BW91" s="49">
        <f t="shared" si="241"/>
        <v>0</v>
      </c>
    </row>
    <row r="92" spans="2:75">
      <c r="B92" s="32">
        <v>2</v>
      </c>
      <c r="C92" s="511" t="s">
        <v>98</v>
      </c>
      <c r="D92" s="32">
        <v>635</v>
      </c>
      <c r="E92" s="512">
        <f>12+1</f>
        <v>13</v>
      </c>
      <c r="F92" s="67"/>
      <c r="G92" s="67" t="str">
        <f t="shared" si="203"/>
        <v>044635</v>
      </c>
      <c r="H92" s="476"/>
      <c r="I92" s="41" t="s">
        <v>606</v>
      </c>
      <c r="J92" t="s">
        <v>86</v>
      </c>
      <c r="K92" s="54" t="s">
        <v>535</v>
      </c>
      <c r="L92" s="84" t="s">
        <v>537</v>
      </c>
      <c r="M92" s="64">
        <f t="shared" si="230"/>
        <v>0</v>
      </c>
      <c r="N92" s="64">
        <f t="shared" si="230"/>
        <v>1</v>
      </c>
      <c r="O92" s="64">
        <f t="shared" si="230"/>
        <v>0</v>
      </c>
      <c r="P92" s="64">
        <f t="shared" si="230"/>
        <v>0</v>
      </c>
      <c r="Q92" s="64">
        <f t="shared" si="230"/>
        <v>0</v>
      </c>
      <c r="R92" s="64">
        <f t="shared" si="225"/>
        <v>0</v>
      </c>
      <c r="S92" s="337">
        <v>0</v>
      </c>
      <c r="T92" s="349">
        <v>56.98</v>
      </c>
      <c r="U92" s="337">
        <v>0</v>
      </c>
      <c r="V92" s="337">
        <v>0</v>
      </c>
      <c r="W92" s="337">
        <v>0</v>
      </c>
      <c r="Z92" s="65">
        <f t="shared" ref="Z92" si="244">IF(AND(N92&lt;&gt;0,T92=0),#VALUE!,N92*T92)</f>
        <v>56.98</v>
      </c>
      <c r="AA92" s="65">
        <f t="shared" ref="AA92:AC93" si="245">IF(AND(O92&lt;&gt;0,U92=0),#VALUE!,O92*U92)</f>
        <v>0</v>
      </c>
      <c r="AB92" s="65">
        <f t="shared" si="245"/>
        <v>0</v>
      </c>
      <c r="AC92" s="65">
        <f t="shared" si="245"/>
        <v>0</v>
      </c>
      <c r="AE92" s="64">
        <f t="shared" si="237"/>
        <v>0</v>
      </c>
      <c r="AF92" s="64">
        <f t="shared" si="237"/>
        <v>1</v>
      </c>
      <c r="AG92" s="64">
        <f t="shared" si="237"/>
        <v>0</v>
      </c>
      <c r="AH92" s="64">
        <f t="shared" si="237"/>
        <v>0</v>
      </c>
      <c r="AI92" s="64">
        <f t="shared" si="237"/>
        <v>0</v>
      </c>
      <c r="AK92" s="74">
        <f t="shared" si="163"/>
        <v>0</v>
      </c>
      <c r="AL92" s="74">
        <f>ROUND(T92*(1+AL$1),2)</f>
        <v>63.92</v>
      </c>
      <c r="AM92" s="74">
        <f t="shared" si="233"/>
        <v>0</v>
      </c>
      <c r="AN92" s="74">
        <f t="shared" si="232"/>
        <v>0</v>
      </c>
      <c r="AO92" s="74">
        <f t="shared" si="231"/>
        <v>0</v>
      </c>
      <c r="AQ92" s="65">
        <f t="shared" si="234"/>
        <v>0</v>
      </c>
      <c r="AR92" s="65">
        <f t="shared" si="228"/>
        <v>63.92</v>
      </c>
      <c r="AS92" s="65">
        <f t="shared" si="235"/>
        <v>0</v>
      </c>
      <c r="AT92" s="65">
        <f t="shared" si="235"/>
        <v>0</v>
      </c>
      <c r="AU92" s="65">
        <f t="shared" si="235"/>
        <v>0</v>
      </c>
      <c r="AV92" s="65">
        <f t="shared" si="242"/>
        <v>6.9400000000000048</v>
      </c>
      <c r="AW92" s="306">
        <f t="shared" si="243"/>
        <v>0.12179712179712189</v>
      </c>
      <c r="BM92" s="214">
        <f t="shared" si="173"/>
        <v>0</v>
      </c>
      <c r="BN92" s="214">
        <f t="shared" si="173"/>
        <v>64.885191999999989</v>
      </c>
      <c r="BO92" s="214">
        <f t="shared" si="173"/>
        <v>0</v>
      </c>
      <c r="BP92" s="214">
        <f t="shared" si="173"/>
        <v>0</v>
      </c>
      <c r="BQ92" s="214">
        <f t="shared" si="175"/>
        <v>0</v>
      </c>
      <c r="BS92" s="49">
        <f t="shared" si="158"/>
        <v>0</v>
      </c>
      <c r="BT92" s="49">
        <f t="shared" si="238"/>
        <v>64.885191999999989</v>
      </c>
      <c r="BU92" s="49">
        <f t="shared" si="239"/>
        <v>0</v>
      </c>
      <c r="BV92" s="49">
        <f t="shared" si="240"/>
        <v>0</v>
      </c>
      <c r="BW92" s="49">
        <f t="shared" si="241"/>
        <v>0</v>
      </c>
    </row>
    <row r="93" spans="2:75">
      <c r="B93" s="32">
        <v>2</v>
      </c>
      <c r="C93" s="511" t="s">
        <v>98</v>
      </c>
      <c r="D93" s="32">
        <v>732</v>
      </c>
      <c r="E93" s="512">
        <v>7</v>
      </c>
      <c r="F93" s="67"/>
      <c r="G93" s="67" t="str">
        <f t="shared" si="203"/>
        <v>044732</v>
      </c>
      <c r="H93" s="40"/>
      <c r="I93" t="s">
        <v>105</v>
      </c>
      <c r="J93" t="s">
        <v>673</v>
      </c>
      <c r="K93" s="54" t="s">
        <v>124</v>
      </c>
      <c r="L93" s="84">
        <v>835</v>
      </c>
      <c r="M93" s="64">
        <f t="shared" si="230"/>
        <v>0</v>
      </c>
      <c r="N93" s="64">
        <f t="shared" si="230"/>
        <v>2</v>
      </c>
      <c r="O93" s="64">
        <f t="shared" si="230"/>
        <v>9</v>
      </c>
      <c r="P93" s="64">
        <f t="shared" si="230"/>
        <v>0</v>
      </c>
      <c r="Q93" s="64">
        <f t="shared" si="230"/>
        <v>8</v>
      </c>
      <c r="R93" s="64">
        <f t="shared" si="225"/>
        <v>0</v>
      </c>
      <c r="S93" s="337">
        <v>0</v>
      </c>
      <c r="T93" s="337">
        <v>30.07</v>
      </c>
      <c r="U93" s="337">
        <v>22.47</v>
      </c>
      <c r="V93" s="337">
        <v>0</v>
      </c>
      <c r="W93" s="337">
        <v>18.690000000000001</v>
      </c>
      <c r="Y93" s="65">
        <f>IF(AND(M93&lt;&gt;0,S93=0),#VALUE!,M93*S93)</f>
        <v>0</v>
      </c>
      <c r="Z93" s="65">
        <f>IF(AND(N93&lt;&gt;0,T93=0),#VALUE!,N93*T93)</f>
        <v>60.14</v>
      </c>
      <c r="AA93" s="65">
        <f t="shared" si="245"/>
        <v>202.23</v>
      </c>
      <c r="AB93" s="65">
        <f t="shared" si="245"/>
        <v>0</v>
      </c>
      <c r="AC93" s="65">
        <f t="shared" si="245"/>
        <v>149.52000000000001</v>
      </c>
      <c r="AE93" s="64">
        <f t="shared" si="237"/>
        <v>0</v>
      </c>
      <c r="AF93" s="64">
        <f t="shared" si="237"/>
        <v>2</v>
      </c>
      <c r="AG93" s="64">
        <f t="shared" si="237"/>
        <v>9</v>
      </c>
      <c r="AH93" s="64">
        <f t="shared" si="237"/>
        <v>0</v>
      </c>
      <c r="AI93" s="64">
        <f t="shared" si="237"/>
        <v>8</v>
      </c>
      <c r="AK93" s="74">
        <f t="shared" si="163"/>
        <v>0</v>
      </c>
      <c r="AL93" s="74">
        <f>ROUND(T93*(1+AL$1),2)</f>
        <v>33.729999999999997</v>
      </c>
      <c r="AM93" s="74">
        <f t="shared" si="233"/>
        <v>25.4</v>
      </c>
      <c r="AN93" s="74">
        <f t="shared" si="232"/>
        <v>0</v>
      </c>
      <c r="AO93" s="74">
        <f t="shared" si="231"/>
        <v>21.13</v>
      </c>
      <c r="AQ93" s="65">
        <f t="shared" si="234"/>
        <v>0</v>
      </c>
      <c r="AR93" s="65">
        <f t="shared" si="228"/>
        <v>67.459999999999994</v>
      </c>
      <c r="AS93" s="65">
        <f t="shared" si="235"/>
        <v>228.6</v>
      </c>
      <c r="AT93" s="65">
        <f t="shared" si="235"/>
        <v>0</v>
      </c>
      <c r="AU93" s="65">
        <f t="shared" si="235"/>
        <v>169.04</v>
      </c>
      <c r="AV93" s="65">
        <f>SUM(AR93)-SUM(Z93)</f>
        <v>7.3199999999999932</v>
      </c>
      <c r="AW93" s="306">
        <f>AV93/Z93</f>
        <v>0.12171599600931149</v>
      </c>
      <c r="AX93" s="299">
        <v>169</v>
      </c>
      <c r="AY93" s="85"/>
      <c r="AZ93" s="85">
        <v>29.925147999999997</v>
      </c>
      <c r="BA93" s="85">
        <v>22.169783999999996</v>
      </c>
      <c r="BB93" s="85"/>
      <c r="BC93" s="85">
        <v>18.444367</v>
      </c>
      <c r="BD93" s="85"/>
      <c r="BE93" s="327">
        <f>ROUND(AX93*$BE$2,2)+ROUND(AX93*$BE$1,2)</f>
        <v>0.37999999999999989</v>
      </c>
      <c r="BF93" s="49"/>
      <c r="BG93" s="49">
        <f>ROUND((T93*$BF$2)+$BE93-AZ93,2)</f>
        <v>0.98</v>
      </c>
      <c r="BH93" s="49">
        <f>ROUND((U93*$BF$2)+$BE93-BA93,2)</f>
        <v>1.02</v>
      </c>
      <c r="BI93" s="49"/>
      <c r="BJ93" s="49">
        <f>ROUND((W93*$BF$2)+$BE93-BC93,2)</f>
        <v>0.91</v>
      </c>
      <c r="BM93" s="214">
        <f t="shared" si="173"/>
        <v>0</v>
      </c>
      <c r="BN93" s="214">
        <f t="shared" si="173"/>
        <v>34.239322999999992</v>
      </c>
      <c r="BO93" s="214">
        <f t="shared" si="173"/>
        <v>25.783539999999995</v>
      </c>
      <c r="BP93" s="214">
        <f t="shared" si="173"/>
        <v>0</v>
      </c>
      <c r="BQ93" s="214">
        <f t="shared" si="175"/>
        <v>21.449062999999995</v>
      </c>
      <c r="BS93" s="49">
        <f t="shared" si="158"/>
        <v>0</v>
      </c>
      <c r="BT93" s="49">
        <f t="shared" si="238"/>
        <v>4.3141749999999952</v>
      </c>
      <c r="BU93" s="49">
        <f t="shared" si="239"/>
        <v>3.6137559999999986</v>
      </c>
      <c r="BV93" s="49">
        <f t="shared" si="240"/>
        <v>0</v>
      </c>
      <c r="BW93" s="49">
        <f t="shared" si="241"/>
        <v>3.0046959999999956</v>
      </c>
    </row>
    <row r="94" spans="2:75">
      <c r="B94" s="32">
        <v>2</v>
      </c>
      <c r="C94" s="511" t="s">
        <v>98</v>
      </c>
      <c r="D94" s="32">
        <v>735</v>
      </c>
      <c r="E94" s="512">
        <v>1</v>
      </c>
      <c r="F94" s="67"/>
      <c r="G94" s="67" t="str">
        <f t="shared" si="203"/>
        <v>044735</v>
      </c>
      <c r="I94" t="s">
        <v>606</v>
      </c>
      <c r="J94" t="s">
        <v>673</v>
      </c>
      <c r="K94" s="54" t="s">
        <v>535</v>
      </c>
      <c r="L94" s="84" t="s">
        <v>620</v>
      </c>
      <c r="M94" s="64">
        <f t="shared" si="230"/>
        <v>0</v>
      </c>
      <c r="N94" s="64">
        <f t="shared" si="230"/>
        <v>36</v>
      </c>
      <c r="O94" s="64">
        <f t="shared" si="230"/>
        <v>0</v>
      </c>
      <c r="P94" s="64">
        <f t="shared" si="230"/>
        <v>0</v>
      </c>
      <c r="Q94" s="64">
        <f t="shared" si="230"/>
        <v>0</v>
      </c>
      <c r="R94" s="64">
        <f t="shared" si="225"/>
        <v>0</v>
      </c>
      <c r="S94" s="337">
        <v>0</v>
      </c>
      <c r="T94" s="349">
        <v>22.61</v>
      </c>
      <c r="U94" s="337">
        <v>0</v>
      </c>
      <c r="V94" s="337">
        <v>0</v>
      </c>
      <c r="W94" s="337">
        <v>0</v>
      </c>
      <c r="Y94" s="65">
        <f>IF(AND(M94&lt;&gt;0,S94=0),#VALUE!,M94*S94)</f>
        <v>0</v>
      </c>
      <c r="Z94" s="65">
        <f>IF(AND(N94&lt;&gt;0,T94=0),#VALUE!,N94*T94)</f>
        <v>813.96</v>
      </c>
      <c r="AA94" s="65">
        <f t="shared" ref="AA94:AA99" si="246">IF(AND(O94&lt;&gt;0,U94=0),#VALUE!,O94*U94)</f>
        <v>0</v>
      </c>
      <c r="AB94" s="65">
        <f>IF(AND(P94&lt;&gt;0,V94=0),#VALUE!,P94*V94)</f>
        <v>0</v>
      </c>
      <c r="AC94" s="65">
        <f t="shared" ref="AC94:AC100" si="247">IF(AND(Q94&lt;&gt;0,W94=0),#VALUE!,Q94*W94)</f>
        <v>0</v>
      </c>
      <c r="AE94" s="64">
        <f t="shared" si="237"/>
        <v>0</v>
      </c>
      <c r="AF94" s="64">
        <f t="shared" si="237"/>
        <v>36</v>
      </c>
      <c r="AG94" s="64">
        <f t="shared" si="237"/>
        <v>0</v>
      </c>
      <c r="AH94" s="64">
        <f t="shared" si="237"/>
        <v>0</v>
      </c>
      <c r="AI94" s="64">
        <f t="shared" si="237"/>
        <v>0</v>
      </c>
      <c r="AK94" s="74">
        <f t="shared" si="163"/>
        <v>0</v>
      </c>
      <c r="AL94" s="74">
        <f>AL93-AL104</f>
        <v>26.269999999999996</v>
      </c>
      <c r="AM94" s="74">
        <f t="shared" si="233"/>
        <v>0</v>
      </c>
      <c r="AN94" s="74">
        <f t="shared" si="232"/>
        <v>0</v>
      </c>
      <c r="AO94" s="74">
        <f t="shared" si="231"/>
        <v>0</v>
      </c>
      <c r="AQ94" s="65">
        <f t="shared" si="234"/>
        <v>0</v>
      </c>
      <c r="AR94" s="65">
        <f t="shared" si="228"/>
        <v>945.7199999999998</v>
      </c>
      <c r="AS94" s="65">
        <f t="shared" si="235"/>
        <v>0</v>
      </c>
      <c r="AT94" s="65">
        <f t="shared" si="235"/>
        <v>0</v>
      </c>
      <c r="AU94" s="65">
        <f t="shared" si="235"/>
        <v>0</v>
      </c>
      <c r="AV94" s="65">
        <f>SUM(AR94)-SUM(Z94)</f>
        <v>131.75999999999976</v>
      </c>
      <c r="AW94" s="306">
        <f t="shared" si="243"/>
        <v>0.16187527642635971</v>
      </c>
      <c r="AX94" s="299">
        <v>83</v>
      </c>
      <c r="AY94" s="85"/>
      <c r="AZ94" s="85">
        <v>21.885556000000001</v>
      </c>
      <c r="BA94" s="85"/>
      <c r="BB94" s="85"/>
      <c r="BC94" s="85"/>
      <c r="BD94" s="85"/>
      <c r="BE94" s="327">
        <f>ROUND(AX94*$BE$2,2)+ROUND(AX94*$BE$1,2)</f>
        <v>0.18999999999999995</v>
      </c>
      <c r="BF94" s="49"/>
      <c r="BG94" s="49">
        <f>ROUND((T94*$BF$2)+$BE94-AZ94,2)</f>
        <v>1.26</v>
      </c>
      <c r="BH94" s="49"/>
      <c r="BI94" s="49"/>
      <c r="BJ94" s="49"/>
      <c r="BM94" s="214">
        <f t="shared" si="173"/>
        <v>0</v>
      </c>
      <c r="BN94" s="214">
        <f t="shared" si="173"/>
        <v>26.666676999999993</v>
      </c>
      <c r="BO94" s="214">
        <f t="shared" si="173"/>
        <v>0</v>
      </c>
      <c r="BP94" s="214">
        <f t="shared" si="173"/>
        <v>0</v>
      </c>
      <c r="BQ94" s="214">
        <f t="shared" si="175"/>
        <v>0</v>
      </c>
      <c r="BS94" s="49">
        <f t="shared" si="158"/>
        <v>0</v>
      </c>
      <c r="BT94" s="49">
        <f t="shared" si="238"/>
        <v>4.7811209999999917</v>
      </c>
      <c r="BU94" s="49">
        <f t="shared" si="239"/>
        <v>0</v>
      </c>
      <c r="BV94" s="49">
        <f t="shared" si="240"/>
        <v>0</v>
      </c>
      <c r="BW94" s="49">
        <f t="shared" si="241"/>
        <v>0</v>
      </c>
    </row>
    <row r="95" spans="2:75">
      <c r="B95" s="32">
        <v>2</v>
      </c>
      <c r="C95" s="511" t="s">
        <v>98</v>
      </c>
      <c r="D95" s="32">
        <v>835</v>
      </c>
      <c r="E95" s="512">
        <v>9</v>
      </c>
      <c r="F95" s="67"/>
      <c r="G95" s="67" t="str">
        <f t="shared" si="203"/>
        <v>044835</v>
      </c>
      <c r="H95" s="40"/>
      <c r="I95" s="41" t="s">
        <v>606</v>
      </c>
      <c r="J95" t="s">
        <v>673</v>
      </c>
      <c r="K95" s="54" t="s">
        <v>535</v>
      </c>
      <c r="L95" s="84" t="s">
        <v>538</v>
      </c>
      <c r="M95" s="64">
        <f t="shared" si="230"/>
        <v>0</v>
      </c>
      <c r="N95" s="64">
        <f t="shared" si="230"/>
        <v>11</v>
      </c>
      <c r="O95" s="64">
        <f t="shared" si="230"/>
        <v>0</v>
      </c>
      <c r="P95" s="64">
        <f t="shared" si="230"/>
        <v>0</v>
      </c>
      <c r="Q95" s="64">
        <f t="shared" si="230"/>
        <v>0</v>
      </c>
      <c r="R95" s="64">
        <f t="shared" si="225"/>
        <v>0</v>
      </c>
      <c r="S95" s="337">
        <v>0</v>
      </c>
      <c r="T95" s="349">
        <v>30.07</v>
      </c>
      <c r="U95" s="337">
        <v>0</v>
      </c>
      <c r="V95" s="337">
        <v>0</v>
      </c>
      <c r="W95" s="337">
        <v>0</v>
      </c>
      <c r="Z95" s="65">
        <f t="shared" ref="Z95:Z97" si="248">IF(AND(N95&lt;&gt;0,T95=0),#VALUE!,N95*T95)</f>
        <v>330.77</v>
      </c>
      <c r="AA95" s="65">
        <f t="shared" si="246"/>
        <v>0</v>
      </c>
      <c r="AB95" s="65">
        <f>IF(AND(P95&lt;&gt;0,V95=0),#VALUE!,P95*V95)</f>
        <v>0</v>
      </c>
      <c r="AC95" s="65">
        <f t="shared" si="247"/>
        <v>0</v>
      </c>
      <c r="AE95" s="64">
        <f t="shared" si="237"/>
        <v>0</v>
      </c>
      <c r="AF95" s="64">
        <f t="shared" si="237"/>
        <v>11</v>
      </c>
      <c r="AG95" s="64">
        <f t="shared" si="237"/>
        <v>0</v>
      </c>
      <c r="AH95" s="64">
        <f t="shared" si="237"/>
        <v>0</v>
      </c>
      <c r="AI95" s="64">
        <f t="shared" si="237"/>
        <v>0</v>
      </c>
      <c r="AK95" s="74">
        <f t="shared" ref="AK95:AK100" si="249">ROUND(S95*(1+AK$1),2)</f>
        <v>0</v>
      </c>
      <c r="AL95" s="74">
        <f>AL93</f>
        <v>33.729999999999997</v>
      </c>
      <c r="AM95" s="74">
        <f t="shared" si="233"/>
        <v>0</v>
      </c>
      <c r="AN95" s="74">
        <f t="shared" si="232"/>
        <v>0</v>
      </c>
      <c r="AO95" s="74">
        <f t="shared" si="231"/>
        <v>0</v>
      </c>
      <c r="AQ95" s="65">
        <f t="shared" si="234"/>
        <v>0</v>
      </c>
      <c r="AR95" s="65">
        <f t="shared" si="228"/>
        <v>371.03</v>
      </c>
      <c r="AS95" s="65">
        <f t="shared" si="235"/>
        <v>0</v>
      </c>
      <c r="AT95" s="65">
        <f t="shared" si="235"/>
        <v>0</v>
      </c>
      <c r="AU95" s="65">
        <f t="shared" si="235"/>
        <v>0</v>
      </c>
      <c r="AV95" s="65">
        <f t="shared" ref="AV95:AV100" si="250">SUM(AR95)-SUM(Z95)</f>
        <v>40.259999999999991</v>
      </c>
      <c r="AW95" s="306">
        <f t="shared" si="243"/>
        <v>0.12171599600931159</v>
      </c>
      <c r="BM95" s="214">
        <f t="shared" si="173"/>
        <v>0</v>
      </c>
      <c r="BN95" s="214">
        <f t="shared" si="173"/>
        <v>34.239322999999992</v>
      </c>
      <c r="BO95" s="214">
        <f t="shared" si="173"/>
        <v>0</v>
      </c>
      <c r="BP95" s="214">
        <f t="shared" si="173"/>
        <v>0</v>
      </c>
      <c r="BQ95" s="214">
        <f t="shared" si="175"/>
        <v>0</v>
      </c>
      <c r="BS95" s="49">
        <f t="shared" si="158"/>
        <v>0</v>
      </c>
      <c r="BT95" s="49">
        <f t="shared" si="238"/>
        <v>34.239322999999992</v>
      </c>
      <c r="BU95" s="49">
        <f t="shared" si="239"/>
        <v>0</v>
      </c>
      <c r="BV95" s="49">
        <f t="shared" si="240"/>
        <v>0</v>
      </c>
      <c r="BW95" s="49">
        <f t="shared" si="241"/>
        <v>0</v>
      </c>
    </row>
    <row r="96" spans="2:75">
      <c r="B96" s="32">
        <v>2</v>
      </c>
      <c r="C96" s="511" t="s">
        <v>98</v>
      </c>
      <c r="D96" s="32">
        <v>845</v>
      </c>
      <c r="E96" s="512">
        <v>1</v>
      </c>
      <c r="F96" s="67"/>
      <c r="G96" s="67" t="str">
        <f t="shared" si="203"/>
        <v>044845</v>
      </c>
      <c r="H96" s="40"/>
      <c r="I96" t="s">
        <v>606</v>
      </c>
      <c r="J96" t="s">
        <v>113</v>
      </c>
      <c r="K96" s="54" t="s">
        <v>535</v>
      </c>
      <c r="L96" s="84" t="s">
        <v>665</v>
      </c>
      <c r="M96" s="64">
        <f t="shared" si="230"/>
        <v>0</v>
      </c>
      <c r="N96" s="64">
        <f t="shared" si="230"/>
        <v>4</v>
      </c>
      <c r="O96" s="64">
        <f t="shared" si="230"/>
        <v>0</v>
      </c>
      <c r="P96" s="64">
        <f t="shared" si="230"/>
        <v>0</v>
      </c>
      <c r="Q96" s="64">
        <f t="shared" si="230"/>
        <v>0</v>
      </c>
      <c r="R96" s="64">
        <f t="shared" si="225"/>
        <v>0</v>
      </c>
      <c r="S96" s="337">
        <v>0</v>
      </c>
      <c r="T96" s="349">
        <v>30.990000000000002</v>
      </c>
      <c r="U96" s="337">
        <v>0</v>
      </c>
      <c r="V96" s="337">
        <v>0</v>
      </c>
      <c r="W96" s="337">
        <v>0</v>
      </c>
      <c r="Y96" s="65">
        <f t="shared" ref="Y96" si="251">IF(AND(M96&lt;&gt;0,S96=0),#VALUE!,M96*S96)</f>
        <v>0</v>
      </c>
      <c r="Z96" s="65">
        <f t="shared" si="248"/>
        <v>123.96000000000001</v>
      </c>
      <c r="AA96" s="65">
        <f t="shared" si="246"/>
        <v>0</v>
      </c>
      <c r="AB96" s="65">
        <f>IF(AND(P96&lt;&gt;0,V96=0),#VALUE!,P96*V96)</f>
        <v>0</v>
      </c>
      <c r="AC96" s="65">
        <f t="shared" si="247"/>
        <v>0</v>
      </c>
      <c r="AE96" s="64">
        <f t="shared" si="237"/>
        <v>0</v>
      </c>
      <c r="AF96" s="64">
        <f t="shared" si="237"/>
        <v>4</v>
      </c>
      <c r="AG96" s="64">
        <f t="shared" si="237"/>
        <v>0</v>
      </c>
      <c r="AH96" s="64">
        <f t="shared" si="237"/>
        <v>0</v>
      </c>
      <c r="AI96" s="64">
        <f t="shared" si="237"/>
        <v>0</v>
      </c>
      <c r="AK96" s="74">
        <f t="shared" si="249"/>
        <v>0</v>
      </c>
      <c r="AL96" s="74">
        <f>AL97-AL104</f>
        <v>37.33</v>
      </c>
      <c r="AM96" s="74">
        <f t="shared" si="233"/>
        <v>0</v>
      </c>
      <c r="AN96" s="74">
        <f t="shared" si="232"/>
        <v>0</v>
      </c>
      <c r="AO96" s="74">
        <f t="shared" si="231"/>
        <v>0</v>
      </c>
      <c r="AQ96" s="65">
        <f t="shared" si="234"/>
        <v>0</v>
      </c>
      <c r="AR96" s="65">
        <f t="shared" ref="AR96" si="252">IF(AND(AF96&lt;&gt;0,AL96=0),#VALUE!,AF96*AL96)</f>
        <v>149.32</v>
      </c>
      <c r="AS96" s="65">
        <f t="shared" si="235"/>
        <v>0</v>
      </c>
      <c r="AT96" s="65">
        <f t="shared" si="235"/>
        <v>0</v>
      </c>
      <c r="AU96" s="65">
        <f t="shared" si="235"/>
        <v>0</v>
      </c>
      <c r="AV96" s="65">
        <f t="shared" si="250"/>
        <v>25.359999999999985</v>
      </c>
      <c r="AW96" s="306">
        <f t="shared" si="243"/>
        <v>0.2045821232655694</v>
      </c>
      <c r="AX96" s="299">
        <v>83</v>
      </c>
      <c r="AY96" s="85"/>
      <c r="AZ96" s="85">
        <v>28.981104999999992</v>
      </c>
      <c r="BA96" s="85"/>
      <c r="BB96" s="85"/>
      <c r="BC96" s="85"/>
      <c r="BD96" s="85"/>
      <c r="BE96" s="327">
        <f t="shared" ref="BE96" si="253">ROUND(AX96*$BE$2,2)+ROUND(AX96*$BE$1,2)</f>
        <v>0.18999999999999995</v>
      </c>
      <c r="BF96" s="49"/>
      <c r="BG96" s="49">
        <f>ROUND((T96*$BF$2)+$BE96-AZ96,2)</f>
        <v>2.67</v>
      </c>
      <c r="BH96" s="49"/>
      <c r="BI96" s="49"/>
      <c r="BJ96" s="49"/>
      <c r="BM96" s="214">
        <f t="shared" si="173"/>
        <v>0</v>
      </c>
      <c r="BN96" s="214">
        <f t="shared" si="173"/>
        <v>37.893682999999996</v>
      </c>
      <c r="BO96" s="214">
        <f t="shared" si="173"/>
        <v>0</v>
      </c>
      <c r="BP96" s="214">
        <f t="shared" si="173"/>
        <v>0</v>
      </c>
      <c r="BQ96" s="214">
        <f t="shared" si="175"/>
        <v>0</v>
      </c>
      <c r="BS96" s="49">
        <f t="shared" si="158"/>
        <v>0</v>
      </c>
      <c r="BT96" s="49">
        <f t="shared" si="238"/>
        <v>8.9125780000000034</v>
      </c>
      <c r="BU96" s="49">
        <f t="shared" si="239"/>
        <v>0</v>
      </c>
      <c r="BV96" s="49">
        <f t="shared" si="240"/>
        <v>0</v>
      </c>
      <c r="BW96" s="49">
        <f t="shared" si="241"/>
        <v>0</v>
      </c>
    </row>
    <row r="97" spans="2:75">
      <c r="E97" s="645">
        <f>SUM(E83:E96)</f>
        <v>152</v>
      </c>
      <c r="F97" s="67"/>
      <c r="G97" s="67" t="str">
        <f t="shared" si="203"/>
        <v/>
      </c>
      <c r="H97" s="40"/>
      <c r="I97" s="41" t="s">
        <v>606</v>
      </c>
      <c r="J97" t="s">
        <v>113</v>
      </c>
      <c r="K97" s="54" t="s">
        <v>535</v>
      </c>
      <c r="L97" s="84" t="s">
        <v>539</v>
      </c>
      <c r="M97" s="64">
        <f t="shared" si="230"/>
        <v>0</v>
      </c>
      <c r="N97" s="64">
        <f t="shared" si="230"/>
        <v>1</v>
      </c>
      <c r="O97" s="64">
        <f t="shared" si="230"/>
        <v>0</v>
      </c>
      <c r="P97" s="64">
        <f t="shared" si="230"/>
        <v>0</v>
      </c>
      <c r="Q97" s="64">
        <f t="shared" si="230"/>
        <v>0</v>
      </c>
      <c r="R97" s="64">
        <f t="shared" si="225"/>
        <v>0</v>
      </c>
      <c r="S97" s="337">
        <v>0</v>
      </c>
      <c r="T97" s="515">
        <v>39.93</v>
      </c>
      <c r="U97" s="515">
        <v>0</v>
      </c>
      <c r="V97" s="515">
        <v>0</v>
      </c>
      <c r="W97" s="515"/>
      <c r="Z97" s="65">
        <f t="shared" si="248"/>
        <v>39.93</v>
      </c>
      <c r="AA97" s="65">
        <f t="shared" si="246"/>
        <v>0</v>
      </c>
      <c r="AC97" s="65">
        <f t="shared" si="247"/>
        <v>0</v>
      </c>
      <c r="AE97" s="64">
        <f t="shared" si="237"/>
        <v>0</v>
      </c>
      <c r="AF97" s="64">
        <f t="shared" si="237"/>
        <v>1</v>
      </c>
      <c r="AG97" s="64">
        <f t="shared" si="237"/>
        <v>0</v>
      </c>
      <c r="AH97" s="64">
        <f t="shared" si="237"/>
        <v>0</v>
      </c>
      <c r="AI97" s="64">
        <f t="shared" si="237"/>
        <v>0</v>
      </c>
      <c r="AK97" s="74">
        <f t="shared" si="249"/>
        <v>0</v>
      </c>
      <c r="AL97" s="74">
        <f>ROUND(T97*(1+AL$1),2)</f>
        <v>44.79</v>
      </c>
      <c r="AM97" s="74">
        <f t="shared" si="233"/>
        <v>0</v>
      </c>
      <c r="AN97" s="74">
        <f t="shared" si="232"/>
        <v>0</v>
      </c>
      <c r="AO97" s="74">
        <f t="shared" si="231"/>
        <v>0</v>
      </c>
      <c r="AQ97" s="65">
        <f t="shared" ref="AQ97" si="254">IF(AND(AE97&lt;&gt;0,AK97=0),#VALUE!,AE97*AK97)</f>
        <v>0</v>
      </c>
      <c r="AR97" s="65">
        <f t="shared" ref="AR97" si="255">IF(AND(AF97&lt;&gt;0,AL97=0),#VALUE!,AF97*AL97)</f>
        <v>44.79</v>
      </c>
      <c r="AS97" s="65">
        <f t="shared" ref="AS97" si="256">IF(AND(AG97&lt;&gt;0,AM97=0),#VALUE!,AG97*AM97)</f>
        <v>0</v>
      </c>
      <c r="AT97" s="65">
        <f t="shared" ref="AT97" si="257">IF(AND(AH97&lt;&gt;0,AN97=0),#VALUE!,AH97*AN97)</f>
        <v>0</v>
      </c>
      <c r="AU97" s="65">
        <f t="shared" ref="AU97" si="258">IF(AND(AI97&lt;&gt;0,AO97=0),#VALUE!,AI97*AO97)</f>
        <v>0</v>
      </c>
      <c r="AX97">
        <v>83</v>
      </c>
      <c r="AZ97">
        <v>36.1</v>
      </c>
      <c r="BE97" s="327">
        <f>ROUND(AX97*$BE$2,2)+ROUND(AX97*$BE$1,2)</f>
        <v>0.18999999999999995</v>
      </c>
      <c r="BF97" s="49"/>
      <c r="BG97" s="49">
        <f>ROUND((T97*$BF$2)+$BE97-AZ97,2)</f>
        <v>4.62</v>
      </c>
      <c r="BM97" s="214">
        <f t="shared" si="173"/>
        <v>0</v>
      </c>
      <c r="BN97" s="214">
        <f t="shared" si="173"/>
        <v>45.466328999999995</v>
      </c>
      <c r="BO97" s="214">
        <f t="shared" si="173"/>
        <v>0</v>
      </c>
      <c r="BP97" s="214">
        <f t="shared" si="173"/>
        <v>0</v>
      </c>
      <c r="BQ97" s="214">
        <f t="shared" si="175"/>
        <v>0</v>
      </c>
      <c r="BS97" s="49">
        <f t="shared" si="158"/>
        <v>0</v>
      </c>
      <c r="BT97" s="49">
        <f t="shared" si="238"/>
        <v>9.3663289999999932</v>
      </c>
      <c r="BU97" s="49">
        <f t="shared" si="239"/>
        <v>0</v>
      </c>
      <c r="BV97" s="49">
        <f t="shared" si="240"/>
        <v>0</v>
      </c>
      <c r="BW97" s="49">
        <f t="shared" si="241"/>
        <v>0</v>
      </c>
    </row>
    <row r="98" spans="2:75">
      <c r="G98" s="67" t="str">
        <f t="shared" ref="G98:G130" si="259">IF(OR(ISBLANK(C98),ISBLANK(D98)),"",TEXT(C98,"000")&amp;TEXT(D98,"000"))</f>
        <v/>
      </c>
      <c r="H98" s="40"/>
      <c r="I98" t="s">
        <v>116</v>
      </c>
      <c r="J98" t="s">
        <v>86</v>
      </c>
      <c r="K98" s="54" t="s">
        <v>124</v>
      </c>
      <c r="L98" s="84">
        <v>842</v>
      </c>
      <c r="M98" s="64">
        <f t="shared" si="230"/>
        <v>0</v>
      </c>
      <c r="N98" s="64">
        <f t="shared" si="230"/>
        <v>2</v>
      </c>
      <c r="O98" s="64">
        <f t="shared" si="230"/>
        <v>0</v>
      </c>
      <c r="P98" s="64">
        <f t="shared" si="230"/>
        <v>0</v>
      </c>
      <c r="Q98" s="64">
        <f t="shared" si="230"/>
        <v>0</v>
      </c>
      <c r="R98" s="64">
        <f t="shared" si="225"/>
        <v>0</v>
      </c>
      <c r="S98" s="337">
        <v>0</v>
      </c>
      <c r="T98" s="337">
        <v>100.76</v>
      </c>
      <c r="U98" s="337">
        <v>0</v>
      </c>
      <c r="V98" s="337">
        <v>0</v>
      </c>
      <c r="W98" s="337">
        <v>0</v>
      </c>
      <c r="Y98" s="65">
        <f t="shared" ref="Y98:Z100" si="260">IF(AND(M98&lt;&gt;0,S98=0),#VALUE!,M98*S98)</f>
        <v>0</v>
      </c>
      <c r="Z98" s="65">
        <f t="shared" si="260"/>
        <v>201.52</v>
      </c>
      <c r="AA98" s="65">
        <f t="shared" si="246"/>
        <v>0</v>
      </c>
      <c r="AB98" s="65">
        <f>IF(AND(P98&lt;&gt;0,V98=0),#VALUE!,P98*V98)</f>
        <v>0</v>
      </c>
      <c r="AC98" s="65">
        <f t="shared" si="247"/>
        <v>0</v>
      </c>
      <c r="AE98" s="64">
        <f t="shared" si="237"/>
        <v>0</v>
      </c>
      <c r="AF98" s="64">
        <f t="shared" si="237"/>
        <v>2</v>
      </c>
      <c r="AG98" s="64">
        <f t="shared" si="237"/>
        <v>0</v>
      </c>
      <c r="AH98" s="64">
        <f t="shared" si="237"/>
        <v>0</v>
      </c>
      <c r="AI98" s="64">
        <f t="shared" si="237"/>
        <v>0</v>
      </c>
      <c r="AK98" s="74">
        <f t="shared" si="249"/>
        <v>0</v>
      </c>
      <c r="AL98" s="74">
        <f>ROUND(T98*(1+AL$1),2)</f>
        <v>113.03</v>
      </c>
      <c r="AM98" s="74">
        <f t="shared" si="233"/>
        <v>0</v>
      </c>
      <c r="AN98" s="74">
        <f t="shared" si="232"/>
        <v>0</v>
      </c>
      <c r="AO98" s="74">
        <f t="shared" si="231"/>
        <v>0</v>
      </c>
      <c r="AQ98" s="65">
        <f t="shared" ref="AQ98:AU100" si="261">IF(AND(AE98&lt;&gt;0,AK98=0),#VALUE!,AE98*AK98)</f>
        <v>0</v>
      </c>
      <c r="AR98" s="65">
        <f t="shared" si="261"/>
        <v>226.06</v>
      </c>
      <c r="AS98" s="65">
        <f t="shared" si="261"/>
        <v>0</v>
      </c>
      <c r="AT98" s="65">
        <f t="shared" si="261"/>
        <v>0</v>
      </c>
      <c r="AU98" s="65">
        <f t="shared" si="261"/>
        <v>0</v>
      </c>
      <c r="AV98" s="65">
        <f t="shared" si="250"/>
        <v>24.539999999999992</v>
      </c>
      <c r="AW98" s="306">
        <f t="shared" si="243"/>
        <v>0.12177451369591102</v>
      </c>
      <c r="AX98" s="299">
        <v>338</v>
      </c>
      <c r="AY98" s="85"/>
      <c r="AZ98" s="85">
        <v>100.25127599999999</v>
      </c>
      <c r="BA98" s="85"/>
      <c r="BB98" s="85"/>
      <c r="BC98" s="85"/>
      <c r="BD98" s="85"/>
      <c r="BE98" s="327">
        <f>ROUND(AX98*$BE$2,2)+ROUND(AX98*$BE$1,2)</f>
        <v>0.75</v>
      </c>
      <c r="BF98" s="49"/>
      <c r="BG98" s="49">
        <f>ROUND((T98*$BF$2)+$BE98-AZ98,2)</f>
        <v>2.78</v>
      </c>
      <c r="BH98" s="49"/>
      <c r="BI98" s="49"/>
      <c r="BJ98" s="49"/>
      <c r="BM98" s="214">
        <f t="shared" si="173"/>
        <v>0</v>
      </c>
      <c r="BN98" s="214">
        <f t="shared" si="173"/>
        <v>114.73675299999999</v>
      </c>
      <c r="BO98" s="214">
        <f t="shared" si="173"/>
        <v>0</v>
      </c>
      <c r="BP98" s="214">
        <f t="shared" si="173"/>
        <v>0</v>
      </c>
      <c r="BQ98" s="214">
        <f t="shared" si="175"/>
        <v>0</v>
      </c>
      <c r="BS98" s="49">
        <f t="shared" si="158"/>
        <v>0</v>
      </c>
      <c r="BT98" s="49">
        <f t="shared" si="238"/>
        <v>14.485477000000003</v>
      </c>
      <c r="BU98" s="49">
        <f t="shared" si="239"/>
        <v>0</v>
      </c>
      <c r="BV98" s="49">
        <f t="shared" si="240"/>
        <v>0</v>
      </c>
      <c r="BW98" s="49">
        <f t="shared" si="241"/>
        <v>0</v>
      </c>
    </row>
    <row r="99" spans="2:75">
      <c r="B99" s="32">
        <v>2</v>
      </c>
      <c r="C99" s="511" t="s">
        <v>99</v>
      </c>
      <c r="D99" s="32">
        <v>415</v>
      </c>
      <c r="E99" s="512">
        <v>61</v>
      </c>
      <c r="F99" s="67"/>
      <c r="G99" s="67" t="str">
        <f t="shared" si="259"/>
        <v>045415</v>
      </c>
      <c r="H99" s="40"/>
      <c r="I99" t="s">
        <v>116</v>
      </c>
      <c r="J99" t="s">
        <v>84</v>
      </c>
      <c r="K99" s="54" t="s">
        <v>124</v>
      </c>
      <c r="L99" s="84">
        <v>845</v>
      </c>
      <c r="M99" s="64">
        <f>SUMIF($G:$G,TEXT(M$3,"000")&amp;TEXT($L99,"000"),$E:$E)</f>
        <v>0</v>
      </c>
      <c r="N99" s="64">
        <f t="shared" ref="N99:P103" si="262">SUMIF($G:$G,TEXT(N$3,"000")&amp;TEXT($L99,"000"),$E:$E)</f>
        <v>0</v>
      </c>
      <c r="O99" s="64">
        <f>SUMIF($G:$G,TEXT(O$3,"000")&amp;TEXT($L99,"000"),$E:$E)</f>
        <v>1</v>
      </c>
      <c r="P99" s="64">
        <f>SUMIF($G:$G,TEXT(P$3,"000")&amp;TEXT($L99,"000"),$E:$E)</f>
        <v>0</v>
      </c>
      <c r="Q99" s="64">
        <f t="shared" ref="Q99:Q102" si="263">SUMIF($G:$G,TEXT(Q$3,"000")&amp;TEXT($L99,"000"),$E:$E)</f>
        <v>0</v>
      </c>
      <c r="R99" s="64">
        <f t="shared" ref="R99:R100" si="264">IF(SUM(M99:Q99)&gt;0,0,1)</f>
        <v>0</v>
      </c>
      <c r="S99" s="337">
        <v>0</v>
      </c>
      <c r="T99" s="337">
        <v>0</v>
      </c>
      <c r="U99" s="337">
        <v>42.12</v>
      </c>
      <c r="V99" s="337">
        <v>0</v>
      </c>
      <c r="W99" s="337">
        <v>0</v>
      </c>
      <c r="Y99" s="65">
        <f t="shared" si="260"/>
        <v>0</v>
      </c>
      <c r="Z99" s="65">
        <f t="shared" si="260"/>
        <v>0</v>
      </c>
      <c r="AA99" s="65">
        <f t="shared" si="246"/>
        <v>42.12</v>
      </c>
      <c r="AB99" s="65">
        <f>IF(AND(P99&lt;&gt;0,V99=0),#VALUE!,P99*V99)</f>
        <v>0</v>
      </c>
      <c r="AC99" s="65">
        <f t="shared" si="247"/>
        <v>0</v>
      </c>
      <c r="AE99" s="64">
        <f t="shared" si="237"/>
        <v>0</v>
      </c>
      <c r="AF99" s="64">
        <f t="shared" si="237"/>
        <v>0</v>
      </c>
      <c r="AG99" s="64">
        <f t="shared" si="237"/>
        <v>1</v>
      </c>
      <c r="AH99" s="64">
        <f t="shared" si="237"/>
        <v>0</v>
      </c>
      <c r="AI99" s="64">
        <f t="shared" si="237"/>
        <v>0</v>
      </c>
      <c r="AK99" s="74">
        <f t="shared" si="249"/>
        <v>0</v>
      </c>
      <c r="AL99" s="74">
        <f>ROUND(T99*(1+AL$1),2)</f>
        <v>0</v>
      </c>
      <c r="AM99" s="74">
        <f t="shared" si="233"/>
        <v>47.62</v>
      </c>
      <c r="AN99" s="74">
        <f t="shared" si="232"/>
        <v>0</v>
      </c>
      <c r="AO99" s="74">
        <f t="shared" si="231"/>
        <v>0</v>
      </c>
      <c r="AQ99" s="65">
        <f t="shared" si="261"/>
        <v>0</v>
      </c>
      <c r="AR99" s="65">
        <f t="shared" si="261"/>
        <v>0</v>
      </c>
      <c r="AS99" s="65">
        <f t="shared" si="261"/>
        <v>47.62</v>
      </c>
      <c r="AT99" s="65">
        <f t="shared" si="261"/>
        <v>0</v>
      </c>
      <c r="AU99" s="65">
        <f t="shared" si="261"/>
        <v>0</v>
      </c>
      <c r="AV99" s="65">
        <f t="shared" si="250"/>
        <v>0</v>
      </c>
      <c r="AW99" s="306" t="e">
        <f t="shared" si="243"/>
        <v>#DIV/0!</v>
      </c>
      <c r="AX99" s="299">
        <v>338</v>
      </c>
      <c r="AY99" s="85"/>
      <c r="AZ99" s="85"/>
      <c r="BA99" s="85">
        <v>41.568345000000001</v>
      </c>
      <c r="BB99" s="85"/>
      <c r="BC99" s="85"/>
      <c r="BD99" s="85"/>
      <c r="BE99" s="327">
        <f>ROUND(AX99*$BE$2,2)+ROUND(AX99*$BE$1,2)</f>
        <v>0.75</v>
      </c>
      <c r="BF99" s="49"/>
      <c r="BG99" s="49"/>
      <c r="BH99" s="49">
        <f>ROUND((U99*$BF$2)+$BE99-BA99,2)</f>
        <v>1.94</v>
      </c>
      <c r="BI99" s="49"/>
      <c r="BJ99" s="49"/>
      <c r="BM99" s="214">
        <f t="shared" si="173"/>
        <v>0</v>
      </c>
      <c r="BN99" s="214">
        <f t="shared" si="173"/>
        <v>0</v>
      </c>
      <c r="BO99" s="214">
        <f t="shared" si="173"/>
        <v>48.339061999999991</v>
      </c>
      <c r="BP99" s="214">
        <f t="shared" si="173"/>
        <v>0</v>
      </c>
      <c r="BQ99" s="214">
        <f t="shared" si="175"/>
        <v>0</v>
      </c>
      <c r="BS99" s="49">
        <f t="shared" si="158"/>
        <v>0</v>
      </c>
      <c r="BT99" s="49">
        <f t="shared" si="238"/>
        <v>0</v>
      </c>
      <c r="BU99" s="49">
        <f t="shared" si="239"/>
        <v>6.7707169999999905</v>
      </c>
      <c r="BV99" s="49">
        <f t="shared" si="240"/>
        <v>0</v>
      </c>
      <c r="BW99" s="49">
        <f t="shared" si="241"/>
        <v>0</v>
      </c>
    </row>
    <row r="100" spans="2:75">
      <c r="C100" s="511"/>
      <c r="E100" s="512"/>
      <c r="F100" s="67"/>
      <c r="G100" s="67"/>
      <c r="H100" s="40"/>
      <c r="I100" t="s">
        <v>105</v>
      </c>
      <c r="J100" t="s">
        <v>125</v>
      </c>
      <c r="K100" s="68" t="s">
        <v>126</v>
      </c>
      <c r="L100" s="84">
        <v>935</v>
      </c>
      <c r="M100" s="64">
        <f>SUMIF($G:$G,TEXT(M$3,"000")&amp;TEXT($L100,"000"),$E:$E)</f>
        <v>0</v>
      </c>
      <c r="N100" s="64">
        <f t="shared" si="262"/>
        <v>0</v>
      </c>
      <c r="O100" s="64">
        <f t="shared" si="262"/>
        <v>0</v>
      </c>
      <c r="P100" s="64">
        <f t="shared" si="262"/>
        <v>0</v>
      </c>
      <c r="Q100" s="64">
        <f t="shared" si="263"/>
        <v>59</v>
      </c>
      <c r="R100" s="64">
        <f t="shared" si="264"/>
        <v>0</v>
      </c>
      <c r="S100" s="337">
        <v>0</v>
      </c>
      <c r="T100" s="337">
        <v>0</v>
      </c>
      <c r="U100" s="337">
        <v>0</v>
      </c>
      <c r="V100" s="337">
        <v>0</v>
      </c>
      <c r="W100" s="337">
        <v>7.57</v>
      </c>
      <c r="Y100" s="65">
        <f t="shared" si="260"/>
        <v>0</v>
      </c>
      <c r="Z100" s="65">
        <f t="shared" si="260"/>
        <v>0</v>
      </c>
      <c r="AA100" s="65">
        <f>IF(AND(O100&lt;&gt;0,U100=0),#VALUE!,O100*U100)</f>
        <v>0</v>
      </c>
      <c r="AB100" s="65">
        <f>IF(AND(P100&lt;&gt;0,V100=0),#VALUE!,P100*V100)</f>
        <v>0</v>
      </c>
      <c r="AC100" s="65">
        <f t="shared" si="247"/>
        <v>446.63</v>
      </c>
      <c r="AE100" s="64">
        <f t="shared" si="237"/>
        <v>0</v>
      </c>
      <c r="AF100" s="64">
        <f t="shared" si="237"/>
        <v>0</v>
      </c>
      <c r="AG100" s="64">
        <f t="shared" si="237"/>
        <v>0</v>
      </c>
      <c r="AH100" s="64">
        <f t="shared" si="237"/>
        <v>0</v>
      </c>
      <c r="AI100" s="64">
        <f t="shared" si="237"/>
        <v>59</v>
      </c>
      <c r="AK100" s="74">
        <f t="shared" si="249"/>
        <v>0</v>
      </c>
      <c r="AL100" s="74">
        <f>ROUND(T100*(1+AL$1),2)</f>
        <v>0</v>
      </c>
      <c r="AM100" s="74">
        <f t="shared" si="233"/>
        <v>0</v>
      </c>
      <c r="AN100" s="74">
        <f t="shared" si="232"/>
        <v>0</v>
      </c>
      <c r="AO100" s="74">
        <f t="shared" si="231"/>
        <v>8.56</v>
      </c>
      <c r="AQ100" s="65">
        <f t="shared" si="261"/>
        <v>0</v>
      </c>
      <c r="AR100" s="65">
        <f t="shared" si="261"/>
        <v>0</v>
      </c>
      <c r="AS100" s="65">
        <f t="shared" si="261"/>
        <v>0</v>
      </c>
      <c r="AT100" s="65">
        <f t="shared" si="261"/>
        <v>0</v>
      </c>
      <c r="AU100" s="65">
        <f t="shared" si="261"/>
        <v>505.04</v>
      </c>
      <c r="AV100" s="65">
        <f t="shared" si="250"/>
        <v>0</v>
      </c>
      <c r="AW100" s="306" t="e">
        <f t="shared" si="243"/>
        <v>#DIV/0!</v>
      </c>
      <c r="AX100" s="299">
        <v>62</v>
      </c>
      <c r="AY100" s="85"/>
      <c r="AZ100" s="85"/>
      <c r="BA100" s="85"/>
      <c r="BB100" s="85"/>
      <c r="BC100" s="85">
        <v>7.4711359999999996</v>
      </c>
      <c r="BD100" s="85"/>
      <c r="BE100" s="327">
        <f>ROUND(AX100*$BE$2,2)+ROUND(AX100*$BE$1,2)</f>
        <v>0.13</v>
      </c>
      <c r="BF100" s="49"/>
      <c r="BG100" s="49"/>
      <c r="BH100" s="49"/>
      <c r="BI100" s="49"/>
      <c r="BJ100" s="49">
        <f>ROUND((W100*$BF$2)+$BE100-BC100,2)</f>
        <v>0.34</v>
      </c>
      <c r="BM100" s="214">
        <f t="shared" si="173"/>
        <v>0</v>
      </c>
      <c r="BN100" s="214">
        <f t="shared" si="173"/>
        <v>0</v>
      </c>
      <c r="BO100" s="214">
        <f t="shared" si="173"/>
        <v>0</v>
      </c>
      <c r="BP100" s="214">
        <f t="shared" si="173"/>
        <v>0</v>
      </c>
      <c r="BQ100" s="214">
        <f t="shared" si="175"/>
        <v>8.6892560000000003</v>
      </c>
      <c r="BS100" s="49">
        <f t="shared" si="158"/>
        <v>0</v>
      </c>
      <c r="BT100" s="49">
        <f t="shared" si="238"/>
        <v>0</v>
      </c>
      <c r="BU100" s="49">
        <f t="shared" si="239"/>
        <v>0</v>
      </c>
      <c r="BV100" s="49">
        <f t="shared" si="240"/>
        <v>0</v>
      </c>
      <c r="BW100" s="49">
        <f t="shared" si="241"/>
        <v>1.2181200000000008</v>
      </c>
    </row>
    <row r="101" spans="2:75">
      <c r="B101" s="32">
        <v>2</v>
      </c>
      <c r="C101" s="511" t="s">
        <v>99</v>
      </c>
      <c r="D101" s="32">
        <v>419</v>
      </c>
      <c r="E101" s="512">
        <v>16</v>
      </c>
      <c r="F101" s="67"/>
      <c r="G101" s="67" t="str">
        <f t="shared" si="259"/>
        <v>045419</v>
      </c>
      <c r="H101" s="40"/>
      <c r="I101" t="s">
        <v>606</v>
      </c>
      <c r="J101" t="s">
        <v>679</v>
      </c>
      <c r="K101" s="641" t="s">
        <v>124</v>
      </c>
      <c r="L101" s="84" t="s">
        <v>809</v>
      </c>
      <c r="M101" s="64"/>
      <c r="N101" s="64">
        <f t="shared" si="262"/>
        <v>4</v>
      </c>
      <c r="O101" s="64">
        <f t="shared" si="262"/>
        <v>0</v>
      </c>
      <c r="P101" s="64">
        <f t="shared" si="262"/>
        <v>0</v>
      </c>
      <c r="Q101" s="64">
        <f t="shared" si="263"/>
        <v>0</v>
      </c>
      <c r="R101" s="64"/>
      <c r="S101" s="337"/>
      <c r="T101" s="349">
        <f>T79+T95-T69</f>
        <v>41.31</v>
      </c>
      <c r="U101" s="337"/>
      <c r="V101" s="337"/>
      <c r="W101" s="337"/>
      <c r="Y101" s="65"/>
      <c r="Z101" s="65">
        <f>IF(AND(N101&lt;&gt;0,T101=0),#VALUE!,N101*T101)</f>
        <v>165.24</v>
      </c>
      <c r="AA101" s="65"/>
      <c r="AB101" s="65"/>
      <c r="AC101" s="65"/>
      <c r="AE101" s="64">
        <f t="shared" si="237"/>
        <v>0</v>
      </c>
      <c r="AF101" s="64">
        <f t="shared" si="237"/>
        <v>4</v>
      </c>
      <c r="AG101" s="64">
        <f t="shared" si="237"/>
        <v>0</v>
      </c>
      <c r="AH101" s="64">
        <f t="shared" si="237"/>
        <v>0</v>
      </c>
      <c r="AI101" s="64">
        <f t="shared" si="237"/>
        <v>0</v>
      </c>
      <c r="AK101" s="74"/>
      <c r="AL101" s="74">
        <f>ROUND(T101*(1+AL$1),2)</f>
        <v>46.34</v>
      </c>
      <c r="AM101" s="74"/>
      <c r="AN101" s="74"/>
      <c r="AO101" s="74"/>
      <c r="AQ101" s="65">
        <f t="shared" ref="AQ101" si="265">IF(AND(AE101&lt;&gt;0,AK101=0),#VALUE!,AE101*AK101)</f>
        <v>0</v>
      </c>
      <c r="AR101" s="65">
        <f t="shared" ref="AR101" si="266">IF(AND(AF101&lt;&gt;0,AL101=0),#VALUE!,AF101*AL101)</f>
        <v>185.36</v>
      </c>
      <c r="AS101" s="65">
        <f t="shared" ref="AS101" si="267">IF(AND(AG101&lt;&gt;0,AM101=0),#VALUE!,AG101*AM101)</f>
        <v>0</v>
      </c>
      <c r="AT101" s="65">
        <f t="shared" ref="AT101" si="268">IF(AND(AH101&lt;&gt;0,AN101=0),#VALUE!,AH101*AN101)</f>
        <v>0</v>
      </c>
      <c r="AU101" s="65">
        <f t="shared" ref="AU101" si="269">IF(AND(AI101&lt;&gt;0,AO101=0),#VALUE!,AI101*AO101)</f>
        <v>0</v>
      </c>
      <c r="AV101" s="65"/>
      <c r="AW101" s="306"/>
      <c r="AX101" s="299"/>
      <c r="AY101" s="85"/>
      <c r="AZ101" s="85"/>
      <c r="BA101" s="85"/>
      <c r="BB101" s="85"/>
      <c r="BC101" s="85"/>
      <c r="BD101" s="85"/>
      <c r="BE101" s="327"/>
      <c r="BF101" s="49"/>
      <c r="BG101" s="49"/>
      <c r="BH101" s="49"/>
      <c r="BI101" s="49"/>
      <c r="BJ101" s="49"/>
      <c r="BM101" s="214"/>
      <c r="BN101" s="214">
        <f t="shared" si="173"/>
        <v>47.039733999999996</v>
      </c>
      <c r="BO101" s="214"/>
      <c r="BP101" s="214"/>
      <c r="BQ101" s="214"/>
      <c r="BS101" s="49"/>
      <c r="BT101" s="49">
        <f t="shared" si="238"/>
        <v>47.039733999999996</v>
      </c>
      <c r="BU101" s="49"/>
      <c r="BV101" s="49"/>
      <c r="BW101" s="49"/>
    </row>
    <row r="102" spans="2:75">
      <c r="B102" s="32">
        <v>2</v>
      </c>
      <c r="C102" s="511" t="s">
        <v>99</v>
      </c>
      <c r="D102" s="32">
        <v>515</v>
      </c>
      <c r="E102" s="512">
        <v>1</v>
      </c>
      <c r="F102" s="67"/>
      <c r="G102" s="67" t="str">
        <f t="shared" si="259"/>
        <v>045515</v>
      </c>
      <c r="H102" s="40"/>
      <c r="I102" t="s">
        <v>598</v>
      </c>
      <c r="K102" s="68" t="s">
        <v>109</v>
      </c>
      <c r="L102" s="84"/>
      <c r="M102" s="64"/>
      <c r="N102" s="64">
        <f t="shared" si="262"/>
        <v>0</v>
      </c>
      <c r="O102" s="64">
        <f t="shared" si="262"/>
        <v>0</v>
      </c>
      <c r="P102" s="64">
        <f t="shared" si="262"/>
        <v>0</v>
      </c>
      <c r="Q102" s="64">
        <f t="shared" si="263"/>
        <v>0</v>
      </c>
      <c r="R102" s="64"/>
      <c r="S102" s="337"/>
      <c r="T102" s="337">
        <v>4.92</v>
      </c>
      <c r="V102" s="337"/>
      <c r="W102" s="337"/>
      <c r="Y102" s="65"/>
      <c r="Z102" s="65"/>
      <c r="AA102" s="65"/>
      <c r="AB102" s="65"/>
      <c r="AC102" s="65"/>
      <c r="AE102" s="64"/>
      <c r="AF102" s="64">
        <f t="shared" ref="AF102:AI103" si="270">SUMIF($G:$G,TEXT(AF$3,"000")&amp;TEXT($L102,"000"),$E:$E)</f>
        <v>0</v>
      </c>
      <c r="AG102" s="64">
        <f t="shared" si="270"/>
        <v>0</v>
      </c>
      <c r="AH102" s="64">
        <f t="shared" si="270"/>
        <v>0</v>
      </c>
      <c r="AI102" s="64">
        <f t="shared" si="270"/>
        <v>0</v>
      </c>
      <c r="AK102" s="74"/>
      <c r="AL102" s="74">
        <f>ROUND(T102,2)</f>
        <v>4.92</v>
      </c>
      <c r="AM102" s="74">
        <f t="shared" si="233"/>
        <v>0</v>
      </c>
      <c r="AN102" s="74">
        <f t="shared" si="232"/>
        <v>0</v>
      </c>
      <c r="AO102" s="74">
        <f t="shared" si="231"/>
        <v>0</v>
      </c>
      <c r="AQ102" s="65">
        <f>IF(AND(AE102&lt;&gt;0,AK102=0),#VALUE!,AE102*AK102)</f>
        <v>0</v>
      </c>
      <c r="AR102" s="65"/>
      <c r="AS102" s="65"/>
      <c r="AT102" s="65"/>
      <c r="AU102" s="65"/>
      <c r="AV102" s="65"/>
      <c r="AW102" s="65"/>
      <c r="AX102" s="299"/>
      <c r="AY102" s="85"/>
      <c r="AZ102" s="85"/>
      <c r="BA102" s="85">
        <v>5.3089729999999999</v>
      </c>
      <c r="BB102" s="85"/>
      <c r="BC102" s="85"/>
      <c r="BD102" s="85"/>
      <c r="BE102" s="327"/>
      <c r="BF102" s="49"/>
      <c r="BG102" s="49"/>
      <c r="BH102" s="49"/>
      <c r="BI102" s="49"/>
      <c r="BJ102" s="49"/>
      <c r="BM102" s="214">
        <f t="shared" si="173"/>
        <v>0</v>
      </c>
      <c r="BN102" s="214">
        <f t="shared" si="173"/>
        <v>4.9942919999999997</v>
      </c>
      <c r="BO102" s="214">
        <f t="shared" si="173"/>
        <v>0</v>
      </c>
      <c r="BP102" s="214">
        <f t="shared" si="173"/>
        <v>0</v>
      </c>
      <c r="BQ102" s="214">
        <f t="shared" si="175"/>
        <v>0</v>
      </c>
      <c r="BS102" s="49">
        <f t="shared" si="158"/>
        <v>0</v>
      </c>
      <c r="BT102" s="49">
        <f t="shared" si="238"/>
        <v>4.9942919999999997</v>
      </c>
      <c r="BU102" s="49">
        <f t="shared" si="239"/>
        <v>-5.3089729999999999</v>
      </c>
      <c r="BV102" s="49">
        <f t="shared" si="240"/>
        <v>0</v>
      </c>
      <c r="BW102" s="49">
        <f t="shared" si="241"/>
        <v>0</v>
      </c>
    </row>
    <row r="103" spans="2:75">
      <c r="B103" s="32">
        <v>2</v>
      </c>
      <c r="C103" s="511" t="s">
        <v>99</v>
      </c>
      <c r="D103" s="32">
        <v>615</v>
      </c>
      <c r="E103" s="512">
        <v>81</v>
      </c>
      <c r="F103" s="67"/>
      <c r="G103" s="67" t="str">
        <f t="shared" si="259"/>
        <v>045615</v>
      </c>
      <c r="H103" s="40"/>
      <c r="I103" t="s">
        <v>598</v>
      </c>
      <c r="K103" s="68" t="s">
        <v>517</v>
      </c>
      <c r="L103" s="84"/>
      <c r="M103" s="64"/>
      <c r="N103" s="64">
        <f t="shared" si="262"/>
        <v>0</v>
      </c>
      <c r="O103" s="64"/>
      <c r="P103" s="64"/>
      <c r="Q103" s="64"/>
      <c r="R103" s="64"/>
      <c r="S103" s="337"/>
      <c r="T103" s="337">
        <v>5.21</v>
      </c>
      <c r="V103" s="337"/>
      <c r="W103" s="337"/>
      <c r="Y103" s="65"/>
      <c r="Z103" s="65"/>
      <c r="AA103" s="65"/>
      <c r="AB103" s="65"/>
      <c r="AC103" s="65"/>
      <c r="AE103" s="64"/>
      <c r="AF103" s="64">
        <f t="shared" si="270"/>
        <v>0</v>
      </c>
      <c r="AG103" s="64">
        <f t="shared" si="270"/>
        <v>0</v>
      </c>
      <c r="AH103" s="64">
        <f t="shared" si="270"/>
        <v>0</v>
      </c>
      <c r="AI103" s="64">
        <f t="shared" si="270"/>
        <v>0</v>
      </c>
      <c r="AK103" s="74"/>
      <c r="AL103" s="74">
        <f>ROUND(T103,2)</f>
        <v>5.21</v>
      </c>
      <c r="AM103" s="74">
        <f t="shared" si="233"/>
        <v>0</v>
      </c>
      <c r="AN103" s="74">
        <f t="shared" si="232"/>
        <v>0</v>
      </c>
      <c r="AO103" s="74">
        <f t="shared" si="231"/>
        <v>0</v>
      </c>
      <c r="AQ103" s="65">
        <f>IF(AND(AE103&lt;&gt;0,AK103=0),#VALUE!,AE103*AK103)</f>
        <v>0</v>
      </c>
      <c r="AR103" s="65"/>
      <c r="AS103" s="65"/>
      <c r="AT103" s="65"/>
      <c r="AU103" s="65"/>
      <c r="AV103" s="65"/>
      <c r="AW103" s="65"/>
      <c r="AX103" s="299"/>
      <c r="AY103" s="85"/>
      <c r="AZ103" s="85"/>
      <c r="BA103" s="85">
        <v>5.6135029999999997</v>
      </c>
      <c r="BB103" s="85"/>
      <c r="BC103" s="85"/>
      <c r="BD103" s="85"/>
      <c r="BE103" s="327"/>
      <c r="BF103" s="49"/>
      <c r="BG103" s="49"/>
      <c r="BH103" s="49"/>
      <c r="BI103" s="49"/>
      <c r="BJ103" s="49"/>
      <c r="BM103" s="214">
        <f t="shared" si="173"/>
        <v>0</v>
      </c>
      <c r="BN103" s="214">
        <f t="shared" si="173"/>
        <v>5.288670999999999</v>
      </c>
      <c r="BO103" s="214">
        <f t="shared" si="173"/>
        <v>0</v>
      </c>
      <c r="BP103" s="214">
        <f t="shared" si="173"/>
        <v>0</v>
      </c>
      <c r="BQ103" s="214">
        <f t="shared" si="175"/>
        <v>0</v>
      </c>
      <c r="BS103" s="49">
        <f t="shared" si="158"/>
        <v>0</v>
      </c>
      <c r="BT103" s="49">
        <f t="shared" si="238"/>
        <v>5.288670999999999</v>
      </c>
      <c r="BU103" s="49">
        <f t="shared" si="239"/>
        <v>-5.6135029999999997</v>
      </c>
      <c r="BV103" s="49">
        <f t="shared" si="240"/>
        <v>0</v>
      </c>
      <c r="BW103" s="49">
        <f t="shared" si="241"/>
        <v>0</v>
      </c>
    </row>
    <row r="104" spans="2:75">
      <c r="B104" s="32">
        <v>2</v>
      </c>
      <c r="C104" s="511" t="s">
        <v>99</v>
      </c>
      <c r="D104" s="32">
        <v>618</v>
      </c>
      <c r="E104" s="512">
        <v>81</v>
      </c>
      <c r="F104" s="67"/>
      <c r="G104" s="67" t="str">
        <f t="shared" si="259"/>
        <v>045618</v>
      </c>
      <c r="H104" s="40"/>
      <c r="I104" t="s">
        <v>598</v>
      </c>
      <c r="K104" s="54" t="s">
        <v>535</v>
      </c>
      <c r="R104" s="64"/>
      <c r="S104" s="337">
        <v>0</v>
      </c>
      <c r="T104" s="337">
        <v>7.46</v>
      </c>
      <c r="V104" s="337">
        <v>0</v>
      </c>
      <c r="W104" s="337">
        <v>0</v>
      </c>
      <c r="Y104" s="65"/>
      <c r="Z104" s="65"/>
      <c r="AA104" s="65"/>
      <c r="AB104" s="65"/>
      <c r="AC104" s="65"/>
      <c r="AG104" s="64">
        <f>SUMIF($G:$G,TEXT(AG$3,"000")&amp;TEXT($L104,"000"),$E:$E)</f>
        <v>0</v>
      </c>
      <c r="AH104" s="64">
        <f>SUMIF($G:$G,TEXT(AH$3,"000")&amp;TEXT($L104,"000"),$E:$E)</f>
        <v>0</v>
      </c>
      <c r="AI104" s="64">
        <f>SUMIF($G:$G,TEXT(AI$3,"000")&amp;TEXT($L104,"000"),$E:$E)</f>
        <v>0</v>
      </c>
      <c r="AK104" s="74">
        <f>ROUND(S104*(1+AK$1),2)</f>
        <v>0</v>
      </c>
      <c r="AL104" s="74">
        <f>ROUND(T104,2)</f>
        <v>7.46</v>
      </c>
      <c r="AM104" s="74">
        <f t="shared" si="233"/>
        <v>0</v>
      </c>
      <c r="AN104" s="74">
        <f t="shared" si="232"/>
        <v>0</v>
      </c>
      <c r="AO104" s="74">
        <f t="shared" si="231"/>
        <v>0</v>
      </c>
      <c r="AQ104" s="65"/>
      <c r="AR104" s="65"/>
      <c r="AS104" s="65"/>
      <c r="AT104" s="65"/>
      <c r="AU104" s="65"/>
      <c r="AV104" s="65">
        <f>SUM(AQ104:AU104)-SUM(Y104:AC104)</f>
        <v>0</v>
      </c>
      <c r="AW104" s="65"/>
      <c r="AX104" s="299"/>
      <c r="AY104" s="85"/>
      <c r="AZ104" s="85"/>
      <c r="BA104" s="85">
        <v>8.039591999999999</v>
      </c>
      <c r="BB104" s="85"/>
      <c r="BC104" s="85"/>
      <c r="BD104" s="85"/>
      <c r="BE104" s="327"/>
      <c r="BF104" s="49"/>
      <c r="BG104" s="49"/>
      <c r="BH104" s="49"/>
      <c r="BI104" s="49"/>
      <c r="BJ104" s="49"/>
      <c r="BM104" s="214">
        <f t="shared" si="173"/>
        <v>0</v>
      </c>
      <c r="BN104" s="214">
        <f t="shared" si="173"/>
        <v>7.5726459999999989</v>
      </c>
      <c r="BO104" s="214">
        <f t="shared" si="173"/>
        <v>0</v>
      </c>
      <c r="BP104" s="214">
        <f t="shared" si="173"/>
        <v>0</v>
      </c>
      <c r="BQ104" s="214">
        <f t="shared" si="175"/>
        <v>0</v>
      </c>
      <c r="BS104" s="49">
        <f t="shared" si="158"/>
        <v>0</v>
      </c>
      <c r="BT104" s="49">
        <f>BN104-AZ104</f>
        <v>7.5726459999999989</v>
      </c>
      <c r="BU104" s="49">
        <f t="shared" si="239"/>
        <v>-8.039591999999999</v>
      </c>
      <c r="BV104" s="49">
        <f t="shared" si="240"/>
        <v>0</v>
      </c>
      <c r="BW104" s="49">
        <f t="shared" si="241"/>
        <v>0</v>
      </c>
    </row>
    <row r="105" spans="2:75">
      <c r="B105" s="32">
        <v>2</v>
      </c>
      <c r="C105" s="511" t="s">
        <v>99</v>
      </c>
      <c r="D105" s="32">
        <v>715</v>
      </c>
      <c r="E105" s="512">
        <v>3</v>
      </c>
      <c r="F105" s="67"/>
      <c r="G105" s="67" t="str">
        <f t="shared" si="259"/>
        <v>045715</v>
      </c>
      <c r="H105" s="40"/>
      <c r="K105" s="54" t="s">
        <v>64</v>
      </c>
      <c r="M105" s="69">
        <f>SUM(M4:M104)</f>
        <v>0</v>
      </c>
      <c r="N105" s="69">
        <f>SUM(N4:N104)</f>
        <v>22777</v>
      </c>
      <c r="O105" s="69">
        <f>SUM(O4:O104)</f>
        <v>152</v>
      </c>
      <c r="P105" s="69">
        <f>SUM(P4:P104)</f>
        <v>243</v>
      </c>
      <c r="Q105" s="69">
        <f>SUM(Q4:Q104)</f>
        <v>914</v>
      </c>
      <c r="S105" s="337">
        <v>0</v>
      </c>
      <c r="T105" s="337">
        <v>0</v>
      </c>
      <c r="U105" s="337">
        <v>0</v>
      </c>
      <c r="V105" s="337">
        <v>0</v>
      </c>
      <c r="W105" s="337">
        <v>0</v>
      </c>
      <c r="Y105" s="70">
        <f>ROUND(SUM(Y4:Y104),2)</f>
        <v>0</v>
      </c>
      <c r="Z105" s="70">
        <f>ROUND(SUM(Z4:Z104),2)</f>
        <v>391926.8</v>
      </c>
      <c r="AA105" s="70">
        <f>ROUND(SUM(AA4:AA104),2)</f>
        <v>2025.25</v>
      </c>
      <c r="AB105" s="70">
        <f>ROUND(SUM(AB4:AB104),2)</f>
        <v>2752.95</v>
      </c>
      <c r="AC105" s="70">
        <f>ROUND(SUM(AC4:AC104),2)</f>
        <v>7968.69</v>
      </c>
      <c r="AE105" s="69">
        <f>SUM(AE4:AE104)</f>
        <v>0</v>
      </c>
      <c r="AF105" s="69">
        <f>SUM(AF4:AF104)</f>
        <v>22777</v>
      </c>
      <c r="AG105" s="69">
        <f>SUM(AG4:AG104)</f>
        <v>152</v>
      </c>
      <c r="AH105" s="69">
        <f>SUM(AH4:AH104)</f>
        <v>243</v>
      </c>
      <c r="AI105" s="69">
        <f>SUM(AI4:AI104)</f>
        <v>914</v>
      </c>
      <c r="AK105" s="74">
        <f>ROUND(S105*(1+AK$1),2)</f>
        <v>0</v>
      </c>
      <c r="AL105" s="74">
        <f t="shared" ref="AL105:AO110" si="271">ROUND(T105*(1+AL$1),2)</f>
        <v>0</v>
      </c>
      <c r="AM105" s="74">
        <f t="shared" si="271"/>
        <v>0</v>
      </c>
      <c r="AN105" s="74">
        <f t="shared" si="271"/>
        <v>0</v>
      </c>
      <c r="AO105" s="74">
        <f t="shared" si="271"/>
        <v>0</v>
      </c>
      <c r="AQ105" s="70">
        <f>ROUND(SUM(AQ4:AQ104),2)</f>
        <v>0</v>
      </c>
      <c r="AR105" s="70">
        <f>ROUND(SUM(AR4:AR104),2)</f>
        <v>443138.36</v>
      </c>
      <c r="AS105" s="70">
        <f>ROUND(SUM(AS4:AS104),2)</f>
        <v>2289.29</v>
      </c>
      <c r="AT105" s="70">
        <f>ROUND(SUM(AT4:AT104),2)</f>
        <v>3112.02</v>
      </c>
      <c r="AU105" s="70">
        <f>ROUND(SUM(AU4:AU104),2)</f>
        <v>9008.23</v>
      </c>
      <c r="AX105" s="299"/>
      <c r="AY105" s="85"/>
      <c r="AZ105" s="85"/>
      <c r="BA105" s="85"/>
      <c r="BB105" s="85"/>
      <c r="BC105" s="85"/>
      <c r="BD105" s="85"/>
      <c r="BE105" s="327"/>
      <c r="BF105" s="49"/>
      <c r="BG105" s="49"/>
      <c r="BH105" s="49"/>
      <c r="BI105" s="49"/>
      <c r="BJ105" s="49"/>
      <c r="BM105" s="214">
        <f t="shared" ref="BM105:BM110" si="272">AK105*$BM$1</f>
        <v>0</v>
      </c>
      <c r="BN105" s="214">
        <f t="shared" ref="BN105:BN110" si="273">AL105*$BM$1</f>
        <v>0</v>
      </c>
      <c r="BO105" s="214">
        <f t="shared" ref="BO105:BQ110" si="274">AM105*$BM$1</f>
        <v>0</v>
      </c>
      <c r="BP105" s="214">
        <f t="shared" si="274"/>
        <v>0</v>
      </c>
      <c r="BQ105" s="214">
        <f t="shared" si="274"/>
        <v>0</v>
      </c>
      <c r="BS105" s="49"/>
      <c r="BT105" s="49"/>
      <c r="BU105" s="49"/>
      <c r="BV105" s="49"/>
      <c r="BW105" s="49"/>
    </row>
    <row r="106" spans="2:75" ht="18">
      <c r="E106" s="645">
        <f>SUM(E99:E105)</f>
        <v>243</v>
      </c>
      <c r="F106" s="67"/>
      <c r="G106" s="67" t="str">
        <f t="shared" si="259"/>
        <v/>
      </c>
      <c r="I106" s="370" t="s">
        <v>712</v>
      </c>
      <c r="Q106" s="64">
        <f>SUM(M105:Q105)</f>
        <v>24086</v>
      </c>
      <c r="S106" s="337">
        <v>0</v>
      </c>
      <c r="T106" s="337">
        <v>0</v>
      </c>
      <c r="U106" s="337">
        <v>0</v>
      </c>
      <c r="V106" s="337">
        <v>0</v>
      </c>
      <c r="W106" s="337">
        <v>0</v>
      </c>
      <c r="Y106" s="71">
        <v>0</v>
      </c>
      <c r="Z106" s="71"/>
      <c r="AA106" s="71"/>
      <c r="AB106" s="71"/>
      <c r="AC106" s="71"/>
      <c r="AD106" s="359"/>
      <c r="AI106" s="64">
        <f>SUM(AE105:AI105)</f>
        <v>24086</v>
      </c>
      <c r="AK106" s="74">
        <f>ROUND(S106*(1+AK$1),2)</f>
        <v>0</v>
      </c>
      <c r="AL106" s="74">
        <f t="shared" si="271"/>
        <v>0</v>
      </c>
      <c r="AM106" s="74">
        <f t="shared" si="271"/>
        <v>0</v>
      </c>
      <c r="AN106" s="74">
        <f t="shared" si="271"/>
        <v>0</v>
      </c>
      <c r="AO106" s="74">
        <f t="shared" si="271"/>
        <v>0</v>
      </c>
      <c r="AQ106" s="65"/>
      <c r="AR106" s="65"/>
      <c r="AS106" s="65"/>
      <c r="AT106" s="65"/>
      <c r="AU106" s="71">
        <f>SUM(AQ105:AU105)</f>
        <v>457547.89999999997</v>
      </c>
      <c r="AX106" s="299"/>
      <c r="AY106" s="85"/>
      <c r="AZ106" s="85"/>
      <c r="BA106" s="85"/>
      <c r="BB106" s="85"/>
      <c r="BC106" s="85"/>
      <c r="BD106" s="85"/>
      <c r="BE106" s="327"/>
      <c r="BF106" s="49"/>
      <c r="BG106" s="49"/>
      <c r="BH106" s="49"/>
      <c r="BI106" s="49"/>
      <c r="BJ106" s="49"/>
      <c r="BM106" s="214">
        <f t="shared" si="272"/>
        <v>0</v>
      </c>
      <c r="BN106" s="214">
        <f t="shared" si="273"/>
        <v>0</v>
      </c>
      <c r="BO106" s="214">
        <f t="shared" si="274"/>
        <v>0</v>
      </c>
      <c r="BP106" s="214">
        <f t="shared" si="274"/>
        <v>0</v>
      </c>
      <c r="BQ106" s="214">
        <f t="shared" si="274"/>
        <v>0</v>
      </c>
      <c r="BS106" s="49"/>
      <c r="BT106" s="49"/>
      <c r="BU106" s="49"/>
      <c r="BV106" s="49"/>
      <c r="BW106" s="49"/>
    </row>
    <row r="107" spans="2:75" ht="13">
      <c r="G107" s="67" t="str">
        <f t="shared" si="259"/>
        <v/>
      </c>
      <c r="I107" s="331"/>
      <c r="Q107" s="67">
        <f>ROUND(Q106-E143,0)</f>
        <v>0</v>
      </c>
      <c r="S107" s="337">
        <v>0</v>
      </c>
      <c r="T107" s="337">
        <v>0</v>
      </c>
      <c r="U107" s="337">
        <v>0</v>
      </c>
      <c r="V107" s="337">
        <v>0</v>
      </c>
      <c r="W107" s="337">
        <v>0</v>
      </c>
      <c r="X107" s="97"/>
      <c r="Y107" s="65"/>
      <c r="Z107" s="65"/>
      <c r="AA107" s="65"/>
      <c r="AB107" s="65"/>
      <c r="AC107" s="71">
        <f>SUM(Y105:AC105)</f>
        <v>404673.69</v>
      </c>
      <c r="AI107" s="67">
        <f>AI106-Q106</f>
        <v>0</v>
      </c>
      <c r="AL107" s="74">
        <f t="shared" si="271"/>
        <v>0</v>
      </c>
      <c r="AM107" s="74">
        <f t="shared" si="271"/>
        <v>0</v>
      </c>
      <c r="AN107" s="74">
        <f t="shared" si="271"/>
        <v>0</v>
      </c>
      <c r="AO107" s="74">
        <f t="shared" si="271"/>
        <v>0</v>
      </c>
      <c r="AU107" s="76">
        <f>AU106/AC107-1</f>
        <v>0.13065887727961756</v>
      </c>
      <c r="AX107" s="299"/>
      <c r="AY107" s="85"/>
      <c r="AZ107" s="85"/>
      <c r="BA107" s="85"/>
      <c r="BB107" s="85"/>
      <c r="BC107" s="85"/>
      <c r="BD107" s="85"/>
      <c r="BE107" s="327"/>
      <c r="BF107" s="49"/>
      <c r="BG107" s="49"/>
      <c r="BH107" s="49"/>
      <c r="BI107" s="49"/>
      <c r="BJ107" s="49"/>
      <c r="BM107" s="214">
        <f>X107*$BM$1</f>
        <v>0</v>
      </c>
      <c r="BN107" s="214">
        <f t="shared" si="273"/>
        <v>0</v>
      </c>
      <c r="BO107" s="214">
        <f t="shared" si="274"/>
        <v>0</v>
      </c>
      <c r="BP107" s="214">
        <f t="shared" si="274"/>
        <v>0</v>
      </c>
      <c r="BQ107" s="214">
        <f t="shared" si="274"/>
        <v>0</v>
      </c>
      <c r="BS107" s="49"/>
      <c r="BT107" s="49"/>
      <c r="BU107" s="49"/>
      <c r="BV107" s="49"/>
      <c r="BW107" s="49"/>
    </row>
    <row r="108" spans="2:75">
      <c r="B108" s="32">
        <v>2</v>
      </c>
      <c r="C108" s="511" t="s">
        <v>100</v>
      </c>
      <c r="D108" s="180" t="s">
        <v>686</v>
      </c>
      <c r="E108" s="512">
        <v>2</v>
      </c>
      <c r="F108" s="67"/>
      <c r="G108" s="67" t="str">
        <f t="shared" si="259"/>
        <v>046005L</v>
      </c>
      <c r="S108" s="337"/>
      <c r="T108" s="337"/>
      <c r="U108" s="337"/>
      <c r="V108" s="337"/>
      <c r="W108" s="337"/>
      <c r="Y108" s="86"/>
      <c r="Z108" s="86"/>
      <c r="AA108" s="86"/>
      <c r="AB108" s="86"/>
      <c r="AC108" s="86"/>
      <c r="AK108" s="74">
        <f>ROUND(S108*(1+AK$1),2)</f>
        <v>0</v>
      </c>
      <c r="AL108" s="74">
        <f t="shared" si="271"/>
        <v>0</v>
      </c>
      <c r="AM108" s="74">
        <f t="shared" si="271"/>
        <v>0</v>
      </c>
      <c r="AN108" s="74">
        <f t="shared" si="271"/>
        <v>0</v>
      </c>
      <c r="AO108" s="74">
        <f t="shared" si="271"/>
        <v>0</v>
      </c>
      <c r="AX108" s="299"/>
      <c r="AY108" s="85"/>
      <c r="AZ108" s="85"/>
      <c r="BA108" s="85"/>
      <c r="BB108" s="85"/>
      <c r="BC108" s="85"/>
      <c r="BD108" s="85"/>
      <c r="BE108" s="327"/>
      <c r="BF108" s="49"/>
      <c r="BG108" s="49"/>
      <c r="BH108" s="49"/>
      <c r="BI108" s="49"/>
      <c r="BJ108" s="49"/>
      <c r="BM108" s="214">
        <f t="shared" si="272"/>
        <v>0</v>
      </c>
      <c r="BN108" s="214">
        <f t="shared" si="273"/>
        <v>0</v>
      </c>
      <c r="BO108" s="214">
        <f t="shared" si="274"/>
        <v>0</v>
      </c>
      <c r="BP108" s="214">
        <f t="shared" si="274"/>
        <v>0</v>
      </c>
      <c r="BQ108" s="214">
        <f t="shared" si="274"/>
        <v>0</v>
      </c>
      <c r="BS108" s="49"/>
      <c r="BT108" s="49"/>
      <c r="BU108" s="49"/>
      <c r="BV108" s="49"/>
      <c r="BW108" s="49"/>
    </row>
    <row r="109" spans="2:75">
      <c r="B109" s="32">
        <v>2</v>
      </c>
      <c r="C109" s="511" t="s">
        <v>100</v>
      </c>
      <c r="D109" s="180" t="s">
        <v>687</v>
      </c>
      <c r="E109" s="512">
        <v>42</v>
      </c>
      <c r="F109" s="67"/>
      <c r="G109" s="67" t="str">
        <f t="shared" si="259"/>
        <v>046015L</v>
      </c>
      <c r="I109" s="72" t="s">
        <v>127</v>
      </c>
      <c r="S109" s="337">
        <v>0</v>
      </c>
      <c r="T109" s="337">
        <v>0</v>
      </c>
      <c r="U109" s="337">
        <v>0</v>
      </c>
      <c r="V109" s="337">
        <v>0</v>
      </c>
      <c r="W109" s="337">
        <v>0</v>
      </c>
      <c r="Y109" s="70">
        <f>Y105-Y106</f>
        <v>0</v>
      </c>
      <c r="Z109" s="70">
        <f t="shared" ref="Z109:AB109" si="275">Z105-Z106</f>
        <v>391926.8</v>
      </c>
      <c r="AA109" s="70">
        <f t="shared" si="275"/>
        <v>2025.25</v>
      </c>
      <c r="AB109" s="70">
        <f t="shared" si="275"/>
        <v>2752.95</v>
      </c>
      <c r="AC109" s="70">
        <f>AC105-AC106</f>
        <v>7968.69</v>
      </c>
      <c r="AK109" s="74">
        <f>ROUND(S109*(1+AK$1),2)</f>
        <v>0</v>
      </c>
      <c r="AL109" s="74">
        <f t="shared" si="271"/>
        <v>0</v>
      </c>
      <c r="AM109" s="74">
        <f t="shared" si="271"/>
        <v>0</v>
      </c>
      <c r="AN109" s="74">
        <f t="shared" si="271"/>
        <v>0</v>
      </c>
      <c r="AO109" s="74">
        <f t="shared" si="271"/>
        <v>0</v>
      </c>
      <c r="AX109" s="299"/>
      <c r="AY109" s="85"/>
      <c r="AZ109" s="85"/>
      <c r="BA109" s="85"/>
      <c r="BB109" s="85"/>
      <c r="BC109" s="85"/>
      <c r="BD109" s="85"/>
      <c r="BE109" s="327"/>
      <c r="BF109" s="49"/>
      <c r="BG109" s="49"/>
      <c r="BH109" s="49"/>
      <c r="BI109" s="49"/>
      <c r="BJ109" s="49"/>
      <c r="BM109" s="214">
        <f t="shared" si="272"/>
        <v>0</v>
      </c>
      <c r="BN109" s="214">
        <f t="shared" si="273"/>
        <v>0</v>
      </c>
      <c r="BO109" s="214">
        <f t="shared" si="274"/>
        <v>0</v>
      </c>
      <c r="BP109" s="214">
        <f t="shared" si="274"/>
        <v>0</v>
      </c>
      <c r="BQ109" s="214">
        <f t="shared" si="274"/>
        <v>0</v>
      </c>
      <c r="BS109" s="49"/>
      <c r="BT109" s="49"/>
      <c r="BU109" s="49"/>
      <c r="BV109" s="49"/>
      <c r="BW109" s="49"/>
    </row>
    <row r="110" spans="2:75">
      <c r="B110" s="32">
        <v>2</v>
      </c>
      <c r="C110" s="511" t="s">
        <v>100</v>
      </c>
      <c r="D110" s="180" t="s">
        <v>688</v>
      </c>
      <c r="E110" s="512">
        <v>45</v>
      </c>
      <c r="F110" s="67"/>
      <c r="G110" s="67" t="str">
        <f t="shared" si="259"/>
        <v>046025L</v>
      </c>
      <c r="I110" s="336" t="s">
        <v>105</v>
      </c>
      <c r="J110" s="336" t="s">
        <v>128</v>
      </c>
      <c r="K110" s="338" t="s">
        <v>111</v>
      </c>
      <c r="L110" s="339">
        <v>439</v>
      </c>
      <c r="M110" s="64">
        <f>SUMIF($G:$G,TEXT(M$3,"000")&amp;TEXT($L110,"000"),$E:$E)</f>
        <v>0</v>
      </c>
      <c r="N110" s="64">
        <f>SUMIF($G:$G,TEXT(N$3,"000")&amp;TEXT($L110,"000"),$E:$E)</f>
        <v>0</v>
      </c>
      <c r="O110" s="64">
        <f>SUMIF($G:$G,TEXT(O$3,"000")&amp;TEXT($L110,"000"),$E:$E)</f>
        <v>0</v>
      </c>
      <c r="P110" s="64">
        <f>SUMIF($G:$G,TEXT(P$3,"000")&amp;TEXT($L110,"000"),$E:$E)</f>
        <v>0</v>
      </c>
      <c r="Q110" s="64">
        <f>SUMIF($G:$G,TEXT(Q$3,"000")&amp;TEXT($L110,"000"),$E:$E)</f>
        <v>0</v>
      </c>
      <c r="R110" s="64">
        <f>IF(SUM(M110:Q110)&gt;0,0,1)</f>
        <v>1</v>
      </c>
      <c r="S110" s="337"/>
      <c r="T110" s="337"/>
      <c r="U110" s="337"/>
      <c r="V110" s="337"/>
      <c r="W110" s="337"/>
      <c r="Y110" s="450"/>
      <c r="Z110" s="450"/>
      <c r="AA110" s="450"/>
      <c r="AB110" s="503"/>
      <c r="AC110" s="504"/>
      <c r="AD110" s="450"/>
      <c r="AE110" s="64"/>
      <c r="AF110" s="64">
        <f>SUMIF($G:$G,TEXT(AF$3,"000")&amp;TEXT($L110,"000"),$E:$E)</f>
        <v>0</v>
      </c>
      <c r="AG110" s="64">
        <f>SUMIF($G:$G,TEXT(AG$3,"000")&amp;TEXT($L110,"000"),$E:$E)</f>
        <v>0</v>
      </c>
      <c r="AH110" s="64">
        <f>SUMIF($G:$G,TEXT(AH$3,"000")&amp;TEXT($L110,"000"),$E:$E)</f>
        <v>0</v>
      </c>
      <c r="AI110" s="64">
        <f>SUMIF($G:$G,TEXT(AI$3,"000")&amp;TEXT($L110,"000"),$E:$E)</f>
        <v>0</v>
      </c>
      <c r="AK110" s="74">
        <f>ROUND(S110*(1+AK$1),2)</f>
        <v>0</v>
      </c>
      <c r="AL110" s="74">
        <f t="shared" si="271"/>
        <v>0</v>
      </c>
      <c r="AM110" s="74">
        <f t="shared" si="271"/>
        <v>0</v>
      </c>
      <c r="AN110" s="74">
        <f t="shared" si="271"/>
        <v>0</v>
      </c>
      <c r="AO110" s="74">
        <f t="shared" si="271"/>
        <v>0</v>
      </c>
      <c r="AX110" s="299"/>
      <c r="AY110" s="85"/>
      <c r="AZ110" s="85"/>
      <c r="BA110" s="85"/>
      <c r="BB110" s="85"/>
      <c r="BC110" s="85"/>
      <c r="BD110" s="85"/>
      <c r="BE110" s="327"/>
      <c r="BF110" s="49"/>
      <c r="BG110" s="49"/>
      <c r="BH110" s="49"/>
      <c r="BI110" s="49"/>
      <c r="BJ110" s="49"/>
      <c r="BM110" s="214">
        <f t="shared" si="272"/>
        <v>0</v>
      </c>
      <c r="BN110" s="214">
        <f t="shared" si="273"/>
        <v>0</v>
      </c>
      <c r="BO110" s="214">
        <f t="shared" si="274"/>
        <v>0</v>
      </c>
      <c r="BP110" s="214">
        <f t="shared" si="274"/>
        <v>0</v>
      </c>
      <c r="BQ110" s="214">
        <f t="shared" si="274"/>
        <v>0</v>
      </c>
      <c r="BS110" s="49">
        <f>BM110-AY110</f>
        <v>0</v>
      </c>
      <c r="BT110" s="49">
        <f>BN110-AZ110</f>
        <v>0</v>
      </c>
      <c r="BU110" s="49">
        <f>BO110-BA110</f>
        <v>0</v>
      </c>
      <c r="BV110" s="49">
        <f>BP110-BB110</f>
        <v>0</v>
      </c>
      <c r="BW110" s="49">
        <f>BQ110-BC110</f>
        <v>0</v>
      </c>
    </row>
    <row r="111" spans="2:75">
      <c r="B111" s="32">
        <v>2</v>
      </c>
      <c r="C111" s="511" t="s">
        <v>100</v>
      </c>
      <c r="D111" s="180" t="s">
        <v>689</v>
      </c>
      <c r="E111" s="512">
        <v>0</v>
      </c>
      <c r="F111" s="67"/>
      <c r="G111" s="67" t="str">
        <f t="shared" si="259"/>
        <v>046035L</v>
      </c>
      <c r="I111" s="336"/>
      <c r="J111" s="336"/>
      <c r="K111" s="338"/>
      <c r="L111" s="336"/>
      <c r="Y111" s="452"/>
      <c r="Z111" s="488"/>
      <c r="AA111" s="488"/>
      <c r="AB111" s="488"/>
      <c r="AC111" s="488"/>
      <c r="AD111" s="450"/>
    </row>
    <row r="112" spans="2:75">
      <c r="B112" s="32">
        <v>2</v>
      </c>
      <c r="C112" s="511" t="s">
        <v>100</v>
      </c>
      <c r="D112" s="180" t="s">
        <v>690</v>
      </c>
      <c r="E112" s="512">
        <v>0</v>
      </c>
      <c r="F112" s="67"/>
      <c r="G112" s="67" t="str">
        <f t="shared" si="259"/>
        <v>046045L</v>
      </c>
      <c r="I112" s="336" t="s">
        <v>116</v>
      </c>
      <c r="J112" s="336" t="s">
        <v>87</v>
      </c>
      <c r="K112" s="338" t="s">
        <v>111</v>
      </c>
      <c r="L112" s="339">
        <v>443</v>
      </c>
      <c r="M112" s="64">
        <f t="shared" ref="M112:Q121" si="276">SUMIF($G:$G,TEXT(M$3,"000")&amp;TEXT($L112,"000"),$E:$E)</f>
        <v>0</v>
      </c>
      <c r="N112" s="64">
        <f t="shared" si="276"/>
        <v>0</v>
      </c>
      <c r="O112" s="64">
        <f t="shared" si="276"/>
        <v>0</v>
      </c>
      <c r="P112" s="64">
        <f t="shared" si="276"/>
        <v>0</v>
      </c>
      <c r="Q112" s="64">
        <f t="shared" si="276"/>
        <v>0</v>
      </c>
      <c r="R112" s="64">
        <f>IF(SUM(M112:Q112)&gt;0,0,1)</f>
        <v>1</v>
      </c>
      <c r="S112" s="337"/>
      <c r="T112" s="337"/>
      <c r="U112" s="337"/>
      <c r="V112" s="337"/>
      <c r="W112" s="337"/>
      <c r="Y112" s="72"/>
      <c r="Z112" s="178"/>
      <c r="AA112" s="41"/>
      <c r="AB112" s="41"/>
      <c r="AC112" s="41"/>
      <c r="AD112" s="336"/>
      <c r="AE112" s="64"/>
      <c r="AF112" s="64">
        <f t="shared" ref="AF112:AI113" si="277">SUMIF($G:$G,TEXT(AF$3,"000")&amp;TEXT($L112,"000"),$E:$E)</f>
        <v>0</v>
      </c>
      <c r="AG112" s="64">
        <f t="shared" si="277"/>
        <v>0</v>
      </c>
      <c r="AH112" s="64">
        <f t="shared" si="277"/>
        <v>0</v>
      </c>
      <c r="AI112" s="64">
        <f t="shared" si="277"/>
        <v>0</v>
      </c>
      <c r="AK112" s="74">
        <f t="shared" ref="AK112:AK142" si="278">ROUND(S112*(1+AK$1),2)</f>
        <v>0</v>
      </c>
      <c r="AL112" s="74"/>
      <c r="AM112" s="74">
        <f t="shared" ref="AM112:AM142" si="279">ROUND(U112*(1+AM$1),2)</f>
        <v>0</v>
      </c>
      <c r="AN112" s="74">
        <f t="shared" ref="AN112:AN142" si="280">ROUND(V112*(1+AN$1),2)</f>
        <v>0</v>
      </c>
      <c r="AO112" s="74">
        <f t="shared" ref="AO112:AO142" si="281">ROUND(W112*(1+AO$1),2)</f>
        <v>0</v>
      </c>
      <c r="AQ112" s="222"/>
      <c r="AU112" s="71"/>
      <c r="AX112" s="299"/>
      <c r="AY112" s="85"/>
      <c r="AZ112" s="85"/>
      <c r="BA112" s="85"/>
      <c r="BB112" s="85"/>
      <c r="BC112" s="85"/>
      <c r="BD112" s="85"/>
      <c r="BE112" s="327"/>
      <c r="BF112" s="49"/>
      <c r="BG112" s="49"/>
      <c r="BH112" s="49"/>
      <c r="BI112" s="49"/>
      <c r="BJ112" s="49"/>
      <c r="BM112" s="214">
        <f t="shared" ref="BM112:BM127" si="282">AK112*$BM$1</f>
        <v>0</v>
      </c>
      <c r="BN112" s="214">
        <f t="shared" ref="BN112:BN127" si="283">AL112*$BM$1</f>
        <v>0</v>
      </c>
      <c r="BO112" s="214">
        <f t="shared" ref="BO112:BQ113" si="284">AM112*$BM$1</f>
        <v>0</v>
      </c>
      <c r="BP112" s="214">
        <f t="shared" si="284"/>
        <v>0</v>
      </c>
      <c r="BQ112" s="214">
        <f t="shared" si="284"/>
        <v>0</v>
      </c>
      <c r="BS112" s="49">
        <f t="shared" ref="BS112:BW113" si="285">BM112-AY112</f>
        <v>0</v>
      </c>
      <c r="BT112" s="49">
        <f t="shared" si="285"/>
        <v>0</v>
      </c>
      <c r="BU112" s="49">
        <f t="shared" si="285"/>
        <v>0</v>
      </c>
      <c r="BV112" s="49">
        <f t="shared" si="285"/>
        <v>0</v>
      </c>
      <c r="BW112" s="49">
        <f t="shared" si="285"/>
        <v>0</v>
      </c>
    </row>
    <row r="113" spans="2:104">
      <c r="B113" s="32">
        <v>2</v>
      </c>
      <c r="C113" s="511" t="s">
        <v>100</v>
      </c>
      <c r="D113" s="180" t="s">
        <v>691</v>
      </c>
      <c r="E113" s="512">
        <v>0</v>
      </c>
      <c r="F113" s="67"/>
      <c r="G113" s="67" t="str">
        <f t="shared" si="259"/>
        <v>046055L</v>
      </c>
      <c r="I113" s="336" t="s">
        <v>116</v>
      </c>
      <c r="J113" s="336" t="s">
        <v>113</v>
      </c>
      <c r="K113" s="338" t="s">
        <v>111</v>
      </c>
      <c r="L113" s="339">
        <v>446</v>
      </c>
      <c r="M113" s="64">
        <f t="shared" si="276"/>
        <v>0</v>
      </c>
      <c r="N113" s="64">
        <f t="shared" si="276"/>
        <v>0</v>
      </c>
      <c r="O113" s="64">
        <f t="shared" si="276"/>
        <v>0</v>
      </c>
      <c r="P113" s="64">
        <f t="shared" si="276"/>
        <v>0</v>
      </c>
      <c r="Q113" s="64">
        <f t="shared" si="276"/>
        <v>0</v>
      </c>
      <c r="R113" s="64">
        <f t="shared" ref="R113:R141" si="286">IF(SUM(M113:Q113)&gt;0,0,1)</f>
        <v>1</v>
      </c>
      <c r="S113" s="337"/>
      <c r="T113" s="337"/>
      <c r="U113" s="337"/>
      <c r="V113" s="337"/>
      <c r="W113" s="337"/>
      <c r="Y113" s="222"/>
      <c r="Z113" s="41"/>
      <c r="AA113" s="41"/>
      <c r="AB113" s="41"/>
      <c r="AC113" s="342"/>
      <c r="AD113" s="336"/>
      <c r="AE113" s="64"/>
      <c r="AF113" s="64">
        <f t="shared" si="277"/>
        <v>0</v>
      </c>
      <c r="AG113" s="64">
        <f t="shared" si="277"/>
        <v>0</v>
      </c>
      <c r="AH113" s="64">
        <f t="shared" si="277"/>
        <v>0</v>
      </c>
      <c r="AI113" s="64">
        <f t="shared" si="277"/>
        <v>0</v>
      </c>
      <c r="AK113" s="74">
        <f t="shared" si="278"/>
        <v>0</v>
      </c>
      <c r="AL113" s="423"/>
      <c r="AM113" s="74">
        <f t="shared" si="279"/>
        <v>0</v>
      </c>
      <c r="AN113" s="74">
        <f t="shared" si="280"/>
        <v>0</v>
      </c>
      <c r="AO113" s="74">
        <f t="shared" si="281"/>
        <v>0</v>
      </c>
      <c r="AX113" s="299"/>
      <c r="AY113" s="85"/>
      <c r="AZ113" s="85"/>
      <c r="BA113" s="85"/>
      <c r="BB113" s="85"/>
      <c r="BC113" s="85"/>
      <c r="BD113" s="85"/>
      <c r="BE113" s="327"/>
      <c r="BF113" s="49"/>
      <c r="BG113" s="49"/>
      <c r="BH113" s="49"/>
      <c r="BI113" s="49"/>
      <c r="BJ113" s="49"/>
      <c r="BM113" s="214">
        <f t="shared" si="282"/>
        <v>0</v>
      </c>
      <c r="BN113" s="214">
        <f t="shared" si="283"/>
        <v>0</v>
      </c>
      <c r="BO113" s="214">
        <f t="shared" si="284"/>
        <v>0</v>
      </c>
      <c r="BP113" s="214">
        <f t="shared" si="284"/>
        <v>0</v>
      </c>
      <c r="BQ113" s="214">
        <f t="shared" si="284"/>
        <v>0</v>
      </c>
      <c r="BS113" s="49">
        <f t="shared" si="285"/>
        <v>0</v>
      </c>
      <c r="BT113" s="49">
        <f t="shared" si="285"/>
        <v>0</v>
      </c>
      <c r="BU113" s="49">
        <f t="shared" si="285"/>
        <v>0</v>
      </c>
      <c r="BV113" s="49">
        <f t="shared" si="285"/>
        <v>0</v>
      </c>
      <c r="BW113" s="49">
        <f t="shared" si="285"/>
        <v>0</v>
      </c>
    </row>
    <row r="114" spans="2:104">
      <c r="B114" s="32">
        <v>2</v>
      </c>
      <c r="C114" s="511" t="s">
        <v>100</v>
      </c>
      <c r="D114" s="180" t="s">
        <v>692</v>
      </c>
      <c r="E114" s="512">
        <v>3</v>
      </c>
      <c r="F114" s="67"/>
      <c r="G114" s="67" t="str">
        <f t="shared" si="259"/>
        <v>046065L</v>
      </c>
      <c r="I114" s="336" t="s">
        <v>101</v>
      </c>
      <c r="J114" s="336" t="s">
        <v>85</v>
      </c>
      <c r="K114" s="338">
        <v>10000</v>
      </c>
      <c r="L114" s="339">
        <v>511</v>
      </c>
      <c r="M114" s="345">
        <f t="shared" si="276"/>
        <v>0</v>
      </c>
      <c r="N114" s="345">
        <f t="shared" si="276"/>
        <v>0</v>
      </c>
      <c r="O114" s="345">
        <f t="shared" si="276"/>
        <v>0</v>
      </c>
      <c r="P114" s="345">
        <f t="shared" si="276"/>
        <v>0</v>
      </c>
      <c r="Q114" s="345">
        <f t="shared" si="276"/>
        <v>0</v>
      </c>
      <c r="R114" s="345"/>
      <c r="S114" s="346"/>
      <c r="T114" s="346">
        <v>0</v>
      </c>
      <c r="U114" s="346">
        <v>0</v>
      </c>
      <c r="V114" s="346">
        <v>0</v>
      </c>
      <c r="W114" s="346">
        <v>0</v>
      </c>
      <c r="X114" s="336"/>
      <c r="Y114" s="360"/>
      <c r="Z114" s="360"/>
      <c r="AA114" s="360"/>
      <c r="AB114" s="360"/>
      <c r="AC114" s="360"/>
      <c r="AD114" s="336"/>
      <c r="AE114" s="345">
        <f t="shared" ref="AE114:AI115" si="287">M114</f>
        <v>0</v>
      </c>
      <c r="AF114" s="345">
        <f t="shared" si="287"/>
        <v>0</v>
      </c>
      <c r="AG114" s="345">
        <f t="shared" si="287"/>
        <v>0</v>
      </c>
      <c r="AH114" s="345">
        <f t="shared" si="287"/>
        <v>0</v>
      </c>
      <c r="AI114" s="345">
        <f t="shared" si="287"/>
        <v>0</v>
      </c>
      <c r="AJ114" s="336"/>
      <c r="AK114" s="347">
        <f t="shared" si="278"/>
        <v>0</v>
      </c>
      <c r="AL114" s="347">
        <f t="shared" ref="AL114:AL121" si="288">ROUND(T114*(1+AL$1),2)</f>
        <v>0</v>
      </c>
      <c r="AM114" s="347">
        <f t="shared" si="279"/>
        <v>0</v>
      </c>
      <c r="AN114" s="347">
        <f t="shared" si="280"/>
        <v>0</v>
      </c>
      <c r="AO114" s="347">
        <f t="shared" si="281"/>
        <v>0</v>
      </c>
      <c r="AP114" s="336"/>
      <c r="AQ114" s="360">
        <f t="shared" ref="AQ114:AU115" si="289">IF(AND(AE114&lt;&gt;0,AK114=0),#VALUE!,AE114*AK114)</f>
        <v>0</v>
      </c>
      <c r="AR114" s="360">
        <f t="shared" si="289"/>
        <v>0</v>
      </c>
      <c r="AS114" s="360">
        <f t="shared" si="289"/>
        <v>0</v>
      </c>
      <c r="AT114" s="360">
        <f t="shared" si="289"/>
        <v>0</v>
      </c>
      <c r="AU114" s="360">
        <f t="shared" si="289"/>
        <v>0</v>
      </c>
      <c r="AV114" s="65">
        <f>SUM(AQ114:AU114)-SUM(Y114:AC114)</f>
        <v>0</v>
      </c>
      <c r="AW114" s="65"/>
      <c r="AX114" s="299">
        <v>111</v>
      </c>
      <c r="AY114" s="85">
        <v>20.88</v>
      </c>
      <c r="AZ114" s="85"/>
      <c r="BA114" s="85"/>
      <c r="BB114" s="85"/>
      <c r="BC114" s="85"/>
      <c r="BD114" s="85"/>
      <c r="BE114" s="327">
        <f t="shared" ref="BE114:BE127" si="290">ROUND(AX114*$BE$2,2)+ROUND(AX114*$BE$1,2)</f>
        <v>0.25</v>
      </c>
      <c r="BF114" s="49">
        <f>ROUND((S114*$BF$2)+$BE114-AY114,2)</f>
        <v>-20.63</v>
      </c>
      <c r="BG114" s="49"/>
      <c r="BH114" s="49"/>
      <c r="BI114" s="49"/>
      <c r="BJ114" s="49"/>
      <c r="BM114" s="214">
        <f>AK114*$BM$1</f>
        <v>0</v>
      </c>
      <c r="BN114" s="214">
        <f t="shared" si="283"/>
        <v>0</v>
      </c>
      <c r="BO114" s="214">
        <f t="shared" ref="BO114:BO123" si="291">AM114*$BM$1</f>
        <v>0</v>
      </c>
      <c r="BP114" s="214">
        <f t="shared" ref="BP114:BP123" si="292">AN114*$BM$1</f>
        <v>0</v>
      </c>
      <c r="BQ114" s="214">
        <f t="shared" ref="BQ114:BQ123" si="293">AO114*$BM$1</f>
        <v>0</v>
      </c>
      <c r="BS114" s="49">
        <f t="shared" ref="BS114:BS123" si="294">BM114-AY114</f>
        <v>-20.88</v>
      </c>
      <c r="BT114" s="49">
        <f t="shared" ref="BT114:BT123" si="295">BN114-AZ114</f>
        <v>0</v>
      </c>
      <c r="BU114" s="49">
        <f t="shared" ref="BU114:BU123" si="296">BO114-BA114</f>
        <v>0</v>
      </c>
      <c r="BV114" s="49">
        <f t="shared" ref="BV114:BV123" si="297">BP114-BB114</f>
        <v>0</v>
      </c>
      <c r="BW114" s="49">
        <f t="shared" ref="BW114:BW123" si="298">BQ114-BC114</f>
        <v>0</v>
      </c>
    </row>
    <row r="115" spans="2:104">
      <c r="B115" s="32">
        <v>2</v>
      </c>
      <c r="C115" s="511" t="s">
        <v>100</v>
      </c>
      <c r="D115" s="180" t="s">
        <v>693</v>
      </c>
      <c r="E115" s="512">
        <v>0</v>
      </c>
      <c r="F115" s="67"/>
      <c r="G115" s="67" t="str">
        <f t="shared" si="259"/>
        <v>046075L</v>
      </c>
      <c r="I115" s="336" t="s">
        <v>116</v>
      </c>
      <c r="J115" s="336" t="s">
        <v>675</v>
      </c>
      <c r="K115" s="338" t="s">
        <v>111</v>
      </c>
      <c r="L115" s="339">
        <v>441</v>
      </c>
      <c r="M115" s="345">
        <f t="shared" si="276"/>
        <v>0</v>
      </c>
      <c r="N115" s="345">
        <f t="shared" si="276"/>
        <v>0</v>
      </c>
      <c r="O115" s="345">
        <f t="shared" si="276"/>
        <v>0</v>
      </c>
      <c r="P115" s="345">
        <f t="shared" si="276"/>
        <v>0</v>
      </c>
      <c r="Q115" s="345">
        <f t="shared" si="276"/>
        <v>0</v>
      </c>
      <c r="R115" s="64">
        <f t="shared" ref="R115:R131" si="299">IF(SUM(M115:Q115)&gt;0,0,1)</f>
        <v>1</v>
      </c>
      <c r="S115" s="346">
        <v>0</v>
      </c>
      <c r="T115" s="346"/>
      <c r="U115" s="346"/>
      <c r="V115" s="346">
        <v>0</v>
      </c>
      <c r="W115" s="346">
        <v>0</v>
      </c>
      <c r="X115" s="336"/>
      <c r="Y115" s="360">
        <f>IF(AND(M115&lt;&gt;0,S115=0),#VALUE!,M115*S115)</f>
        <v>0</v>
      </c>
      <c r="Z115" s="360">
        <f>IF(AND(N115&lt;&gt;0,T115=0),#VALUE!,N115*T115)</f>
        <v>0</v>
      </c>
      <c r="AA115" s="360">
        <f>IF(AND(O115&lt;&gt;0,U115=0),#VALUE!,O115*U115)</f>
        <v>0</v>
      </c>
      <c r="AB115" s="360">
        <f>IF(AND(P115&lt;&gt;0,V115=0),#VALUE!,P115*V115)</f>
        <v>0</v>
      </c>
      <c r="AC115" s="360">
        <f>IF(AND(Q115&lt;&gt;0,W115=0),#VALUE!,Q115*W115)</f>
        <v>0</v>
      </c>
      <c r="AD115" s="336"/>
      <c r="AE115" s="345">
        <f t="shared" si="287"/>
        <v>0</v>
      </c>
      <c r="AF115" s="345">
        <f t="shared" si="287"/>
        <v>0</v>
      </c>
      <c r="AG115" s="345">
        <f t="shared" si="287"/>
        <v>0</v>
      </c>
      <c r="AH115" s="345">
        <f t="shared" si="287"/>
        <v>0</v>
      </c>
      <c r="AI115" s="345">
        <f t="shared" si="287"/>
        <v>0</v>
      </c>
      <c r="AJ115" s="336"/>
      <c r="AK115" s="347">
        <f t="shared" si="278"/>
        <v>0</v>
      </c>
      <c r="AL115" s="347">
        <f t="shared" si="288"/>
        <v>0</v>
      </c>
      <c r="AM115" s="347">
        <f t="shared" si="279"/>
        <v>0</v>
      </c>
      <c r="AN115" s="347">
        <f t="shared" si="280"/>
        <v>0</v>
      </c>
      <c r="AO115" s="347">
        <f t="shared" si="281"/>
        <v>0</v>
      </c>
      <c r="AP115" s="336"/>
      <c r="AQ115" s="360">
        <f t="shared" si="289"/>
        <v>0</v>
      </c>
      <c r="AR115" s="360">
        <f t="shared" si="289"/>
        <v>0</v>
      </c>
      <c r="AS115" s="360">
        <f t="shared" si="289"/>
        <v>0</v>
      </c>
      <c r="AT115" s="360">
        <f t="shared" si="289"/>
        <v>0</v>
      </c>
      <c r="AU115" s="360">
        <f t="shared" si="289"/>
        <v>0</v>
      </c>
      <c r="AV115" s="360">
        <f>SUM(AQ115:AU115)-SUM(Y115:AC115)</f>
        <v>0</v>
      </c>
      <c r="AW115" s="360"/>
      <c r="AX115" s="363">
        <v>80</v>
      </c>
      <c r="AY115" s="364"/>
      <c r="AZ115" s="364">
        <v>29.57</v>
      </c>
      <c r="BA115" s="364">
        <v>14.19</v>
      </c>
      <c r="BB115" s="364"/>
      <c r="BC115" s="364"/>
      <c r="BD115" s="364"/>
      <c r="BE115" s="365">
        <f t="shared" si="290"/>
        <v>0.18000000000000016</v>
      </c>
      <c r="BF115" s="362"/>
      <c r="BG115" s="362">
        <f>ROUND((T115*$BF$2)+$BE115-AZ115,2)</f>
        <v>-29.39</v>
      </c>
      <c r="BH115" s="362">
        <f>ROUND((U115*$BF$2)+$BE115-BA115,2)</f>
        <v>-14.01</v>
      </c>
      <c r="BI115" s="362"/>
      <c r="BJ115" s="362"/>
      <c r="BK115" s="336"/>
      <c r="BL115" s="336"/>
      <c r="BM115" s="347">
        <f t="shared" si="282"/>
        <v>0</v>
      </c>
      <c r="BN115" s="347">
        <f t="shared" si="283"/>
        <v>0</v>
      </c>
      <c r="BO115" s="347">
        <f t="shared" si="291"/>
        <v>0</v>
      </c>
      <c r="BP115" s="347">
        <f t="shared" si="292"/>
        <v>0</v>
      </c>
      <c r="BQ115" s="347">
        <f t="shared" si="293"/>
        <v>0</v>
      </c>
      <c r="BR115" s="336"/>
      <c r="BS115" s="362">
        <f t="shared" si="294"/>
        <v>0</v>
      </c>
      <c r="BT115" s="362">
        <f t="shared" si="295"/>
        <v>-29.57</v>
      </c>
      <c r="BU115" s="362">
        <f t="shared" si="296"/>
        <v>-14.19</v>
      </c>
      <c r="BV115" s="362">
        <f t="shared" si="297"/>
        <v>0</v>
      </c>
      <c r="BW115" s="362">
        <f t="shared" si="298"/>
        <v>0</v>
      </c>
    </row>
    <row r="116" spans="2:104">
      <c r="B116" s="32">
        <v>2</v>
      </c>
      <c r="C116" s="511" t="s">
        <v>100</v>
      </c>
      <c r="D116" s="180" t="s">
        <v>694</v>
      </c>
      <c r="E116" s="512">
        <v>0</v>
      </c>
      <c r="F116" s="67"/>
      <c r="G116" s="67" t="str">
        <f t="shared" si="259"/>
        <v>046085L</v>
      </c>
      <c r="I116" s="336" t="s">
        <v>116</v>
      </c>
      <c r="J116" s="336" t="s">
        <v>86</v>
      </c>
      <c r="K116" s="338" t="s">
        <v>111</v>
      </c>
      <c r="L116" s="339">
        <v>442</v>
      </c>
      <c r="M116" s="345">
        <f t="shared" si="276"/>
        <v>0</v>
      </c>
      <c r="N116" s="345">
        <f t="shared" si="276"/>
        <v>0</v>
      </c>
      <c r="O116" s="345">
        <f t="shared" si="276"/>
        <v>0</v>
      </c>
      <c r="P116" s="345">
        <f t="shared" si="276"/>
        <v>0</v>
      </c>
      <c r="Q116" s="345">
        <f t="shared" si="276"/>
        <v>0</v>
      </c>
      <c r="R116" s="345">
        <f t="shared" si="299"/>
        <v>1</v>
      </c>
      <c r="S116" s="346">
        <v>0</v>
      </c>
      <c r="T116" s="346"/>
      <c r="U116" s="366">
        <v>0</v>
      </c>
      <c r="V116" s="346">
        <v>0</v>
      </c>
      <c r="W116" s="346">
        <v>0</v>
      </c>
      <c r="X116" s="336"/>
      <c r="Y116" s="336"/>
      <c r="Z116" s="360">
        <f t="shared" ref="Z116:Z123" si="300">IF(AND(N116&lt;&gt;0,T116=0),#VALUE!,N116*T116)</f>
        <v>0</v>
      </c>
      <c r="AA116" s="336"/>
      <c r="AB116" s="336"/>
      <c r="AC116" s="360">
        <f t="shared" ref="AC116:AC121" si="301">IF(AND(Q116&lt;&gt;0,W116=0),#VALUE!,Q116*W116)</f>
        <v>0</v>
      </c>
      <c r="AD116" s="336"/>
      <c r="AE116" s="345">
        <f>SUMIF($G:$G,TEXT(AE$3,"000")&amp;TEXT($L116,"000"),$E:$E)</f>
        <v>0</v>
      </c>
      <c r="AF116" s="345">
        <f>SUMIF($G:$G,TEXT(AF$3,"000")&amp;TEXT($L116,"000"),$E:$E)</f>
        <v>0</v>
      </c>
      <c r="AG116" s="345">
        <f>SUMIF($G:$G,TEXT(AG$3,"000")&amp;TEXT($L116,"000"),$E:$E)</f>
        <v>0</v>
      </c>
      <c r="AH116" s="345">
        <f>SUMIF($G:$G,TEXT(AH$3,"000")&amp;TEXT($L116,"000"),$E:$E)</f>
        <v>0</v>
      </c>
      <c r="AI116" s="345">
        <f>SUMIF($G:$G,TEXT(AI$3,"000")&amp;TEXT($L116,"000"),$E:$E)</f>
        <v>0</v>
      </c>
      <c r="AJ116" s="336"/>
      <c r="AK116" s="347">
        <f t="shared" si="278"/>
        <v>0</v>
      </c>
      <c r="AL116" s="347">
        <f t="shared" si="288"/>
        <v>0</v>
      </c>
      <c r="AM116" s="347">
        <f t="shared" si="279"/>
        <v>0</v>
      </c>
      <c r="AN116" s="347">
        <f t="shared" si="280"/>
        <v>0</v>
      </c>
      <c r="AO116" s="347">
        <f t="shared" si="281"/>
        <v>0</v>
      </c>
      <c r="AP116" s="336"/>
      <c r="AQ116" s="367"/>
      <c r="AR116" s="360">
        <f t="shared" ref="AR116:AR130" si="302">IF(AND(AF116&lt;&gt;0,AL116=0),#VALUE!,AF116*AL116)</f>
        <v>0</v>
      </c>
      <c r="AS116" s="336"/>
      <c r="AT116" s="336"/>
      <c r="AU116" s="336"/>
      <c r="AV116" s="336"/>
      <c r="AW116" s="336"/>
      <c r="AX116" s="363">
        <v>80</v>
      </c>
      <c r="AY116" s="364"/>
      <c r="AZ116" s="364">
        <v>41.39</v>
      </c>
      <c r="BA116" s="364"/>
      <c r="BB116" s="364"/>
      <c r="BC116" s="364"/>
      <c r="BD116" s="364"/>
      <c r="BE116" s="365">
        <f t="shared" si="290"/>
        <v>0.18000000000000016</v>
      </c>
      <c r="BF116" s="362"/>
      <c r="BG116" s="49">
        <f>ROUND((T116*$BF$2)+$BE116-AZ116,2)</f>
        <v>-41.21</v>
      </c>
      <c r="BH116" s="49"/>
      <c r="BI116" s="49"/>
      <c r="BJ116" s="49"/>
      <c r="BM116" s="214">
        <f t="shared" si="282"/>
        <v>0</v>
      </c>
      <c r="BN116" s="214">
        <f t="shared" si="283"/>
        <v>0</v>
      </c>
      <c r="BO116" s="214">
        <f t="shared" si="291"/>
        <v>0</v>
      </c>
      <c r="BP116" s="214">
        <f t="shared" si="292"/>
        <v>0</v>
      </c>
      <c r="BQ116" s="214">
        <f t="shared" si="293"/>
        <v>0</v>
      </c>
      <c r="BS116" s="49">
        <f t="shared" si="294"/>
        <v>0</v>
      </c>
      <c r="BT116" s="49">
        <f t="shared" si="295"/>
        <v>-41.39</v>
      </c>
      <c r="BU116" s="49">
        <f t="shared" si="296"/>
        <v>0</v>
      </c>
      <c r="BV116" s="49">
        <f t="shared" si="297"/>
        <v>0</v>
      </c>
      <c r="BW116" s="49">
        <f t="shared" si="298"/>
        <v>0</v>
      </c>
    </row>
    <row r="117" spans="2:104">
      <c r="B117" s="32">
        <v>2</v>
      </c>
      <c r="C117" s="511" t="s">
        <v>100</v>
      </c>
      <c r="D117" s="180" t="s">
        <v>695</v>
      </c>
      <c r="E117" s="512">
        <v>0</v>
      </c>
      <c r="F117" s="67"/>
      <c r="G117" s="67" t="str">
        <f t="shared" si="259"/>
        <v>046095L</v>
      </c>
      <c r="I117" s="336" t="s">
        <v>105</v>
      </c>
      <c r="J117" s="336" t="s">
        <v>86</v>
      </c>
      <c r="K117" s="338" t="s">
        <v>119</v>
      </c>
      <c r="L117" s="339">
        <v>522</v>
      </c>
      <c r="M117" s="345">
        <f t="shared" si="276"/>
        <v>0</v>
      </c>
      <c r="N117" s="345">
        <f t="shared" si="276"/>
        <v>0</v>
      </c>
      <c r="O117" s="345">
        <f t="shared" si="276"/>
        <v>0</v>
      </c>
      <c r="P117" s="345">
        <f t="shared" si="276"/>
        <v>0</v>
      </c>
      <c r="Q117" s="345">
        <f t="shared" si="276"/>
        <v>0</v>
      </c>
      <c r="R117" s="345">
        <f t="shared" si="299"/>
        <v>1</v>
      </c>
      <c r="S117" s="346">
        <v>0</v>
      </c>
      <c r="T117" s="346"/>
      <c r="U117" s="346">
        <v>0</v>
      </c>
      <c r="V117" s="346">
        <v>0</v>
      </c>
      <c r="W117" s="346">
        <v>0</v>
      </c>
      <c r="X117" s="336"/>
      <c r="Y117" s="360">
        <f t="shared" ref="Y117:Y123" si="303">IF(AND(M117&lt;&gt;0,S117=0),#VALUE!,M117*S117)</f>
        <v>0</v>
      </c>
      <c r="Z117" s="360">
        <f t="shared" si="300"/>
        <v>0</v>
      </c>
      <c r="AA117" s="360">
        <f t="shared" ref="AA117:AB121" si="304">IF(AND(O117&lt;&gt;0,U117=0),#VALUE!,O117*U117)</f>
        <v>0</v>
      </c>
      <c r="AB117" s="360">
        <f t="shared" si="304"/>
        <v>0</v>
      </c>
      <c r="AC117" s="360">
        <f t="shared" si="301"/>
        <v>0</v>
      </c>
      <c r="AD117" s="336"/>
      <c r="AE117" s="345">
        <f t="shared" ref="AE117:AI121" si="305">M117</f>
        <v>0</v>
      </c>
      <c r="AF117" s="345">
        <f t="shared" si="305"/>
        <v>0</v>
      </c>
      <c r="AG117" s="345">
        <f t="shared" si="305"/>
        <v>0</v>
      </c>
      <c r="AH117" s="345">
        <f t="shared" si="305"/>
        <v>0</v>
      </c>
      <c r="AI117" s="345">
        <f t="shared" si="305"/>
        <v>0</v>
      </c>
      <c r="AJ117" s="336"/>
      <c r="AK117" s="347">
        <f t="shared" si="278"/>
        <v>0</v>
      </c>
      <c r="AL117" s="347">
        <f t="shared" si="288"/>
        <v>0</v>
      </c>
      <c r="AM117" s="347">
        <f t="shared" si="279"/>
        <v>0</v>
      </c>
      <c r="AN117" s="347">
        <f t="shared" si="280"/>
        <v>0</v>
      </c>
      <c r="AO117" s="347">
        <f t="shared" si="281"/>
        <v>0</v>
      </c>
      <c r="AP117" s="336"/>
      <c r="AQ117" s="360">
        <f t="shared" ref="AQ117:AQ130" si="306">IF(AND(AE117&lt;&gt;0,AK117=0),#VALUE!,AE117*AK117)</f>
        <v>0</v>
      </c>
      <c r="AR117" s="360">
        <f t="shared" si="302"/>
        <v>0</v>
      </c>
      <c r="AS117" s="360">
        <f t="shared" ref="AS117:AS130" si="307">IF(AND(AG117&lt;&gt;0,AM117=0),#VALUE!,AG117*AM117)</f>
        <v>0</v>
      </c>
      <c r="AT117" s="360">
        <f t="shared" ref="AT117:AT130" si="308">IF(AND(AH117&lt;&gt;0,AN117=0),#VALUE!,AH117*AN117)</f>
        <v>0</v>
      </c>
      <c r="AU117" s="360">
        <f t="shared" ref="AU117:AU130" si="309">IF(AND(AI117&lt;&gt;0,AO117=0),#VALUE!,AI117*AO117)</f>
        <v>0</v>
      </c>
      <c r="AV117" s="360">
        <f>SUM(AQ117:AU117)-SUM(Y117:AC117)</f>
        <v>0</v>
      </c>
      <c r="AW117" s="360"/>
      <c r="AX117" s="363">
        <v>85</v>
      </c>
      <c r="AY117" s="364"/>
      <c r="AZ117" s="364">
        <v>59.82</v>
      </c>
      <c r="BA117" s="364"/>
      <c r="BB117" s="364"/>
      <c r="BC117" s="364"/>
      <c r="BD117" s="364"/>
      <c r="BE117" s="365">
        <f t="shared" si="290"/>
        <v>0.17999999999999994</v>
      </c>
      <c r="BF117" s="362"/>
      <c r="BG117" s="362">
        <f>ROUND((T117*$BF$2)+$BE117-AZ117,2)</f>
        <v>-59.64</v>
      </c>
      <c r="BH117" s="362"/>
      <c r="BI117" s="362"/>
      <c r="BJ117" s="362"/>
      <c r="BK117" s="336"/>
      <c r="BL117" s="336"/>
      <c r="BM117" s="347">
        <f t="shared" si="282"/>
        <v>0</v>
      </c>
      <c r="BN117" s="214">
        <f t="shared" si="283"/>
        <v>0</v>
      </c>
      <c r="BO117" s="214">
        <f t="shared" si="291"/>
        <v>0</v>
      </c>
      <c r="BP117" s="214">
        <f t="shared" si="292"/>
        <v>0</v>
      </c>
      <c r="BQ117" s="214">
        <f t="shared" si="293"/>
        <v>0</v>
      </c>
      <c r="BS117" s="49">
        <f t="shared" si="294"/>
        <v>0</v>
      </c>
      <c r="BT117" s="49">
        <f t="shared" si="295"/>
        <v>-59.82</v>
      </c>
      <c r="BU117" s="49">
        <f t="shared" si="296"/>
        <v>0</v>
      </c>
      <c r="BV117" s="49">
        <f t="shared" si="297"/>
        <v>0</v>
      </c>
      <c r="BW117" s="49">
        <f t="shared" si="298"/>
        <v>0</v>
      </c>
    </row>
    <row r="118" spans="2:104">
      <c r="B118" s="32">
        <v>2</v>
      </c>
      <c r="C118" s="511" t="s">
        <v>100</v>
      </c>
      <c r="D118" s="180" t="s">
        <v>696</v>
      </c>
      <c r="E118" s="512">
        <v>8</v>
      </c>
      <c r="F118" s="67"/>
      <c r="G118" s="67" t="str">
        <f t="shared" si="259"/>
        <v>046105L</v>
      </c>
      <c r="I118" s="336" t="s">
        <v>403</v>
      </c>
      <c r="J118" s="336" t="s">
        <v>87</v>
      </c>
      <c r="K118" s="338" t="s">
        <v>119</v>
      </c>
      <c r="L118" s="339">
        <v>538</v>
      </c>
      <c r="M118" s="345">
        <f t="shared" si="276"/>
        <v>0</v>
      </c>
      <c r="N118" s="345">
        <f t="shared" si="276"/>
        <v>0</v>
      </c>
      <c r="O118" s="345">
        <f t="shared" si="276"/>
        <v>0</v>
      </c>
      <c r="P118" s="345">
        <f t="shared" si="276"/>
        <v>0</v>
      </c>
      <c r="Q118" s="345">
        <f t="shared" si="276"/>
        <v>0</v>
      </c>
      <c r="R118" s="345">
        <f t="shared" si="299"/>
        <v>1</v>
      </c>
      <c r="S118" s="346">
        <v>0</v>
      </c>
      <c r="T118" s="346"/>
      <c r="U118" s="346">
        <v>0</v>
      </c>
      <c r="V118" s="346">
        <v>0</v>
      </c>
      <c r="W118" s="346">
        <v>0</v>
      </c>
      <c r="X118" s="336"/>
      <c r="Y118" s="360">
        <f t="shared" si="303"/>
        <v>0</v>
      </c>
      <c r="Z118" s="360">
        <f t="shared" si="300"/>
        <v>0</v>
      </c>
      <c r="AA118" s="360">
        <f t="shared" si="304"/>
        <v>0</v>
      </c>
      <c r="AB118" s="360">
        <f t="shared" si="304"/>
        <v>0</v>
      </c>
      <c r="AC118" s="360">
        <f t="shared" si="301"/>
        <v>0</v>
      </c>
      <c r="AD118" s="336"/>
      <c r="AE118" s="345">
        <f t="shared" si="305"/>
        <v>0</v>
      </c>
      <c r="AF118" s="345">
        <f t="shared" si="305"/>
        <v>0</v>
      </c>
      <c r="AG118" s="345">
        <f t="shared" si="305"/>
        <v>0</v>
      </c>
      <c r="AH118" s="345">
        <f t="shared" si="305"/>
        <v>0</v>
      </c>
      <c r="AI118" s="345">
        <f t="shared" si="305"/>
        <v>0</v>
      </c>
      <c r="AJ118" s="336"/>
      <c r="AK118" s="347">
        <f t="shared" si="278"/>
        <v>0</v>
      </c>
      <c r="AL118" s="347">
        <f t="shared" si="288"/>
        <v>0</v>
      </c>
      <c r="AM118" s="347">
        <f t="shared" si="279"/>
        <v>0</v>
      </c>
      <c r="AN118" s="347">
        <f t="shared" si="280"/>
        <v>0</v>
      </c>
      <c r="AO118" s="347">
        <f t="shared" si="281"/>
        <v>0</v>
      </c>
      <c r="AP118" s="336"/>
      <c r="AQ118" s="360">
        <f t="shared" si="306"/>
        <v>0</v>
      </c>
      <c r="AR118" s="360">
        <f t="shared" si="302"/>
        <v>0</v>
      </c>
      <c r="AS118" s="360">
        <f t="shared" si="307"/>
        <v>0</v>
      </c>
      <c r="AT118" s="360">
        <f t="shared" si="308"/>
        <v>0</v>
      </c>
      <c r="AU118" s="360">
        <f t="shared" si="309"/>
        <v>0</v>
      </c>
      <c r="AV118" s="360"/>
      <c r="AW118" s="360"/>
      <c r="AX118" s="363">
        <v>85</v>
      </c>
      <c r="AY118" s="364"/>
      <c r="AZ118" s="364">
        <v>24.3</v>
      </c>
      <c r="BA118" s="364"/>
      <c r="BB118" s="364"/>
      <c r="BC118" s="364"/>
      <c r="BD118" s="364"/>
      <c r="BE118" s="365">
        <f t="shared" si="290"/>
        <v>0.17999999999999994</v>
      </c>
      <c r="BF118" s="362"/>
      <c r="BG118" s="362">
        <f>ROUND((T118*$BF$2)+$BE118-AZ118,2)</f>
        <v>-24.12</v>
      </c>
      <c r="BH118" s="362"/>
      <c r="BI118" s="362"/>
      <c r="BJ118" s="362"/>
      <c r="BK118" s="336"/>
      <c r="BL118" s="336"/>
      <c r="BM118" s="347">
        <f t="shared" si="282"/>
        <v>0</v>
      </c>
      <c r="BN118" s="347">
        <f t="shared" si="283"/>
        <v>0</v>
      </c>
      <c r="BO118" s="347">
        <f t="shared" si="291"/>
        <v>0</v>
      </c>
      <c r="BP118" s="347">
        <f t="shared" si="292"/>
        <v>0</v>
      </c>
      <c r="BQ118" s="347">
        <f t="shared" si="293"/>
        <v>0</v>
      </c>
      <c r="BS118" s="49">
        <f t="shared" si="294"/>
        <v>0</v>
      </c>
      <c r="BT118" s="49">
        <f t="shared" si="295"/>
        <v>-24.3</v>
      </c>
      <c r="BU118" s="49">
        <f t="shared" si="296"/>
        <v>0</v>
      </c>
      <c r="BV118" s="49">
        <f t="shared" si="297"/>
        <v>0</v>
      </c>
      <c r="BW118" s="49">
        <f t="shared" si="298"/>
        <v>0</v>
      </c>
      <c r="BX118" s="336"/>
      <c r="BY118" s="336"/>
      <c r="BZ118" s="336"/>
      <c r="CA118" s="336"/>
      <c r="CB118" s="336"/>
      <c r="CC118" s="336"/>
      <c r="CD118" s="336"/>
      <c r="CE118" s="336"/>
      <c r="CF118" s="336"/>
      <c r="CG118" s="336"/>
      <c r="CH118" s="336"/>
      <c r="CI118" s="336"/>
      <c r="CJ118" s="336"/>
      <c r="CK118" s="336"/>
      <c r="CL118" s="336"/>
      <c r="CM118" s="336"/>
      <c r="CN118" s="336"/>
      <c r="CO118" s="336"/>
      <c r="CP118" s="336"/>
      <c r="CQ118" s="336"/>
      <c r="CR118" s="336"/>
      <c r="CS118" s="336"/>
      <c r="CT118" s="336"/>
    </row>
    <row r="119" spans="2:104">
      <c r="B119" s="32">
        <v>2</v>
      </c>
      <c r="C119" s="511" t="s">
        <v>100</v>
      </c>
      <c r="D119" s="180" t="s">
        <v>697</v>
      </c>
      <c r="E119" s="512">
        <v>0</v>
      </c>
      <c r="F119" s="67"/>
      <c r="G119" s="67" t="str">
        <f t="shared" si="259"/>
        <v>046115L</v>
      </c>
      <c r="I119" s="336" t="s">
        <v>116</v>
      </c>
      <c r="J119" s="336" t="s">
        <v>86</v>
      </c>
      <c r="K119" s="338" t="s">
        <v>119</v>
      </c>
      <c r="L119" s="339">
        <v>542</v>
      </c>
      <c r="M119" s="345">
        <f t="shared" si="276"/>
        <v>0</v>
      </c>
      <c r="N119" s="345">
        <f t="shared" si="276"/>
        <v>0</v>
      </c>
      <c r="O119" s="345">
        <f t="shared" si="276"/>
        <v>0</v>
      </c>
      <c r="P119" s="345">
        <f t="shared" si="276"/>
        <v>0</v>
      </c>
      <c r="Q119" s="345">
        <f t="shared" si="276"/>
        <v>0</v>
      </c>
      <c r="R119" s="345">
        <f t="shared" si="299"/>
        <v>1</v>
      </c>
      <c r="S119" s="346">
        <v>0</v>
      </c>
      <c r="T119" s="346"/>
      <c r="U119" s="346"/>
      <c r="V119" s="346">
        <v>0</v>
      </c>
      <c r="W119" s="346">
        <v>0</v>
      </c>
      <c r="X119" s="336"/>
      <c r="Y119" s="360">
        <f t="shared" si="303"/>
        <v>0</v>
      </c>
      <c r="Z119" s="360">
        <f t="shared" si="300"/>
        <v>0</v>
      </c>
      <c r="AA119" s="360">
        <f t="shared" si="304"/>
        <v>0</v>
      </c>
      <c r="AB119" s="360">
        <f t="shared" si="304"/>
        <v>0</v>
      </c>
      <c r="AC119" s="360">
        <f t="shared" si="301"/>
        <v>0</v>
      </c>
      <c r="AD119" s="336"/>
      <c r="AE119" s="345">
        <f t="shared" si="305"/>
        <v>0</v>
      </c>
      <c r="AF119" s="345">
        <f t="shared" si="305"/>
        <v>0</v>
      </c>
      <c r="AG119" s="345">
        <f t="shared" si="305"/>
        <v>0</v>
      </c>
      <c r="AH119" s="345">
        <f t="shared" si="305"/>
        <v>0</v>
      </c>
      <c r="AI119" s="345">
        <f t="shared" si="305"/>
        <v>0</v>
      </c>
      <c r="AJ119" s="336"/>
      <c r="AK119" s="347">
        <f t="shared" si="278"/>
        <v>0</v>
      </c>
      <c r="AL119" s="347">
        <f t="shared" si="288"/>
        <v>0</v>
      </c>
      <c r="AM119" s="347">
        <f t="shared" si="279"/>
        <v>0</v>
      </c>
      <c r="AN119" s="347">
        <f t="shared" si="280"/>
        <v>0</v>
      </c>
      <c r="AO119" s="347">
        <f t="shared" si="281"/>
        <v>0</v>
      </c>
      <c r="AP119" s="336"/>
      <c r="AQ119" s="360">
        <f t="shared" si="306"/>
        <v>0</v>
      </c>
      <c r="AR119" s="360">
        <f t="shared" si="302"/>
        <v>0</v>
      </c>
      <c r="AS119" s="360">
        <f t="shared" si="307"/>
        <v>0</v>
      </c>
      <c r="AT119" s="360">
        <f t="shared" si="308"/>
        <v>0</v>
      </c>
      <c r="AU119" s="360">
        <f t="shared" si="309"/>
        <v>0</v>
      </c>
      <c r="AV119" s="360">
        <f>SUM(AQ119:AU119)-SUM(Y119:AC119)</f>
        <v>0</v>
      </c>
      <c r="AW119" s="360"/>
      <c r="AX119" s="363">
        <v>170</v>
      </c>
      <c r="AY119" s="364"/>
      <c r="AZ119" s="364">
        <v>61.09</v>
      </c>
      <c r="BA119" s="364">
        <v>23.76</v>
      </c>
      <c r="BB119" s="364"/>
      <c r="BC119" s="364"/>
      <c r="BD119" s="364"/>
      <c r="BE119" s="365">
        <f t="shared" si="290"/>
        <v>0.38000000000000012</v>
      </c>
      <c r="BF119" s="362"/>
      <c r="BG119" s="362">
        <f>ROUND((T119*$BF$2)+$BE119-AZ119,2)</f>
        <v>-60.71</v>
      </c>
      <c r="BH119" s="362">
        <f>ROUND((U119*$BF$2)+$BE119-BA119,2)</f>
        <v>-23.38</v>
      </c>
      <c r="BI119" s="362"/>
      <c r="BJ119" s="362"/>
      <c r="BK119" s="336"/>
      <c r="BL119" s="336"/>
      <c r="BM119" s="347">
        <f t="shared" si="282"/>
        <v>0</v>
      </c>
      <c r="BN119" s="347">
        <f t="shared" si="283"/>
        <v>0</v>
      </c>
      <c r="BO119" s="347">
        <f t="shared" si="291"/>
        <v>0</v>
      </c>
      <c r="BP119" s="347">
        <f t="shared" si="292"/>
        <v>0</v>
      </c>
      <c r="BQ119" s="347">
        <f t="shared" si="293"/>
        <v>0</v>
      </c>
      <c r="BR119" s="336"/>
      <c r="BS119" s="362">
        <f t="shared" si="294"/>
        <v>0</v>
      </c>
      <c r="BT119" s="362">
        <f t="shared" si="295"/>
        <v>-61.09</v>
      </c>
      <c r="BU119" s="362">
        <f t="shared" si="296"/>
        <v>-23.76</v>
      </c>
      <c r="BV119" s="362">
        <f t="shared" si="297"/>
        <v>0</v>
      </c>
      <c r="BW119" s="362">
        <f t="shared" si="298"/>
        <v>0</v>
      </c>
      <c r="CV119" s="336"/>
      <c r="CW119" s="336"/>
      <c r="CX119" s="336"/>
      <c r="CY119" s="336"/>
      <c r="CZ119" s="336"/>
    </row>
    <row r="120" spans="2:104">
      <c r="B120" s="32">
        <v>2</v>
      </c>
      <c r="C120" s="511" t="s">
        <v>100</v>
      </c>
      <c r="D120" s="180" t="s">
        <v>698</v>
      </c>
      <c r="E120" s="512">
        <v>159</v>
      </c>
      <c r="F120" s="67"/>
      <c r="G120" s="67" t="str">
        <f t="shared" si="259"/>
        <v>046125L</v>
      </c>
      <c r="I120" s="336" t="s">
        <v>110</v>
      </c>
      <c r="J120" s="336" t="s">
        <v>123</v>
      </c>
      <c r="K120" s="338">
        <v>55000</v>
      </c>
      <c r="L120" s="339">
        <v>819</v>
      </c>
      <c r="M120" s="345">
        <f t="shared" si="276"/>
        <v>0</v>
      </c>
      <c r="N120" s="345">
        <f t="shared" si="276"/>
        <v>0</v>
      </c>
      <c r="O120" s="345">
        <f t="shared" si="276"/>
        <v>0</v>
      </c>
      <c r="P120" s="345">
        <f t="shared" si="276"/>
        <v>0</v>
      </c>
      <c r="Q120" s="345">
        <f t="shared" si="276"/>
        <v>0</v>
      </c>
      <c r="R120" s="345">
        <f t="shared" si="299"/>
        <v>1</v>
      </c>
      <c r="S120" s="346">
        <v>0</v>
      </c>
      <c r="T120" s="346"/>
      <c r="U120" s="346">
        <v>0</v>
      </c>
      <c r="V120" s="346"/>
      <c r="W120" s="346">
        <v>0</v>
      </c>
      <c r="X120" s="336"/>
      <c r="Y120" s="360">
        <f t="shared" si="303"/>
        <v>0</v>
      </c>
      <c r="Z120" s="360">
        <f t="shared" si="300"/>
        <v>0</v>
      </c>
      <c r="AA120" s="360">
        <f t="shared" si="304"/>
        <v>0</v>
      </c>
      <c r="AB120" s="360">
        <f t="shared" si="304"/>
        <v>0</v>
      </c>
      <c r="AC120" s="360">
        <f t="shared" si="301"/>
        <v>0</v>
      </c>
      <c r="AD120" s="336"/>
      <c r="AE120" s="345">
        <f t="shared" si="305"/>
        <v>0</v>
      </c>
      <c r="AF120" s="345">
        <f t="shared" si="305"/>
        <v>0</v>
      </c>
      <c r="AG120" s="345">
        <f t="shared" si="305"/>
        <v>0</v>
      </c>
      <c r="AH120" s="345">
        <f t="shared" si="305"/>
        <v>0</v>
      </c>
      <c r="AI120" s="345">
        <f t="shared" si="305"/>
        <v>0</v>
      </c>
      <c r="AJ120" s="336"/>
      <c r="AK120" s="347">
        <f t="shared" si="278"/>
        <v>0</v>
      </c>
      <c r="AL120" s="347">
        <f t="shared" si="288"/>
        <v>0</v>
      </c>
      <c r="AM120" s="347">
        <f t="shared" si="279"/>
        <v>0</v>
      </c>
      <c r="AN120" s="347">
        <f t="shared" si="280"/>
        <v>0</v>
      </c>
      <c r="AO120" s="347">
        <f t="shared" si="281"/>
        <v>0</v>
      </c>
      <c r="AP120" s="336"/>
      <c r="AQ120" s="360">
        <f t="shared" si="306"/>
        <v>0</v>
      </c>
      <c r="AR120" s="360">
        <f t="shared" si="302"/>
        <v>0</v>
      </c>
      <c r="AS120" s="360">
        <f t="shared" si="307"/>
        <v>0</v>
      </c>
      <c r="AT120" s="360">
        <f t="shared" si="308"/>
        <v>0</v>
      </c>
      <c r="AU120" s="360">
        <f t="shared" si="309"/>
        <v>0</v>
      </c>
      <c r="AV120" s="360">
        <f>SUM(AQ120:AU120)-SUM(Y120:AC120)</f>
        <v>0</v>
      </c>
      <c r="AW120" s="360"/>
      <c r="AX120" s="363">
        <v>417</v>
      </c>
      <c r="AY120" s="364"/>
      <c r="AZ120" s="364"/>
      <c r="BA120" s="364"/>
      <c r="BB120" s="364">
        <v>28.89</v>
      </c>
      <c r="BC120" s="364"/>
      <c r="BD120" s="364"/>
      <c r="BE120" s="365">
        <f t="shared" si="290"/>
        <v>0.91999999999999993</v>
      </c>
      <c r="BF120" s="362"/>
      <c r="BG120" s="362"/>
      <c r="BH120" s="362"/>
      <c r="BI120" s="362">
        <f>ROUND((V120*$BF$2)+$BE120-BB120,2)</f>
        <v>-27.97</v>
      </c>
      <c r="BJ120" s="362"/>
      <c r="BK120" s="336"/>
      <c r="BL120" s="336"/>
      <c r="BM120" s="347">
        <f t="shared" si="282"/>
        <v>0</v>
      </c>
      <c r="BN120" s="347">
        <f t="shared" si="283"/>
        <v>0</v>
      </c>
      <c r="BO120" s="347">
        <f t="shared" si="291"/>
        <v>0</v>
      </c>
      <c r="BP120" s="347">
        <f t="shared" si="292"/>
        <v>0</v>
      </c>
      <c r="BQ120" s="347">
        <f t="shared" si="293"/>
        <v>0</v>
      </c>
      <c r="BR120" s="336"/>
      <c r="BS120" s="362">
        <f t="shared" si="294"/>
        <v>0</v>
      </c>
      <c r="BT120" s="362">
        <f t="shared" si="295"/>
        <v>0</v>
      </c>
      <c r="BU120" s="362">
        <f t="shared" si="296"/>
        <v>0</v>
      </c>
      <c r="BV120" s="362">
        <f t="shared" si="297"/>
        <v>-28.89</v>
      </c>
      <c r="BW120" s="362">
        <f t="shared" si="298"/>
        <v>0</v>
      </c>
      <c r="CU120" s="336"/>
    </row>
    <row r="121" spans="2:104">
      <c r="B121" s="32">
        <v>2</v>
      </c>
      <c r="C121" s="511" t="s">
        <v>100</v>
      </c>
      <c r="D121" s="180" t="s">
        <v>699</v>
      </c>
      <c r="E121" s="512">
        <v>36</v>
      </c>
      <c r="F121" s="67"/>
      <c r="G121" s="67" t="str">
        <f t="shared" si="259"/>
        <v>046135L</v>
      </c>
      <c r="I121" s="336" t="s">
        <v>105</v>
      </c>
      <c r="J121" s="336" t="s">
        <v>113</v>
      </c>
      <c r="K121" s="338" t="s">
        <v>124</v>
      </c>
      <c r="L121" s="339">
        <v>836</v>
      </c>
      <c r="M121" s="345">
        <f t="shared" si="276"/>
        <v>0</v>
      </c>
      <c r="N121" s="345">
        <f t="shared" si="276"/>
        <v>0</v>
      </c>
      <c r="O121" s="345">
        <f t="shared" si="276"/>
        <v>0</v>
      </c>
      <c r="P121" s="345">
        <f t="shared" si="276"/>
        <v>0</v>
      </c>
      <c r="Q121" s="345">
        <f t="shared" si="276"/>
        <v>0</v>
      </c>
      <c r="R121" s="345">
        <f t="shared" si="299"/>
        <v>1</v>
      </c>
      <c r="S121" s="346">
        <v>0</v>
      </c>
      <c r="T121" s="346"/>
      <c r="U121" s="346">
        <v>0</v>
      </c>
      <c r="V121" s="346">
        <v>0</v>
      </c>
      <c r="W121" s="346">
        <v>0</v>
      </c>
      <c r="X121" s="336"/>
      <c r="Y121" s="360">
        <f t="shared" si="303"/>
        <v>0</v>
      </c>
      <c r="Z121" s="360">
        <f t="shared" si="300"/>
        <v>0</v>
      </c>
      <c r="AA121" s="360">
        <f t="shared" si="304"/>
        <v>0</v>
      </c>
      <c r="AB121" s="360">
        <f t="shared" si="304"/>
        <v>0</v>
      </c>
      <c r="AC121" s="360">
        <f t="shared" si="301"/>
        <v>0</v>
      </c>
      <c r="AD121" s="336"/>
      <c r="AE121" s="345">
        <f t="shared" si="305"/>
        <v>0</v>
      </c>
      <c r="AF121" s="345">
        <f t="shared" si="305"/>
        <v>0</v>
      </c>
      <c r="AG121" s="345">
        <f t="shared" si="305"/>
        <v>0</v>
      </c>
      <c r="AH121" s="345">
        <f t="shared" si="305"/>
        <v>0</v>
      </c>
      <c r="AI121" s="345">
        <f t="shared" si="305"/>
        <v>0</v>
      </c>
      <c r="AJ121" s="336"/>
      <c r="AK121" s="347">
        <f t="shared" si="278"/>
        <v>0</v>
      </c>
      <c r="AL121" s="347">
        <f t="shared" si="288"/>
        <v>0</v>
      </c>
      <c r="AM121" s="347">
        <f t="shared" si="279"/>
        <v>0</v>
      </c>
      <c r="AN121" s="347">
        <f t="shared" si="280"/>
        <v>0</v>
      </c>
      <c r="AO121" s="347">
        <f t="shared" si="281"/>
        <v>0</v>
      </c>
      <c r="AP121" s="336"/>
      <c r="AQ121" s="360">
        <f t="shared" si="306"/>
        <v>0</v>
      </c>
      <c r="AR121" s="360">
        <f t="shared" si="302"/>
        <v>0</v>
      </c>
      <c r="AS121" s="360">
        <f t="shared" si="307"/>
        <v>0</v>
      </c>
      <c r="AT121" s="360">
        <f t="shared" si="308"/>
        <v>0</v>
      </c>
      <c r="AU121" s="360">
        <f t="shared" si="309"/>
        <v>0</v>
      </c>
      <c r="AV121" s="360">
        <f>SUM(AQ121:AU121)-SUM(Y121:AC121)</f>
        <v>0</v>
      </c>
      <c r="AW121" s="360"/>
      <c r="AX121" s="363">
        <v>169</v>
      </c>
      <c r="AY121" s="364"/>
      <c r="AZ121" s="364">
        <v>37.39</v>
      </c>
      <c r="BA121" s="364"/>
      <c r="BB121" s="364"/>
      <c r="BC121" s="364"/>
      <c r="BD121" s="364"/>
      <c r="BE121" s="365">
        <f t="shared" si="290"/>
        <v>0.37999999999999989</v>
      </c>
      <c r="BF121" s="362"/>
      <c r="BG121" s="362">
        <f t="shared" ref="BG121:BG127" si="310">ROUND((T121*$BF$2)+$BE121-AZ121,2)</f>
        <v>-37.01</v>
      </c>
      <c r="BH121" s="362"/>
      <c r="BI121" s="362"/>
      <c r="BJ121" s="362"/>
      <c r="BK121" s="336"/>
      <c r="BL121" s="336"/>
      <c r="BM121" s="347">
        <f t="shared" si="282"/>
        <v>0</v>
      </c>
      <c r="BN121" s="347">
        <f t="shared" si="283"/>
        <v>0</v>
      </c>
      <c r="BO121" s="347">
        <f t="shared" si="291"/>
        <v>0</v>
      </c>
      <c r="BP121" s="347">
        <f t="shared" si="292"/>
        <v>0</v>
      </c>
      <c r="BQ121" s="347">
        <f t="shared" si="293"/>
        <v>0</v>
      </c>
      <c r="BR121" s="336"/>
      <c r="BS121" s="362">
        <f t="shared" si="294"/>
        <v>0</v>
      </c>
      <c r="BT121" s="49">
        <f t="shared" si="295"/>
        <v>-37.39</v>
      </c>
      <c r="BU121" s="49">
        <f t="shared" si="296"/>
        <v>0</v>
      </c>
      <c r="BV121" s="49">
        <f t="shared" si="297"/>
        <v>0</v>
      </c>
      <c r="BW121" s="49">
        <f t="shared" si="298"/>
        <v>0</v>
      </c>
    </row>
    <row r="122" spans="2:104">
      <c r="B122" s="32">
        <v>2</v>
      </c>
      <c r="C122" s="511" t="s">
        <v>100</v>
      </c>
      <c r="D122" s="180" t="s">
        <v>700</v>
      </c>
      <c r="E122" s="512">
        <v>0</v>
      </c>
      <c r="F122" s="67"/>
      <c r="G122" s="67" t="str">
        <f t="shared" si="259"/>
        <v>046145L</v>
      </c>
      <c r="I122" s="41" t="s">
        <v>606</v>
      </c>
      <c r="J122" t="s">
        <v>675</v>
      </c>
      <c r="K122" s="54" t="s">
        <v>109</v>
      </c>
      <c r="L122" s="84" t="s">
        <v>494</v>
      </c>
      <c r="M122" s="64">
        <f t="shared" ref="M122:Q131" si="311">SUMIF($G:$G,TEXT(M$3,"000")&amp;TEXT($L122,"000"),$E:$E)</f>
        <v>0</v>
      </c>
      <c r="N122" s="64">
        <f t="shared" si="311"/>
        <v>5366</v>
      </c>
      <c r="O122" s="64">
        <f t="shared" si="311"/>
        <v>0</v>
      </c>
      <c r="P122" s="64">
        <f t="shared" si="311"/>
        <v>0</v>
      </c>
      <c r="Q122" s="64">
        <f t="shared" si="311"/>
        <v>0</v>
      </c>
      <c r="R122" s="64">
        <f t="shared" si="299"/>
        <v>0</v>
      </c>
      <c r="S122" s="337">
        <v>0</v>
      </c>
      <c r="T122" s="514">
        <v>15.83</v>
      </c>
      <c r="U122" s="515">
        <v>0</v>
      </c>
      <c r="V122" s="515"/>
      <c r="W122" s="515"/>
      <c r="Y122" s="65">
        <f t="shared" si="303"/>
        <v>0</v>
      </c>
      <c r="Z122" s="65">
        <f t="shared" si="300"/>
        <v>84943.78</v>
      </c>
      <c r="AA122" s="65">
        <f t="shared" ref="AA122:AC123" si="312">IF(AND(O122&lt;&gt;0,U122=0),#VALUE!,O122*U122)</f>
        <v>0</v>
      </c>
      <c r="AB122" s="65">
        <f t="shared" si="312"/>
        <v>0</v>
      </c>
      <c r="AC122" s="65">
        <f t="shared" si="312"/>
        <v>0</v>
      </c>
      <c r="AE122" s="64">
        <f>SUMIF($G:$G,TEXT(AE$3,"000")&amp;TEXT($L122,"000"),$E:$E)</f>
        <v>0</v>
      </c>
      <c r="AF122" s="64">
        <f>SUMIF($G:$G,TEXT(AF$3,"000")&amp;TEXT($L122,"000"),$E:$E)</f>
        <v>5366</v>
      </c>
      <c r="AG122" s="64">
        <f>SUMIF($G:$G,TEXT(AG$3,"000")&amp;TEXT($L122,"000"),$E:$E)</f>
        <v>0</v>
      </c>
      <c r="AH122" s="64">
        <f>SUMIF($G:$G,TEXT(AH$3,"000")&amp;TEXT($L122,"000"),$E:$E)</f>
        <v>0</v>
      </c>
      <c r="AI122" s="64">
        <f>SUMIF($G:$G,TEXT(AI$3,"000")&amp;TEXT($L122,"000"),$E:$E)</f>
        <v>0</v>
      </c>
      <c r="AK122" s="74">
        <f t="shared" si="278"/>
        <v>0</v>
      </c>
      <c r="AL122" s="74">
        <f>AL32</f>
        <v>17.100000000000001</v>
      </c>
      <c r="AM122" s="74">
        <f t="shared" si="279"/>
        <v>0</v>
      </c>
      <c r="AN122" s="74">
        <f t="shared" si="280"/>
        <v>0</v>
      </c>
      <c r="AO122" s="74">
        <f t="shared" si="281"/>
        <v>0</v>
      </c>
      <c r="AQ122" s="65">
        <f t="shared" si="306"/>
        <v>0</v>
      </c>
      <c r="AR122" s="65">
        <f t="shared" si="302"/>
        <v>91758.6</v>
      </c>
      <c r="AS122" s="65">
        <f t="shared" si="307"/>
        <v>0</v>
      </c>
      <c r="AT122" s="65">
        <f t="shared" si="308"/>
        <v>0</v>
      </c>
      <c r="AU122" s="65">
        <f t="shared" si="309"/>
        <v>0</v>
      </c>
      <c r="AX122" s="299">
        <v>26</v>
      </c>
      <c r="AY122" s="85"/>
      <c r="AZ122" s="85"/>
      <c r="BA122" s="85"/>
      <c r="BB122" s="85"/>
      <c r="BC122" s="85"/>
      <c r="BD122" s="85"/>
      <c r="BE122" s="327">
        <f t="shared" si="290"/>
        <v>0.06</v>
      </c>
      <c r="BF122" s="49"/>
      <c r="BG122" s="49">
        <f t="shared" si="310"/>
        <v>16.13</v>
      </c>
      <c r="BH122" s="49"/>
      <c r="BI122" s="49"/>
      <c r="BJ122" s="49"/>
      <c r="BM122" s="214">
        <f t="shared" si="282"/>
        <v>0</v>
      </c>
      <c r="BN122" s="214">
        <f t="shared" si="283"/>
        <v>17.35821</v>
      </c>
      <c r="BO122" s="214">
        <f t="shared" si="291"/>
        <v>0</v>
      </c>
      <c r="BP122" s="214">
        <f t="shared" si="292"/>
        <v>0</v>
      </c>
      <c r="BQ122" s="214">
        <f t="shared" si="293"/>
        <v>0</v>
      </c>
      <c r="BS122" s="49">
        <f t="shared" si="294"/>
        <v>0</v>
      </c>
      <c r="BT122" s="49">
        <f t="shared" si="295"/>
        <v>17.35821</v>
      </c>
      <c r="BU122" s="49">
        <f t="shared" si="296"/>
        <v>0</v>
      </c>
      <c r="BV122" s="49">
        <f t="shared" si="297"/>
        <v>0</v>
      </c>
      <c r="BW122" s="49">
        <f t="shared" si="298"/>
        <v>0</v>
      </c>
      <c r="BX122" s="336"/>
      <c r="BY122" s="336"/>
      <c r="BZ122" s="336"/>
      <c r="CA122" s="336"/>
      <c r="CB122" s="336"/>
      <c r="CC122" s="336"/>
      <c r="CD122" s="336"/>
      <c r="CE122" s="336"/>
    </row>
    <row r="123" spans="2:104">
      <c r="B123" s="32">
        <v>2</v>
      </c>
      <c r="C123" s="511" t="s">
        <v>100</v>
      </c>
      <c r="D123" s="180" t="s">
        <v>701</v>
      </c>
      <c r="E123" s="512">
        <v>0</v>
      </c>
      <c r="F123" s="67"/>
      <c r="G123" s="67" t="str">
        <f t="shared" si="259"/>
        <v>046155L</v>
      </c>
      <c r="I123" t="s">
        <v>606</v>
      </c>
      <c r="J123" t="s">
        <v>675</v>
      </c>
      <c r="K123" s="54" t="s">
        <v>109</v>
      </c>
      <c r="L123" s="84" t="s">
        <v>597</v>
      </c>
      <c r="M123" s="64">
        <f t="shared" si="311"/>
        <v>0</v>
      </c>
      <c r="N123" s="64">
        <f t="shared" si="311"/>
        <v>1826</v>
      </c>
      <c r="O123" s="64">
        <f t="shared" si="311"/>
        <v>0</v>
      </c>
      <c r="P123" s="64">
        <f t="shared" si="311"/>
        <v>0</v>
      </c>
      <c r="Q123" s="64">
        <f t="shared" si="311"/>
        <v>0</v>
      </c>
      <c r="R123" s="64">
        <f t="shared" si="299"/>
        <v>0</v>
      </c>
      <c r="S123" s="337">
        <v>0</v>
      </c>
      <c r="T123" s="514">
        <v>10.6</v>
      </c>
      <c r="U123" s="515"/>
      <c r="V123" s="515">
        <v>0</v>
      </c>
      <c r="W123" s="515">
        <v>0</v>
      </c>
      <c r="Y123" s="65">
        <f t="shared" si="303"/>
        <v>0</v>
      </c>
      <c r="Z123" s="65">
        <f t="shared" si="300"/>
        <v>19355.599999999999</v>
      </c>
      <c r="AA123" s="65">
        <f t="shared" si="312"/>
        <v>0</v>
      </c>
      <c r="AB123" s="65">
        <f t="shared" si="312"/>
        <v>0</v>
      </c>
      <c r="AC123" s="65">
        <f t="shared" si="312"/>
        <v>0</v>
      </c>
      <c r="AE123" s="64">
        <f>M123</f>
        <v>0</v>
      </c>
      <c r="AF123" s="64">
        <f>N123</f>
        <v>1826</v>
      </c>
      <c r="AG123" s="64">
        <f>O123</f>
        <v>0</v>
      </c>
      <c r="AH123" s="64">
        <f>P123</f>
        <v>0</v>
      </c>
      <c r="AI123" s="64">
        <f>Q123</f>
        <v>0</v>
      </c>
      <c r="AK123" s="74">
        <f t="shared" si="278"/>
        <v>0</v>
      </c>
      <c r="AL123" s="74"/>
      <c r="AM123" s="74">
        <f t="shared" si="279"/>
        <v>0</v>
      </c>
      <c r="AN123" s="74">
        <f t="shared" si="280"/>
        <v>0</v>
      </c>
      <c r="AO123" s="74">
        <f t="shared" si="281"/>
        <v>0</v>
      </c>
      <c r="AQ123" s="65">
        <f t="shared" si="306"/>
        <v>0</v>
      </c>
      <c r="AR123" s="65" t="e">
        <f t="shared" si="302"/>
        <v>#VALUE!</v>
      </c>
      <c r="AS123" s="65">
        <f t="shared" si="307"/>
        <v>0</v>
      </c>
      <c r="AT123" s="65">
        <f t="shared" si="308"/>
        <v>0</v>
      </c>
      <c r="AU123" s="65">
        <f t="shared" si="309"/>
        <v>0</v>
      </c>
      <c r="AV123" s="65" t="e">
        <f>SUM(AQ123:AU123)-SUM(Y123:AC123)</f>
        <v>#VALUE!</v>
      </c>
      <c r="AW123" s="65"/>
      <c r="AX123" s="299">
        <v>26</v>
      </c>
      <c r="AY123" s="85"/>
      <c r="AZ123" s="85"/>
      <c r="BA123" s="85"/>
      <c r="BB123" s="85"/>
      <c r="BC123" s="85"/>
      <c r="BD123" s="85"/>
      <c r="BE123" s="327">
        <f t="shared" si="290"/>
        <v>0.06</v>
      </c>
      <c r="BF123" s="49"/>
      <c r="BG123" s="49">
        <f t="shared" si="310"/>
        <v>10.82</v>
      </c>
      <c r="BH123" s="49"/>
      <c r="BI123" s="49"/>
      <c r="BJ123" s="49"/>
      <c r="BM123" s="214">
        <f t="shared" si="282"/>
        <v>0</v>
      </c>
      <c r="BN123" s="214">
        <f t="shared" si="283"/>
        <v>0</v>
      </c>
      <c r="BO123" s="214">
        <f t="shared" si="291"/>
        <v>0</v>
      </c>
      <c r="BP123" s="214">
        <f t="shared" si="292"/>
        <v>0</v>
      </c>
      <c r="BQ123" s="214">
        <f t="shared" si="293"/>
        <v>0</v>
      </c>
      <c r="BS123" s="49">
        <f t="shared" si="294"/>
        <v>0</v>
      </c>
      <c r="BT123" s="49">
        <f t="shared" si="295"/>
        <v>0</v>
      </c>
      <c r="BU123" s="49">
        <f t="shared" si="296"/>
        <v>0</v>
      </c>
      <c r="BV123" s="49">
        <f t="shared" si="297"/>
        <v>0</v>
      </c>
      <c r="BW123" s="49">
        <f t="shared" si="298"/>
        <v>0</v>
      </c>
      <c r="BX123" s="336"/>
      <c r="BY123" s="336"/>
      <c r="BZ123" s="336"/>
      <c r="CA123" s="336"/>
      <c r="CB123" s="336"/>
      <c r="CC123" s="336"/>
      <c r="CD123" s="336"/>
      <c r="CE123" s="336"/>
      <c r="CF123" s="336"/>
      <c r="CG123" s="336"/>
      <c r="CH123" s="336"/>
      <c r="CI123" s="336"/>
      <c r="CJ123" s="336"/>
      <c r="CK123" s="336"/>
      <c r="CL123" s="336"/>
    </row>
    <row r="124" spans="2:104">
      <c r="B124" s="32">
        <v>2</v>
      </c>
      <c r="C124" s="511" t="s">
        <v>100</v>
      </c>
      <c r="D124" s="180" t="s">
        <v>702</v>
      </c>
      <c r="E124" s="512">
        <v>2</v>
      </c>
      <c r="F124" s="67"/>
      <c r="G124" s="67" t="str">
        <f t="shared" si="259"/>
        <v>046165L</v>
      </c>
      <c r="I124" s="41" t="s">
        <v>606</v>
      </c>
      <c r="J124" t="s">
        <v>674</v>
      </c>
      <c r="K124" s="54" t="s">
        <v>517</v>
      </c>
      <c r="L124" s="84" t="s">
        <v>508</v>
      </c>
      <c r="M124" s="64">
        <f t="shared" si="311"/>
        <v>0</v>
      </c>
      <c r="N124" s="64">
        <f t="shared" si="311"/>
        <v>1362</v>
      </c>
      <c r="O124" s="64">
        <f t="shared" si="311"/>
        <v>0</v>
      </c>
      <c r="P124" s="64">
        <f t="shared" si="311"/>
        <v>0</v>
      </c>
      <c r="Q124" s="64">
        <f t="shared" si="311"/>
        <v>0</v>
      </c>
      <c r="R124" s="64">
        <f t="shared" si="299"/>
        <v>0</v>
      </c>
      <c r="S124" s="337">
        <v>0</v>
      </c>
      <c r="T124" s="514">
        <v>22.01</v>
      </c>
      <c r="U124" s="515">
        <v>0</v>
      </c>
      <c r="V124" s="515">
        <v>0</v>
      </c>
      <c r="W124" s="515"/>
      <c r="Y124" s="65">
        <f t="shared" ref="Y124:AC125" si="313">IF(AND(M124&lt;&gt;0,S124=0),#VALUE!,M124*S124)</f>
        <v>0</v>
      </c>
      <c r="Z124" s="65">
        <f t="shared" si="313"/>
        <v>29977.620000000003</v>
      </c>
      <c r="AA124" s="65">
        <f t="shared" si="313"/>
        <v>0</v>
      </c>
      <c r="AB124" s="65">
        <f t="shared" si="313"/>
        <v>0</v>
      </c>
      <c r="AC124" s="65">
        <f t="shared" si="313"/>
        <v>0</v>
      </c>
      <c r="AE124" s="64">
        <f>SUMIF($G:$G,TEXT(AE$3,"000")&amp;TEXT($L124,"000"),$E:$E)</f>
        <v>0</v>
      </c>
      <c r="AF124" s="64">
        <f>SUMIF($G:$G,TEXT(AF$3,"000")&amp;TEXT($L124,"000"),$E:$E)</f>
        <v>1362</v>
      </c>
      <c r="AG124" s="64">
        <f>SUMIF($G:$G,TEXT(AG$3,"000")&amp;TEXT($L124,"000"),$E:$E)</f>
        <v>0</v>
      </c>
      <c r="AH124" s="64">
        <f>SUMIF($G:$G,TEXT(AH$3,"000")&amp;TEXT($L124,"000"),$E:$E)</f>
        <v>0</v>
      </c>
      <c r="AI124" s="64">
        <f>SUMIF($G:$G,TEXT(AI$3,"000")&amp;TEXT($L124,"000"),$E:$E)</f>
        <v>0</v>
      </c>
      <c r="AK124" s="74">
        <f t="shared" si="278"/>
        <v>0</v>
      </c>
      <c r="AL124" s="74">
        <f>AL59</f>
        <v>23.77</v>
      </c>
      <c r="AM124" s="74">
        <f t="shared" si="279"/>
        <v>0</v>
      </c>
      <c r="AN124" s="74">
        <f t="shared" si="280"/>
        <v>0</v>
      </c>
      <c r="AO124" s="74">
        <f t="shared" si="281"/>
        <v>0</v>
      </c>
      <c r="AQ124" s="65">
        <f t="shared" si="306"/>
        <v>0</v>
      </c>
      <c r="AR124" s="65">
        <f t="shared" si="302"/>
        <v>32374.739999999998</v>
      </c>
      <c r="AS124" s="65">
        <f t="shared" si="307"/>
        <v>0</v>
      </c>
      <c r="AT124" s="65">
        <f t="shared" si="308"/>
        <v>0</v>
      </c>
      <c r="AU124" s="65">
        <f t="shared" si="309"/>
        <v>0</v>
      </c>
      <c r="AX124" s="299">
        <v>39</v>
      </c>
      <c r="AY124" s="85"/>
      <c r="AZ124" s="85"/>
      <c r="BA124" s="85"/>
      <c r="BB124" s="85"/>
      <c r="BC124" s="85"/>
      <c r="BD124" s="85"/>
      <c r="BE124" s="327">
        <f t="shared" si="290"/>
        <v>8.0000000000000016E-2</v>
      </c>
      <c r="BF124" s="49"/>
      <c r="BG124" s="49">
        <f t="shared" si="310"/>
        <v>22.42</v>
      </c>
      <c r="BH124" s="49"/>
      <c r="BI124" s="49"/>
      <c r="BJ124" s="49"/>
      <c r="BM124" s="214">
        <f t="shared" si="282"/>
        <v>0</v>
      </c>
      <c r="BN124" s="214">
        <f t="shared" si="283"/>
        <v>24.128926999999997</v>
      </c>
      <c r="BO124" s="214">
        <f t="shared" ref="BO124:BQ127" si="314">AM124*$BM$1</f>
        <v>0</v>
      </c>
      <c r="BP124" s="214">
        <f t="shared" si="314"/>
        <v>0</v>
      </c>
      <c r="BQ124" s="214">
        <f t="shared" si="314"/>
        <v>0</v>
      </c>
      <c r="BS124" s="49">
        <f t="shared" ref="BS124:BW125" si="315">BM124-AY124</f>
        <v>0</v>
      </c>
      <c r="BT124" s="49">
        <f t="shared" si="315"/>
        <v>24.128926999999997</v>
      </c>
      <c r="BU124" s="49">
        <f t="shared" si="315"/>
        <v>0</v>
      </c>
      <c r="BV124" s="49">
        <f t="shared" si="315"/>
        <v>0</v>
      </c>
      <c r="BW124" s="49">
        <f t="shared" si="315"/>
        <v>0</v>
      </c>
    </row>
    <row r="125" spans="2:104">
      <c r="B125" s="32">
        <v>2</v>
      </c>
      <c r="C125" s="511" t="s">
        <v>100</v>
      </c>
      <c r="D125" s="180" t="s">
        <v>703</v>
      </c>
      <c r="E125" s="512">
        <v>0</v>
      </c>
      <c r="F125" s="67"/>
      <c r="G125" s="67" t="str">
        <f t="shared" si="259"/>
        <v>046175L</v>
      </c>
      <c r="I125" t="s">
        <v>606</v>
      </c>
      <c r="J125" t="s">
        <v>674</v>
      </c>
      <c r="K125" s="54" t="s">
        <v>517</v>
      </c>
      <c r="L125" s="84" t="s">
        <v>603</v>
      </c>
      <c r="M125" s="64">
        <f t="shared" si="311"/>
        <v>0</v>
      </c>
      <c r="N125" s="64">
        <f t="shared" si="311"/>
        <v>469</v>
      </c>
      <c r="O125" s="64">
        <f t="shared" si="311"/>
        <v>0</v>
      </c>
      <c r="P125" s="64">
        <f t="shared" si="311"/>
        <v>0</v>
      </c>
      <c r="Q125" s="64">
        <f t="shared" si="311"/>
        <v>0</v>
      </c>
      <c r="R125" s="64">
        <f t="shared" si="299"/>
        <v>0</v>
      </c>
      <c r="S125" s="337">
        <v>0</v>
      </c>
      <c r="T125" s="514">
        <v>16.48</v>
      </c>
      <c r="U125" s="515"/>
      <c r="V125" s="515">
        <v>0</v>
      </c>
      <c r="W125" s="515">
        <v>0</v>
      </c>
      <c r="Y125" s="65">
        <f t="shared" si="313"/>
        <v>0</v>
      </c>
      <c r="Z125" s="65">
        <f t="shared" si="313"/>
        <v>7729.12</v>
      </c>
      <c r="AA125" s="65">
        <f t="shared" si="313"/>
        <v>0</v>
      </c>
      <c r="AB125" s="65">
        <f t="shared" si="313"/>
        <v>0</v>
      </c>
      <c r="AC125" s="65">
        <f t="shared" si="313"/>
        <v>0</v>
      </c>
      <c r="AE125" s="64">
        <f t="shared" ref="AE125:AI127" si="316">M125</f>
        <v>0</v>
      </c>
      <c r="AF125" s="64">
        <f t="shared" si="316"/>
        <v>469</v>
      </c>
      <c r="AG125" s="64">
        <f t="shared" si="316"/>
        <v>0</v>
      </c>
      <c r="AH125" s="64">
        <f t="shared" si="316"/>
        <v>0</v>
      </c>
      <c r="AI125" s="64">
        <f t="shared" si="316"/>
        <v>0</v>
      </c>
      <c r="AK125" s="74">
        <f t="shared" si="278"/>
        <v>0</v>
      </c>
      <c r="AL125" s="74"/>
      <c r="AM125" s="74">
        <f t="shared" si="279"/>
        <v>0</v>
      </c>
      <c r="AN125" s="74">
        <f t="shared" si="280"/>
        <v>0</v>
      </c>
      <c r="AO125" s="74">
        <f t="shared" si="281"/>
        <v>0</v>
      </c>
      <c r="AQ125" s="65">
        <f t="shared" si="306"/>
        <v>0</v>
      </c>
      <c r="AR125" s="65" t="e">
        <f t="shared" si="302"/>
        <v>#VALUE!</v>
      </c>
      <c r="AS125" s="65">
        <f t="shared" si="307"/>
        <v>0</v>
      </c>
      <c r="AT125" s="65">
        <f t="shared" si="308"/>
        <v>0</v>
      </c>
      <c r="AU125" s="65">
        <f t="shared" si="309"/>
        <v>0</v>
      </c>
      <c r="AV125" s="65" t="e">
        <f>SUM(AQ125:AU125)-SUM(Y125:AC125)</f>
        <v>#VALUE!</v>
      </c>
      <c r="AW125" s="65"/>
      <c r="AX125" s="299">
        <v>39</v>
      </c>
      <c r="AY125" s="85"/>
      <c r="AZ125" s="85"/>
      <c r="BA125" s="85"/>
      <c r="BB125" s="85"/>
      <c r="BC125" s="85"/>
      <c r="BD125" s="85"/>
      <c r="BE125" s="327">
        <f t="shared" si="290"/>
        <v>8.0000000000000016E-2</v>
      </c>
      <c r="BF125" s="49"/>
      <c r="BG125" s="49">
        <f t="shared" si="310"/>
        <v>16.809999999999999</v>
      </c>
      <c r="BH125" s="49"/>
      <c r="BI125" s="49"/>
      <c r="BJ125" s="49"/>
      <c r="BM125" s="214">
        <f t="shared" si="282"/>
        <v>0</v>
      </c>
      <c r="BN125" s="214">
        <f t="shared" si="283"/>
        <v>0</v>
      </c>
      <c r="BO125" s="214">
        <f t="shared" si="314"/>
        <v>0</v>
      </c>
      <c r="BP125" s="214">
        <f t="shared" si="314"/>
        <v>0</v>
      </c>
      <c r="BQ125" s="214">
        <f t="shared" si="314"/>
        <v>0</v>
      </c>
      <c r="BS125" s="49">
        <f t="shared" si="315"/>
        <v>0</v>
      </c>
      <c r="BT125" s="49">
        <f t="shared" si="315"/>
        <v>0</v>
      </c>
      <c r="BU125" s="49">
        <f t="shared" si="315"/>
        <v>0</v>
      </c>
      <c r="BV125" s="49">
        <f t="shared" si="315"/>
        <v>0</v>
      </c>
      <c r="BW125" s="49">
        <f t="shared" si="315"/>
        <v>0</v>
      </c>
    </row>
    <row r="126" spans="2:104">
      <c r="B126" s="32">
        <v>2</v>
      </c>
      <c r="C126" s="511" t="s">
        <v>100</v>
      </c>
      <c r="D126" s="180" t="s">
        <v>704</v>
      </c>
      <c r="E126" s="512">
        <v>0</v>
      </c>
      <c r="F126" s="67"/>
      <c r="G126" s="67" t="str">
        <f t="shared" si="259"/>
        <v>046185L</v>
      </c>
      <c r="I126" t="s">
        <v>105</v>
      </c>
      <c r="J126" t="s">
        <v>674</v>
      </c>
      <c r="K126" s="54" t="s">
        <v>124</v>
      </c>
      <c r="L126" s="84">
        <v>831</v>
      </c>
      <c r="M126" s="64">
        <f t="shared" si="311"/>
        <v>0</v>
      </c>
      <c r="N126" s="64">
        <f t="shared" si="311"/>
        <v>0</v>
      </c>
      <c r="O126" s="64">
        <f t="shared" si="311"/>
        <v>0</v>
      </c>
      <c r="P126" s="64">
        <f t="shared" si="311"/>
        <v>0</v>
      </c>
      <c r="Q126" s="64">
        <f t="shared" si="311"/>
        <v>0</v>
      </c>
      <c r="R126" s="64">
        <f t="shared" si="299"/>
        <v>1</v>
      </c>
      <c r="S126" s="337">
        <v>0</v>
      </c>
      <c r="T126" s="515">
        <v>31.24</v>
      </c>
      <c r="U126" s="515">
        <v>23.31</v>
      </c>
      <c r="V126" s="515">
        <v>0</v>
      </c>
      <c r="W126" s="515">
        <v>0</v>
      </c>
      <c r="Y126" s="65">
        <f t="shared" ref="Y126:AC127" si="317">IF(AND(M126&lt;&gt;0,S126=0),#VALUE!,M126*S126)</f>
        <v>0</v>
      </c>
      <c r="Z126" s="65">
        <f t="shared" si="317"/>
        <v>0</v>
      </c>
      <c r="AA126" s="65">
        <f t="shared" si="317"/>
        <v>0</v>
      </c>
      <c r="AB126" s="65">
        <f t="shared" si="317"/>
        <v>0</v>
      </c>
      <c r="AC126" s="65">
        <f t="shared" si="317"/>
        <v>0</v>
      </c>
      <c r="AE126" s="64">
        <f t="shared" si="316"/>
        <v>0</v>
      </c>
      <c r="AF126" s="64">
        <f t="shared" si="316"/>
        <v>0</v>
      </c>
      <c r="AG126" s="64">
        <f t="shared" si="316"/>
        <v>0</v>
      </c>
      <c r="AH126" s="64">
        <f t="shared" si="316"/>
        <v>0</v>
      </c>
      <c r="AI126" s="64">
        <f t="shared" si="316"/>
        <v>0</v>
      </c>
      <c r="AK126" s="74">
        <f t="shared" si="278"/>
        <v>0</v>
      </c>
      <c r="AL126" s="74"/>
      <c r="AM126" s="74">
        <f t="shared" si="279"/>
        <v>26.35</v>
      </c>
      <c r="AN126" s="74">
        <f t="shared" si="280"/>
        <v>0</v>
      </c>
      <c r="AO126" s="74">
        <f t="shared" si="281"/>
        <v>0</v>
      </c>
      <c r="AQ126" s="65">
        <f t="shared" si="306"/>
        <v>0</v>
      </c>
      <c r="AR126" s="65">
        <f t="shared" si="302"/>
        <v>0</v>
      </c>
      <c r="AS126" s="65">
        <f t="shared" si="307"/>
        <v>0</v>
      </c>
      <c r="AT126" s="65">
        <f t="shared" si="308"/>
        <v>0</v>
      </c>
      <c r="AU126" s="65">
        <f t="shared" si="309"/>
        <v>0</v>
      </c>
      <c r="AV126" s="65">
        <f>SUM(AQ126:AU126)-SUM(Y126:AC126)</f>
        <v>0</v>
      </c>
      <c r="AW126" s="65"/>
      <c r="AX126" s="299">
        <v>169</v>
      </c>
      <c r="AY126" s="85"/>
      <c r="AZ126" s="85"/>
      <c r="BA126" s="85">
        <v>22.17</v>
      </c>
      <c r="BB126" s="85"/>
      <c r="BC126" s="85"/>
      <c r="BD126" s="85"/>
      <c r="BE126" s="327">
        <f t="shared" si="290"/>
        <v>0.37999999999999989</v>
      </c>
      <c r="BF126" s="49"/>
      <c r="BG126" s="49">
        <f t="shared" si="310"/>
        <v>32.090000000000003</v>
      </c>
      <c r="BH126" s="49">
        <f>ROUND((U126*$BF$2)+$BE126-BA126,2)</f>
        <v>1.87</v>
      </c>
      <c r="BI126" s="49"/>
      <c r="BJ126" s="49"/>
      <c r="BM126" s="214">
        <f t="shared" si="282"/>
        <v>0</v>
      </c>
      <c r="BN126" s="214">
        <f t="shared" si="283"/>
        <v>0</v>
      </c>
      <c r="BO126" s="214">
        <f t="shared" si="314"/>
        <v>26.747885</v>
      </c>
      <c r="BP126" s="214">
        <f t="shared" si="314"/>
        <v>0</v>
      </c>
      <c r="BQ126" s="214">
        <f t="shared" si="314"/>
        <v>0</v>
      </c>
      <c r="BS126" s="49">
        <f t="shared" ref="BS126:BW127" si="318">BM126-AY126</f>
        <v>0</v>
      </c>
      <c r="BT126" s="49">
        <f t="shared" si="318"/>
        <v>0</v>
      </c>
      <c r="BU126" s="49">
        <f t="shared" si="318"/>
        <v>4.5778849999999984</v>
      </c>
      <c r="BV126" s="49">
        <f t="shared" si="318"/>
        <v>0</v>
      </c>
      <c r="BW126" s="49">
        <f t="shared" si="318"/>
        <v>0</v>
      </c>
    </row>
    <row r="127" spans="2:104">
      <c r="B127" s="32">
        <v>2</v>
      </c>
      <c r="C127" s="511" t="s">
        <v>100</v>
      </c>
      <c r="D127" s="180" t="s">
        <v>705</v>
      </c>
      <c r="E127" s="512">
        <v>0</v>
      </c>
      <c r="F127" s="67"/>
      <c r="G127" s="67" t="str">
        <f t="shared" si="259"/>
        <v>046195L</v>
      </c>
      <c r="I127" t="s">
        <v>606</v>
      </c>
      <c r="J127" t="s">
        <v>674</v>
      </c>
      <c r="K127" s="54" t="s">
        <v>535</v>
      </c>
      <c r="L127" s="84" t="s">
        <v>612</v>
      </c>
      <c r="M127" s="64">
        <f t="shared" si="311"/>
        <v>0</v>
      </c>
      <c r="N127" s="64">
        <f t="shared" si="311"/>
        <v>40</v>
      </c>
      <c r="O127" s="64">
        <f t="shared" si="311"/>
        <v>0</v>
      </c>
      <c r="P127" s="64">
        <f t="shared" si="311"/>
        <v>0</v>
      </c>
      <c r="Q127" s="64">
        <f t="shared" si="311"/>
        <v>0</v>
      </c>
      <c r="R127" s="64">
        <f t="shared" si="299"/>
        <v>0</v>
      </c>
      <c r="S127" s="337">
        <v>0</v>
      </c>
      <c r="T127" s="514">
        <v>23.32</v>
      </c>
      <c r="U127" s="515"/>
      <c r="V127" s="515">
        <v>0</v>
      </c>
      <c r="W127" s="515">
        <v>0</v>
      </c>
      <c r="Y127" s="65">
        <f t="shared" si="317"/>
        <v>0</v>
      </c>
      <c r="Z127" s="65">
        <f t="shared" si="317"/>
        <v>932.8</v>
      </c>
      <c r="AA127" s="65">
        <f t="shared" si="317"/>
        <v>0</v>
      </c>
      <c r="AB127" s="65">
        <f t="shared" si="317"/>
        <v>0</v>
      </c>
      <c r="AC127" s="65">
        <f t="shared" si="317"/>
        <v>0</v>
      </c>
      <c r="AE127" s="64">
        <f t="shared" si="316"/>
        <v>0</v>
      </c>
      <c r="AF127" s="64">
        <f t="shared" si="316"/>
        <v>40</v>
      </c>
      <c r="AG127" s="64">
        <f t="shared" si="316"/>
        <v>0</v>
      </c>
      <c r="AH127" s="64">
        <f t="shared" si="316"/>
        <v>0</v>
      </c>
      <c r="AI127" s="64">
        <f t="shared" si="316"/>
        <v>0</v>
      </c>
      <c r="AK127" s="74">
        <f t="shared" si="278"/>
        <v>0</v>
      </c>
      <c r="AL127" s="74"/>
      <c r="AM127" s="74">
        <f t="shared" si="279"/>
        <v>0</v>
      </c>
      <c r="AN127" s="74">
        <f t="shared" si="280"/>
        <v>0</v>
      </c>
      <c r="AO127" s="74">
        <f t="shared" si="281"/>
        <v>0</v>
      </c>
      <c r="AQ127" s="65">
        <f t="shared" si="306"/>
        <v>0</v>
      </c>
      <c r="AR127" s="65" t="e">
        <f t="shared" si="302"/>
        <v>#VALUE!</v>
      </c>
      <c r="AS127" s="65">
        <f t="shared" si="307"/>
        <v>0</v>
      </c>
      <c r="AT127" s="65">
        <f t="shared" si="308"/>
        <v>0</v>
      </c>
      <c r="AU127" s="65">
        <f t="shared" si="309"/>
        <v>0</v>
      </c>
      <c r="AV127" s="65" t="e">
        <f>SUM(AQ127:AU127)-SUM(Y127:AC127)</f>
        <v>#VALUE!</v>
      </c>
      <c r="AW127" s="65"/>
      <c r="AX127" s="299">
        <v>83</v>
      </c>
      <c r="AY127" s="85"/>
      <c r="AZ127" s="85"/>
      <c r="BA127" s="85"/>
      <c r="BB127" s="85"/>
      <c r="BC127" s="85"/>
      <c r="BD127" s="85"/>
      <c r="BE127" s="327">
        <f t="shared" si="290"/>
        <v>0.18999999999999995</v>
      </c>
      <c r="BF127" s="49"/>
      <c r="BG127" s="49">
        <f t="shared" si="310"/>
        <v>23.86</v>
      </c>
      <c r="BH127" s="49"/>
      <c r="BI127" s="49"/>
      <c r="BJ127" s="49"/>
      <c r="BM127" s="214">
        <f t="shared" si="282"/>
        <v>0</v>
      </c>
      <c r="BN127" s="214">
        <f t="shared" si="283"/>
        <v>0</v>
      </c>
      <c r="BO127" s="214">
        <f t="shared" si="314"/>
        <v>0</v>
      </c>
      <c r="BP127" s="214">
        <f t="shared" si="314"/>
        <v>0</v>
      </c>
      <c r="BQ127" s="214">
        <f t="shared" si="314"/>
        <v>0</v>
      </c>
      <c r="BS127" s="49">
        <f t="shared" si="318"/>
        <v>0</v>
      </c>
      <c r="BT127" s="49">
        <f t="shared" si="318"/>
        <v>0</v>
      </c>
      <c r="BU127" s="49">
        <f t="shared" si="318"/>
        <v>0</v>
      </c>
      <c r="BV127" s="49">
        <f t="shared" si="318"/>
        <v>0</v>
      </c>
      <c r="BW127" s="49">
        <f t="shared" si="318"/>
        <v>0</v>
      </c>
    </row>
    <row r="128" spans="2:104">
      <c r="B128" s="32">
        <v>2</v>
      </c>
      <c r="C128" s="511" t="s">
        <v>100</v>
      </c>
      <c r="D128" s="180" t="s">
        <v>706</v>
      </c>
      <c r="E128" s="512">
        <v>19</v>
      </c>
      <c r="F128" s="67"/>
      <c r="G128" s="67" t="str">
        <f t="shared" si="259"/>
        <v>046212L</v>
      </c>
      <c r="I128" s="41" t="s">
        <v>606</v>
      </c>
      <c r="J128" t="s">
        <v>674</v>
      </c>
      <c r="K128" s="54" t="s">
        <v>535</v>
      </c>
      <c r="L128" s="84" t="s">
        <v>536</v>
      </c>
      <c r="M128" s="64">
        <f t="shared" si="311"/>
        <v>0</v>
      </c>
      <c r="N128" s="64">
        <f t="shared" si="311"/>
        <v>1</v>
      </c>
      <c r="O128" s="64">
        <f t="shared" si="311"/>
        <v>0</v>
      </c>
      <c r="P128" s="64">
        <f t="shared" si="311"/>
        <v>0</v>
      </c>
      <c r="Q128" s="64">
        <f t="shared" si="311"/>
        <v>0</v>
      </c>
      <c r="R128" s="64">
        <f t="shared" si="299"/>
        <v>0</v>
      </c>
      <c r="S128" s="337">
        <v>0</v>
      </c>
      <c r="T128" s="514">
        <f>T126</f>
        <v>31.24</v>
      </c>
      <c r="U128" s="515">
        <v>0</v>
      </c>
      <c r="V128" s="515">
        <v>0</v>
      </c>
      <c r="W128" s="515"/>
      <c r="Z128" s="65">
        <f t="shared" ref="Z128:AC130" si="319">IF(AND(N128&lt;&gt;0,T128=0),#VALUE!,N128*T128)</f>
        <v>31.24</v>
      </c>
      <c r="AA128" s="65">
        <f t="shared" si="319"/>
        <v>0</v>
      </c>
      <c r="AB128" s="65">
        <f t="shared" si="319"/>
        <v>0</v>
      </c>
      <c r="AC128" s="65">
        <f t="shared" si="319"/>
        <v>0</v>
      </c>
      <c r="AE128" s="64">
        <f>SUMIF($G:$G,TEXT(AE$3,"000")&amp;TEXT($L128,"000"),$E:$E)</f>
        <v>0</v>
      </c>
      <c r="AF128" s="64">
        <f>SUMIF($G:$G,TEXT(AF$3,"000")&amp;TEXT($L128,"000"),$E:$E)</f>
        <v>1</v>
      </c>
      <c r="AG128" s="64">
        <f>SUMIF($G:$G,TEXT(AG$3,"000")&amp;TEXT($L128,"000"),$E:$E)</f>
        <v>0</v>
      </c>
      <c r="AH128" s="64">
        <f>SUMIF($G:$G,TEXT(AH$3,"000")&amp;TEXT($L128,"000"),$E:$E)</f>
        <v>0</v>
      </c>
      <c r="AI128" s="64">
        <f>SUMIF($G:$G,TEXT(AI$3,"000")&amp;TEXT($L128,"000"),$E:$E)</f>
        <v>0</v>
      </c>
      <c r="AK128" s="74">
        <f t="shared" si="278"/>
        <v>0</v>
      </c>
      <c r="AL128" s="74">
        <f>AL126</f>
        <v>0</v>
      </c>
      <c r="AM128" s="74">
        <f t="shared" si="279"/>
        <v>0</v>
      </c>
      <c r="AN128" s="74">
        <f t="shared" si="280"/>
        <v>0</v>
      </c>
      <c r="AO128" s="74">
        <f t="shared" si="281"/>
        <v>0</v>
      </c>
      <c r="AQ128" s="65">
        <f t="shared" si="306"/>
        <v>0</v>
      </c>
      <c r="AR128" s="65" t="e">
        <f t="shared" si="302"/>
        <v>#VALUE!</v>
      </c>
      <c r="AS128" s="65">
        <f t="shared" si="307"/>
        <v>0</v>
      </c>
      <c r="AT128" s="65">
        <f t="shared" si="308"/>
        <v>0</v>
      </c>
      <c r="AU128" s="65">
        <f t="shared" si="309"/>
        <v>0</v>
      </c>
    </row>
    <row r="129" spans="2:75">
      <c r="B129" s="32">
        <v>2</v>
      </c>
      <c r="C129" s="511" t="s">
        <v>100</v>
      </c>
      <c r="D129" s="180" t="s">
        <v>707</v>
      </c>
      <c r="E129" s="512">
        <f>30+29+1</f>
        <v>60</v>
      </c>
      <c r="F129" s="67"/>
      <c r="G129" s="67" t="str">
        <f t="shared" si="259"/>
        <v>046237L</v>
      </c>
      <c r="H129" s="41"/>
      <c r="I129" t="s">
        <v>610</v>
      </c>
      <c r="J129" t="s">
        <v>675</v>
      </c>
      <c r="K129" s="54" t="s">
        <v>517</v>
      </c>
      <c r="L129" s="84" t="s">
        <v>609</v>
      </c>
      <c r="M129" s="64">
        <f t="shared" si="311"/>
        <v>0</v>
      </c>
      <c r="N129" s="64">
        <f t="shared" si="311"/>
        <v>0</v>
      </c>
      <c r="O129" s="64">
        <f t="shared" si="311"/>
        <v>0</v>
      </c>
      <c r="P129" s="64">
        <f t="shared" si="311"/>
        <v>0</v>
      </c>
      <c r="Q129" s="64">
        <f t="shared" si="311"/>
        <v>0</v>
      </c>
      <c r="R129" s="64">
        <f t="shared" si="299"/>
        <v>1</v>
      </c>
      <c r="S129" s="337">
        <v>0</v>
      </c>
      <c r="T129" s="514">
        <f>T74-T103-T103</f>
        <v>36.51</v>
      </c>
      <c r="U129" s="515">
        <v>0</v>
      </c>
      <c r="V129" s="515">
        <v>0</v>
      </c>
      <c r="W129" s="515">
        <v>0</v>
      </c>
      <c r="Y129" s="65">
        <f>IF(AND(M129&lt;&gt;0,S129=0),#VALUE!,M129*S129)</f>
        <v>0</v>
      </c>
      <c r="Z129" s="65">
        <f t="shared" si="319"/>
        <v>0</v>
      </c>
      <c r="AA129" s="65">
        <f t="shared" si="319"/>
        <v>0</v>
      </c>
      <c r="AB129" s="65">
        <f t="shared" si="319"/>
        <v>0</v>
      </c>
      <c r="AC129" s="65">
        <f t="shared" si="319"/>
        <v>0</v>
      </c>
      <c r="AE129" s="64">
        <f t="shared" ref="AE129:AI130" si="320">M129</f>
        <v>0</v>
      </c>
      <c r="AF129" s="64">
        <f t="shared" si="320"/>
        <v>0</v>
      </c>
      <c r="AG129" s="64">
        <f t="shared" si="320"/>
        <v>0</v>
      </c>
      <c r="AH129" s="64">
        <f t="shared" si="320"/>
        <v>0</v>
      </c>
      <c r="AI129" s="64">
        <f t="shared" si="320"/>
        <v>0</v>
      </c>
      <c r="AK129" s="74">
        <f t="shared" si="278"/>
        <v>0</v>
      </c>
      <c r="AL129" s="74">
        <f>AL74-AL103-AL103</f>
        <v>42.23</v>
      </c>
      <c r="AM129" s="74">
        <f t="shared" si="279"/>
        <v>0</v>
      </c>
      <c r="AN129" s="74">
        <f t="shared" si="280"/>
        <v>0</v>
      </c>
      <c r="AO129" s="74">
        <f t="shared" si="281"/>
        <v>0</v>
      </c>
      <c r="AQ129" s="65">
        <f t="shared" si="306"/>
        <v>0</v>
      </c>
      <c r="AR129" s="65">
        <f t="shared" si="302"/>
        <v>0</v>
      </c>
      <c r="AS129" s="65">
        <f t="shared" si="307"/>
        <v>0</v>
      </c>
      <c r="AT129" s="65">
        <f t="shared" si="308"/>
        <v>0</v>
      </c>
      <c r="AU129" s="65">
        <f t="shared" si="309"/>
        <v>0</v>
      </c>
      <c r="AV129" s="65">
        <f>SUM(AQ129:AU129)-SUM(Y129:AC129)</f>
        <v>0</v>
      </c>
      <c r="AW129" s="65"/>
      <c r="AX129" s="299">
        <v>78</v>
      </c>
      <c r="AY129" s="85"/>
      <c r="AZ129" s="85">
        <v>35.47</v>
      </c>
      <c r="BA129" s="85"/>
      <c r="BB129" s="85"/>
      <c r="BC129" s="85"/>
      <c r="BD129" s="85"/>
      <c r="BE129" s="327">
        <f>ROUND(AX129*$BE$2,2)+ROUND(AX129*$BE$1,2)</f>
        <v>0.18000000000000005</v>
      </c>
      <c r="BF129" s="49"/>
      <c r="BG129" s="49">
        <f>ROUND((T129*$BF$2)+$BE129-AZ129,2)</f>
        <v>1.77</v>
      </c>
      <c r="BH129" s="49"/>
      <c r="BI129" s="49"/>
      <c r="BJ129" s="49"/>
      <c r="BM129" s="214">
        <f t="shared" ref="BM129:BQ130" si="321">AK129*$BM$1</f>
        <v>0</v>
      </c>
      <c r="BN129" s="214">
        <f t="shared" si="321"/>
        <v>42.867672999999989</v>
      </c>
      <c r="BO129" s="214">
        <f t="shared" si="321"/>
        <v>0</v>
      </c>
      <c r="BP129" s="214">
        <f t="shared" si="321"/>
        <v>0</v>
      </c>
      <c r="BQ129" s="214">
        <f t="shared" si="321"/>
        <v>0</v>
      </c>
      <c r="BS129" s="49">
        <f t="shared" ref="BS129:BW130" si="322">BM129-AY129</f>
        <v>0</v>
      </c>
      <c r="BT129" s="49">
        <f t="shared" si="322"/>
        <v>7.3976729999999904</v>
      </c>
      <c r="BU129" s="49">
        <f t="shared" si="322"/>
        <v>0</v>
      </c>
      <c r="BV129" s="49">
        <f t="shared" si="322"/>
        <v>0</v>
      </c>
      <c r="BW129" s="49">
        <f t="shared" si="322"/>
        <v>0</v>
      </c>
    </row>
    <row r="130" spans="2:75">
      <c r="B130" s="32">
        <v>2</v>
      </c>
      <c r="C130" s="511" t="s">
        <v>100</v>
      </c>
      <c r="D130" s="32">
        <v>335</v>
      </c>
      <c r="E130" s="512">
        <v>8</v>
      </c>
      <c r="F130" s="67"/>
      <c r="G130" s="67" t="str">
        <f t="shared" si="259"/>
        <v>046335</v>
      </c>
      <c r="H130" s="40"/>
      <c r="I130" s="336" t="s">
        <v>394</v>
      </c>
      <c r="J130" s="336" t="s">
        <v>87</v>
      </c>
      <c r="K130" s="338" t="s">
        <v>117</v>
      </c>
      <c r="L130" s="339">
        <v>478</v>
      </c>
      <c r="M130" s="345">
        <f t="shared" si="311"/>
        <v>0</v>
      </c>
      <c r="N130" s="345">
        <f t="shared" si="311"/>
        <v>0</v>
      </c>
      <c r="O130" s="345">
        <f t="shared" si="311"/>
        <v>0</v>
      </c>
      <c r="P130" s="345">
        <f t="shared" si="311"/>
        <v>0</v>
      </c>
      <c r="Q130" s="345">
        <f t="shared" si="311"/>
        <v>0</v>
      </c>
      <c r="R130" s="345">
        <f t="shared" si="299"/>
        <v>1</v>
      </c>
      <c r="S130" s="346">
        <v>0</v>
      </c>
      <c r="T130" s="516">
        <v>18.78</v>
      </c>
      <c r="U130" s="516">
        <v>0</v>
      </c>
      <c r="V130" s="516">
        <v>0</v>
      </c>
      <c r="W130" s="516">
        <v>0</v>
      </c>
      <c r="X130" s="336"/>
      <c r="Y130" s="360">
        <f>IF(AND(M130&lt;&gt;0,S130=0),#VALUE!,M130*S130)</f>
        <v>0</v>
      </c>
      <c r="Z130" s="360">
        <f t="shared" si="319"/>
        <v>0</v>
      </c>
      <c r="AA130" s="360">
        <f t="shared" si="319"/>
        <v>0</v>
      </c>
      <c r="AB130" s="360">
        <f t="shared" si="319"/>
        <v>0</v>
      </c>
      <c r="AC130" s="360">
        <f t="shared" si="319"/>
        <v>0</v>
      </c>
      <c r="AD130" s="336"/>
      <c r="AE130" s="345">
        <f t="shared" si="320"/>
        <v>0</v>
      </c>
      <c r="AF130" s="345">
        <f t="shared" si="320"/>
        <v>0</v>
      </c>
      <c r="AG130" s="345">
        <f t="shared" si="320"/>
        <v>0</v>
      </c>
      <c r="AH130" s="345">
        <f t="shared" si="320"/>
        <v>0</v>
      </c>
      <c r="AI130" s="345">
        <f t="shared" si="320"/>
        <v>0</v>
      </c>
      <c r="AJ130" s="336"/>
      <c r="AK130" s="347">
        <f t="shared" si="278"/>
        <v>0</v>
      </c>
      <c r="AL130" s="347">
        <f t="shared" ref="AL130:AL141" si="323">ROUND(T130*(1+AL$1),2)</f>
        <v>21.07</v>
      </c>
      <c r="AM130" s="347">
        <f t="shared" si="279"/>
        <v>0</v>
      </c>
      <c r="AN130" s="74">
        <f t="shared" si="280"/>
        <v>0</v>
      </c>
      <c r="AO130" s="74">
        <f t="shared" si="281"/>
        <v>0</v>
      </c>
      <c r="AQ130" s="65">
        <f t="shared" si="306"/>
        <v>0</v>
      </c>
      <c r="AR130" s="65">
        <f t="shared" si="302"/>
        <v>0</v>
      </c>
      <c r="AS130" s="65">
        <f t="shared" si="307"/>
        <v>0</v>
      </c>
      <c r="AT130" s="65">
        <f t="shared" si="308"/>
        <v>0</v>
      </c>
      <c r="AU130" s="65">
        <f t="shared" si="309"/>
        <v>0</v>
      </c>
      <c r="AV130" s="65">
        <f>SUM(AQ130:AU130)-SUM(Y130:AC130)</f>
        <v>0</v>
      </c>
      <c r="AW130" s="65"/>
      <c r="AX130" s="299"/>
      <c r="AY130" s="85"/>
      <c r="AZ130" s="85">
        <v>19.7</v>
      </c>
      <c r="BA130" s="85"/>
      <c r="BB130" s="85"/>
      <c r="BC130" s="85"/>
      <c r="BD130" s="85"/>
      <c r="BE130" s="327">
        <f>ROUND(AX130*$BE$2,2)+ROUND(AX130*$BE$1,2)</f>
        <v>0</v>
      </c>
      <c r="BF130" s="49"/>
      <c r="BG130" s="49">
        <f>ROUND((T130*$BF$2)+$BE130-AZ130,2)</f>
        <v>-0.64</v>
      </c>
      <c r="BH130" s="49"/>
      <c r="BI130" s="49"/>
      <c r="BJ130" s="49"/>
      <c r="BM130" s="214">
        <f t="shared" si="321"/>
        <v>0</v>
      </c>
      <c r="BN130" s="214">
        <f t="shared" si="321"/>
        <v>21.388157</v>
      </c>
      <c r="BO130" s="214">
        <f t="shared" si="321"/>
        <v>0</v>
      </c>
      <c r="BP130" s="214">
        <f t="shared" si="321"/>
        <v>0</v>
      </c>
      <c r="BQ130" s="214">
        <f t="shared" si="321"/>
        <v>0</v>
      </c>
      <c r="BS130" s="49">
        <f t="shared" si="322"/>
        <v>0</v>
      </c>
      <c r="BT130" s="49">
        <f t="shared" si="322"/>
        <v>1.6881570000000004</v>
      </c>
      <c r="BU130" s="49">
        <f t="shared" si="322"/>
        <v>0</v>
      </c>
      <c r="BV130" s="49">
        <f t="shared" si="322"/>
        <v>0</v>
      </c>
      <c r="BW130" s="49">
        <f t="shared" si="322"/>
        <v>0</v>
      </c>
    </row>
    <row r="131" spans="2:75">
      <c r="B131" s="32">
        <v>2</v>
      </c>
      <c r="C131" s="511" t="s">
        <v>100</v>
      </c>
      <c r="D131" s="32" t="s">
        <v>670</v>
      </c>
      <c r="E131" s="512">
        <v>0</v>
      </c>
      <c r="F131" s="67"/>
      <c r="G131" s="67" t="str">
        <f t="shared" ref="G131:G142" si="324">IF(OR(ISBLANK(C131),ISBLANK(D131)),"",TEXT(C131,"000")&amp;TEXT(D131,"000"))</f>
        <v>046295L</v>
      </c>
      <c r="H131" s="40"/>
      <c r="I131" s="336" t="s">
        <v>105</v>
      </c>
      <c r="J131" s="336" t="s">
        <v>128</v>
      </c>
      <c r="K131" s="338" t="s">
        <v>119</v>
      </c>
      <c r="L131" s="339">
        <v>539</v>
      </c>
      <c r="M131" s="64">
        <f t="shared" si="311"/>
        <v>0</v>
      </c>
      <c r="N131" s="64">
        <f t="shared" si="311"/>
        <v>0</v>
      </c>
      <c r="O131" s="64">
        <f t="shared" si="311"/>
        <v>0</v>
      </c>
      <c r="P131" s="64">
        <f t="shared" si="311"/>
        <v>0</v>
      </c>
      <c r="Q131" s="64">
        <f t="shared" si="311"/>
        <v>0</v>
      </c>
      <c r="R131" s="64">
        <f t="shared" si="299"/>
        <v>1</v>
      </c>
      <c r="S131" s="337"/>
      <c r="T131" s="515"/>
      <c r="U131" s="515"/>
      <c r="V131" s="515"/>
      <c r="W131" s="515"/>
      <c r="AE131" s="64">
        <f t="shared" ref="AE131:AI140" si="325">SUMIF($G:$G,TEXT(AE$3,"000")&amp;TEXT($L131,"000"),$E:$E)</f>
        <v>0</v>
      </c>
      <c r="AF131" s="64">
        <f t="shared" si="325"/>
        <v>0</v>
      </c>
      <c r="AG131" s="64">
        <f t="shared" si="325"/>
        <v>0</v>
      </c>
      <c r="AH131" s="64">
        <f t="shared" si="325"/>
        <v>0</v>
      </c>
      <c r="AI131" s="64">
        <f t="shared" si="325"/>
        <v>0</v>
      </c>
      <c r="AK131" s="74">
        <f t="shared" si="278"/>
        <v>0</v>
      </c>
      <c r="AL131" s="74">
        <f t="shared" si="323"/>
        <v>0</v>
      </c>
      <c r="AM131" s="74">
        <f t="shared" si="279"/>
        <v>0</v>
      </c>
      <c r="AN131" s="74">
        <f t="shared" si="280"/>
        <v>0</v>
      </c>
      <c r="AO131" s="74">
        <f t="shared" si="281"/>
        <v>0</v>
      </c>
      <c r="AX131" s="299"/>
      <c r="AY131" s="85"/>
      <c r="AZ131" s="85"/>
      <c r="BA131" s="85"/>
      <c r="BB131" s="85"/>
      <c r="BC131" s="85"/>
      <c r="BD131" s="85"/>
      <c r="BE131" s="327"/>
      <c r="BF131" s="49"/>
      <c r="BG131" s="49"/>
      <c r="BH131" s="49"/>
      <c r="BI131" s="49"/>
      <c r="BJ131" s="49"/>
      <c r="BM131" s="214">
        <f t="shared" ref="BM131:BM141" si="326">AK131*$BM$1</f>
        <v>0</v>
      </c>
      <c r="BN131" s="214">
        <f t="shared" ref="BN131:BN141" si="327">AL131*$BM$1</f>
        <v>0</v>
      </c>
      <c r="BO131" s="214">
        <f t="shared" ref="BO131:BO142" si="328">AM131*$BM$1</f>
        <v>0</v>
      </c>
      <c r="BP131" s="214">
        <f t="shared" ref="BP131:BP142" si="329">AN131*$BM$1</f>
        <v>0</v>
      </c>
      <c r="BQ131" s="214">
        <f t="shared" ref="BQ131:BQ142" si="330">AO131*$BM$1</f>
        <v>0</v>
      </c>
      <c r="BS131" s="49">
        <f t="shared" ref="BS131:BW137" si="331">BM131-AY131</f>
        <v>0</v>
      </c>
      <c r="BT131" s="49">
        <f t="shared" si="331"/>
        <v>0</v>
      </c>
      <c r="BU131" s="49">
        <f t="shared" si="331"/>
        <v>0</v>
      </c>
      <c r="BV131" s="49">
        <f t="shared" si="331"/>
        <v>0</v>
      </c>
      <c r="BW131" s="49">
        <f t="shared" si="331"/>
        <v>0</v>
      </c>
    </row>
    <row r="132" spans="2:75">
      <c r="B132" s="32">
        <v>2</v>
      </c>
      <c r="C132" s="511" t="s">
        <v>100</v>
      </c>
      <c r="D132" s="32" t="s">
        <v>671</v>
      </c>
      <c r="E132" s="512">
        <v>0</v>
      </c>
      <c r="F132" s="67"/>
      <c r="G132" s="67" t="str">
        <f t="shared" si="324"/>
        <v>046395L</v>
      </c>
      <c r="H132" s="40"/>
      <c r="I132" s="336" t="s">
        <v>116</v>
      </c>
      <c r="J132" s="336" t="s">
        <v>87</v>
      </c>
      <c r="K132" s="338" t="s">
        <v>119</v>
      </c>
      <c r="L132" s="339">
        <v>543</v>
      </c>
      <c r="M132" s="64">
        <f t="shared" ref="M132:Q141" si="332">SUMIF($G:$G,TEXT(M$3,"000")&amp;TEXT($L132,"000"),$E:$E)</f>
        <v>0</v>
      </c>
      <c r="N132" s="64">
        <f t="shared" si="332"/>
        <v>0</v>
      </c>
      <c r="O132" s="64">
        <f t="shared" si="332"/>
        <v>0</v>
      </c>
      <c r="P132" s="64">
        <f t="shared" si="332"/>
        <v>0</v>
      </c>
      <c r="Q132" s="64">
        <f t="shared" si="332"/>
        <v>0</v>
      </c>
      <c r="R132" s="64">
        <f t="shared" si="286"/>
        <v>1</v>
      </c>
      <c r="S132" s="337"/>
      <c r="T132" s="515"/>
      <c r="U132" s="515"/>
      <c r="V132" s="515"/>
      <c r="W132" s="515"/>
      <c r="AC132" s="65"/>
      <c r="AE132" s="64">
        <f t="shared" si="325"/>
        <v>0</v>
      </c>
      <c r="AF132" s="64">
        <f t="shared" si="325"/>
        <v>0</v>
      </c>
      <c r="AG132" s="64">
        <f t="shared" si="325"/>
        <v>0</v>
      </c>
      <c r="AH132" s="64">
        <f t="shared" si="325"/>
        <v>0</v>
      </c>
      <c r="AI132" s="64">
        <f t="shared" si="325"/>
        <v>0</v>
      </c>
      <c r="AK132" s="74">
        <f t="shared" si="278"/>
        <v>0</v>
      </c>
      <c r="AL132" s="74">
        <f t="shared" si="323"/>
        <v>0</v>
      </c>
      <c r="AM132" s="74">
        <f t="shared" si="279"/>
        <v>0</v>
      </c>
      <c r="AN132" s="74">
        <f t="shared" si="280"/>
        <v>0</v>
      </c>
      <c r="AO132" s="74">
        <f t="shared" si="281"/>
        <v>0</v>
      </c>
      <c r="AX132" s="299"/>
      <c r="AY132" s="85"/>
      <c r="AZ132" s="85"/>
      <c r="BA132" s="85"/>
      <c r="BB132" s="85"/>
      <c r="BC132" s="85"/>
      <c r="BD132" s="85"/>
      <c r="BE132" s="327"/>
      <c r="BF132" s="49"/>
      <c r="BG132" s="49"/>
      <c r="BH132" s="49"/>
      <c r="BI132" s="49"/>
      <c r="BJ132" s="49"/>
      <c r="BM132" s="214">
        <f t="shared" si="326"/>
        <v>0</v>
      </c>
      <c r="BN132" s="214">
        <f t="shared" si="327"/>
        <v>0</v>
      </c>
      <c r="BO132" s="214">
        <f t="shared" si="328"/>
        <v>0</v>
      </c>
      <c r="BP132" s="214">
        <f t="shared" si="329"/>
        <v>0</v>
      </c>
      <c r="BQ132" s="214">
        <f t="shared" si="330"/>
        <v>0</v>
      </c>
      <c r="BS132" s="49">
        <f t="shared" si="331"/>
        <v>0</v>
      </c>
      <c r="BT132" s="49">
        <f t="shared" si="331"/>
        <v>0</v>
      </c>
      <c r="BU132" s="49">
        <f t="shared" si="331"/>
        <v>0</v>
      </c>
      <c r="BV132" s="49">
        <f t="shared" si="331"/>
        <v>0</v>
      </c>
      <c r="BW132" s="49">
        <f t="shared" si="331"/>
        <v>0</v>
      </c>
    </row>
    <row r="133" spans="2:75">
      <c r="B133" s="32">
        <v>2</v>
      </c>
      <c r="C133" s="511" t="s">
        <v>100</v>
      </c>
      <c r="D133" s="32">
        <v>435</v>
      </c>
      <c r="E133" s="512">
        <v>20</v>
      </c>
      <c r="F133" s="67"/>
      <c r="G133" s="67" t="str">
        <f t="shared" si="324"/>
        <v>046435</v>
      </c>
      <c r="H133" s="40"/>
      <c r="I133" s="336" t="s">
        <v>110</v>
      </c>
      <c r="J133" s="336" t="s">
        <v>123</v>
      </c>
      <c r="K133" s="338">
        <v>20000</v>
      </c>
      <c r="L133" s="339">
        <v>619</v>
      </c>
      <c r="M133" s="64">
        <f t="shared" si="332"/>
        <v>0</v>
      </c>
      <c r="N133" s="64">
        <f t="shared" si="332"/>
        <v>0</v>
      </c>
      <c r="O133" s="64">
        <f t="shared" si="332"/>
        <v>0</v>
      </c>
      <c r="P133" s="64">
        <f t="shared" si="332"/>
        <v>0</v>
      </c>
      <c r="Q133" s="64">
        <f t="shared" si="332"/>
        <v>0</v>
      </c>
      <c r="R133" s="64">
        <f t="shared" si="286"/>
        <v>1</v>
      </c>
      <c r="S133" s="337"/>
      <c r="T133" s="515"/>
      <c r="U133" s="515"/>
      <c r="V133" s="515"/>
      <c r="W133" s="515"/>
      <c r="AE133" s="64">
        <f t="shared" si="325"/>
        <v>0</v>
      </c>
      <c r="AF133" s="64">
        <f t="shared" si="325"/>
        <v>0</v>
      </c>
      <c r="AG133" s="64">
        <f t="shared" si="325"/>
        <v>0</v>
      </c>
      <c r="AH133" s="64">
        <f t="shared" si="325"/>
        <v>0</v>
      </c>
      <c r="AI133" s="64">
        <f t="shared" si="325"/>
        <v>0</v>
      </c>
      <c r="AK133" s="74">
        <f t="shared" si="278"/>
        <v>0</v>
      </c>
      <c r="AL133" s="74">
        <f t="shared" si="323"/>
        <v>0</v>
      </c>
      <c r="AM133" s="74">
        <f t="shared" si="279"/>
        <v>0</v>
      </c>
      <c r="AN133" s="74">
        <f t="shared" si="280"/>
        <v>0</v>
      </c>
      <c r="AO133" s="74">
        <f t="shared" si="281"/>
        <v>0</v>
      </c>
      <c r="AX133" s="299"/>
      <c r="AY133" s="85"/>
      <c r="AZ133" s="85"/>
      <c r="BA133" s="85"/>
      <c r="BB133" s="85"/>
      <c r="BC133" s="85"/>
      <c r="BD133" s="85"/>
      <c r="BE133" s="327"/>
      <c r="BF133" s="49"/>
      <c r="BG133" s="49"/>
      <c r="BH133" s="49"/>
      <c r="BI133" s="49"/>
      <c r="BJ133" s="49"/>
      <c r="BM133" s="214">
        <f t="shared" si="326"/>
        <v>0</v>
      </c>
      <c r="BN133" s="214">
        <f t="shared" si="327"/>
        <v>0</v>
      </c>
      <c r="BO133" s="214">
        <f t="shared" si="328"/>
        <v>0</v>
      </c>
      <c r="BP133" s="214">
        <f t="shared" si="329"/>
        <v>0</v>
      </c>
      <c r="BQ133" s="214">
        <f t="shared" si="330"/>
        <v>0</v>
      </c>
      <c r="BS133" s="49">
        <f t="shared" si="331"/>
        <v>0</v>
      </c>
      <c r="BT133" s="49">
        <f t="shared" si="331"/>
        <v>0</v>
      </c>
      <c r="BU133" s="49">
        <f t="shared" si="331"/>
        <v>0</v>
      </c>
      <c r="BV133" s="49">
        <f t="shared" si="331"/>
        <v>0</v>
      </c>
      <c r="BW133" s="49">
        <f t="shared" si="331"/>
        <v>0</v>
      </c>
    </row>
    <row r="134" spans="2:75">
      <c r="B134" s="32">
        <v>2</v>
      </c>
      <c r="C134" s="511" t="s">
        <v>100</v>
      </c>
      <c r="D134" s="32">
        <v>495</v>
      </c>
      <c r="E134" s="512">
        <v>0</v>
      </c>
      <c r="F134" s="67"/>
      <c r="G134" s="67" t="str">
        <f t="shared" si="324"/>
        <v>046495</v>
      </c>
      <c r="H134" s="40"/>
      <c r="I134" s="336" t="s">
        <v>105</v>
      </c>
      <c r="J134" s="336" t="s">
        <v>128</v>
      </c>
      <c r="K134" s="338" t="s">
        <v>120</v>
      </c>
      <c r="L134" s="339">
        <v>639</v>
      </c>
      <c r="M134" s="64">
        <f t="shared" si="332"/>
        <v>0</v>
      </c>
      <c r="N134" s="64">
        <f t="shared" si="332"/>
        <v>0</v>
      </c>
      <c r="O134" s="64">
        <f t="shared" si="332"/>
        <v>0</v>
      </c>
      <c r="P134" s="64">
        <f t="shared" si="332"/>
        <v>0</v>
      </c>
      <c r="Q134" s="64">
        <f t="shared" si="332"/>
        <v>0</v>
      </c>
      <c r="R134" s="64">
        <f t="shared" si="286"/>
        <v>1</v>
      </c>
      <c r="S134" s="337"/>
      <c r="T134" s="515"/>
      <c r="U134" s="515"/>
      <c r="V134" s="515"/>
      <c r="W134" s="515"/>
      <c r="AA134" s="41" t="s">
        <v>811</v>
      </c>
      <c r="AE134" s="64">
        <f t="shared" si="325"/>
        <v>0</v>
      </c>
      <c r="AF134" s="64">
        <f t="shared" si="325"/>
        <v>0</v>
      </c>
      <c r="AG134" s="64">
        <f t="shared" si="325"/>
        <v>0</v>
      </c>
      <c r="AH134" s="64">
        <f t="shared" si="325"/>
        <v>0</v>
      </c>
      <c r="AI134" s="64">
        <f t="shared" si="325"/>
        <v>0</v>
      </c>
      <c r="AK134" s="74">
        <f t="shared" si="278"/>
        <v>0</v>
      </c>
      <c r="AL134" s="74">
        <f t="shared" si="323"/>
        <v>0</v>
      </c>
      <c r="AM134" s="74">
        <f t="shared" si="279"/>
        <v>0</v>
      </c>
      <c r="AN134" s="74">
        <f t="shared" si="280"/>
        <v>0</v>
      </c>
      <c r="AO134" s="74">
        <f t="shared" si="281"/>
        <v>0</v>
      </c>
      <c r="AX134" s="299"/>
      <c r="AY134" s="85"/>
      <c r="AZ134" s="85"/>
      <c r="BA134" s="85"/>
      <c r="BB134" s="85"/>
      <c r="BC134" s="85"/>
      <c r="BD134" s="85"/>
      <c r="BE134" s="327"/>
      <c r="BF134" s="49"/>
      <c r="BG134" s="49"/>
      <c r="BH134" s="49"/>
      <c r="BI134" s="49"/>
      <c r="BJ134" s="49"/>
      <c r="BM134" s="214">
        <f t="shared" si="326"/>
        <v>0</v>
      </c>
      <c r="BN134" s="214">
        <f t="shared" si="327"/>
        <v>0</v>
      </c>
      <c r="BO134" s="214">
        <f t="shared" si="328"/>
        <v>0</v>
      </c>
      <c r="BP134" s="214">
        <f t="shared" si="329"/>
        <v>0</v>
      </c>
      <c r="BQ134" s="214">
        <f t="shared" si="330"/>
        <v>0</v>
      </c>
      <c r="BS134" s="49">
        <f t="shared" si="331"/>
        <v>0</v>
      </c>
      <c r="BT134" s="49">
        <f t="shared" si="331"/>
        <v>0</v>
      </c>
      <c r="BU134" s="49">
        <f t="shared" si="331"/>
        <v>0</v>
      </c>
      <c r="BV134" s="49">
        <f t="shared" si="331"/>
        <v>0</v>
      </c>
      <c r="BW134" s="49">
        <f t="shared" si="331"/>
        <v>0</v>
      </c>
    </row>
    <row r="135" spans="2:75">
      <c r="B135" s="32">
        <v>2</v>
      </c>
      <c r="C135" s="511" t="s">
        <v>100</v>
      </c>
      <c r="D135" s="32">
        <v>499</v>
      </c>
      <c r="E135" s="512">
        <v>41</v>
      </c>
      <c r="F135" s="67"/>
      <c r="G135" s="67" t="str">
        <f t="shared" si="324"/>
        <v>046499</v>
      </c>
      <c r="H135" s="40"/>
      <c r="I135" s="336" t="s">
        <v>116</v>
      </c>
      <c r="J135" s="336" t="s">
        <v>86</v>
      </c>
      <c r="K135" s="338" t="s">
        <v>120</v>
      </c>
      <c r="L135" s="339">
        <v>642</v>
      </c>
      <c r="M135" s="64">
        <f t="shared" si="332"/>
        <v>0</v>
      </c>
      <c r="N135" s="64">
        <f t="shared" si="332"/>
        <v>0</v>
      </c>
      <c r="O135" s="64">
        <f t="shared" si="332"/>
        <v>0</v>
      </c>
      <c r="P135" s="64">
        <f t="shared" si="332"/>
        <v>0</v>
      </c>
      <c r="Q135" s="64">
        <f t="shared" si="332"/>
        <v>0</v>
      </c>
      <c r="R135" s="64">
        <f t="shared" si="286"/>
        <v>1</v>
      </c>
      <c r="S135" s="337"/>
      <c r="T135" s="515"/>
      <c r="U135" s="515"/>
      <c r="V135" s="515"/>
      <c r="W135" s="515"/>
      <c r="Y135" s="335"/>
      <c r="Z135" s="335"/>
      <c r="AA135" s="335"/>
      <c r="AB135" s="335"/>
      <c r="AC135" s="335"/>
      <c r="AE135" s="64">
        <f t="shared" si="325"/>
        <v>0</v>
      </c>
      <c r="AF135" s="64">
        <f t="shared" si="325"/>
        <v>0</v>
      </c>
      <c r="AG135" s="64">
        <f t="shared" si="325"/>
        <v>0</v>
      </c>
      <c r="AH135" s="64">
        <f t="shared" si="325"/>
        <v>0</v>
      </c>
      <c r="AI135" s="64">
        <f t="shared" si="325"/>
        <v>0</v>
      </c>
      <c r="AK135" s="74">
        <f t="shared" si="278"/>
        <v>0</v>
      </c>
      <c r="AL135" s="74">
        <f t="shared" si="323"/>
        <v>0</v>
      </c>
      <c r="AM135" s="74">
        <f t="shared" si="279"/>
        <v>0</v>
      </c>
      <c r="AN135" s="74">
        <f t="shared" si="280"/>
        <v>0</v>
      </c>
      <c r="AO135" s="74">
        <f t="shared" si="281"/>
        <v>0</v>
      </c>
      <c r="AX135" s="299"/>
      <c r="AY135" s="85"/>
      <c r="AZ135" s="85"/>
      <c r="BA135" s="85"/>
      <c r="BB135" s="85"/>
      <c r="BC135" s="85"/>
      <c r="BD135" s="85"/>
      <c r="BE135" s="327"/>
      <c r="BF135" s="49"/>
      <c r="BG135" s="49"/>
      <c r="BH135" s="49"/>
      <c r="BI135" s="49"/>
      <c r="BJ135" s="49"/>
      <c r="BM135" s="214">
        <f t="shared" si="326"/>
        <v>0</v>
      </c>
      <c r="BN135" s="214">
        <f t="shared" si="327"/>
        <v>0</v>
      </c>
      <c r="BO135" s="214">
        <f t="shared" si="328"/>
        <v>0</v>
      </c>
      <c r="BP135" s="214">
        <f t="shared" si="329"/>
        <v>0</v>
      </c>
      <c r="BQ135" s="214">
        <f t="shared" si="330"/>
        <v>0</v>
      </c>
      <c r="BS135" s="49">
        <f t="shared" si="331"/>
        <v>0</v>
      </c>
      <c r="BT135" s="49">
        <f t="shared" si="331"/>
        <v>0</v>
      </c>
      <c r="BU135" s="49">
        <f t="shared" si="331"/>
        <v>0</v>
      </c>
      <c r="BV135" s="49">
        <f t="shared" si="331"/>
        <v>0</v>
      </c>
      <c r="BW135" s="49">
        <f t="shared" si="331"/>
        <v>0</v>
      </c>
    </row>
    <row r="136" spans="2:75">
      <c r="B136" s="32">
        <v>2</v>
      </c>
      <c r="C136" s="511" t="s">
        <v>100</v>
      </c>
      <c r="D136" s="32">
        <v>535</v>
      </c>
      <c r="E136" s="512">
        <v>40</v>
      </c>
      <c r="F136" s="67"/>
      <c r="G136" s="67" t="str">
        <f t="shared" si="324"/>
        <v>046535</v>
      </c>
      <c r="I136" s="336" t="s">
        <v>105</v>
      </c>
      <c r="J136" s="336" t="s">
        <v>85</v>
      </c>
      <c r="K136" s="338" t="s">
        <v>122</v>
      </c>
      <c r="L136" s="339">
        <v>731</v>
      </c>
      <c r="M136" s="64">
        <f t="shared" si="332"/>
        <v>0</v>
      </c>
      <c r="N136" s="64">
        <f t="shared" si="332"/>
        <v>0</v>
      </c>
      <c r="O136" s="64">
        <f t="shared" si="332"/>
        <v>0</v>
      </c>
      <c r="P136" s="64">
        <f t="shared" si="332"/>
        <v>0</v>
      </c>
      <c r="Q136" s="64">
        <f t="shared" si="332"/>
        <v>0</v>
      </c>
      <c r="R136" s="64">
        <f t="shared" si="286"/>
        <v>1</v>
      </c>
      <c r="S136" s="337"/>
      <c r="T136" s="515"/>
      <c r="U136" s="515"/>
      <c r="V136" s="515"/>
      <c r="W136" s="515"/>
      <c r="AE136" s="64">
        <f t="shared" si="325"/>
        <v>0</v>
      </c>
      <c r="AF136" s="64">
        <f t="shared" si="325"/>
        <v>0</v>
      </c>
      <c r="AG136" s="64">
        <f t="shared" si="325"/>
        <v>0</v>
      </c>
      <c r="AH136" s="64">
        <f t="shared" si="325"/>
        <v>0</v>
      </c>
      <c r="AI136" s="64">
        <f t="shared" si="325"/>
        <v>0</v>
      </c>
      <c r="AK136" s="74">
        <f t="shared" si="278"/>
        <v>0</v>
      </c>
      <c r="AL136" s="74">
        <f t="shared" si="323"/>
        <v>0</v>
      </c>
      <c r="AM136" s="74">
        <f t="shared" si="279"/>
        <v>0</v>
      </c>
      <c r="AN136" s="74">
        <f t="shared" si="280"/>
        <v>0</v>
      </c>
      <c r="AO136" s="74">
        <f t="shared" si="281"/>
        <v>0</v>
      </c>
      <c r="AX136" s="299"/>
      <c r="AY136" s="85"/>
      <c r="AZ136" s="85"/>
      <c r="BA136" s="85"/>
      <c r="BB136" s="85"/>
      <c r="BC136" s="85"/>
      <c r="BD136" s="85"/>
      <c r="BE136" s="327"/>
      <c r="BF136" s="49"/>
      <c r="BG136" s="49"/>
      <c r="BH136" s="49"/>
      <c r="BI136" s="49"/>
      <c r="BJ136" s="49"/>
      <c r="BM136" s="214">
        <f t="shared" si="326"/>
        <v>0</v>
      </c>
      <c r="BN136" s="214">
        <f t="shared" si="327"/>
        <v>0</v>
      </c>
      <c r="BO136" s="214">
        <f t="shared" si="328"/>
        <v>0</v>
      </c>
      <c r="BP136" s="214">
        <f t="shared" si="329"/>
        <v>0</v>
      </c>
      <c r="BQ136" s="214">
        <f t="shared" si="330"/>
        <v>0</v>
      </c>
      <c r="BS136" s="49">
        <f t="shared" si="331"/>
        <v>0</v>
      </c>
      <c r="BT136" s="49">
        <f t="shared" si="331"/>
        <v>0</v>
      </c>
      <c r="BU136" s="49">
        <f t="shared" si="331"/>
        <v>0</v>
      </c>
      <c r="BV136" s="49">
        <f t="shared" si="331"/>
        <v>0</v>
      </c>
      <c r="BW136" s="49">
        <f t="shared" si="331"/>
        <v>0</v>
      </c>
    </row>
    <row r="137" spans="2:75">
      <c r="B137" s="32">
        <v>2</v>
      </c>
      <c r="C137" s="511" t="s">
        <v>100</v>
      </c>
      <c r="D137" s="32">
        <v>635</v>
      </c>
      <c r="E137" s="512">
        <v>220</v>
      </c>
      <c r="F137" s="67"/>
      <c r="G137" s="67" t="str">
        <f t="shared" si="324"/>
        <v>046635</v>
      </c>
      <c r="H137" s="40"/>
      <c r="I137" s="336" t="s">
        <v>105</v>
      </c>
      <c r="J137" s="336" t="s">
        <v>87</v>
      </c>
      <c r="K137" s="338" t="s">
        <v>122</v>
      </c>
      <c r="L137" s="339">
        <v>733</v>
      </c>
      <c r="M137" s="64">
        <f t="shared" si="332"/>
        <v>0</v>
      </c>
      <c r="N137" s="64">
        <f t="shared" si="332"/>
        <v>0</v>
      </c>
      <c r="O137" s="64">
        <f t="shared" si="332"/>
        <v>0</v>
      </c>
      <c r="P137" s="64">
        <f t="shared" si="332"/>
        <v>0</v>
      </c>
      <c r="Q137" s="64">
        <f t="shared" si="332"/>
        <v>0</v>
      </c>
      <c r="R137" s="64">
        <f>IF(SUM(M137:Q137)&gt;0,0,1)</f>
        <v>1</v>
      </c>
      <c r="S137" s="337"/>
      <c r="T137" s="515"/>
      <c r="U137" s="515"/>
      <c r="V137" s="515"/>
      <c r="W137" s="515"/>
      <c r="AE137" s="64">
        <f t="shared" si="325"/>
        <v>0</v>
      </c>
      <c r="AF137" s="64">
        <f t="shared" si="325"/>
        <v>0</v>
      </c>
      <c r="AG137" s="64">
        <f t="shared" si="325"/>
        <v>0</v>
      </c>
      <c r="AH137" s="64">
        <f t="shared" si="325"/>
        <v>0</v>
      </c>
      <c r="AI137" s="64">
        <f t="shared" si="325"/>
        <v>0</v>
      </c>
      <c r="AK137" s="74">
        <f t="shared" si="278"/>
        <v>0</v>
      </c>
      <c r="AL137" s="74">
        <f t="shared" si="323"/>
        <v>0</v>
      </c>
      <c r="AM137" s="74">
        <f t="shared" si="279"/>
        <v>0</v>
      </c>
      <c r="AN137" s="74">
        <f t="shared" si="280"/>
        <v>0</v>
      </c>
      <c r="AO137" s="74">
        <f t="shared" si="281"/>
        <v>0</v>
      </c>
      <c r="AX137" s="299"/>
      <c r="AY137" s="85"/>
      <c r="AZ137" s="85"/>
      <c r="BA137" s="85"/>
      <c r="BB137" s="85"/>
      <c r="BC137" s="85"/>
      <c r="BD137" s="85"/>
      <c r="BE137" s="327"/>
      <c r="BF137" s="49"/>
      <c r="BG137" s="49"/>
      <c r="BH137" s="49"/>
      <c r="BI137" s="49"/>
      <c r="BJ137" s="49"/>
      <c r="BM137" s="214">
        <f t="shared" si="326"/>
        <v>0</v>
      </c>
      <c r="BN137" s="214">
        <f t="shared" si="327"/>
        <v>0</v>
      </c>
      <c r="BO137" s="214">
        <f t="shared" si="328"/>
        <v>0</v>
      </c>
      <c r="BP137" s="214">
        <f t="shared" si="329"/>
        <v>0</v>
      </c>
      <c r="BQ137" s="214">
        <f t="shared" si="330"/>
        <v>0</v>
      </c>
      <c r="BS137" s="49">
        <f t="shared" si="331"/>
        <v>0</v>
      </c>
      <c r="BT137" s="49">
        <f t="shared" si="331"/>
        <v>0</v>
      </c>
      <c r="BU137" s="49">
        <f t="shared" si="331"/>
        <v>0</v>
      </c>
      <c r="BV137" s="49">
        <f t="shared" si="331"/>
        <v>0</v>
      </c>
      <c r="BW137" s="49">
        <f t="shared" si="331"/>
        <v>0</v>
      </c>
    </row>
    <row r="138" spans="2:75">
      <c r="B138" s="32">
        <v>2</v>
      </c>
      <c r="C138" s="511" t="s">
        <v>100</v>
      </c>
      <c r="D138" s="32">
        <v>735</v>
      </c>
      <c r="E138" s="512">
        <v>142</v>
      </c>
      <c r="F138" s="67"/>
      <c r="G138" s="67" t="str">
        <f t="shared" si="324"/>
        <v>046735</v>
      </c>
      <c r="I138" s="336" t="s">
        <v>105</v>
      </c>
      <c r="J138" s="336" t="s">
        <v>128</v>
      </c>
      <c r="K138" s="338" t="s">
        <v>122</v>
      </c>
      <c r="L138" s="339">
        <v>739</v>
      </c>
      <c r="M138" s="64">
        <f t="shared" si="332"/>
        <v>0</v>
      </c>
      <c r="N138" s="64">
        <f t="shared" si="332"/>
        <v>0</v>
      </c>
      <c r="O138" s="64">
        <f t="shared" si="332"/>
        <v>0</v>
      </c>
      <c r="P138" s="64">
        <f t="shared" si="332"/>
        <v>0</v>
      </c>
      <c r="Q138" s="64">
        <f t="shared" si="332"/>
        <v>0</v>
      </c>
      <c r="R138" s="64">
        <f t="shared" si="286"/>
        <v>1</v>
      </c>
      <c r="S138" s="337"/>
      <c r="T138" s="515"/>
      <c r="U138" s="515"/>
      <c r="V138" s="515"/>
      <c r="W138" s="515"/>
      <c r="AE138" s="64">
        <f t="shared" si="325"/>
        <v>0</v>
      </c>
      <c r="AF138" s="64">
        <f t="shared" si="325"/>
        <v>0</v>
      </c>
      <c r="AG138" s="64">
        <f t="shared" si="325"/>
        <v>0</v>
      </c>
      <c r="AH138" s="64">
        <f t="shared" si="325"/>
        <v>0</v>
      </c>
      <c r="AI138" s="64">
        <f t="shared" si="325"/>
        <v>0</v>
      </c>
      <c r="AK138" s="74">
        <f t="shared" si="278"/>
        <v>0</v>
      </c>
      <c r="AL138" s="74">
        <f t="shared" si="323"/>
        <v>0</v>
      </c>
      <c r="AM138" s="74">
        <f t="shared" si="279"/>
        <v>0</v>
      </c>
      <c r="AN138" s="74">
        <f t="shared" si="280"/>
        <v>0</v>
      </c>
      <c r="AO138" s="74">
        <f t="shared" si="281"/>
        <v>0</v>
      </c>
      <c r="AX138" s="299"/>
      <c r="AY138" s="85"/>
      <c r="AZ138" s="85"/>
      <c r="BA138" s="85"/>
      <c r="BB138" s="85"/>
      <c r="BC138" s="85"/>
      <c r="BD138" s="85"/>
      <c r="BE138" s="327"/>
      <c r="BF138" s="49"/>
      <c r="BG138" s="49"/>
      <c r="BH138" s="49"/>
      <c r="BI138" s="49"/>
      <c r="BJ138" s="49"/>
      <c r="BM138" s="214">
        <f t="shared" si="326"/>
        <v>0</v>
      </c>
      <c r="BN138" s="214">
        <f t="shared" si="327"/>
        <v>0</v>
      </c>
      <c r="BO138" s="214">
        <f t="shared" si="328"/>
        <v>0</v>
      </c>
      <c r="BP138" s="214">
        <f t="shared" si="329"/>
        <v>0</v>
      </c>
      <c r="BQ138" s="214">
        <f t="shared" si="330"/>
        <v>0</v>
      </c>
      <c r="BS138" s="49">
        <f t="shared" ref="BS138:BW141" si="333">BM138-AY138</f>
        <v>0</v>
      </c>
      <c r="BT138" s="49">
        <f t="shared" si="333"/>
        <v>0</v>
      </c>
      <c r="BU138" s="49">
        <f t="shared" si="333"/>
        <v>0</v>
      </c>
      <c r="BV138" s="49">
        <f t="shared" si="333"/>
        <v>0</v>
      </c>
      <c r="BW138" s="49">
        <f t="shared" si="333"/>
        <v>0</v>
      </c>
    </row>
    <row r="139" spans="2:75">
      <c r="B139" s="32">
        <v>2</v>
      </c>
      <c r="C139" s="511" t="s">
        <v>100</v>
      </c>
      <c r="D139" s="32">
        <v>835</v>
      </c>
      <c r="E139" s="512">
        <v>8</v>
      </c>
      <c r="F139" s="67"/>
      <c r="G139" s="67" t="str">
        <f t="shared" si="324"/>
        <v>046835</v>
      </c>
      <c r="H139" s="67"/>
      <c r="I139" s="336" t="s">
        <v>116</v>
      </c>
      <c r="J139" s="336" t="s">
        <v>86</v>
      </c>
      <c r="K139" s="338" t="s">
        <v>122</v>
      </c>
      <c r="L139" s="339">
        <v>742</v>
      </c>
      <c r="M139" s="64">
        <f t="shared" si="332"/>
        <v>0</v>
      </c>
      <c r="N139" s="64">
        <f t="shared" si="332"/>
        <v>0</v>
      </c>
      <c r="O139" s="64">
        <f t="shared" si="332"/>
        <v>0</v>
      </c>
      <c r="P139" s="64">
        <f t="shared" si="332"/>
        <v>0</v>
      </c>
      <c r="Q139" s="64">
        <f t="shared" si="332"/>
        <v>0</v>
      </c>
      <c r="R139" s="64">
        <f t="shared" si="286"/>
        <v>1</v>
      </c>
      <c r="S139" s="337"/>
      <c r="T139" s="515"/>
      <c r="U139" s="515"/>
      <c r="V139" s="515"/>
      <c r="W139" s="515"/>
      <c r="AE139" s="64">
        <f t="shared" si="325"/>
        <v>0</v>
      </c>
      <c r="AF139" s="64">
        <f t="shared" si="325"/>
        <v>0</v>
      </c>
      <c r="AG139" s="64">
        <f t="shared" si="325"/>
        <v>0</v>
      </c>
      <c r="AH139" s="64">
        <f t="shared" si="325"/>
        <v>0</v>
      </c>
      <c r="AI139" s="64">
        <f t="shared" si="325"/>
        <v>0</v>
      </c>
      <c r="AK139" s="74">
        <f t="shared" si="278"/>
        <v>0</v>
      </c>
      <c r="AL139" s="74">
        <f t="shared" si="323"/>
        <v>0</v>
      </c>
      <c r="AM139" s="74">
        <f t="shared" si="279"/>
        <v>0</v>
      </c>
      <c r="AN139" s="74">
        <f t="shared" si="280"/>
        <v>0</v>
      </c>
      <c r="AO139" s="74">
        <f t="shared" si="281"/>
        <v>0</v>
      </c>
      <c r="AX139" s="299"/>
      <c r="AY139" s="85"/>
      <c r="AZ139" s="85"/>
      <c r="BA139" s="85"/>
      <c r="BB139" s="85"/>
      <c r="BC139" s="85"/>
      <c r="BD139" s="85"/>
      <c r="BE139" s="327"/>
      <c r="BF139" s="49"/>
      <c r="BG139" s="49"/>
      <c r="BH139" s="49"/>
      <c r="BI139" s="49"/>
      <c r="BJ139" s="49"/>
      <c r="BM139" s="214">
        <f t="shared" si="326"/>
        <v>0</v>
      </c>
      <c r="BN139" s="214">
        <f t="shared" si="327"/>
        <v>0</v>
      </c>
      <c r="BO139" s="214">
        <f t="shared" si="328"/>
        <v>0</v>
      </c>
      <c r="BP139" s="214">
        <f t="shared" si="329"/>
        <v>0</v>
      </c>
      <c r="BQ139" s="214">
        <f t="shared" si="330"/>
        <v>0</v>
      </c>
      <c r="BS139" s="49">
        <f t="shared" si="333"/>
        <v>0</v>
      </c>
      <c r="BT139" s="49">
        <f t="shared" si="333"/>
        <v>0</v>
      </c>
      <c r="BU139" s="49">
        <f t="shared" si="333"/>
        <v>0</v>
      </c>
      <c r="BV139" s="49">
        <f t="shared" si="333"/>
        <v>0</v>
      </c>
      <c r="BW139" s="49">
        <f t="shared" si="333"/>
        <v>0</v>
      </c>
    </row>
    <row r="140" spans="2:75">
      <c r="B140" s="32">
        <v>2</v>
      </c>
      <c r="C140" s="511" t="s">
        <v>100</v>
      </c>
      <c r="D140" s="32">
        <v>935</v>
      </c>
      <c r="E140" s="512">
        <v>59</v>
      </c>
      <c r="F140" s="67"/>
      <c r="G140" s="67" t="str">
        <f t="shared" si="324"/>
        <v>046935</v>
      </c>
      <c r="I140" s="336" t="s">
        <v>110</v>
      </c>
      <c r="J140" s="336" t="s">
        <v>108</v>
      </c>
      <c r="K140" s="338">
        <v>55000</v>
      </c>
      <c r="L140" s="339">
        <v>815</v>
      </c>
      <c r="M140" s="64">
        <f t="shared" si="332"/>
        <v>0</v>
      </c>
      <c r="N140" s="64">
        <f t="shared" si="332"/>
        <v>0</v>
      </c>
      <c r="O140" s="64">
        <f t="shared" si="332"/>
        <v>0</v>
      </c>
      <c r="P140" s="64">
        <f t="shared" si="332"/>
        <v>0</v>
      </c>
      <c r="Q140" s="64">
        <f t="shared" si="332"/>
        <v>0</v>
      </c>
      <c r="R140" s="64">
        <f t="shared" si="286"/>
        <v>1</v>
      </c>
      <c r="S140" s="337"/>
      <c r="T140" s="515"/>
      <c r="U140" s="515"/>
      <c r="V140" s="515"/>
      <c r="W140" s="515"/>
      <c r="AE140" s="64">
        <f t="shared" si="325"/>
        <v>0</v>
      </c>
      <c r="AF140" s="64">
        <f t="shared" si="325"/>
        <v>0</v>
      </c>
      <c r="AG140" s="64">
        <f t="shared" si="325"/>
        <v>0</v>
      </c>
      <c r="AH140" s="64">
        <f t="shared" si="325"/>
        <v>0</v>
      </c>
      <c r="AI140" s="64">
        <f t="shared" si="325"/>
        <v>0</v>
      </c>
      <c r="AK140" s="74">
        <f t="shared" si="278"/>
        <v>0</v>
      </c>
      <c r="AL140" s="74">
        <f t="shared" si="323"/>
        <v>0</v>
      </c>
      <c r="AM140" s="74">
        <f t="shared" si="279"/>
        <v>0</v>
      </c>
      <c r="AN140" s="74">
        <f t="shared" si="280"/>
        <v>0</v>
      </c>
      <c r="AO140" s="74">
        <f t="shared" si="281"/>
        <v>0</v>
      </c>
      <c r="AX140" s="299"/>
      <c r="AY140" s="85"/>
      <c r="AZ140" s="85"/>
      <c r="BA140" s="85"/>
      <c r="BB140" s="85"/>
      <c r="BC140" s="85"/>
      <c r="BD140" s="85"/>
      <c r="BE140" s="327"/>
      <c r="BF140" s="49"/>
      <c r="BG140" s="49"/>
      <c r="BH140" s="49"/>
      <c r="BI140" s="49"/>
      <c r="BJ140" s="49"/>
      <c r="BM140" s="214">
        <f t="shared" si="326"/>
        <v>0</v>
      </c>
      <c r="BN140" s="214">
        <f t="shared" si="327"/>
        <v>0</v>
      </c>
      <c r="BO140" s="214">
        <f t="shared" si="328"/>
        <v>0</v>
      </c>
      <c r="BP140" s="214">
        <f t="shared" si="329"/>
        <v>0</v>
      </c>
      <c r="BQ140" s="214">
        <f t="shared" si="330"/>
        <v>0</v>
      </c>
      <c r="BS140" s="49">
        <f t="shared" si="333"/>
        <v>0</v>
      </c>
      <c r="BT140" s="49">
        <f t="shared" si="333"/>
        <v>0</v>
      </c>
      <c r="BU140" s="49">
        <f t="shared" si="333"/>
        <v>0</v>
      </c>
      <c r="BV140" s="49">
        <f t="shared" si="333"/>
        <v>0</v>
      </c>
      <c r="BW140" s="49">
        <f t="shared" si="333"/>
        <v>0</v>
      </c>
    </row>
    <row r="141" spans="2:75">
      <c r="E141" s="645">
        <f>SUM(E108:E140)</f>
        <v>914</v>
      </c>
      <c r="F141" s="67"/>
      <c r="G141" s="67" t="str">
        <f t="shared" si="324"/>
        <v/>
      </c>
      <c r="I141" s="336" t="s">
        <v>105</v>
      </c>
      <c r="J141" s="336" t="s">
        <v>87</v>
      </c>
      <c r="K141" s="338" t="s">
        <v>124</v>
      </c>
      <c r="L141" s="339">
        <v>833</v>
      </c>
      <c r="M141" s="64">
        <f t="shared" si="332"/>
        <v>0</v>
      </c>
      <c r="N141" s="64">
        <f t="shared" si="332"/>
        <v>0</v>
      </c>
      <c r="O141" s="64">
        <f t="shared" si="332"/>
        <v>0</v>
      </c>
      <c r="P141" s="64">
        <f t="shared" si="332"/>
        <v>0</v>
      </c>
      <c r="Q141" s="64">
        <f t="shared" si="332"/>
        <v>0</v>
      </c>
      <c r="R141" s="64">
        <f t="shared" si="286"/>
        <v>1</v>
      </c>
      <c r="S141" s="337"/>
      <c r="T141" s="515"/>
      <c r="U141" s="515"/>
      <c r="V141" s="515"/>
      <c r="W141" s="515"/>
      <c r="AE141" s="64">
        <f t="shared" ref="AE141:AI148" si="334">SUMIF($G:$G,TEXT(AE$3,"000")&amp;TEXT($L141,"000"),$E:$E)</f>
        <v>0</v>
      </c>
      <c r="AF141" s="64">
        <f t="shared" si="334"/>
        <v>0</v>
      </c>
      <c r="AG141" s="64">
        <f t="shared" si="334"/>
        <v>0</v>
      </c>
      <c r="AH141" s="64">
        <f t="shared" si="334"/>
        <v>0</v>
      </c>
      <c r="AI141" s="64">
        <f t="shared" si="334"/>
        <v>0</v>
      </c>
      <c r="AK141" s="74">
        <f t="shared" si="278"/>
        <v>0</v>
      </c>
      <c r="AL141" s="74">
        <f t="shared" si="323"/>
        <v>0</v>
      </c>
      <c r="AM141" s="74">
        <f t="shared" si="279"/>
        <v>0</v>
      </c>
      <c r="AN141" s="74">
        <f t="shared" si="280"/>
        <v>0</v>
      </c>
      <c r="AO141" s="74">
        <f t="shared" si="281"/>
        <v>0</v>
      </c>
      <c r="AX141" s="299"/>
      <c r="AY141" s="85"/>
      <c r="AZ141" s="85"/>
      <c r="BA141" s="85"/>
      <c r="BB141" s="85"/>
      <c r="BC141" s="85"/>
      <c r="BD141" s="85"/>
      <c r="BE141" s="327"/>
      <c r="BF141" s="49"/>
      <c r="BG141" s="49"/>
      <c r="BH141" s="49"/>
      <c r="BI141" s="49"/>
      <c r="BJ141" s="49"/>
      <c r="BM141" s="214">
        <f t="shared" si="326"/>
        <v>0</v>
      </c>
      <c r="BN141" s="214">
        <f t="shared" si="327"/>
        <v>0</v>
      </c>
      <c r="BO141" s="214">
        <f t="shared" si="328"/>
        <v>0</v>
      </c>
      <c r="BP141" s="214">
        <f t="shared" si="329"/>
        <v>0</v>
      </c>
      <c r="BQ141" s="214">
        <f t="shared" si="330"/>
        <v>0</v>
      </c>
      <c r="BS141" s="49">
        <f t="shared" si="333"/>
        <v>0</v>
      </c>
      <c r="BT141" s="49">
        <f t="shared" si="333"/>
        <v>0</v>
      </c>
      <c r="BU141" s="49">
        <f t="shared" si="333"/>
        <v>0</v>
      </c>
      <c r="BV141" s="49">
        <f t="shared" si="333"/>
        <v>0</v>
      </c>
      <c r="BW141" s="49">
        <f t="shared" si="333"/>
        <v>0</v>
      </c>
    </row>
    <row r="142" spans="2:75">
      <c r="G142" s="67" t="str">
        <f t="shared" si="324"/>
        <v/>
      </c>
      <c r="I142" s="336" t="s">
        <v>613</v>
      </c>
      <c r="J142" s="336" t="s">
        <v>84</v>
      </c>
      <c r="K142" s="338" t="s">
        <v>504</v>
      </c>
      <c r="L142" s="339" t="s">
        <v>500</v>
      </c>
      <c r="M142" s="345">
        <f t="shared" ref="M142:Q148" si="335">SUMIF($G:$G,TEXT(M$3,"000")&amp;TEXT($L142,"000"),$E:$E)</f>
        <v>0</v>
      </c>
      <c r="N142" s="345">
        <f t="shared" si="335"/>
        <v>0</v>
      </c>
      <c r="O142" s="345">
        <f t="shared" si="335"/>
        <v>0</v>
      </c>
      <c r="P142" s="345">
        <f t="shared" si="335"/>
        <v>0</v>
      </c>
      <c r="Q142" s="345">
        <f t="shared" si="335"/>
        <v>0</v>
      </c>
      <c r="R142" s="345">
        <f>IF(SUM(M142:Q142)&gt;0,0,1)</f>
        <v>1</v>
      </c>
      <c r="S142" s="346">
        <v>0</v>
      </c>
      <c r="T142" s="516"/>
      <c r="U142" s="516">
        <v>0</v>
      </c>
      <c r="V142" s="516"/>
      <c r="W142" s="516"/>
      <c r="X142" s="336"/>
      <c r="Y142" s="336"/>
      <c r="Z142" s="336"/>
      <c r="AA142" s="336"/>
      <c r="AB142" s="336"/>
      <c r="AC142" s="336"/>
      <c r="AD142" s="336"/>
      <c r="AE142" s="345">
        <f t="shared" si="334"/>
        <v>0</v>
      </c>
      <c r="AF142" s="345">
        <f t="shared" si="334"/>
        <v>0</v>
      </c>
      <c r="AG142" s="345">
        <f t="shared" si="334"/>
        <v>0</v>
      </c>
      <c r="AH142" s="345">
        <f t="shared" si="334"/>
        <v>0</v>
      </c>
      <c r="AI142" s="345">
        <f t="shared" si="334"/>
        <v>0</v>
      </c>
      <c r="AJ142" s="336"/>
      <c r="AK142" s="347">
        <f t="shared" si="278"/>
        <v>0</v>
      </c>
      <c r="AL142" s="347"/>
      <c r="AM142" s="74">
        <f t="shared" si="279"/>
        <v>0</v>
      </c>
      <c r="AN142" s="74">
        <f t="shared" si="280"/>
        <v>0</v>
      </c>
      <c r="AO142" s="74">
        <f t="shared" si="281"/>
        <v>0</v>
      </c>
      <c r="AX142" s="299">
        <v>26</v>
      </c>
      <c r="AY142" s="85"/>
      <c r="AZ142" s="85">
        <v>0</v>
      </c>
      <c r="BA142" s="85"/>
      <c r="BB142" s="85"/>
      <c r="BC142" s="85"/>
      <c r="BD142" s="85"/>
      <c r="BE142" s="327">
        <f>ROUND(AX142*$BE$2,2)+ROUND(AX142*$BE$1,2)</f>
        <v>0.06</v>
      </c>
      <c r="BF142" s="49"/>
      <c r="BG142" s="49">
        <f>ROUND((T142*$BF$2)+$BE142-AZ142,2)</f>
        <v>0.06</v>
      </c>
      <c r="BH142" s="49"/>
      <c r="BI142" s="49"/>
      <c r="BJ142" s="49"/>
      <c r="BM142" s="214">
        <f>AK142*$BM$1</f>
        <v>0</v>
      </c>
      <c r="BN142" s="214">
        <f>AL142*$BM$1</f>
        <v>0</v>
      </c>
      <c r="BO142" s="214">
        <f t="shared" si="328"/>
        <v>0</v>
      </c>
      <c r="BP142" s="214">
        <f t="shared" si="329"/>
        <v>0</v>
      </c>
      <c r="BQ142" s="214">
        <f t="shared" si="330"/>
        <v>0</v>
      </c>
      <c r="BS142" s="49">
        <f>BM142-AY142</f>
        <v>0</v>
      </c>
      <c r="BT142" s="49">
        <f>BN142-AZ142</f>
        <v>0</v>
      </c>
      <c r="BU142" s="49">
        <f>BO142-BA142</f>
        <v>0</v>
      </c>
      <c r="BV142" s="49">
        <f>BP142-BB142</f>
        <v>0</v>
      </c>
      <c r="BW142" s="49">
        <f>BQ142-BC142</f>
        <v>0</v>
      </c>
    </row>
    <row r="143" spans="2:75">
      <c r="B143" s="32">
        <v>2</v>
      </c>
      <c r="E143" s="67">
        <f>E11+E81+E97+E106+E141</f>
        <v>24086</v>
      </c>
      <c r="F143" s="67"/>
      <c r="G143" s="67"/>
      <c r="I143" t="s">
        <v>610</v>
      </c>
      <c r="J143" t="s">
        <v>113</v>
      </c>
      <c r="K143" s="54" t="s">
        <v>517</v>
      </c>
      <c r="L143" s="84" t="s">
        <v>654</v>
      </c>
      <c r="M143" s="64">
        <f t="shared" si="335"/>
        <v>0</v>
      </c>
      <c r="N143" s="64">
        <f t="shared" si="335"/>
        <v>0</v>
      </c>
      <c r="O143" s="64">
        <f t="shared" si="335"/>
        <v>0</v>
      </c>
      <c r="P143" s="64">
        <f t="shared" si="335"/>
        <v>0</v>
      </c>
      <c r="Q143" s="64">
        <f t="shared" si="335"/>
        <v>0</v>
      </c>
      <c r="R143" s="64">
        <f>IF(SUM(M143:Q143)&gt;0,0,1)</f>
        <v>1</v>
      </c>
      <c r="T143" s="515">
        <v>51.47</v>
      </c>
      <c r="U143" s="450"/>
      <c r="V143" s="450"/>
      <c r="W143" s="450"/>
      <c r="AE143" s="64">
        <f t="shared" si="334"/>
        <v>0</v>
      </c>
      <c r="AF143" s="64">
        <f t="shared" si="334"/>
        <v>0</v>
      </c>
      <c r="AG143" s="64">
        <f t="shared" si="334"/>
        <v>0</v>
      </c>
      <c r="AH143" s="64">
        <f t="shared" si="334"/>
        <v>0</v>
      </c>
      <c r="AI143" s="64">
        <f t="shared" si="334"/>
        <v>0</v>
      </c>
      <c r="AL143" s="74">
        <f>ROUND(T143*(1+AL$1),2)</f>
        <v>57.74</v>
      </c>
      <c r="AM143" s="41"/>
      <c r="AN143" s="41"/>
      <c r="AO143" s="41"/>
    </row>
    <row r="144" spans="2:75">
      <c r="B144"/>
      <c r="C144"/>
      <c r="D144"/>
      <c r="I144" s="41" t="s">
        <v>606</v>
      </c>
      <c r="J144" t="s">
        <v>86</v>
      </c>
      <c r="K144" s="54" t="s">
        <v>517</v>
      </c>
      <c r="L144" s="84" t="s">
        <v>507</v>
      </c>
      <c r="M144" s="64">
        <f t="shared" si="335"/>
        <v>0</v>
      </c>
      <c r="N144" s="64">
        <f t="shared" si="335"/>
        <v>0</v>
      </c>
      <c r="O144" s="64">
        <f t="shared" si="335"/>
        <v>0</v>
      </c>
      <c r="P144" s="64">
        <f t="shared" si="335"/>
        <v>0</v>
      </c>
      <c r="Q144" s="64">
        <f t="shared" si="335"/>
        <v>0</v>
      </c>
      <c r="R144" s="64">
        <f t="shared" ref="R144:R151" si="336">IF(SUM(M144:Q144)&gt;0,0,1)</f>
        <v>1</v>
      </c>
      <c r="S144" s="337">
        <v>0</v>
      </c>
      <c r="T144" s="515">
        <v>64.569999999999993</v>
      </c>
      <c r="U144" s="515">
        <v>0</v>
      </c>
      <c r="V144" s="515"/>
      <c r="W144" s="515"/>
      <c r="AE144" s="64">
        <f t="shared" si="334"/>
        <v>0</v>
      </c>
      <c r="AF144" s="64">
        <f t="shared" si="334"/>
        <v>0</v>
      </c>
      <c r="AG144" s="64">
        <f t="shared" si="334"/>
        <v>0</v>
      </c>
      <c r="AH144" s="64">
        <f t="shared" si="334"/>
        <v>0</v>
      </c>
      <c r="AI144" s="64">
        <f t="shared" si="334"/>
        <v>0</v>
      </c>
      <c r="AK144" s="74">
        <f>ROUND(S144*(1+AK$1),2)</f>
        <v>0</v>
      </c>
      <c r="AL144" s="74">
        <f>ROUND(T144*(1+AL$1),2)</f>
        <v>72.430000000000007</v>
      </c>
      <c r="AM144" s="74">
        <f t="shared" ref="AM144:AO148" si="337">ROUND(U144*(1+AM$1),2)</f>
        <v>0</v>
      </c>
      <c r="AN144" s="74">
        <f t="shared" si="337"/>
        <v>0</v>
      </c>
      <c r="AO144" s="74">
        <f t="shared" si="337"/>
        <v>0</v>
      </c>
      <c r="AX144" s="299">
        <v>39</v>
      </c>
      <c r="AY144" s="85"/>
      <c r="AZ144" s="85">
        <v>64.245678999999996</v>
      </c>
      <c r="BA144" s="85"/>
      <c r="BB144" s="85"/>
      <c r="BC144" s="85"/>
      <c r="BD144" s="85"/>
      <c r="BE144" s="327">
        <f>ROUND(AX144*$BE$2,2)+ROUND(AX144*$BE$1,2)</f>
        <v>8.0000000000000016E-2</v>
      </c>
      <c r="BF144" s="49"/>
      <c r="BG144" s="49">
        <f>ROUND((T144*$BF$2)+$BE144-AZ144,2)</f>
        <v>1.38</v>
      </c>
      <c r="BH144" s="49"/>
      <c r="BI144" s="49"/>
      <c r="BJ144" s="49"/>
      <c r="BM144" s="214">
        <f t="shared" ref="BM144:BQ148" si="338">AK144*$BM$1</f>
        <v>0</v>
      </c>
      <c r="BN144" s="214">
        <f t="shared" si="338"/>
        <v>73.523692999999994</v>
      </c>
      <c r="BO144" s="214">
        <f t="shared" si="338"/>
        <v>0</v>
      </c>
      <c r="BP144" s="214">
        <f t="shared" si="338"/>
        <v>0</v>
      </c>
      <c r="BQ144" s="214">
        <f t="shared" si="338"/>
        <v>0</v>
      </c>
      <c r="BS144" s="49">
        <f t="shared" ref="BS144:BW148" si="339">BM144-AY144</f>
        <v>0</v>
      </c>
      <c r="BT144" s="49">
        <f t="shared" si="339"/>
        <v>9.2780139999999989</v>
      </c>
      <c r="BU144" s="49">
        <f t="shared" si="339"/>
        <v>0</v>
      </c>
      <c r="BV144" s="49">
        <f t="shared" si="339"/>
        <v>0</v>
      </c>
      <c r="BW144" s="49">
        <f t="shared" si="339"/>
        <v>0</v>
      </c>
    </row>
    <row r="145" spans="2:75">
      <c r="B145"/>
      <c r="C145"/>
      <c r="D145" s="54" t="s">
        <v>367</v>
      </c>
      <c r="E145" s="646">
        <f>22760+192+243+892</f>
        <v>24087</v>
      </c>
      <c r="F145" s="41"/>
      <c r="G145" s="67"/>
      <c r="I145" s="41" t="s">
        <v>610</v>
      </c>
      <c r="J145" t="s">
        <v>86</v>
      </c>
      <c r="K145" s="54" t="s">
        <v>109</v>
      </c>
      <c r="L145" s="84" t="s">
        <v>515</v>
      </c>
      <c r="M145" s="64">
        <f t="shared" si="335"/>
        <v>0</v>
      </c>
      <c r="N145" s="64">
        <f t="shared" si="335"/>
        <v>0</v>
      </c>
      <c r="O145" s="64">
        <f t="shared" si="335"/>
        <v>0</v>
      </c>
      <c r="P145" s="64">
        <f t="shared" si="335"/>
        <v>0</v>
      </c>
      <c r="Q145" s="64">
        <f t="shared" si="335"/>
        <v>0</v>
      </c>
      <c r="R145" s="64">
        <f t="shared" si="336"/>
        <v>1</v>
      </c>
      <c r="S145" s="337">
        <v>0</v>
      </c>
      <c r="T145" s="515">
        <v>44.34</v>
      </c>
      <c r="U145" s="515">
        <v>0</v>
      </c>
      <c r="V145" s="515">
        <v>0</v>
      </c>
      <c r="W145" s="515"/>
      <c r="AE145" s="64">
        <f t="shared" si="334"/>
        <v>0</v>
      </c>
      <c r="AF145" s="64">
        <f t="shared" si="334"/>
        <v>0</v>
      </c>
      <c r="AG145" s="64">
        <f t="shared" si="334"/>
        <v>0</v>
      </c>
      <c r="AH145" s="64">
        <f t="shared" si="334"/>
        <v>0</v>
      </c>
      <c r="AI145" s="64">
        <f t="shared" si="334"/>
        <v>0</v>
      </c>
      <c r="AK145" s="74">
        <f>ROUND(S145*(1+AK$1),2)</f>
        <v>0</v>
      </c>
      <c r="AL145" s="74">
        <f>ROUND(T145*(1+AL$1),2)</f>
        <v>49.74</v>
      </c>
      <c r="AM145" s="74">
        <f t="shared" si="337"/>
        <v>0</v>
      </c>
      <c r="AN145" s="74">
        <f t="shared" si="337"/>
        <v>0</v>
      </c>
      <c r="AO145" s="74">
        <f t="shared" si="337"/>
        <v>0</v>
      </c>
      <c r="AX145" s="299">
        <f>26+26</f>
        <v>52</v>
      </c>
      <c r="AY145" s="85"/>
      <c r="AZ145" s="85">
        <v>44.116245999999997</v>
      </c>
      <c r="BA145" s="85"/>
      <c r="BB145" s="85"/>
      <c r="BC145" s="85"/>
      <c r="BD145" s="85"/>
      <c r="BE145" s="327">
        <f>ROUND(AX145*$BE$2,2)+ROUND(AX145*$BE$1,2)</f>
        <v>0.10999999999999999</v>
      </c>
      <c r="BF145" s="49"/>
      <c r="BG145" s="49">
        <f>ROUND((T145*$BF$2)+$BE145-AZ145,2)</f>
        <v>1</v>
      </c>
      <c r="BH145" s="49"/>
      <c r="BI145" s="49"/>
      <c r="BJ145" s="49"/>
      <c r="BM145" s="214">
        <f t="shared" si="338"/>
        <v>0</v>
      </c>
      <c r="BN145" s="214">
        <f t="shared" si="338"/>
        <v>50.491073999999998</v>
      </c>
      <c r="BO145" s="214">
        <f t="shared" si="338"/>
        <v>0</v>
      </c>
      <c r="BP145" s="214">
        <f t="shared" si="338"/>
        <v>0</v>
      </c>
      <c r="BQ145" s="214">
        <f t="shared" si="338"/>
        <v>0</v>
      </c>
      <c r="BS145" s="49">
        <f t="shared" si="339"/>
        <v>0</v>
      </c>
      <c r="BT145" s="49">
        <f t="shared" si="339"/>
        <v>6.3748280000000008</v>
      </c>
      <c r="BU145" s="49">
        <f t="shared" si="339"/>
        <v>0</v>
      </c>
      <c r="BV145" s="49">
        <f t="shared" si="339"/>
        <v>0</v>
      </c>
      <c r="BW145" s="49">
        <f t="shared" si="339"/>
        <v>0</v>
      </c>
    </row>
    <row r="146" spans="2:75">
      <c r="B146"/>
      <c r="C146"/>
      <c r="D146" s="54" t="s">
        <v>368</v>
      </c>
      <c r="E146" s="146">
        <f>4062+5595</f>
        <v>9657</v>
      </c>
      <c r="F146" s="41"/>
      <c r="I146" s="41" t="s">
        <v>613</v>
      </c>
      <c r="J146" t="s">
        <v>84</v>
      </c>
      <c r="K146" s="54" t="s">
        <v>109</v>
      </c>
      <c r="L146" s="84" t="s">
        <v>516</v>
      </c>
      <c r="M146" s="64">
        <f t="shared" si="335"/>
        <v>0</v>
      </c>
      <c r="N146" s="64">
        <f t="shared" si="335"/>
        <v>0</v>
      </c>
      <c r="O146" s="64">
        <f t="shared" si="335"/>
        <v>0</v>
      </c>
      <c r="P146" s="64">
        <f t="shared" si="335"/>
        <v>0</v>
      </c>
      <c r="Q146" s="64">
        <f t="shared" si="335"/>
        <v>0</v>
      </c>
      <c r="R146" s="64">
        <f t="shared" si="336"/>
        <v>1</v>
      </c>
      <c r="S146" s="337">
        <v>0</v>
      </c>
      <c r="T146" s="515">
        <v>22.67</v>
      </c>
      <c r="U146" s="515">
        <v>0</v>
      </c>
      <c r="V146" s="515">
        <v>0</v>
      </c>
      <c r="W146" s="515"/>
      <c r="AE146" s="64">
        <f t="shared" si="334"/>
        <v>0</v>
      </c>
      <c r="AF146" s="64">
        <f t="shared" si="334"/>
        <v>0</v>
      </c>
      <c r="AG146" s="64">
        <f t="shared" si="334"/>
        <v>0</v>
      </c>
      <c r="AH146" s="64">
        <f t="shared" si="334"/>
        <v>0</v>
      </c>
      <c r="AI146" s="64">
        <f t="shared" si="334"/>
        <v>0</v>
      </c>
      <c r="AK146" s="74">
        <f>ROUND(S146*(1+AK$1),2)</f>
        <v>0</v>
      </c>
      <c r="AL146" s="74">
        <f>ROUND(T146*(1+AL$1),2)</f>
        <v>25.43</v>
      </c>
      <c r="AM146" s="74">
        <f t="shared" si="337"/>
        <v>0</v>
      </c>
      <c r="AN146" s="74">
        <f t="shared" si="337"/>
        <v>0</v>
      </c>
      <c r="AO146" s="74">
        <f t="shared" si="337"/>
        <v>0</v>
      </c>
      <c r="AX146" s="299">
        <v>26</v>
      </c>
      <c r="AY146" s="85"/>
      <c r="AZ146" s="85">
        <v>21.367854999999999</v>
      </c>
      <c r="BA146" s="85"/>
      <c r="BB146" s="85"/>
      <c r="BC146" s="85"/>
      <c r="BD146" s="85"/>
      <c r="BE146" s="327">
        <f>ROUND(AX146*$BE$2,2)+ROUND(AX146*$BE$1,2)</f>
        <v>0.06</v>
      </c>
      <c r="BF146" s="49"/>
      <c r="BG146" s="49">
        <f>ROUND((T146*$BF$2)+$BE146-AZ146,2)</f>
        <v>1.7</v>
      </c>
      <c r="BH146" s="49"/>
      <c r="BI146" s="49"/>
      <c r="BJ146" s="49"/>
      <c r="BM146" s="214">
        <f t="shared" si="338"/>
        <v>0</v>
      </c>
      <c r="BN146" s="214">
        <f t="shared" si="338"/>
        <v>25.813992999999996</v>
      </c>
      <c r="BO146" s="214">
        <f t="shared" si="338"/>
        <v>0</v>
      </c>
      <c r="BP146" s="214">
        <f t="shared" si="338"/>
        <v>0</v>
      </c>
      <c r="BQ146" s="214">
        <f t="shared" si="338"/>
        <v>0</v>
      </c>
      <c r="BS146" s="49">
        <f t="shared" si="339"/>
        <v>0</v>
      </c>
      <c r="BT146" s="49">
        <f t="shared" si="339"/>
        <v>4.4461379999999977</v>
      </c>
      <c r="BU146" s="49">
        <f t="shared" si="339"/>
        <v>0</v>
      </c>
      <c r="BV146" s="49">
        <f t="shared" si="339"/>
        <v>0</v>
      </c>
      <c r="BW146" s="49">
        <f t="shared" si="339"/>
        <v>0</v>
      </c>
    </row>
    <row r="147" spans="2:75">
      <c r="B147"/>
      <c r="C147"/>
      <c r="E147" s="645">
        <f>E145+E146</f>
        <v>33744</v>
      </c>
      <c r="I147" t="s">
        <v>410</v>
      </c>
      <c r="J147" t="s">
        <v>108</v>
      </c>
      <c r="K147" s="54" t="s">
        <v>668</v>
      </c>
      <c r="L147" s="84" t="s">
        <v>670</v>
      </c>
      <c r="M147" s="64">
        <f t="shared" si="335"/>
        <v>0</v>
      </c>
      <c r="N147" s="64">
        <f t="shared" si="335"/>
        <v>0</v>
      </c>
      <c r="O147" s="64">
        <f t="shared" si="335"/>
        <v>0</v>
      </c>
      <c r="P147" s="64">
        <f t="shared" si="335"/>
        <v>0</v>
      </c>
      <c r="Q147" s="64">
        <f t="shared" si="335"/>
        <v>0</v>
      </c>
      <c r="R147" s="64">
        <f t="shared" si="336"/>
        <v>1</v>
      </c>
      <c r="S147" s="337">
        <v>0</v>
      </c>
      <c r="T147" s="515">
        <v>0</v>
      </c>
      <c r="U147" s="515">
        <v>0</v>
      </c>
      <c r="V147" s="515">
        <v>0</v>
      </c>
      <c r="W147" s="515"/>
      <c r="Y147" s="65">
        <f t="shared" ref="Y147:Y148" si="340">IF(AND(M147&lt;&gt;0,S147=0),#VALUE!,M147*S147)</f>
        <v>0</v>
      </c>
      <c r="Z147" s="65">
        <f t="shared" ref="Z147:Z148" si="341">IF(AND(N147&lt;&gt;0,T147=0),#VALUE!,N147*T147)</f>
        <v>0</v>
      </c>
      <c r="AA147" s="65">
        <f t="shared" ref="AA147:AA148" si="342">IF(AND(O147&lt;&gt;0,U147=0),#VALUE!,O147*U147)</f>
        <v>0</v>
      </c>
      <c r="AB147" s="65">
        <f t="shared" ref="AB147:AB148" si="343">IF(AND(P147&lt;&gt;0,V147=0),#VALUE!,P147*V147)</f>
        <v>0</v>
      </c>
      <c r="AC147" s="65">
        <f t="shared" ref="AC147:AC148" si="344">IF(AND(Q147&lt;&gt;0,W147=0),#VALUE!,Q147*W147)</f>
        <v>0</v>
      </c>
      <c r="AE147" s="64">
        <f t="shared" si="334"/>
        <v>0</v>
      </c>
      <c r="AF147" s="64">
        <f t="shared" si="334"/>
        <v>0</v>
      </c>
      <c r="AG147" s="64">
        <f t="shared" si="334"/>
        <v>0</v>
      </c>
      <c r="AH147" s="64">
        <f t="shared" si="334"/>
        <v>0</v>
      </c>
      <c r="AI147" s="64">
        <f t="shared" si="334"/>
        <v>0</v>
      </c>
      <c r="AK147" s="74">
        <f>ROUND(S147*(1+AK$1),2)</f>
        <v>0</v>
      </c>
      <c r="AL147" s="74"/>
      <c r="AM147" s="74">
        <f t="shared" si="337"/>
        <v>0</v>
      </c>
      <c r="AN147" s="74">
        <f t="shared" si="337"/>
        <v>0</v>
      </c>
      <c r="AO147" s="347">
        <f t="shared" si="337"/>
        <v>0</v>
      </c>
      <c r="AQ147" s="65">
        <f t="shared" ref="AQ147:AQ148" si="345">IF(AND(AE147&lt;&gt;0,AK147=0),#VALUE!,AE147*AK147)</f>
        <v>0</v>
      </c>
      <c r="AR147" s="65">
        <f t="shared" ref="AR147:AR148" si="346">IF(AND(AF147&lt;&gt;0,AL147=0),#VALUE!,AF147*AL147)</f>
        <v>0</v>
      </c>
      <c r="AS147" s="65">
        <f t="shared" ref="AS147:AS148" si="347">IF(AND(AG147&lt;&gt;0,AM147=0),#VALUE!,AG147*AM147)</f>
        <v>0</v>
      </c>
      <c r="AT147" s="65">
        <f t="shared" ref="AT147:AT148" si="348">IF(AND(AH147&lt;&gt;0,AN147=0),#VALUE!,AH147*AN147)</f>
        <v>0</v>
      </c>
      <c r="AU147" s="65">
        <f t="shared" ref="AU147:AU148" si="349">IF(AND(AI147&lt;&gt;0,AO147=0),#VALUE!,AI147*AO147)</f>
        <v>0</v>
      </c>
      <c r="AX147" s="299">
        <v>6</v>
      </c>
      <c r="AY147" s="85"/>
      <c r="AZ147" s="85"/>
      <c r="BA147" s="85"/>
      <c r="BB147" s="85"/>
      <c r="BC147" s="85"/>
      <c r="BD147" s="85"/>
      <c r="BE147" s="327">
        <f t="shared" ref="BE147:BE148" si="350">ROUND(AX147*$BE$2,2)+ROUND(AX147*$BE$1,2)</f>
        <v>9.999999999999995E-3</v>
      </c>
      <c r="BF147" s="49"/>
      <c r="BG147" s="49"/>
      <c r="BH147" s="49"/>
      <c r="BI147" s="49"/>
      <c r="BJ147" s="49">
        <f>ROUND((W147*$BF$2)+$BE147-BC147,2)</f>
        <v>0.01</v>
      </c>
      <c r="BM147" s="214">
        <f t="shared" si="338"/>
        <v>0</v>
      </c>
      <c r="BN147" s="214">
        <f t="shared" si="338"/>
        <v>0</v>
      </c>
      <c r="BO147" s="214">
        <f t="shared" si="338"/>
        <v>0</v>
      </c>
      <c r="BP147" s="214">
        <f t="shared" si="338"/>
        <v>0</v>
      </c>
      <c r="BQ147" s="214">
        <f t="shared" si="338"/>
        <v>0</v>
      </c>
      <c r="BS147" s="49">
        <f t="shared" si="339"/>
        <v>0</v>
      </c>
      <c r="BT147" s="49">
        <f t="shared" si="339"/>
        <v>0</v>
      </c>
      <c r="BU147" s="49">
        <f t="shared" si="339"/>
        <v>0</v>
      </c>
      <c r="BV147" s="49">
        <f t="shared" si="339"/>
        <v>0</v>
      </c>
      <c r="BW147" s="49">
        <f>BQ147-BC147</f>
        <v>0</v>
      </c>
    </row>
    <row r="148" spans="2:75">
      <c r="B148"/>
      <c r="C148"/>
      <c r="E148" s="67">
        <f>E143+'Area Lts'!E100-E147</f>
        <v>0</v>
      </c>
      <c r="I148" t="s">
        <v>410</v>
      </c>
      <c r="J148" t="s">
        <v>108</v>
      </c>
      <c r="K148" s="54" t="s">
        <v>669</v>
      </c>
      <c r="L148" s="84" t="s">
        <v>671</v>
      </c>
      <c r="M148" s="64">
        <f t="shared" si="335"/>
        <v>0</v>
      </c>
      <c r="N148" s="64">
        <f t="shared" si="335"/>
        <v>0</v>
      </c>
      <c r="O148" s="64">
        <f t="shared" si="335"/>
        <v>0</v>
      </c>
      <c r="P148" s="64">
        <f t="shared" si="335"/>
        <v>0</v>
      </c>
      <c r="Q148" s="64">
        <f t="shared" si="335"/>
        <v>0</v>
      </c>
      <c r="R148" s="64">
        <f t="shared" si="336"/>
        <v>1</v>
      </c>
      <c r="S148" s="337">
        <v>0</v>
      </c>
      <c r="T148" s="515">
        <v>0</v>
      </c>
      <c r="U148" s="515">
        <v>0</v>
      </c>
      <c r="V148" s="515">
        <v>0</v>
      </c>
      <c r="W148" s="515"/>
      <c r="Y148" s="65">
        <f t="shared" si="340"/>
        <v>0</v>
      </c>
      <c r="Z148" s="65">
        <f t="shared" si="341"/>
        <v>0</v>
      </c>
      <c r="AA148" s="65">
        <f t="shared" si="342"/>
        <v>0</v>
      </c>
      <c r="AB148" s="65">
        <f t="shared" si="343"/>
        <v>0</v>
      </c>
      <c r="AC148" s="65">
        <f t="shared" si="344"/>
        <v>0</v>
      </c>
      <c r="AE148" s="64">
        <f t="shared" si="334"/>
        <v>0</v>
      </c>
      <c r="AF148" s="64">
        <f t="shared" si="334"/>
        <v>0</v>
      </c>
      <c r="AG148" s="64">
        <f t="shared" si="334"/>
        <v>0</v>
      </c>
      <c r="AH148" s="64">
        <f t="shared" si="334"/>
        <v>0</v>
      </c>
      <c r="AI148" s="64">
        <f t="shared" si="334"/>
        <v>0</v>
      </c>
      <c r="AK148" s="74">
        <f>ROUND(S148*(1+AK$1),2)</f>
        <v>0</v>
      </c>
      <c r="AL148" s="74"/>
      <c r="AM148" s="74">
        <f t="shared" si="337"/>
        <v>0</v>
      </c>
      <c r="AN148" s="74">
        <f t="shared" si="337"/>
        <v>0</v>
      </c>
      <c r="AO148" s="347">
        <f t="shared" si="337"/>
        <v>0</v>
      </c>
      <c r="AQ148" s="65">
        <f t="shared" si="345"/>
        <v>0</v>
      </c>
      <c r="AR148" s="65">
        <f t="shared" si="346"/>
        <v>0</v>
      </c>
      <c r="AS148" s="65">
        <f t="shared" si="347"/>
        <v>0</v>
      </c>
      <c r="AT148" s="65">
        <f t="shared" si="348"/>
        <v>0</v>
      </c>
      <c r="AU148" s="65">
        <f t="shared" si="349"/>
        <v>0</v>
      </c>
      <c r="AX148" s="299">
        <v>9</v>
      </c>
      <c r="AY148" s="85"/>
      <c r="AZ148" s="85"/>
      <c r="BA148" s="85"/>
      <c r="BB148" s="85"/>
      <c r="BC148" s="85"/>
      <c r="BD148" s="85"/>
      <c r="BE148" s="327">
        <f t="shared" si="350"/>
        <v>2.0000000000000004E-2</v>
      </c>
      <c r="BF148" s="49"/>
      <c r="BG148" s="49"/>
      <c r="BH148" s="49"/>
      <c r="BI148" s="49"/>
      <c r="BJ148" s="49">
        <f>ROUND((W148*$BF$2)+$BE148-BC148,2)</f>
        <v>0.02</v>
      </c>
      <c r="BM148" s="214">
        <f t="shared" si="338"/>
        <v>0</v>
      </c>
      <c r="BN148" s="214">
        <f t="shared" si="338"/>
        <v>0</v>
      </c>
      <c r="BO148" s="214">
        <f t="shared" si="338"/>
        <v>0</v>
      </c>
      <c r="BP148" s="214">
        <f t="shared" si="338"/>
        <v>0</v>
      </c>
      <c r="BQ148" s="214">
        <f t="shared" si="338"/>
        <v>0</v>
      </c>
      <c r="BS148" s="49">
        <f t="shared" si="339"/>
        <v>0</v>
      </c>
      <c r="BT148" s="49">
        <f t="shared" si="339"/>
        <v>0</v>
      </c>
      <c r="BU148" s="49">
        <f t="shared" si="339"/>
        <v>0</v>
      </c>
      <c r="BV148" s="49">
        <f t="shared" si="339"/>
        <v>0</v>
      </c>
      <c r="BW148" s="49">
        <f t="shared" si="339"/>
        <v>0</v>
      </c>
    </row>
    <row r="149" spans="2:75">
      <c r="T149" s="450"/>
      <c r="U149" s="450"/>
      <c r="V149" s="450"/>
      <c r="W149" s="450"/>
      <c r="AL149" s="41"/>
      <c r="AM149" s="41"/>
      <c r="AN149" s="41"/>
      <c r="AO149" s="41"/>
    </row>
    <row r="150" spans="2:75">
      <c r="T150" s="450"/>
      <c r="U150" s="450"/>
      <c r="V150" s="450"/>
      <c r="W150" s="450"/>
    </row>
    <row r="151" spans="2:75">
      <c r="I151" s="41" t="s">
        <v>610</v>
      </c>
      <c r="J151" t="s">
        <v>86</v>
      </c>
      <c r="K151" s="54" t="s">
        <v>535</v>
      </c>
      <c r="L151" s="84" t="s">
        <v>540</v>
      </c>
      <c r="M151" s="64">
        <f t="shared" ref="M151:Q154" si="351">SUMIF($G:$G,TEXT(M$3,"000")&amp;TEXT($L151,"000"),$E:$E)</f>
        <v>0</v>
      </c>
      <c r="N151" s="64">
        <f t="shared" si="351"/>
        <v>0</v>
      </c>
      <c r="O151" s="64">
        <f t="shared" si="351"/>
        <v>0</v>
      </c>
      <c r="P151" s="64">
        <f t="shared" si="351"/>
        <v>0</v>
      </c>
      <c r="Q151" s="64">
        <f t="shared" si="351"/>
        <v>0</v>
      </c>
      <c r="R151" s="64">
        <f t="shared" si="336"/>
        <v>1</v>
      </c>
      <c r="S151" s="337">
        <v>0</v>
      </c>
      <c r="T151" s="515">
        <v>100.76</v>
      </c>
      <c r="U151" s="515">
        <v>0</v>
      </c>
      <c r="V151" s="515">
        <v>0</v>
      </c>
      <c r="W151" s="515"/>
      <c r="AE151" s="64">
        <f>SUMIF($G:$G,TEXT(AE$3,"000")&amp;TEXT($L151,"000"),$E:$E)</f>
        <v>0</v>
      </c>
      <c r="AF151" s="64">
        <f>SUMIF($G:$G,TEXT(AF$3,"000")&amp;TEXT($L151,"000"),$E:$E)</f>
        <v>0</v>
      </c>
      <c r="AG151" s="64">
        <f>SUMIF($G:$G,TEXT(AG$3,"000")&amp;TEXT($L151,"000"),$E:$E)</f>
        <v>0</v>
      </c>
      <c r="AH151" s="64">
        <f>SUMIF($G:$G,TEXT(AH$3,"000")&amp;TEXT($L151,"000"),$E:$E)</f>
        <v>0</v>
      </c>
      <c r="AI151" s="64">
        <f>SUMIF($G:$G,TEXT(AI$3,"000")&amp;TEXT($L151,"000"),$E:$E)</f>
        <v>0</v>
      </c>
      <c r="AK151" s="74">
        <f>ROUND(S151*(1+AK$1),2)</f>
        <v>0</v>
      </c>
      <c r="AL151" s="74">
        <f>AL98</f>
        <v>113.03</v>
      </c>
      <c r="AM151" s="74">
        <f t="shared" ref="AM151:AO154" si="352">ROUND(U151*(1+AM$1),2)</f>
        <v>0</v>
      </c>
      <c r="AN151" s="74">
        <f t="shared" si="352"/>
        <v>0</v>
      </c>
      <c r="AO151" s="74">
        <f t="shared" si="352"/>
        <v>0</v>
      </c>
      <c r="AX151">
        <v>166</v>
      </c>
      <c r="AZ151">
        <v>93.85</v>
      </c>
      <c r="BE151" s="327">
        <f>ROUND(AX151*$BE$2,2)+ROUND(AX151*$BE$1,2)</f>
        <v>0.3600000000000001</v>
      </c>
      <c r="BF151" s="49"/>
      <c r="BG151" s="49">
        <f>ROUND((T151*$BF$2)+$BE151-AZ151,2)</f>
        <v>8.7899999999999991</v>
      </c>
    </row>
    <row r="152" spans="2:75">
      <c r="I152" s="513" t="s">
        <v>101</v>
      </c>
      <c r="J152" s="513" t="s">
        <v>85</v>
      </c>
      <c r="K152" s="54">
        <v>7000</v>
      </c>
      <c r="L152" s="84">
        <v>411</v>
      </c>
      <c r="M152" s="64">
        <f t="shared" si="351"/>
        <v>0</v>
      </c>
      <c r="N152" s="64">
        <f t="shared" si="351"/>
        <v>0</v>
      </c>
      <c r="O152" s="64">
        <f t="shared" si="351"/>
        <v>0</v>
      </c>
      <c r="P152" s="64">
        <f t="shared" si="351"/>
        <v>0</v>
      </c>
      <c r="Q152" s="64">
        <f t="shared" si="351"/>
        <v>0</v>
      </c>
      <c r="R152" s="64">
        <f>IF(SUM(M152:Q152)&gt;0,0,1)</f>
        <v>1</v>
      </c>
      <c r="S152" s="337">
        <v>17.48</v>
      </c>
      <c r="T152" s="515">
        <v>0</v>
      </c>
      <c r="U152" s="515">
        <v>0</v>
      </c>
      <c r="V152" s="515">
        <v>0</v>
      </c>
      <c r="W152" s="515">
        <v>0</v>
      </c>
      <c r="Y152" s="65">
        <f t="shared" ref="Y152:AC154" si="353">IF(AND(M152&lt;&gt;0,S152=0),#VALUE!,M152*S152)</f>
        <v>0</v>
      </c>
      <c r="Z152" s="65">
        <f t="shared" si="353"/>
        <v>0</v>
      </c>
      <c r="AA152" s="65">
        <f t="shared" si="353"/>
        <v>0</v>
      </c>
      <c r="AB152" s="65">
        <f t="shared" si="353"/>
        <v>0</v>
      </c>
      <c r="AC152" s="65">
        <f t="shared" si="353"/>
        <v>0</v>
      </c>
      <c r="AE152" s="64">
        <f t="shared" ref="AE152:AI154" si="354">M152</f>
        <v>0</v>
      </c>
      <c r="AF152" s="64">
        <f t="shared" si="354"/>
        <v>0</v>
      </c>
      <c r="AG152" s="64">
        <f t="shared" si="354"/>
        <v>0</v>
      </c>
      <c r="AH152" s="64">
        <f t="shared" si="354"/>
        <v>0</v>
      </c>
      <c r="AI152" s="64">
        <f t="shared" si="354"/>
        <v>0</v>
      </c>
      <c r="AK152" s="74">
        <f>ROUND(S152*(1+AK$1),2)</f>
        <v>17.48</v>
      </c>
      <c r="AL152" s="74">
        <f>ROUND(T152*(1+AL$1),2)</f>
        <v>0</v>
      </c>
      <c r="AM152" s="74">
        <f t="shared" si="352"/>
        <v>0</v>
      </c>
      <c r="AN152" s="74">
        <f t="shared" si="352"/>
        <v>0</v>
      </c>
      <c r="AO152" s="74">
        <f t="shared" si="352"/>
        <v>0</v>
      </c>
      <c r="AQ152" s="65">
        <f t="shared" ref="AQ152:AU154" si="355">IF(AND(AE152&lt;&gt;0,AK152=0),#VALUE!,AE152*AK152)</f>
        <v>0</v>
      </c>
      <c r="AR152" s="65">
        <f t="shared" si="355"/>
        <v>0</v>
      </c>
      <c r="AS152" s="65">
        <f t="shared" si="355"/>
        <v>0</v>
      </c>
      <c r="AT152" s="65">
        <f t="shared" si="355"/>
        <v>0</v>
      </c>
      <c r="AU152" s="65">
        <f t="shared" si="355"/>
        <v>0</v>
      </c>
      <c r="AV152" s="65">
        <f>SUM(AR152)-SUM(Z152)</f>
        <v>0</v>
      </c>
      <c r="AW152" s="306" t="e">
        <f>AV152/Z152</f>
        <v>#DIV/0!</v>
      </c>
      <c r="AX152" s="299">
        <v>80</v>
      </c>
      <c r="AY152" s="85">
        <v>17.25</v>
      </c>
      <c r="AZ152" s="85"/>
      <c r="BA152" s="85"/>
      <c r="BB152" s="85"/>
      <c r="BC152" s="85"/>
      <c r="BD152" s="85"/>
      <c r="BE152" s="327">
        <f>ROUND(AX152*$BE$2,2)+ROUND(AX152*$BE$1,2)</f>
        <v>0.18000000000000016</v>
      </c>
      <c r="BF152" s="49">
        <f>ROUND((S152*$BF$2)+$BE152-AY152,2)</f>
        <v>0.67</v>
      </c>
      <c r="BG152" s="49"/>
      <c r="BH152" s="49"/>
      <c r="BI152" s="49"/>
      <c r="BJ152" s="49"/>
      <c r="BM152" s="214">
        <f t="shared" ref="BM152:BQ154" si="356">AK152*$BM$1</f>
        <v>17.743948</v>
      </c>
      <c r="BN152" s="214">
        <f t="shared" si="356"/>
        <v>0</v>
      </c>
      <c r="BO152" s="214">
        <f t="shared" si="356"/>
        <v>0</v>
      </c>
      <c r="BP152" s="214">
        <f t="shared" si="356"/>
        <v>0</v>
      </c>
      <c r="BQ152" s="214">
        <f t="shared" si="356"/>
        <v>0</v>
      </c>
      <c r="BS152" s="49">
        <f t="shared" ref="BS152:BW154" si="357">BM152-AY152</f>
        <v>0.49394799999999961</v>
      </c>
      <c r="BT152" s="49">
        <f t="shared" si="357"/>
        <v>0</v>
      </c>
      <c r="BU152" s="49">
        <f t="shared" si="357"/>
        <v>0</v>
      </c>
      <c r="BV152" s="49">
        <f t="shared" si="357"/>
        <v>0</v>
      </c>
      <c r="BW152" s="49">
        <f t="shared" si="357"/>
        <v>0</v>
      </c>
    </row>
    <row r="153" spans="2:75">
      <c r="I153" s="513" t="s">
        <v>101</v>
      </c>
      <c r="J153" s="513" t="s">
        <v>85</v>
      </c>
      <c r="K153" s="54">
        <v>20000</v>
      </c>
      <c r="L153" s="84">
        <v>611</v>
      </c>
      <c r="M153" s="64">
        <f t="shared" si="351"/>
        <v>0</v>
      </c>
      <c r="N153" s="64">
        <f t="shared" si="351"/>
        <v>0</v>
      </c>
      <c r="O153" s="64">
        <f t="shared" si="351"/>
        <v>0</v>
      </c>
      <c r="P153" s="64">
        <f t="shared" si="351"/>
        <v>0</v>
      </c>
      <c r="Q153" s="64">
        <f t="shared" si="351"/>
        <v>0</v>
      </c>
      <c r="R153" s="64">
        <f>IF(SUM(M153:Q153)&gt;0,0,1)</f>
        <v>1</v>
      </c>
      <c r="S153" s="337">
        <v>30.26</v>
      </c>
      <c r="T153" s="515">
        <v>0</v>
      </c>
      <c r="U153" s="515">
        <v>0</v>
      </c>
      <c r="V153" s="515">
        <v>0</v>
      </c>
      <c r="W153" s="515">
        <v>0</v>
      </c>
      <c r="Y153" s="65">
        <f t="shared" si="353"/>
        <v>0</v>
      </c>
      <c r="Z153" s="65">
        <f t="shared" si="353"/>
        <v>0</v>
      </c>
      <c r="AA153" s="65">
        <f t="shared" si="353"/>
        <v>0</v>
      </c>
      <c r="AB153" s="65">
        <f t="shared" si="353"/>
        <v>0</v>
      </c>
      <c r="AC153" s="65">
        <f t="shared" si="353"/>
        <v>0</v>
      </c>
      <c r="AE153" s="64">
        <f t="shared" si="354"/>
        <v>0</v>
      </c>
      <c r="AF153" s="64">
        <f t="shared" si="354"/>
        <v>0</v>
      </c>
      <c r="AG153" s="64">
        <f t="shared" si="354"/>
        <v>0</v>
      </c>
      <c r="AH153" s="64">
        <f t="shared" si="354"/>
        <v>0</v>
      </c>
      <c r="AI153" s="64">
        <f t="shared" si="354"/>
        <v>0</v>
      </c>
      <c r="AK153" s="74">
        <f>ROUND(S153*(1+AK$1),2)</f>
        <v>30.26</v>
      </c>
      <c r="AL153" s="74">
        <f>ROUND(T153*(1+AL$1),2)</f>
        <v>0</v>
      </c>
      <c r="AM153" s="74">
        <f t="shared" si="352"/>
        <v>0</v>
      </c>
      <c r="AN153" s="74">
        <f t="shared" si="352"/>
        <v>0</v>
      </c>
      <c r="AO153" s="74">
        <f t="shared" si="352"/>
        <v>0</v>
      </c>
      <c r="AQ153" s="65">
        <f t="shared" si="355"/>
        <v>0</v>
      </c>
      <c r="AR153" s="65">
        <f t="shared" si="355"/>
        <v>0</v>
      </c>
      <c r="AS153" s="65">
        <f t="shared" si="355"/>
        <v>0</v>
      </c>
      <c r="AT153" s="65">
        <f t="shared" si="355"/>
        <v>0</v>
      </c>
      <c r="AU153" s="65">
        <f t="shared" si="355"/>
        <v>0</v>
      </c>
      <c r="AV153" s="65">
        <f>SUM(AR153)-SUM(Z153)</f>
        <v>0</v>
      </c>
      <c r="AW153" s="306" t="e">
        <f>AV153/Z153</f>
        <v>#DIV/0!</v>
      </c>
      <c r="AX153" s="299">
        <v>182</v>
      </c>
      <c r="AY153" s="85">
        <v>29.87</v>
      </c>
      <c r="AZ153" s="85"/>
      <c r="BA153" s="85"/>
      <c r="BB153" s="85"/>
      <c r="BC153" s="85"/>
      <c r="BD153" s="85"/>
      <c r="BE153" s="327">
        <f>ROUND(AX153*$BE$2,2)+ROUND(AX153*$BE$1,2)</f>
        <v>0.41000000000000014</v>
      </c>
      <c r="BF153" s="49">
        <f>ROUND((S153*$BF$2)+$BE153-AY153,2)</f>
        <v>1.26</v>
      </c>
      <c r="BG153" s="49"/>
      <c r="BH153" s="49"/>
      <c r="BI153" s="49"/>
      <c r="BJ153" s="49"/>
      <c r="BM153" s="214">
        <f t="shared" si="356"/>
        <v>30.716925999999997</v>
      </c>
      <c r="BN153" s="214">
        <f t="shared" si="356"/>
        <v>0</v>
      </c>
      <c r="BO153" s="214">
        <f t="shared" si="356"/>
        <v>0</v>
      </c>
      <c r="BP153" s="214">
        <f t="shared" si="356"/>
        <v>0</v>
      </c>
      <c r="BQ153" s="214">
        <f t="shared" si="356"/>
        <v>0</v>
      </c>
      <c r="BS153" s="49">
        <f t="shared" si="357"/>
        <v>0.84692599999999629</v>
      </c>
      <c r="BT153" s="49">
        <f t="shared" si="357"/>
        <v>0</v>
      </c>
      <c r="BU153" s="49">
        <f t="shared" si="357"/>
        <v>0</v>
      </c>
      <c r="BV153" s="49">
        <f t="shared" si="357"/>
        <v>0</v>
      </c>
      <c r="BW153" s="49">
        <f t="shared" si="357"/>
        <v>0</v>
      </c>
    </row>
    <row r="154" spans="2:75">
      <c r="I154" s="513" t="s">
        <v>105</v>
      </c>
      <c r="J154" s="513" t="s">
        <v>674</v>
      </c>
      <c r="K154" s="54" t="s">
        <v>124</v>
      </c>
      <c r="L154" s="84">
        <v>831</v>
      </c>
      <c r="M154" s="64">
        <f t="shared" si="351"/>
        <v>0</v>
      </c>
      <c r="N154" s="64">
        <f t="shared" si="351"/>
        <v>0</v>
      </c>
      <c r="O154" s="64">
        <f t="shared" si="351"/>
        <v>0</v>
      </c>
      <c r="P154" s="64">
        <f t="shared" si="351"/>
        <v>0</v>
      </c>
      <c r="Q154" s="64">
        <f t="shared" si="351"/>
        <v>0</v>
      </c>
      <c r="R154" s="64">
        <f>IF(SUM(M154:Q154)&gt;0,0,1)</f>
        <v>1</v>
      </c>
      <c r="S154" s="337">
        <v>0</v>
      </c>
      <c r="T154" s="515">
        <v>30.07</v>
      </c>
      <c r="U154" s="515">
        <v>22.47</v>
      </c>
      <c r="V154" s="515">
        <v>0</v>
      </c>
      <c r="W154" s="515">
        <v>0</v>
      </c>
      <c r="Y154" s="65">
        <f t="shared" si="353"/>
        <v>0</v>
      </c>
      <c r="Z154" s="65">
        <f t="shared" si="353"/>
        <v>0</v>
      </c>
      <c r="AA154" s="65">
        <f t="shared" si="353"/>
        <v>0</v>
      </c>
      <c r="AB154" s="65">
        <f t="shared" si="353"/>
        <v>0</v>
      </c>
      <c r="AC154" s="65">
        <f t="shared" si="353"/>
        <v>0</v>
      </c>
      <c r="AE154" s="64">
        <f t="shared" si="354"/>
        <v>0</v>
      </c>
      <c r="AF154" s="64">
        <f t="shared" si="354"/>
        <v>0</v>
      </c>
      <c r="AG154" s="64">
        <f t="shared" si="354"/>
        <v>0</v>
      </c>
      <c r="AH154" s="64">
        <f t="shared" si="354"/>
        <v>0</v>
      </c>
      <c r="AI154" s="64">
        <f t="shared" si="354"/>
        <v>0</v>
      </c>
      <c r="AK154" s="74">
        <f>ROUND(S154*(1+AK$1),2)</f>
        <v>0</v>
      </c>
      <c r="AL154" s="74">
        <f>ROUND(T154*(1+AL$1),2)</f>
        <v>33.729999999999997</v>
      </c>
      <c r="AM154" s="74">
        <f t="shared" si="352"/>
        <v>25.4</v>
      </c>
      <c r="AN154" s="74">
        <f t="shared" si="352"/>
        <v>0</v>
      </c>
      <c r="AO154" s="74">
        <f t="shared" si="352"/>
        <v>0</v>
      </c>
      <c r="AQ154" s="65">
        <f t="shared" si="355"/>
        <v>0</v>
      </c>
      <c r="AR154" s="65">
        <f t="shared" si="355"/>
        <v>0</v>
      </c>
      <c r="AS154" s="65">
        <f t="shared" si="355"/>
        <v>0</v>
      </c>
      <c r="AT154" s="65">
        <f t="shared" si="355"/>
        <v>0</v>
      </c>
      <c r="AU154" s="65">
        <f t="shared" si="355"/>
        <v>0</v>
      </c>
      <c r="AV154" s="65">
        <f>SUM(AQ154:AU154)-SUM(Y154:AC154)</f>
        <v>0</v>
      </c>
      <c r="AW154" s="65"/>
      <c r="AX154" s="299">
        <v>169</v>
      </c>
      <c r="AY154" s="85"/>
      <c r="AZ154" s="85"/>
      <c r="BA154" s="85">
        <v>22.17</v>
      </c>
      <c r="BB154" s="85"/>
      <c r="BC154" s="85"/>
      <c r="BD154" s="85"/>
      <c r="BE154" s="327">
        <f>ROUND(AX154*$BE$2,2)+ROUND(AX154*$BE$1,2)</f>
        <v>0.37999999999999989</v>
      </c>
      <c r="BF154" s="49"/>
      <c r="BG154" s="49">
        <f>ROUND((T154*$BF$2)+$BE154-AZ154,2)</f>
        <v>30.9</v>
      </c>
      <c r="BH154" s="49">
        <f>ROUND((U154*$BF$2)+$BE154-BA154,2)</f>
        <v>1.02</v>
      </c>
      <c r="BI154" s="49"/>
      <c r="BJ154" s="49"/>
      <c r="BM154" s="214">
        <f t="shared" si="356"/>
        <v>0</v>
      </c>
      <c r="BN154" s="214">
        <f t="shared" si="356"/>
        <v>34.239322999999992</v>
      </c>
      <c r="BO154" s="214">
        <f t="shared" si="356"/>
        <v>25.783539999999995</v>
      </c>
      <c r="BP154" s="214">
        <f t="shared" si="356"/>
        <v>0</v>
      </c>
      <c r="BQ154" s="214">
        <f t="shared" si="356"/>
        <v>0</v>
      </c>
      <c r="BS154" s="49">
        <f t="shared" si="357"/>
        <v>0</v>
      </c>
      <c r="BT154" s="49">
        <f t="shared" si="357"/>
        <v>34.239322999999992</v>
      </c>
      <c r="BU154" s="49">
        <f t="shared" si="357"/>
        <v>3.6135399999999933</v>
      </c>
      <c r="BV154" s="49">
        <f t="shared" si="357"/>
        <v>0</v>
      </c>
      <c r="BW154" s="49">
        <f t="shared" si="357"/>
        <v>0</v>
      </c>
    </row>
    <row r="155" spans="2:75">
      <c r="T155" s="450"/>
      <c r="U155" s="450"/>
      <c r="V155" s="450"/>
      <c r="W155" s="450"/>
    </row>
    <row r="156" spans="2:75">
      <c r="T156" s="450"/>
      <c r="U156" s="450"/>
      <c r="V156" s="450"/>
      <c r="W156" s="450"/>
    </row>
    <row r="157" spans="2:75">
      <c r="T157" s="450"/>
      <c r="U157" s="450"/>
      <c r="V157" s="450"/>
      <c r="W157" s="450"/>
    </row>
    <row r="158" spans="2:75">
      <c r="T158" s="450"/>
      <c r="U158" s="450"/>
      <c r="V158" s="450"/>
      <c r="W158" s="450"/>
      <c r="AL158" s="41"/>
      <c r="AM158" s="41"/>
      <c r="AN158" s="41"/>
      <c r="AO158" s="41"/>
    </row>
    <row r="159" spans="2:75">
      <c r="T159" s="450"/>
      <c r="U159" s="450"/>
      <c r="V159" s="450"/>
      <c r="W159" s="450"/>
      <c r="AL159" s="41"/>
      <c r="AM159" s="41"/>
      <c r="AN159" s="41"/>
      <c r="AO159" s="41"/>
    </row>
    <row r="160" spans="2:75">
      <c r="T160" s="450"/>
      <c r="U160" s="450"/>
      <c r="V160" s="450"/>
      <c r="W160" s="450"/>
      <c r="AL160" s="41"/>
      <c r="AM160" s="41"/>
      <c r="AN160" s="41"/>
      <c r="AO160" s="41"/>
    </row>
    <row r="161" spans="20:41">
      <c r="T161" s="450"/>
      <c r="U161" s="450"/>
      <c r="V161" s="450"/>
      <c r="W161" s="450"/>
      <c r="AL161" s="41"/>
      <c r="AM161" s="41"/>
      <c r="AN161" s="41"/>
      <c r="AO161" s="41"/>
    </row>
    <row r="162" spans="20:41">
      <c r="T162" s="450"/>
      <c r="U162" s="450"/>
      <c r="V162" s="450"/>
      <c r="W162" s="450"/>
      <c r="AL162" s="41"/>
      <c r="AM162" s="41"/>
      <c r="AN162" s="41"/>
      <c r="AO162" s="41"/>
    </row>
    <row r="163" spans="20:41">
      <c r="T163" s="450"/>
      <c r="U163" s="450"/>
      <c r="V163" s="450"/>
      <c r="W163" s="450"/>
      <c r="AL163" s="41"/>
      <c r="AM163" s="41"/>
      <c r="AN163" s="41"/>
      <c r="AO163" s="41"/>
    </row>
    <row r="164" spans="20:41">
      <c r="T164" s="450"/>
      <c r="U164" s="450"/>
      <c r="V164" s="450"/>
      <c r="W164" s="450"/>
      <c r="AL164" s="41"/>
      <c r="AM164" s="41"/>
      <c r="AN164" s="41"/>
      <c r="AO164" s="41"/>
    </row>
    <row r="165" spans="20:41">
      <c r="T165" s="450"/>
      <c r="U165" s="450"/>
      <c r="V165" s="450"/>
      <c r="W165" s="450"/>
      <c r="AL165" s="41"/>
      <c r="AM165" s="41"/>
      <c r="AN165" s="41"/>
      <c r="AO165" s="41"/>
    </row>
    <row r="166" spans="20:41">
      <c r="T166" s="450"/>
      <c r="U166" s="450"/>
      <c r="V166" s="450"/>
      <c r="W166" s="450"/>
      <c r="AL166" s="41"/>
      <c r="AM166" s="41"/>
      <c r="AN166" s="41"/>
      <c r="AO166" s="41"/>
    </row>
    <row r="167" spans="20:41">
      <c r="T167" s="450"/>
      <c r="U167" s="450"/>
      <c r="V167" s="450"/>
      <c r="W167" s="450"/>
      <c r="AL167" s="41"/>
      <c r="AM167" s="41"/>
      <c r="AN167" s="41"/>
      <c r="AO167" s="41"/>
    </row>
    <row r="168" spans="20:41">
      <c r="T168" s="450"/>
      <c r="U168" s="450"/>
      <c r="V168" s="450"/>
      <c r="W168" s="450"/>
      <c r="AL168" s="41"/>
      <c r="AM168" s="41"/>
      <c r="AN168" s="41"/>
      <c r="AO168" s="41"/>
    </row>
    <row r="169" spans="20:41">
      <c r="T169" s="450"/>
      <c r="U169" s="450"/>
      <c r="V169" s="450"/>
      <c r="W169" s="450"/>
      <c r="AL169" s="41"/>
      <c r="AM169" s="41"/>
      <c r="AN169" s="41"/>
      <c r="AO169" s="41"/>
    </row>
    <row r="170" spans="20:41">
      <c r="T170" s="450"/>
      <c r="U170" s="450"/>
      <c r="V170" s="450"/>
      <c r="W170" s="450"/>
      <c r="AL170" s="41"/>
      <c r="AM170" s="41"/>
      <c r="AN170" s="41"/>
      <c r="AO170" s="41"/>
    </row>
    <row r="171" spans="20:41">
      <c r="T171" s="450"/>
      <c r="U171" s="450"/>
      <c r="V171" s="450"/>
      <c r="W171" s="450"/>
      <c r="AL171" s="41"/>
      <c r="AM171" s="41"/>
      <c r="AN171" s="41"/>
      <c r="AO171" s="41"/>
    </row>
    <row r="172" spans="20:41">
      <c r="T172" s="450"/>
      <c r="U172" s="450"/>
      <c r="V172" s="450"/>
      <c r="W172" s="450"/>
      <c r="AL172" s="41"/>
      <c r="AM172" s="41"/>
      <c r="AN172" s="41"/>
      <c r="AO172" s="41"/>
    </row>
    <row r="173" spans="20:41">
      <c r="T173" s="450"/>
      <c r="U173" s="450"/>
      <c r="V173" s="450"/>
      <c r="W173" s="450"/>
      <c r="AL173" s="41"/>
      <c r="AM173" s="41"/>
      <c r="AN173" s="41"/>
      <c r="AO173" s="41"/>
    </row>
    <row r="174" spans="20:41">
      <c r="T174" s="450"/>
      <c r="U174" s="450"/>
      <c r="V174" s="450"/>
      <c r="W174" s="450"/>
      <c r="AL174" s="41"/>
      <c r="AM174" s="41"/>
      <c r="AN174" s="41"/>
      <c r="AO174" s="41"/>
    </row>
    <row r="175" spans="20:41">
      <c r="T175" s="450"/>
      <c r="U175" s="450"/>
      <c r="V175" s="450"/>
      <c r="W175" s="450"/>
      <c r="AL175" s="41"/>
      <c r="AM175" s="41"/>
      <c r="AN175" s="41"/>
      <c r="AO175" s="41"/>
    </row>
    <row r="176" spans="20:41">
      <c r="T176" s="450"/>
      <c r="U176" s="450"/>
      <c r="V176" s="450"/>
      <c r="W176" s="450"/>
      <c r="AL176" s="41"/>
      <c r="AM176" s="41"/>
      <c r="AN176" s="41"/>
      <c r="AO176" s="41"/>
    </row>
    <row r="177" spans="38:41">
      <c r="AL177" s="41"/>
      <c r="AM177" s="41"/>
      <c r="AN177" s="41"/>
      <c r="AO177" s="41"/>
    </row>
    <row r="178" spans="38:41">
      <c r="AL178" s="41"/>
      <c r="AM178" s="41"/>
      <c r="AN178" s="41"/>
      <c r="AO178" s="41"/>
    </row>
    <row r="179" spans="38:41">
      <c r="AL179" s="41"/>
      <c r="AM179" s="41"/>
      <c r="AN179" s="41"/>
      <c r="AO179" s="41"/>
    </row>
    <row r="180" spans="38:41">
      <c r="AL180" s="41"/>
      <c r="AM180" s="41"/>
      <c r="AN180" s="41"/>
      <c r="AO180" s="41"/>
    </row>
    <row r="181" spans="38:41">
      <c r="AL181" s="41"/>
      <c r="AM181" s="41"/>
      <c r="AN181" s="41"/>
      <c r="AO181" s="41"/>
    </row>
    <row r="182" spans="38:41">
      <c r="AL182" s="41"/>
      <c r="AM182" s="41"/>
      <c r="AN182" s="41"/>
      <c r="AO182" s="41"/>
    </row>
    <row r="183" spans="38:41">
      <c r="AL183" s="41"/>
      <c r="AM183" s="41"/>
      <c r="AN183" s="41"/>
      <c r="AO183" s="41"/>
    </row>
    <row r="184" spans="38:41">
      <c r="AL184" s="41"/>
      <c r="AM184" s="41"/>
      <c r="AN184" s="41"/>
      <c r="AO184" s="41"/>
    </row>
    <row r="185" spans="38:41">
      <c r="AL185" s="41"/>
      <c r="AM185" s="41"/>
      <c r="AN185" s="41"/>
      <c r="AO185" s="41"/>
    </row>
    <row r="186" spans="38:41">
      <c r="AL186" s="41"/>
      <c r="AM186" s="41"/>
      <c r="AN186" s="41"/>
      <c r="AO186" s="41"/>
    </row>
    <row r="187" spans="38:41">
      <c r="AL187" s="41"/>
      <c r="AM187" s="41"/>
      <c r="AN187" s="41"/>
      <c r="AO187" s="41"/>
    </row>
    <row r="188" spans="38:41">
      <c r="AL188" s="41"/>
      <c r="AM188" s="41"/>
      <c r="AN188" s="41"/>
      <c r="AO188" s="41"/>
    </row>
    <row r="189" spans="38:41">
      <c r="AL189" s="41"/>
      <c r="AM189" s="41"/>
      <c r="AN189" s="41"/>
      <c r="AO189" s="41"/>
    </row>
    <row r="190" spans="38:41">
      <c r="AL190" s="41"/>
      <c r="AM190" s="41"/>
      <c r="AN190" s="41"/>
      <c r="AO190" s="41"/>
    </row>
    <row r="191" spans="38:41">
      <c r="AL191" s="41"/>
      <c r="AM191" s="41"/>
      <c r="AN191" s="41"/>
      <c r="AO191" s="41"/>
    </row>
    <row r="192" spans="38:41">
      <c r="AL192" s="41"/>
      <c r="AM192" s="41"/>
      <c r="AN192" s="41"/>
      <c r="AO192" s="41"/>
    </row>
    <row r="193" spans="38:41">
      <c r="AL193" s="41"/>
      <c r="AM193" s="41"/>
      <c r="AN193" s="41"/>
      <c r="AO193" s="41"/>
    </row>
    <row r="194" spans="38:41">
      <c r="AL194" s="41"/>
      <c r="AM194" s="41"/>
      <c r="AN194" s="41"/>
      <c r="AO194" s="41"/>
    </row>
    <row r="195" spans="38:41">
      <c r="AL195" s="41"/>
      <c r="AM195" s="41"/>
      <c r="AN195" s="41"/>
      <c r="AO195" s="41"/>
    </row>
    <row r="196" spans="38:41">
      <c r="AL196" s="41"/>
      <c r="AM196" s="41"/>
      <c r="AN196" s="41"/>
      <c r="AO196" s="41"/>
    </row>
    <row r="197" spans="38:41">
      <c r="AL197" s="41"/>
      <c r="AM197" s="41"/>
      <c r="AN197" s="41"/>
      <c r="AO197" s="41"/>
    </row>
    <row r="198" spans="38:41">
      <c r="AL198" s="41"/>
      <c r="AM198" s="41"/>
      <c r="AN198" s="41"/>
      <c r="AO198" s="41"/>
    </row>
    <row r="199" spans="38:41">
      <c r="AL199" s="41"/>
      <c r="AM199" s="41"/>
      <c r="AN199" s="41"/>
      <c r="AO199" s="41"/>
    </row>
    <row r="200" spans="38:41">
      <c r="AL200" s="41"/>
      <c r="AM200" s="41"/>
      <c r="AN200" s="41"/>
      <c r="AO200" s="41"/>
    </row>
    <row r="201" spans="38:41">
      <c r="AL201" s="41"/>
      <c r="AM201" s="41"/>
      <c r="AN201" s="41"/>
      <c r="AO201" s="41"/>
    </row>
    <row r="202" spans="38:41">
      <c r="AL202" s="41"/>
      <c r="AM202" s="41"/>
      <c r="AN202" s="41"/>
      <c r="AO202" s="41"/>
    </row>
    <row r="203" spans="38:41">
      <c r="AL203" s="41"/>
      <c r="AM203" s="41"/>
      <c r="AN203" s="41"/>
      <c r="AO203" s="41"/>
    </row>
    <row r="204" spans="38:41">
      <c r="AL204" s="41"/>
      <c r="AM204" s="41"/>
      <c r="AN204" s="41"/>
      <c r="AO204" s="41"/>
    </row>
    <row r="205" spans="38:41">
      <c r="AL205" s="41"/>
      <c r="AM205" s="41"/>
      <c r="AN205" s="41"/>
      <c r="AO205" s="41"/>
    </row>
    <row r="206" spans="38:41">
      <c r="AL206" s="41"/>
      <c r="AM206" s="41"/>
      <c r="AN206" s="41"/>
      <c r="AO206" s="41"/>
    </row>
    <row r="207" spans="38:41">
      <c r="AL207" s="41"/>
      <c r="AM207" s="41"/>
      <c r="AN207" s="41"/>
      <c r="AO207" s="41"/>
    </row>
    <row r="208" spans="38:41">
      <c r="AL208" s="41"/>
      <c r="AM208" s="41"/>
      <c r="AN208" s="41"/>
      <c r="AO208" s="41"/>
    </row>
    <row r="209" spans="38:41">
      <c r="AL209" s="41"/>
      <c r="AM209" s="41"/>
      <c r="AN209" s="41"/>
      <c r="AO209" s="41"/>
    </row>
    <row r="210" spans="38:41">
      <c r="AL210" s="41"/>
      <c r="AM210" s="41"/>
      <c r="AN210" s="41"/>
      <c r="AO210" s="41"/>
    </row>
    <row r="211" spans="38:41">
      <c r="AL211" s="41"/>
      <c r="AM211" s="41"/>
      <c r="AN211" s="41"/>
      <c r="AO211" s="41"/>
    </row>
    <row r="212" spans="38:41">
      <c r="AL212" s="41"/>
      <c r="AM212" s="41"/>
      <c r="AN212" s="41"/>
      <c r="AO212" s="41"/>
    </row>
  </sheetData>
  <phoneticPr fontId="15" type="noConversion"/>
  <conditionalFormatting sqref="Q107 AI107">
    <cfRule type="cellIs" dxfId="10" priority="37" stopIfTrue="1" operator="notEqual">
      <formula>0</formula>
    </cfRule>
  </conditionalFormatting>
  <conditionalFormatting sqref="R4:R104">
    <cfRule type="cellIs" dxfId="9" priority="3" stopIfTrue="1" operator="equal">
      <formula>1</formula>
    </cfRule>
  </conditionalFormatting>
  <conditionalFormatting sqref="R110 R112:R148 R151:R154">
    <cfRule type="cellIs" dxfId="8" priority="38" stopIfTrue="1" operator="equal">
      <formula>1</formula>
    </cfRule>
  </conditionalFormatting>
  <conditionalFormatting sqref="BF97:BG97">
    <cfRule type="expression" dxfId="7" priority="25" stopIfTrue="1">
      <formula>ABS(BF97)&gt;0.005</formula>
    </cfRule>
  </conditionalFormatting>
  <conditionalFormatting sqref="BF151:BG151">
    <cfRule type="expression" dxfId="6" priority="24" stopIfTrue="1">
      <formula>ABS(BF151)&gt;0.005</formula>
    </cfRule>
  </conditionalFormatting>
  <conditionalFormatting sqref="BF4:BJ89">
    <cfRule type="expression" dxfId="5" priority="4" stopIfTrue="1">
      <formula>ABS(BF4)&gt;0.005</formula>
    </cfRule>
  </conditionalFormatting>
  <conditionalFormatting sqref="BF93:BJ94 BF129:BJ142 BF152:BJ154">
    <cfRule type="expression" dxfId="4" priority="39" stopIfTrue="1">
      <formula>ABS(BF93)&gt;0.005</formula>
    </cfRule>
  </conditionalFormatting>
  <conditionalFormatting sqref="BF96:BJ110">
    <cfRule type="expression" dxfId="3" priority="27" stopIfTrue="1">
      <formula>ABS(BF96)&gt;0.005</formula>
    </cfRule>
  </conditionalFormatting>
  <conditionalFormatting sqref="BF112:BJ127">
    <cfRule type="expression" dxfId="2" priority="34" stopIfTrue="1">
      <formula>ABS(BF112)&gt;0.005</formula>
    </cfRule>
  </conditionalFormatting>
  <conditionalFormatting sqref="BF144:BJ148">
    <cfRule type="expression" dxfId="1" priority="21" stopIfTrue="1">
      <formula>ABS(BF144)&gt;0.005</formula>
    </cfRule>
  </conditionalFormatting>
  <pageMargins left="0.19" right="0" top="0.5" bottom="0" header="0.5" footer="0"/>
  <pageSetup scale="37"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AI104"/>
  <sheetViews>
    <sheetView showGridLines="0" zoomScale="85" zoomScaleNormal="85" workbookViewId="0">
      <pane xSplit="12" ySplit="3" topLeftCell="O7" activePane="bottomRight" state="frozen"/>
      <selection activeCell="G27" sqref="G27"/>
      <selection pane="topRight" activeCell="G27" sqref="G27"/>
      <selection pane="bottomLeft" activeCell="G27" sqref="G27"/>
      <selection pane="bottomRight" activeCell="P48" sqref="P48"/>
    </sheetView>
  </sheetViews>
  <sheetFormatPr defaultRowHeight="12.5"/>
  <cols>
    <col min="1" max="1" width="12.54296875" customWidth="1"/>
    <col min="2" max="2" width="6.7265625" style="32" customWidth="1"/>
    <col min="3" max="3" width="7.54296875" style="32" customWidth="1"/>
    <col min="4" max="4" width="10.453125" style="32" customWidth="1"/>
    <col min="5" max="5" width="12.26953125" customWidth="1"/>
    <col min="6" max="6" width="1.7265625" customWidth="1"/>
    <col min="7" max="7" width="9.7265625" customWidth="1"/>
    <col min="8" max="8" width="29.453125" customWidth="1"/>
    <col min="9" max="9" width="15.7265625" customWidth="1"/>
    <col min="10" max="10" width="26.7265625" customWidth="1"/>
    <col min="11" max="11" width="6.7265625" style="54" customWidth="1"/>
    <col min="12" max="12" width="7.54296875" customWidth="1"/>
    <col min="13" max="14" width="6.7265625" customWidth="1"/>
    <col min="15" max="15" width="2.7265625" customWidth="1"/>
    <col min="16" max="17" width="7.54296875" bestFit="1" customWidth="1"/>
    <col min="18" max="18" width="2.7265625" customWidth="1"/>
    <col min="19" max="19" width="10.26953125" customWidth="1"/>
    <col min="20" max="20" width="9.453125" customWidth="1"/>
    <col min="21" max="21" width="8.26953125" customWidth="1"/>
    <col min="22" max="23" width="6.7265625" customWidth="1"/>
    <col min="24" max="24" width="25.26953125" customWidth="1"/>
    <col min="25" max="25" width="8.26953125" customWidth="1"/>
    <col min="26" max="26" width="10.7265625" customWidth="1"/>
    <col min="27" max="27" width="6.7265625" customWidth="1"/>
    <col min="28" max="28" width="6.453125" customWidth="1"/>
    <col min="29" max="29" width="7" customWidth="1"/>
    <col min="30" max="31" width="7.54296875" bestFit="1" customWidth="1"/>
    <col min="32" max="32" width="2.7265625" customWidth="1"/>
    <col min="33" max="33" width="13.7265625" bestFit="1" customWidth="1"/>
    <col min="34" max="34" width="9.453125" bestFit="1" customWidth="1"/>
  </cols>
  <sheetData>
    <row r="1" spans="1:34" ht="18">
      <c r="A1" s="56" t="s">
        <v>129</v>
      </c>
      <c r="I1" s="370" t="s">
        <v>714</v>
      </c>
      <c r="S1" s="73" t="s">
        <v>130</v>
      </c>
      <c r="T1" s="50"/>
      <c r="U1" s="50"/>
      <c r="Y1" s="50"/>
      <c r="Z1" s="75">
        <f>SL_RateIncr</f>
        <v>0</v>
      </c>
      <c r="AC1" s="54" t="s">
        <v>384</v>
      </c>
      <c r="AD1" s="171">
        <f>'Lighting summary'!L16</f>
        <v>0.13719999999999999</v>
      </c>
      <c r="AE1" s="153"/>
      <c r="AG1" s="73" t="s">
        <v>130</v>
      </c>
      <c r="AH1" s="50"/>
    </row>
    <row r="2" spans="1:34" ht="14">
      <c r="A2" s="58" t="str">
        <f>'St Lts'!A2</f>
        <v>MDM-10069 Report as of 10/1/2023</v>
      </c>
      <c r="M2" s="59" t="s">
        <v>346</v>
      </c>
      <c r="N2" s="60"/>
      <c r="P2" s="468" t="s">
        <v>131</v>
      </c>
      <c r="Q2" s="469"/>
      <c r="S2" s="59" t="s">
        <v>132</v>
      </c>
      <c r="T2" s="60"/>
      <c r="U2" s="60"/>
      <c r="V2" s="59" t="s">
        <v>346</v>
      </c>
      <c r="W2" s="60"/>
      <c r="Y2" s="50"/>
      <c r="AA2" s="59" t="s">
        <v>104</v>
      </c>
      <c r="AB2" s="60"/>
      <c r="AD2" s="59" t="s">
        <v>180</v>
      </c>
      <c r="AE2" s="60"/>
      <c r="AG2" s="59" t="s">
        <v>181</v>
      </c>
      <c r="AH2" s="60"/>
    </row>
    <row r="3" spans="1:34" ht="12.75" customHeight="1" thickBot="1">
      <c r="A3" s="58"/>
      <c r="I3" s="61" t="s">
        <v>92</v>
      </c>
      <c r="J3" s="61" t="s">
        <v>93</v>
      </c>
      <c r="K3" s="62" t="s">
        <v>94</v>
      </c>
      <c r="L3" s="61" t="s">
        <v>95</v>
      </c>
      <c r="M3" s="63" t="s">
        <v>133</v>
      </c>
      <c r="N3" s="63" t="s">
        <v>134</v>
      </c>
      <c r="P3" s="63" t="s">
        <v>133</v>
      </c>
      <c r="Q3" s="63" t="s">
        <v>134</v>
      </c>
      <c r="S3" s="63" t="s">
        <v>133</v>
      </c>
      <c r="T3" s="63" t="s">
        <v>134</v>
      </c>
      <c r="U3" s="63"/>
      <c r="V3" s="63" t="s">
        <v>133</v>
      </c>
      <c r="W3" s="63" t="s">
        <v>134</v>
      </c>
      <c r="Y3" s="268"/>
      <c r="AA3" s="63" t="s">
        <v>133</v>
      </c>
      <c r="AB3" s="63" t="s">
        <v>134</v>
      </c>
      <c r="AD3" s="63" t="s">
        <v>133</v>
      </c>
      <c r="AE3" s="63" t="s">
        <v>134</v>
      </c>
      <c r="AG3" s="63" t="s">
        <v>133</v>
      </c>
      <c r="AH3" s="63" t="s">
        <v>134</v>
      </c>
    </row>
    <row r="4" spans="1:34" ht="12.75" customHeight="1">
      <c r="B4" s="480"/>
      <c r="C4" s="480"/>
      <c r="D4" s="480"/>
      <c r="E4" s="450"/>
      <c r="F4" s="450"/>
      <c r="G4" s="450"/>
      <c r="H4" s="42"/>
      <c r="I4" t="s">
        <v>88</v>
      </c>
      <c r="J4" t="s">
        <v>135</v>
      </c>
      <c r="K4" s="54" t="s">
        <v>120</v>
      </c>
      <c r="L4" s="84" t="s">
        <v>136</v>
      </c>
      <c r="M4" s="64">
        <f t="shared" ref="M4:N23" si="0">SUMIF($G:$G,TEXT(M$3,"000")&amp;TEXT($L4,"000"),$E:$E)</f>
        <v>88</v>
      </c>
      <c r="N4" s="64">
        <f t="shared" si="0"/>
        <v>2</v>
      </c>
      <c r="P4" s="328">
        <v>25.01</v>
      </c>
      <c r="Q4" s="234">
        <v>25.01</v>
      </c>
      <c r="S4" s="65">
        <f>IF(AND(M4&lt;&gt;0,P4=0),#VALUE!,M4*P4)</f>
        <v>2200.88</v>
      </c>
      <c r="T4" s="65">
        <f t="shared" ref="T4:T53" si="1">IF(AND(N4&lt;&gt;0,Q4=0),#VALUE!,N4*Q4)</f>
        <v>50.02</v>
      </c>
      <c r="U4" s="65"/>
      <c r="V4" s="64">
        <f t="shared" ref="V4:W23" si="2">SUMIF($G:$G,TEXT(V$3,"000")&amp;TEXT($L4,"000"),$E:$E)</f>
        <v>88</v>
      </c>
      <c r="W4" s="64">
        <f t="shared" si="2"/>
        <v>2</v>
      </c>
      <c r="Y4" s="65"/>
      <c r="AA4" s="64">
        <f t="shared" ref="AA4:AB53" si="3">M4</f>
        <v>88</v>
      </c>
      <c r="AB4" s="64">
        <f t="shared" si="3"/>
        <v>2</v>
      </c>
      <c r="AD4" s="424">
        <f>ROUND(P4*(1+AD$1),2)</f>
        <v>28.44</v>
      </c>
      <c r="AE4" s="74">
        <f>AD4</f>
        <v>28.44</v>
      </c>
      <c r="AG4" s="65">
        <f t="shared" ref="AG4:AG53" si="4">IF(AND(AA4&lt;&gt;0,AD4=0),#VALUE!,AA4*AD4)</f>
        <v>2502.7200000000003</v>
      </c>
      <c r="AH4" s="65">
        <f t="shared" ref="AH4:AH53" si="5">IF(AND(AB4&lt;&gt;0,AE4=0),#VALUE!,AB4*AE4)</f>
        <v>56.88</v>
      </c>
    </row>
    <row r="5" spans="1:34" ht="12.75" customHeight="1">
      <c r="B5" s="477" t="s">
        <v>102</v>
      </c>
      <c r="C5" s="477" t="s">
        <v>95</v>
      </c>
      <c r="D5" s="477" t="s">
        <v>103</v>
      </c>
      <c r="E5" s="478" t="s">
        <v>104</v>
      </c>
      <c r="F5" s="479"/>
      <c r="G5" s="479"/>
      <c r="H5" s="42"/>
      <c r="I5" t="s">
        <v>88</v>
      </c>
      <c r="J5" t="s">
        <v>137</v>
      </c>
      <c r="K5" s="54" t="s">
        <v>111</v>
      </c>
      <c r="L5" s="84" t="s">
        <v>138</v>
      </c>
      <c r="M5" s="64">
        <f t="shared" si="0"/>
        <v>8</v>
      </c>
      <c r="N5" s="64">
        <f t="shared" si="0"/>
        <v>2</v>
      </c>
      <c r="P5" s="328">
        <v>32.67</v>
      </c>
      <c r="Q5" s="234">
        <v>32.67</v>
      </c>
      <c r="S5" s="65">
        <f t="shared" ref="S5:S53" si="6">IF(AND(M5&lt;&gt;0,P5=0),#VALUE!,M5*P5)</f>
        <v>261.36</v>
      </c>
      <c r="T5" s="65">
        <f t="shared" si="1"/>
        <v>65.34</v>
      </c>
      <c r="U5" s="65"/>
      <c r="V5" s="64">
        <f t="shared" si="2"/>
        <v>8</v>
      </c>
      <c r="W5" s="64">
        <f t="shared" si="2"/>
        <v>2</v>
      </c>
      <c r="Y5" s="65"/>
      <c r="AA5" s="64">
        <f t="shared" si="3"/>
        <v>8</v>
      </c>
      <c r="AB5" s="64">
        <f t="shared" si="3"/>
        <v>2</v>
      </c>
      <c r="AD5" s="424">
        <f t="shared" ref="AD5:AD28" si="7">ROUND(P5*(1+AD$1),2)</f>
        <v>37.15</v>
      </c>
      <c r="AE5" s="74">
        <f t="shared" ref="AE5:AE29" si="8">AD5</f>
        <v>37.15</v>
      </c>
      <c r="AG5" s="65">
        <f t="shared" si="4"/>
        <v>297.2</v>
      </c>
      <c r="AH5" s="65">
        <f t="shared" si="5"/>
        <v>74.3</v>
      </c>
    </row>
    <row r="6" spans="1:34" ht="12.75" customHeight="1">
      <c r="B6" s="480"/>
      <c r="C6" s="480"/>
      <c r="D6" s="480"/>
      <c r="E6" s="450"/>
      <c r="F6" s="450"/>
      <c r="G6" s="450"/>
      <c r="I6" t="s">
        <v>88</v>
      </c>
      <c r="J6" t="s">
        <v>142</v>
      </c>
      <c r="K6" s="54" t="s">
        <v>111</v>
      </c>
      <c r="L6" s="84" t="s">
        <v>141</v>
      </c>
      <c r="M6" s="64">
        <f t="shared" si="0"/>
        <v>268</v>
      </c>
      <c r="N6" s="64">
        <f t="shared" si="0"/>
        <v>262</v>
      </c>
      <c r="P6" s="328">
        <v>15.51</v>
      </c>
      <c r="Q6" s="234">
        <v>15.51</v>
      </c>
      <c r="S6" s="65">
        <f t="shared" si="6"/>
        <v>4156.68</v>
      </c>
      <c r="T6" s="65">
        <f>IF(AND(N6&lt;&gt;0,Q6=0),#VALUE!,N6*Q6)</f>
        <v>4063.62</v>
      </c>
      <c r="U6" s="65"/>
      <c r="V6" s="64">
        <f t="shared" si="2"/>
        <v>268</v>
      </c>
      <c r="W6" s="64">
        <f t="shared" si="2"/>
        <v>262</v>
      </c>
      <c r="Y6" s="65"/>
      <c r="AA6" s="64">
        <f t="shared" si="3"/>
        <v>268</v>
      </c>
      <c r="AB6" s="64">
        <f t="shared" si="3"/>
        <v>262</v>
      </c>
      <c r="AD6" s="424">
        <f t="shared" si="7"/>
        <v>17.64</v>
      </c>
      <c r="AE6" s="74">
        <f t="shared" si="8"/>
        <v>17.64</v>
      </c>
      <c r="AG6" s="65">
        <f t="shared" si="4"/>
        <v>4727.5200000000004</v>
      </c>
      <c r="AH6" s="65">
        <f t="shared" si="5"/>
        <v>4621.68</v>
      </c>
    </row>
    <row r="7" spans="1:34" ht="12.75" customHeight="1">
      <c r="B7" s="480" t="s">
        <v>139</v>
      </c>
      <c r="C7" s="481" t="s">
        <v>133</v>
      </c>
      <c r="D7" s="486" t="s">
        <v>656</v>
      </c>
      <c r="E7" s="437">
        <v>7</v>
      </c>
      <c r="F7" s="450"/>
      <c r="G7" s="483" t="str">
        <f>IF(OR(ISBLANK(C7),ISBLANK(D7)),"",TEXT(C7,"000")&amp;TEXT(D7,"000"))</f>
        <v>047HAAL</v>
      </c>
      <c r="H7" s="452"/>
      <c r="I7" t="s">
        <v>88</v>
      </c>
      <c r="J7" t="s">
        <v>142</v>
      </c>
      <c r="K7" s="54" t="s">
        <v>119</v>
      </c>
      <c r="L7" s="84" t="s">
        <v>143</v>
      </c>
      <c r="M7" s="64">
        <f t="shared" si="0"/>
        <v>679</v>
      </c>
      <c r="N7" s="64">
        <f t="shared" si="0"/>
        <v>318</v>
      </c>
      <c r="P7" s="328">
        <v>22.02</v>
      </c>
      <c r="Q7" s="234">
        <v>22.02</v>
      </c>
      <c r="S7" s="65">
        <f>IF(AND(M7&lt;&gt;0,P7=0),#VALUE!,M7*P7)</f>
        <v>14951.58</v>
      </c>
      <c r="T7" s="65">
        <f t="shared" si="1"/>
        <v>7002.36</v>
      </c>
      <c r="U7" s="65"/>
      <c r="V7" s="64">
        <f t="shared" si="2"/>
        <v>679</v>
      </c>
      <c r="W7" s="64">
        <f t="shared" si="2"/>
        <v>318</v>
      </c>
      <c r="Y7" s="65"/>
      <c r="AA7" s="64">
        <f t="shared" si="3"/>
        <v>679</v>
      </c>
      <c r="AB7" s="64">
        <f t="shared" si="3"/>
        <v>318</v>
      </c>
      <c r="AD7" s="424">
        <f t="shared" si="7"/>
        <v>25.04</v>
      </c>
      <c r="AE7" s="74">
        <f t="shared" si="8"/>
        <v>25.04</v>
      </c>
      <c r="AG7" s="65">
        <f t="shared" si="4"/>
        <v>17002.16</v>
      </c>
      <c r="AH7" s="65">
        <f t="shared" si="5"/>
        <v>7962.7199999999993</v>
      </c>
    </row>
    <row r="8" spans="1:34" ht="12.75" customHeight="1">
      <c r="B8" s="480" t="s">
        <v>139</v>
      </c>
      <c r="C8" s="481" t="s">
        <v>133</v>
      </c>
      <c r="D8" s="486" t="s">
        <v>528</v>
      </c>
      <c r="E8" s="437">
        <v>1</v>
      </c>
      <c r="F8" s="483"/>
      <c r="G8" s="483" t="str">
        <f>IF(OR(ISBLANK(C8),ISBLANK(D8)),"",TEXT(C8,"000")&amp;TEXT(D8,"000"))</f>
        <v>047HAGL</v>
      </c>
      <c r="H8" s="488"/>
      <c r="I8" t="s">
        <v>88</v>
      </c>
      <c r="J8" t="s">
        <v>142</v>
      </c>
      <c r="K8" s="54" t="s">
        <v>124</v>
      </c>
      <c r="L8" s="84" t="s">
        <v>144</v>
      </c>
      <c r="M8" s="64">
        <f t="shared" si="0"/>
        <v>90</v>
      </c>
      <c r="N8" s="64">
        <f t="shared" si="0"/>
        <v>7</v>
      </c>
      <c r="P8" s="328">
        <v>30.42</v>
      </c>
      <c r="Q8" s="234">
        <v>30.42</v>
      </c>
      <c r="S8" s="65">
        <f t="shared" si="6"/>
        <v>2737.8</v>
      </c>
      <c r="T8" s="65">
        <f t="shared" si="1"/>
        <v>212.94</v>
      </c>
      <c r="U8" s="65"/>
      <c r="V8" s="64">
        <f t="shared" si="2"/>
        <v>90</v>
      </c>
      <c r="W8" s="64">
        <f t="shared" si="2"/>
        <v>7</v>
      </c>
      <c r="Y8" s="65"/>
      <c r="AA8" s="64">
        <f t="shared" si="3"/>
        <v>90</v>
      </c>
      <c r="AB8" s="64">
        <f t="shared" si="3"/>
        <v>7</v>
      </c>
      <c r="AD8" s="424">
        <f>ROUND(P8*(1+AD$1),2)</f>
        <v>34.590000000000003</v>
      </c>
      <c r="AE8" s="74">
        <f t="shared" si="8"/>
        <v>34.590000000000003</v>
      </c>
      <c r="AG8" s="65">
        <f t="shared" si="4"/>
        <v>3113.1000000000004</v>
      </c>
      <c r="AH8" s="65">
        <f t="shared" si="5"/>
        <v>242.13000000000002</v>
      </c>
    </row>
    <row r="9" spans="1:34" ht="13">
      <c r="B9" s="480" t="s">
        <v>139</v>
      </c>
      <c r="C9" s="481" t="s">
        <v>133</v>
      </c>
      <c r="D9" s="480" t="s">
        <v>136</v>
      </c>
      <c r="E9" s="437">
        <v>88</v>
      </c>
      <c r="F9" s="483"/>
      <c r="G9" s="483" t="str">
        <f>IF(OR(ISBLANK(C9),ISBLANK(D9)),"",TEXT(C9,"000")&amp;TEXT(D9,"000"))</f>
        <v>047HAH</v>
      </c>
      <c r="H9" s="285"/>
      <c r="I9" t="s">
        <v>88</v>
      </c>
      <c r="J9" t="s">
        <v>543</v>
      </c>
      <c r="K9" s="54" t="s">
        <v>119</v>
      </c>
      <c r="L9" s="84" t="s">
        <v>145</v>
      </c>
      <c r="M9" s="64">
        <f t="shared" si="0"/>
        <v>387</v>
      </c>
      <c r="N9" s="64">
        <f t="shared" si="0"/>
        <v>150</v>
      </c>
      <c r="P9" s="328">
        <v>30.6</v>
      </c>
      <c r="Q9" s="234">
        <v>30.6</v>
      </c>
      <c r="S9" s="65">
        <f t="shared" si="6"/>
        <v>11842.2</v>
      </c>
      <c r="T9" s="65">
        <f t="shared" si="1"/>
        <v>4590</v>
      </c>
      <c r="U9" s="65"/>
      <c r="V9" s="64">
        <f t="shared" si="2"/>
        <v>387</v>
      </c>
      <c r="W9" s="64">
        <f t="shared" si="2"/>
        <v>150</v>
      </c>
      <c r="Y9" s="65"/>
      <c r="AA9" s="64">
        <f t="shared" si="3"/>
        <v>387</v>
      </c>
      <c r="AB9" s="64">
        <f t="shared" si="3"/>
        <v>150</v>
      </c>
      <c r="AD9" s="424">
        <f>AD7+AD28</f>
        <v>33.21</v>
      </c>
      <c r="AE9" s="74">
        <f t="shared" si="8"/>
        <v>33.21</v>
      </c>
      <c r="AG9" s="65">
        <f t="shared" si="4"/>
        <v>12852.27</v>
      </c>
      <c r="AH9" s="65">
        <f t="shared" si="5"/>
        <v>4981.5</v>
      </c>
    </row>
    <row r="10" spans="1:34" ht="13">
      <c r="B10" s="480" t="s">
        <v>139</v>
      </c>
      <c r="C10" s="481" t="s">
        <v>133</v>
      </c>
      <c r="D10" s="480" t="s">
        <v>138</v>
      </c>
      <c r="E10" s="437">
        <v>8</v>
      </c>
      <c r="F10" s="483"/>
      <c r="G10" s="483" t="str">
        <f>IF(OR(ISBLANK(C10),ISBLANK(D10)),"",TEXT(C10,"000")&amp;TEXT(D10,"000"))</f>
        <v>047HAI</v>
      </c>
      <c r="H10" s="285"/>
      <c r="I10" t="s">
        <v>88</v>
      </c>
      <c r="J10" t="s">
        <v>543</v>
      </c>
      <c r="K10" s="54" t="s">
        <v>111</v>
      </c>
      <c r="L10" s="84" t="s">
        <v>147</v>
      </c>
      <c r="M10" s="64">
        <f t="shared" si="0"/>
        <v>187</v>
      </c>
      <c r="N10" s="64">
        <f t="shared" si="0"/>
        <v>117</v>
      </c>
      <c r="P10" s="328">
        <v>22.71</v>
      </c>
      <c r="Q10" s="234">
        <v>22.71</v>
      </c>
      <c r="S10" s="65">
        <f t="shared" si="6"/>
        <v>4246.7700000000004</v>
      </c>
      <c r="T10" s="65">
        <f t="shared" si="1"/>
        <v>2657.07</v>
      </c>
      <c r="U10" s="65"/>
      <c r="V10" s="64">
        <f t="shared" si="2"/>
        <v>187</v>
      </c>
      <c r="W10" s="64">
        <f t="shared" si="2"/>
        <v>117</v>
      </c>
      <c r="Y10" s="65"/>
      <c r="AA10" s="64">
        <f t="shared" si="3"/>
        <v>187</v>
      </c>
      <c r="AB10" s="64">
        <f t="shared" si="3"/>
        <v>117</v>
      </c>
      <c r="AD10" s="424">
        <f>AD6+AD28</f>
        <v>25.810000000000002</v>
      </c>
      <c r="AE10" s="74">
        <f t="shared" si="8"/>
        <v>25.810000000000002</v>
      </c>
      <c r="AG10" s="65">
        <f t="shared" si="4"/>
        <v>4826.47</v>
      </c>
      <c r="AH10" s="65">
        <f t="shared" si="5"/>
        <v>3019.7700000000004</v>
      </c>
    </row>
    <row r="11" spans="1:34" ht="13">
      <c r="B11" s="480" t="s">
        <v>139</v>
      </c>
      <c r="C11" s="481" t="s">
        <v>133</v>
      </c>
      <c r="D11" s="480" t="s">
        <v>141</v>
      </c>
      <c r="E11" s="437">
        <v>268</v>
      </c>
      <c r="F11" s="483"/>
      <c r="G11" s="483" t="str">
        <f t="shared" ref="G11:G33" si="9">IF(OR(ISBLANK(C11),ISBLANK(D11)),"",TEXT(C11,"000")&amp;TEXT(D11,"000"))</f>
        <v>047HPA</v>
      </c>
      <c r="H11" s="285"/>
      <c r="I11" t="s">
        <v>88</v>
      </c>
      <c r="J11" t="s">
        <v>543</v>
      </c>
      <c r="K11" s="54" t="s">
        <v>124</v>
      </c>
      <c r="L11" s="84" t="s">
        <v>148</v>
      </c>
      <c r="M11" s="64">
        <f t="shared" si="0"/>
        <v>30</v>
      </c>
      <c r="N11" s="64">
        <f t="shared" si="0"/>
        <v>3</v>
      </c>
      <c r="P11" s="328">
        <v>39.11</v>
      </c>
      <c r="Q11" s="234">
        <v>39.11</v>
      </c>
      <c r="S11" s="65">
        <f t="shared" si="6"/>
        <v>1173.3</v>
      </c>
      <c r="T11" s="65">
        <f t="shared" si="1"/>
        <v>117.33</v>
      </c>
      <c r="U11" s="65"/>
      <c r="V11" s="64">
        <f t="shared" si="2"/>
        <v>30</v>
      </c>
      <c r="W11" s="64">
        <f t="shared" si="2"/>
        <v>3</v>
      </c>
      <c r="Y11" s="65"/>
      <c r="AA11" s="64">
        <f t="shared" si="3"/>
        <v>30</v>
      </c>
      <c r="AB11" s="64">
        <f t="shared" si="3"/>
        <v>3</v>
      </c>
      <c r="AD11" s="424">
        <f>AD8+AD28</f>
        <v>42.760000000000005</v>
      </c>
      <c r="AE11" s="74">
        <f t="shared" si="8"/>
        <v>42.760000000000005</v>
      </c>
      <c r="AG11" s="65">
        <f t="shared" si="4"/>
        <v>1282.8000000000002</v>
      </c>
      <c r="AH11" s="65">
        <f t="shared" si="5"/>
        <v>128.28000000000003</v>
      </c>
    </row>
    <row r="12" spans="1:34" ht="13">
      <c r="B12" s="480" t="s">
        <v>139</v>
      </c>
      <c r="C12" s="481" t="s">
        <v>133</v>
      </c>
      <c r="D12" s="480" t="s">
        <v>143</v>
      </c>
      <c r="E12" s="437">
        <v>679</v>
      </c>
      <c r="F12" s="483"/>
      <c r="G12" s="483" t="str">
        <f t="shared" si="9"/>
        <v>047HPB</v>
      </c>
      <c r="H12" s="285"/>
      <c r="I12" t="s">
        <v>88</v>
      </c>
      <c r="J12" t="s">
        <v>648</v>
      </c>
      <c r="K12" s="54" t="s">
        <v>119</v>
      </c>
      <c r="L12" s="84" t="s">
        <v>149</v>
      </c>
      <c r="M12" s="64">
        <f t="shared" si="0"/>
        <v>32</v>
      </c>
      <c r="N12" s="64">
        <f t="shared" si="0"/>
        <v>7</v>
      </c>
      <c r="P12" s="328">
        <v>38.409999999999997</v>
      </c>
      <c r="Q12" s="234">
        <v>38.409999999999997</v>
      </c>
      <c r="S12" s="65">
        <f t="shared" si="6"/>
        <v>1229.1199999999999</v>
      </c>
      <c r="T12" s="65">
        <f t="shared" si="1"/>
        <v>268.87</v>
      </c>
      <c r="U12" s="65"/>
      <c r="V12" s="64">
        <f t="shared" si="2"/>
        <v>32</v>
      </c>
      <c r="W12" s="64">
        <f t="shared" si="2"/>
        <v>7</v>
      </c>
      <c r="Y12" s="65"/>
      <c r="AA12" s="64">
        <f t="shared" si="3"/>
        <v>32</v>
      </c>
      <c r="AB12" s="64">
        <f t="shared" si="3"/>
        <v>7</v>
      </c>
      <c r="AD12" s="424">
        <f t="shared" si="7"/>
        <v>43.68</v>
      </c>
      <c r="AE12" s="74">
        <f t="shared" si="8"/>
        <v>43.68</v>
      </c>
      <c r="AG12" s="65">
        <f t="shared" si="4"/>
        <v>1397.76</v>
      </c>
      <c r="AH12" s="65">
        <f t="shared" si="5"/>
        <v>305.76</v>
      </c>
    </row>
    <row r="13" spans="1:34" ht="13">
      <c r="B13" s="480" t="s">
        <v>139</v>
      </c>
      <c r="C13" s="481" t="s">
        <v>133</v>
      </c>
      <c r="D13" s="480" t="s">
        <v>144</v>
      </c>
      <c r="E13" s="437">
        <v>90</v>
      </c>
      <c r="F13" s="67"/>
      <c r="G13" s="67" t="str">
        <f t="shared" si="9"/>
        <v>047HPC</v>
      </c>
      <c r="H13" s="285"/>
      <c r="I13" t="s">
        <v>88</v>
      </c>
      <c r="J13" t="s">
        <v>151</v>
      </c>
      <c r="K13" s="54" t="s">
        <v>119</v>
      </c>
      <c r="L13" s="84" t="s">
        <v>152</v>
      </c>
      <c r="M13" s="64">
        <f t="shared" si="0"/>
        <v>2</v>
      </c>
      <c r="N13" s="64">
        <f t="shared" si="0"/>
        <v>0</v>
      </c>
      <c r="P13" s="328">
        <v>33.28</v>
      </c>
      <c r="Q13" s="234">
        <v>33.28</v>
      </c>
      <c r="S13" s="65">
        <f t="shared" si="6"/>
        <v>66.56</v>
      </c>
      <c r="T13" s="65">
        <f t="shared" si="1"/>
        <v>0</v>
      </c>
      <c r="U13" s="65"/>
      <c r="V13" s="64">
        <f t="shared" si="2"/>
        <v>2</v>
      </c>
      <c r="W13" s="64">
        <f t="shared" si="2"/>
        <v>0</v>
      </c>
      <c r="Y13" s="65"/>
      <c r="AA13" s="64">
        <f t="shared" si="3"/>
        <v>2</v>
      </c>
      <c r="AB13" s="64">
        <f t="shared" si="3"/>
        <v>0</v>
      </c>
      <c r="AD13" s="424">
        <f t="shared" si="7"/>
        <v>37.85</v>
      </c>
      <c r="AE13" s="74">
        <f t="shared" si="8"/>
        <v>37.85</v>
      </c>
      <c r="AG13" s="65">
        <f t="shared" si="4"/>
        <v>75.7</v>
      </c>
      <c r="AH13" s="65">
        <f t="shared" si="5"/>
        <v>0</v>
      </c>
    </row>
    <row r="14" spans="1:34" ht="13">
      <c r="B14" s="480" t="s">
        <v>139</v>
      </c>
      <c r="C14" s="481" t="s">
        <v>133</v>
      </c>
      <c r="D14" s="480" t="s">
        <v>145</v>
      </c>
      <c r="E14" s="437">
        <v>387</v>
      </c>
      <c r="F14" s="67"/>
      <c r="G14" s="67" t="str">
        <f t="shared" si="9"/>
        <v>047HPD</v>
      </c>
      <c r="H14" s="285"/>
      <c r="I14" t="s">
        <v>88</v>
      </c>
      <c r="J14" t="s">
        <v>154</v>
      </c>
      <c r="K14" s="54" t="s">
        <v>111</v>
      </c>
      <c r="L14" s="84" t="s">
        <v>150</v>
      </c>
      <c r="M14" s="64">
        <f t="shared" si="0"/>
        <v>47</v>
      </c>
      <c r="N14" s="64">
        <f t="shared" si="0"/>
        <v>86</v>
      </c>
      <c r="P14" s="328">
        <v>22.71</v>
      </c>
      <c r="Q14" s="234">
        <v>22.71</v>
      </c>
      <c r="S14" s="65">
        <f t="shared" si="6"/>
        <v>1067.3700000000001</v>
      </c>
      <c r="T14" s="65">
        <f t="shared" si="1"/>
        <v>1953.0600000000002</v>
      </c>
      <c r="U14" s="65"/>
      <c r="V14" s="64">
        <f t="shared" si="2"/>
        <v>47</v>
      </c>
      <c r="W14" s="64">
        <f t="shared" si="2"/>
        <v>86</v>
      </c>
      <c r="Y14" s="65"/>
      <c r="AA14" s="64">
        <f t="shared" si="3"/>
        <v>47</v>
      </c>
      <c r="AB14" s="64">
        <f t="shared" si="3"/>
        <v>86</v>
      </c>
      <c r="AD14" s="424">
        <f t="shared" si="7"/>
        <v>25.83</v>
      </c>
      <c r="AE14" s="74">
        <f t="shared" si="8"/>
        <v>25.83</v>
      </c>
      <c r="AG14" s="65">
        <f t="shared" si="4"/>
        <v>1214.01</v>
      </c>
      <c r="AH14" s="65">
        <f t="shared" si="5"/>
        <v>2221.3799999999997</v>
      </c>
    </row>
    <row r="15" spans="1:34" ht="13">
      <c r="B15" s="480" t="s">
        <v>139</v>
      </c>
      <c r="C15" s="481" t="s">
        <v>133</v>
      </c>
      <c r="D15" s="480" t="s">
        <v>147</v>
      </c>
      <c r="E15" s="437">
        <v>187</v>
      </c>
      <c r="F15" s="67"/>
      <c r="G15" s="67" t="str">
        <f t="shared" si="9"/>
        <v>047HPE</v>
      </c>
      <c r="H15" s="285"/>
      <c r="I15" t="s">
        <v>88</v>
      </c>
      <c r="J15" t="s">
        <v>156</v>
      </c>
      <c r="K15" s="54" t="s">
        <v>119</v>
      </c>
      <c r="L15" s="84" t="s">
        <v>153</v>
      </c>
      <c r="M15" s="64">
        <f t="shared" si="0"/>
        <v>12</v>
      </c>
      <c r="N15" s="64">
        <f t="shared" si="0"/>
        <v>0</v>
      </c>
      <c r="P15" s="328">
        <v>65.099999999999994</v>
      </c>
      <c r="Q15" s="234">
        <v>65.099999999999994</v>
      </c>
      <c r="S15" s="65">
        <f t="shared" si="6"/>
        <v>781.19999999999993</v>
      </c>
      <c r="T15" s="65">
        <f t="shared" si="1"/>
        <v>0</v>
      </c>
      <c r="U15" s="65"/>
      <c r="V15" s="64">
        <f t="shared" si="2"/>
        <v>12</v>
      </c>
      <c r="W15" s="64">
        <f t="shared" si="2"/>
        <v>0</v>
      </c>
      <c r="Y15" s="65"/>
      <c r="AA15" s="64">
        <f t="shared" si="3"/>
        <v>12</v>
      </c>
      <c r="AB15" s="64">
        <f t="shared" si="3"/>
        <v>0</v>
      </c>
      <c r="AD15" s="424">
        <f t="shared" si="7"/>
        <v>74.03</v>
      </c>
      <c r="AE15" s="74">
        <f t="shared" si="8"/>
        <v>74.03</v>
      </c>
      <c r="AG15" s="65">
        <f t="shared" si="4"/>
        <v>888.36</v>
      </c>
      <c r="AH15" s="65">
        <f t="shared" si="5"/>
        <v>0</v>
      </c>
    </row>
    <row r="16" spans="1:34" ht="13">
      <c r="B16" s="480" t="s">
        <v>139</v>
      </c>
      <c r="C16" s="481" t="s">
        <v>133</v>
      </c>
      <c r="D16" s="480" t="s">
        <v>148</v>
      </c>
      <c r="E16" s="437">
        <v>30</v>
      </c>
      <c r="F16" s="483"/>
      <c r="G16" s="483" t="str">
        <f t="shared" si="9"/>
        <v>047HPG</v>
      </c>
      <c r="H16" s="488"/>
      <c r="I16" t="s">
        <v>110</v>
      </c>
      <c r="J16" t="s">
        <v>142</v>
      </c>
      <c r="K16" s="54">
        <v>7000</v>
      </c>
      <c r="L16" s="84" t="s">
        <v>155</v>
      </c>
      <c r="M16" s="64">
        <f t="shared" si="0"/>
        <v>67</v>
      </c>
      <c r="N16" s="64">
        <f t="shared" si="0"/>
        <v>131</v>
      </c>
      <c r="P16" s="328">
        <v>17.829999999999998</v>
      </c>
      <c r="Q16" s="234">
        <v>17.829999999999998</v>
      </c>
      <c r="S16" s="65">
        <f t="shared" si="6"/>
        <v>1194.6099999999999</v>
      </c>
      <c r="T16" s="65">
        <f t="shared" si="1"/>
        <v>2335.7299999999996</v>
      </c>
      <c r="U16" s="65"/>
      <c r="V16" s="64">
        <f t="shared" si="2"/>
        <v>67</v>
      </c>
      <c r="W16" s="64">
        <f t="shared" si="2"/>
        <v>131</v>
      </c>
      <c r="Y16" s="65"/>
      <c r="AA16" s="64">
        <f t="shared" si="3"/>
        <v>67</v>
      </c>
      <c r="AB16" s="64">
        <f t="shared" si="3"/>
        <v>131</v>
      </c>
      <c r="AD16" s="424">
        <f t="shared" si="7"/>
        <v>20.28</v>
      </c>
      <c r="AE16" s="74">
        <f t="shared" si="8"/>
        <v>20.28</v>
      </c>
      <c r="AG16" s="65">
        <f t="shared" si="4"/>
        <v>1358.76</v>
      </c>
      <c r="AH16" s="65">
        <f t="shared" si="5"/>
        <v>2656.6800000000003</v>
      </c>
    </row>
    <row r="17" spans="2:34" ht="13">
      <c r="B17" s="480" t="s">
        <v>139</v>
      </c>
      <c r="C17" s="481" t="s">
        <v>133</v>
      </c>
      <c r="D17" s="480" t="s">
        <v>149</v>
      </c>
      <c r="E17" s="437">
        <v>30</v>
      </c>
      <c r="F17" s="67"/>
      <c r="G17" s="67" t="str">
        <f t="shared" si="9"/>
        <v>047HPL</v>
      </c>
      <c r="H17" s="285"/>
      <c r="I17" t="s">
        <v>110</v>
      </c>
      <c r="J17" t="s">
        <v>142</v>
      </c>
      <c r="K17" s="54">
        <v>10000</v>
      </c>
      <c r="L17" s="84" t="s">
        <v>157</v>
      </c>
      <c r="M17" s="64">
        <f t="shared" si="0"/>
        <v>96</v>
      </c>
      <c r="N17" s="64">
        <f t="shared" si="0"/>
        <v>133</v>
      </c>
      <c r="P17" s="328">
        <v>21.38</v>
      </c>
      <c r="Q17" s="234">
        <v>21.38</v>
      </c>
      <c r="S17" s="65">
        <f t="shared" si="6"/>
        <v>2052.48</v>
      </c>
      <c r="T17" s="65">
        <f t="shared" si="1"/>
        <v>2843.54</v>
      </c>
      <c r="U17" s="65"/>
      <c r="V17" s="64">
        <f t="shared" si="2"/>
        <v>96</v>
      </c>
      <c r="W17" s="64">
        <f t="shared" si="2"/>
        <v>133</v>
      </c>
      <c r="Y17" s="65"/>
      <c r="AA17" s="64">
        <f t="shared" si="3"/>
        <v>96</v>
      </c>
      <c r="AB17" s="64">
        <f t="shared" si="3"/>
        <v>133</v>
      </c>
      <c r="AD17" s="424">
        <f t="shared" si="7"/>
        <v>24.31</v>
      </c>
      <c r="AE17" s="74">
        <f t="shared" si="8"/>
        <v>24.31</v>
      </c>
      <c r="AG17" s="65">
        <f t="shared" si="4"/>
        <v>2333.7599999999998</v>
      </c>
      <c r="AH17" s="65">
        <f t="shared" si="5"/>
        <v>3233.23</v>
      </c>
    </row>
    <row r="18" spans="2:34" ht="13">
      <c r="B18" s="480" t="s">
        <v>139</v>
      </c>
      <c r="C18" s="481" t="s">
        <v>133</v>
      </c>
      <c r="D18" s="480" t="s">
        <v>152</v>
      </c>
      <c r="E18" s="437">
        <v>2</v>
      </c>
      <c r="F18" s="67"/>
      <c r="G18" s="67" t="str">
        <f>IF(OR(ISBLANK(C18),ISBLANK(D18)),"",TEXT(C18,"000")&amp;TEXT(D18,"000"))</f>
        <v>047HPO</v>
      </c>
      <c r="H18" s="285"/>
      <c r="I18" t="s">
        <v>110</v>
      </c>
      <c r="J18" t="s">
        <v>142</v>
      </c>
      <c r="K18" s="54">
        <v>20000</v>
      </c>
      <c r="L18" s="84" t="s">
        <v>158</v>
      </c>
      <c r="M18" s="64">
        <f t="shared" si="0"/>
        <v>163</v>
      </c>
      <c r="N18" s="64">
        <f t="shared" si="0"/>
        <v>10</v>
      </c>
      <c r="P18" s="328">
        <v>30.4</v>
      </c>
      <c r="Q18" s="234">
        <v>30.4</v>
      </c>
      <c r="S18" s="65">
        <f t="shared" si="6"/>
        <v>4955.2</v>
      </c>
      <c r="T18" s="65">
        <f t="shared" si="1"/>
        <v>304</v>
      </c>
      <c r="U18" s="65"/>
      <c r="V18" s="64">
        <f t="shared" si="2"/>
        <v>163</v>
      </c>
      <c r="W18" s="64">
        <f t="shared" si="2"/>
        <v>10</v>
      </c>
      <c r="Y18" s="65"/>
      <c r="AA18" s="64">
        <f t="shared" si="3"/>
        <v>163</v>
      </c>
      <c r="AB18" s="64">
        <f t="shared" si="3"/>
        <v>10</v>
      </c>
      <c r="AD18" s="424">
        <f t="shared" si="7"/>
        <v>34.57</v>
      </c>
      <c r="AE18" s="74">
        <f t="shared" si="8"/>
        <v>34.57</v>
      </c>
      <c r="AG18" s="65">
        <f t="shared" si="4"/>
        <v>5634.91</v>
      </c>
      <c r="AH18" s="65">
        <f t="shared" si="5"/>
        <v>345.7</v>
      </c>
    </row>
    <row r="19" spans="2:34" ht="13">
      <c r="B19" s="480" t="s">
        <v>139</v>
      </c>
      <c r="C19" s="481" t="s">
        <v>133</v>
      </c>
      <c r="D19" s="480" t="s">
        <v>150</v>
      </c>
      <c r="E19" s="437">
        <v>47</v>
      </c>
      <c r="F19" s="67"/>
      <c r="G19" s="67" t="str">
        <f t="shared" si="9"/>
        <v>047HPS</v>
      </c>
      <c r="H19" s="285"/>
      <c r="I19" t="s">
        <v>110</v>
      </c>
      <c r="J19" t="s">
        <v>146</v>
      </c>
      <c r="K19" s="54">
        <v>7000</v>
      </c>
      <c r="L19" s="84" t="s">
        <v>159</v>
      </c>
      <c r="M19" s="64">
        <f t="shared" si="0"/>
        <v>26</v>
      </c>
      <c r="N19" s="64">
        <f t="shared" si="0"/>
        <v>60</v>
      </c>
      <c r="P19" s="328">
        <v>22.26</v>
      </c>
      <c r="Q19" s="234">
        <v>22.26</v>
      </c>
      <c r="S19" s="65">
        <f t="shared" si="6"/>
        <v>578.76</v>
      </c>
      <c r="T19" s="65">
        <f t="shared" si="1"/>
        <v>1335.6000000000001</v>
      </c>
      <c r="U19" s="65"/>
      <c r="V19" s="64">
        <f t="shared" si="2"/>
        <v>26</v>
      </c>
      <c r="W19" s="64">
        <f t="shared" si="2"/>
        <v>60</v>
      </c>
      <c r="Y19" s="65"/>
      <c r="AA19" s="64">
        <f t="shared" si="3"/>
        <v>26</v>
      </c>
      <c r="AB19" s="64">
        <f t="shared" si="3"/>
        <v>60</v>
      </c>
      <c r="AD19" s="424">
        <f>AD16+AD28</f>
        <v>28.450000000000003</v>
      </c>
      <c r="AE19" s="74">
        <f t="shared" si="8"/>
        <v>28.450000000000003</v>
      </c>
      <c r="AG19" s="65">
        <f t="shared" si="4"/>
        <v>739.7</v>
      </c>
      <c r="AH19" s="65">
        <f t="shared" si="5"/>
        <v>1707.0000000000002</v>
      </c>
    </row>
    <row r="20" spans="2:34" ht="13">
      <c r="B20" s="480" t="s">
        <v>139</v>
      </c>
      <c r="C20" s="481" t="s">
        <v>133</v>
      </c>
      <c r="D20" s="480" t="s">
        <v>153</v>
      </c>
      <c r="E20" s="437">
        <v>12</v>
      </c>
      <c r="F20" s="67"/>
      <c r="G20" s="67" t="str">
        <f t="shared" si="9"/>
        <v>047HPY</v>
      </c>
      <c r="H20" s="285"/>
      <c r="I20" t="s">
        <v>110</v>
      </c>
      <c r="J20" t="s">
        <v>146</v>
      </c>
      <c r="K20" s="54">
        <v>10000</v>
      </c>
      <c r="L20" s="84" t="s">
        <v>160</v>
      </c>
      <c r="M20" s="64">
        <f t="shared" si="0"/>
        <v>30</v>
      </c>
      <c r="N20" s="64">
        <f t="shared" si="0"/>
        <v>28</v>
      </c>
      <c r="P20" s="328">
        <v>25.84</v>
      </c>
      <c r="Q20" s="234">
        <v>25.84</v>
      </c>
      <c r="S20" s="65">
        <f t="shared" si="6"/>
        <v>775.2</v>
      </c>
      <c r="T20" s="65">
        <f t="shared" si="1"/>
        <v>723.52</v>
      </c>
      <c r="U20" s="65"/>
      <c r="V20" s="64">
        <f t="shared" si="2"/>
        <v>30</v>
      </c>
      <c r="W20" s="64">
        <f t="shared" si="2"/>
        <v>28</v>
      </c>
      <c r="Y20" s="65"/>
      <c r="AA20" s="64">
        <f t="shared" si="3"/>
        <v>30</v>
      </c>
      <c r="AB20" s="64">
        <f t="shared" si="3"/>
        <v>28</v>
      </c>
      <c r="AD20" s="424">
        <f>AD17+AD28</f>
        <v>32.479999999999997</v>
      </c>
      <c r="AE20" s="74">
        <f t="shared" si="8"/>
        <v>32.479999999999997</v>
      </c>
      <c r="AG20" s="65">
        <f t="shared" si="4"/>
        <v>974.39999999999986</v>
      </c>
      <c r="AH20" s="65">
        <f t="shared" si="5"/>
        <v>909.43999999999994</v>
      </c>
    </row>
    <row r="21" spans="2:34" ht="13">
      <c r="B21" s="486" t="s">
        <v>139</v>
      </c>
      <c r="C21" s="489" t="s">
        <v>133</v>
      </c>
      <c r="D21" s="486" t="s">
        <v>680</v>
      </c>
      <c r="E21" s="437">
        <v>0</v>
      </c>
      <c r="F21" s="67"/>
      <c r="G21" s="67" t="str">
        <f t="shared" ref="G21" si="10">IF(OR(ISBLANK(C21),ISBLANK(D21)),"",TEXT(C21,"000")&amp;TEXT(D21,"000"))</f>
        <v>047HAIL</v>
      </c>
      <c r="H21" s="285"/>
      <c r="I21" t="s">
        <v>110</v>
      </c>
      <c r="J21" t="s">
        <v>146</v>
      </c>
      <c r="K21" s="54">
        <v>20000</v>
      </c>
      <c r="L21" s="84" t="s">
        <v>161</v>
      </c>
      <c r="M21" s="64">
        <f t="shared" si="0"/>
        <v>92</v>
      </c>
      <c r="N21" s="64">
        <f t="shared" si="0"/>
        <v>11</v>
      </c>
      <c r="P21" s="328">
        <v>34.89</v>
      </c>
      <c r="Q21" s="234">
        <v>34.89</v>
      </c>
      <c r="S21" s="65">
        <f t="shared" si="6"/>
        <v>3209.88</v>
      </c>
      <c r="T21" s="65">
        <f t="shared" si="1"/>
        <v>383.79</v>
      </c>
      <c r="U21" s="65"/>
      <c r="V21" s="64">
        <f t="shared" si="2"/>
        <v>92</v>
      </c>
      <c r="W21" s="64">
        <f t="shared" si="2"/>
        <v>11</v>
      </c>
      <c r="Y21" s="65"/>
      <c r="AA21" s="64">
        <f t="shared" si="3"/>
        <v>92</v>
      </c>
      <c r="AB21" s="64">
        <f t="shared" si="3"/>
        <v>11</v>
      </c>
      <c r="AD21" s="424">
        <f>AD18+AD28</f>
        <v>42.74</v>
      </c>
      <c r="AE21" s="74">
        <f t="shared" si="8"/>
        <v>42.74</v>
      </c>
      <c r="AG21" s="65">
        <f t="shared" si="4"/>
        <v>3932.0800000000004</v>
      </c>
      <c r="AH21" s="65">
        <f t="shared" si="5"/>
        <v>470.14000000000004</v>
      </c>
    </row>
    <row r="22" spans="2:34" ht="13">
      <c r="B22" s="480" t="s">
        <v>139</v>
      </c>
      <c r="C22" s="481" t="s">
        <v>133</v>
      </c>
      <c r="D22" s="480" t="s">
        <v>657</v>
      </c>
      <c r="E22" s="437">
        <v>135</v>
      </c>
      <c r="F22" s="67"/>
      <c r="G22" s="67" t="str">
        <f t="shared" si="9"/>
        <v>047HAML</v>
      </c>
      <c r="H22" s="285"/>
      <c r="I22" t="s">
        <v>110</v>
      </c>
      <c r="J22" t="s">
        <v>164</v>
      </c>
      <c r="K22" s="54">
        <v>10000</v>
      </c>
      <c r="L22" s="84" t="s">
        <v>162</v>
      </c>
      <c r="M22" s="64">
        <f t="shared" si="0"/>
        <v>0</v>
      </c>
      <c r="N22" s="64">
        <f t="shared" si="0"/>
        <v>0</v>
      </c>
      <c r="P22" s="328">
        <v>32.630000000000003</v>
      </c>
      <c r="Q22" s="234">
        <v>32.630000000000003</v>
      </c>
      <c r="S22" s="65">
        <f t="shared" si="6"/>
        <v>0</v>
      </c>
      <c r="T22" s="65">
        <f t="shared" si="1"/>
        <v>0</v>
      </c>
      <c r="U22" s="65"/>
      <c r="V22" s="64">
        <f t="shared" si="2"/>
        <v>0</v>
      </c>
      <c r="W22" s="64">
        <f t="shared" si="2"/>
        <v>0</v>
      </c>
      <c r="Y22" s="65"/>
      <c r="AA22" s="64">
        <f t="shared" si="3"/>
        <v>0</v>
      </c>
      <c r="AB22" s="64">
        <f t="shared" si="3"/>
        <v>0</v>
      </c>
      <c r="AD22" s="424">
        <f t="shared" si="7"/>
        <v>37.11</v>
      </c>
      <c r="AE22" s="74">
        <f t="shared" si="8"/>
        <v>37.11</v>
      </c>
      <c r="AG22" s="65">
        <f t="shared" si="4"/>
        <v>0</v>
      </c>
      <c r="AH22" s="65">
        <f t="shared" si="5"/>
        <v>0</v>
      </c>
    </row>
    <row r="23" spans="2:34" ht="13">
      <c r="B23" s="480" t="s">
        <v>139</v>
      </c>
      <c r="C23" s="481" t="s">
        <v>133</v>
      </c>
      <c r="D23" s="480" t="s">
        <v>658</v>
      </c>
      <c r="E23" s="437">
        <v>35</v>
      </c>
      <c r="F23" s="67"/>
      <c r="G23" s="67" t="str">
        <f t="shared" si="9"/>
        <v>047HANL</v>
      </c>
      <c r="H23" s="285"/>
      <c r="I23" t="s">
        <v>110</v>
      </c>
      <c r="J23" t="s">
        <v>164</v>
      </c>
      <c r="K23" s="54">
        <v>20000</v>
      </c>
      <c r="L23" s="84" t="s">
        <v>163</v>
      </c>
      <c r="M23" s="64">
        <f t="shared" si="0"/>
        <v>0</v>
      </c>
      <c r="N23" s="64">
        <f t="shared" si="0"/>
        <v>0</v>
      </c>
      <c r="P23" s="328">
        <v>41.62</v>
      </c>
      <c r="Q23" s="234">
        <v>41.62</v>
      </c>
      <c r="S23" s="65">
        <f t="shared" si="6"/>
        <v>0</v>
      </c>
      <c r="T23" s="65">
        <f t="shared" si="1"/>
        <v>0</v>
      </c>
      <c r="U23" s="65"/>
      <c r="V23" s="64">
        <f t="shared" si="2"/>
        <v>0</v>
      </c>
      <c r="W23" s="64">
        <f t="shared" si="2"/>
        <v>0</v>
      </c>
      <c r="Y23" s="65"/>
      <c r="AA23" s="64">
        <f t="shared" si="3"/>
        <v>0</v>
      </c>
      <c r="AB23" s="64">
        <f t="shared" si="3"/>
        <v>0</v>
      </c>
      <c r="AD23" s="424">
        <f t="shared" si="7"/>
        <v>47.33</v>
      </c>
      <c r="AE23" s="74">
        <f t="shared" si="8"/>
        <v>47.33</v>
      </c>
      <c r="AG23" s="65">
        <f t="shared" si="4"/>
        <v>0</v>
      </c>
      <c r="AH23" s="65">
        <f t="shared" si="5"/>
        <v>0</v>
      </c>
    </row>
    <row r="24" spans="2:34" ht="13">
      <c r="B24" s="480" t="s">
        <v>139</v>
      </c>
      <c r="C24" s="489" t="s">
        <v>133</v>
      </c>
      <c r="D24" s="486" t="s">
        <v>681</v>
      </c>
      <c r="E24" s="437">
        <v>9</v>
      </c>
      <c r="F24" s="67"/>
      <c r="G24" s="67" t="str">
        <f t="shared" ref="G24" si="11">IF(OR(ISBLANK(C24),ISBLANK(D24)),"",TEXT(C24,"000")&amp;TEXT(D24,"000"))</f>
        <v>047HAOL</v>
      </c>
      <c r="H24" s="285"/>
      <c r="I24" s="41" t="s">
        <v>110</v>
      </c>
      <c r="J24" s="41" t="s">
        <v>169</v>
      </c>
      <c r="K24" s="54">
        <v>7000</v>
      </c>
      <c r="L24" s="84" t="s">
        <v>166</v>
      </c>
      <c r="M24" s="64">
        <f t="shared" ref="M24:N43" si="12">SUMIF($G:$G,TEXT(M$3,"000")&amp;TEXT($L24,"000"),$E:$E)</f>
        <v>0</v>
      </c>
      <c r="N24" s="64">
        <f t="shared" si="12"/>
        <v>0</v>
      </c>
      <c r="P24" s="328">
        <v>30.43</v>
      </c>
      <c r="Q24" s="234">
        <v>30.43</v>
      </c>
      <c r="S24" s="65">
        <f t="shared" si="6"/>
        <v>0</v>
      </c>
      <c r="T24" s="65">
        <f t="shared" si="1"/>
        <v>0</v>
      </c>
      <c r="U24" s="65"/>
      <c r="V24" s="64">
        <f t="shared" ref="V24:W43" si="13">SUMIF($G:$G,TEXT(V$3,"000")&amp;TEXT($L24,"000"),$E:$E)</f>
        <v>0</v>
      </c>
      <c r="W24" s="64">
        <f t="shared" si="13"/>
        <v>0</v>
      </c>
      <c r="Y24" s="65"/>
      <c r="AA24" s="64">
        <f t="shared" si="3"/>
        <v>0</v>
      </c>
      <c r="AB24" s="64">
        <f t="shared" si="3"/>
        <v>0</v>
      </c>
      <c r="AD24" s="424">
        <f t="shared" si="7"/>
        <v>34.6</v>
      </c>
      <c r="AE24" s="74">
        <f t="shared" si="8"/>
        <v>34.6</v>
      </c>
      <c r="AG24" s="65">
        <f t="shared" si="4"/>
        <v>0</v>
      </c>
      <c r="AH24" s="65">
        <f t="shared" si="5"/>
        <v>0</v>
      </c>
    </row>
    <row r="25" spans="2:34" ht="13">
      <c r="B25" s="480" t="s">
        <v>139</v>
      </c>
      <c r="C25" s="481" t="s">
        <v>133</v>
      </c>
      <c r="D25" s="480" t="s">
        <v>529</v>
      </c>
      <c r="E25" s="437">
        <v>4</v>
      </c>
      <c r="F25" s="67"/>
      <c r="G25" s="67" t="str">
        <f>IF(OR(ISBLANK(C25),ISBLANK(D25)),"",TEXT(C25,"000")&amp;TEXT(D25,"000"))</f>
        <v>047HAPL</v>
      </c>
      <c r="H25" s="285"/>
      <c r="I25" t="s">
        <v>110</v>
      </c>
      <c r="J25" t="s">
        <v>169</v>
      </c>
      <c r="K25" s="54">
        <v>10000</v>
      </c>
      <c r="L25" s="84" t="s">
        <v>167</v>
      </c>
      <c r="M25" s="64">
        <f t="shared" si="12"/>
        <v>0</v>
      </c>
      <c r="N25" s="64">
        <f t="shared" si="12"/>
        <v>3</v>
      </c>
      <c r="P25" s="328">
        <v>34.020000000000003</v>
      </c>
      <c r="Q25" s="234">
        <v>34.020000000000003</v>
      </c>
      <c r="S25" s="65">
        <f t="shared" si="6"/>
        <v>0</v>
      </c>
      <c r="T25" s="65">
        <f t="shared" si="1"/>
        <v>102.06</v>
      </c>
      <c r="U25" s="65"/>
      <c r="V25" s="64">
        <f t="shared" si="13"/>
        <v>0</v>
      </c>
      <c r="W25" s="64">
        <f t="shared" si="13"/>
        <v>3</v>
      </c>
      <c r="Y25" s="65"/>
      <c r="AA25" s="64">
        <f t="shared" si="3"/>
        <v>0</v>
      </c>
      <c r="AB25" s="64">
        <f t="shared" si="3"/>
        <v>3</v>
      </c>
      <c r="AD25" s="424">
        <f t="shared" si="7"/>
        <v>38.69</v>
      </c>
      <c r="AE25" s="74">
        <f t="shared" si="8"/>
        <v>38.69</v>
      </c>
      <c r="AG25" s="65">
        <f t="shared" si="4"/>
        <v>0</v>
      </c>
      <c r="AH25" s="65">
        <f t="shared" si="5"/>
        <v>116.07</v>
      </c>
    </row>
    <row r="26" spans="2:34" ht="13">
      <c r="B26" s="480" t="s">
        <v>139</v>
      </c>
      <c r="C26" s="481" t="s">
        <v>133</v>
      </c>
      <c r="D26" s="486" t="s">
        <v>682</v>
      </c>
      <c r="E26" s="437">
        <v>19</v>
      </c>
      <c r="F26" s="67"/>
      <c r="G26" s="67" t="str">
        <f>IF(OR(ISBLANK(C26),ISBLANK(D26)),"",TEXT(C26,"000")&amp;TEXT(D26,"000"))</f>
        <v>047HAQL</v>
      </c>
      <c r="H26" s="285"/>
      <c r="I26" t="s">
        <v>110</v>
      </c>
      <c r="J26" t="s">
        <v>169</v>
      </c>
      <c r="K26" s="54">
        <v>20000</v>
      </c>
      <c r="L26" s="84" t="s">
        <v>168</v>
      </c>
      <c r="M26" s="64">
        <f t="shared" si="12"/>
        <v>2</v>
      </c>
      <c r="N26" s="64">
        <f t="shared" si="12"/>
        <v>0</v>
      </c>
      <c r="P26" s="328">
        <v>43.02</v>
      </c>
      <c r="Q26" s="234">
        <v>43.02</v>
      </c>
      <c r="S26" s="65">
        <f t="shared" si="6"/>
        <v>86.04</v>
      </c>
      <c r="T26" s="65">
        <f t="shared" si="1"/>
        <v>0</v>
      </c>
      <c r="U26" s="65"/>
      <c r="V26" s="64">
        <f t="shared" si="13"/>
        <v>2</v>
      </c>
      <c r="W26" s="64">
        <f t="shared" si="13"/>
        <v>0</v>
      </c>
      <c r="Y26" s="65"/>
      <c r="AA26" s="64">
        <f t="shared" si="3"/>
        <v>2</v>
      </c>
      <c r="AB26" s="64">
        <f t="shared" si="3"/>
        <v>0</v>
      </c>
      <c r="AD26" s="424">
        <f t="shared" si="7"/>
        <v>48.92</v>
      </c>
      <c r="AE26" s="74">
        <f t="shared" si="8"/>
        <v>48.92</v>
      </c>
      <c r="AG26" s="65">
        <f t="shared" si="4"/>
        <v>97.84</v>
      </c>
      <c r="AH26" s="65">
        <f t="shared" si="5"/>
        <v>0</v>
      </c>
    </row>
    <row r="27" spans="2:34">
      <c r="B27" s="480" t="s">
        <v>139</v>
      </c>
      <c r="C27" s="489" t="s">
        <v>133</v>
      </c>
      <c r="D27" s="486" t="s">
        <v>740</v>
      </c>
      <c r="E27" s="437">
        <v>20</v>
      </c>
      <c r="F27" s="67"/>
      <c r="G27" s="67" t="str">
        <f>IF(OR(ISBLANK(C27),ISBLANK(D27)),"",TEXT(C27,"000")&amp;TEXT(D27,"000"))</f>
        <v>047HARL</v>
      </c>
      <c r="H27" s="285"/>
      <c r="I27" t="s">
        <v>110</v>
      </c>
      <c r="J27" t="s">
        <v>392</v>
      </c>
      <c r="K27" s="54">
        <v>7000</v>
      </c>
      <c r="L27" s="84" t="s">
        <v>391</v>
      </c>
      <c r="M27" s="64">
        <f t="shared" si="12"/>
        <v>0</v>
      </c>
      <c r="N27" s="64">
        <f t="shared" si="12"/>
        <v>2</v>
      </c>
      <c r="P27" s="328">
        <v>8.9149999999999991</v>
      </c>
      <c r="Q27" s="234">
        <v>8.9149999999999991</v>
      </c>
      <c r="S27" s="65">
        <f t="shared" si="6"/>
        <v>0</v>
      </c>
      <c r="T27" s="65">
        <f t="shared" si="1"/>
        <v>17.829999999999998</v>
      </c>
      <c r="U27" s="65"/>
      <c r="V27" s="64">
        <f t="shared" si="13"/>
        <v>0</v>
      </c>
      <c r="W27" s="64">
        <f t="shared" si="13"/>
        <v>2</v>
      </c>
      <c r="Y27" s="65"/>
      <c r="AA27" s="64">
        <f t="shared" si="3"/>
        <v>0</v>
      </c>
      <c r="AB27" s="64">
        <f t="shared" si="3"/>
        <v>2</v>
      </c>
      <c r="AD27" s="74">
        <f>AD16/2</f>
        <v>10.14</v>
      </c>
      <c r="AE27" s="74">
        <f t="shared" si="8"/>
        <v>10.14</v>
      </c>
      <c r="AG27" s="65">
        <f t="shared" si="4"/>
        <v>0</v>
      </c>
      <c r="AH27" s="65">
        <f t="shared" si="5"/>
        <v>20.28</v>
      </c>
    </row>
    <row r="28" spans="2:34" ht="13">
      <c r="B28" s="480" t="s">
        <v>139</v>
      </c>
      <c r="C28" s="481" t="s">
        <v>133</v>
      </c>
      <c r="D28" s="480" t="s">
        <v>520</v>
      </c>
      <c r="E28" s="437">
        <v>766</v>
      </c>
      <c r="F28" s="483"/>
      <c r="G28" s="483" t="str">
        <f t="shared" si="9"/>
        <v>047HPAL</v>
      </c>
      <c r="H28" s="285"/>
      <c r="I28" t="s">
        <v>173</v>
      </c>
      <c r="J28" t="s">
        <v>543</v>
      </c>
      <c r="K28" s="54" t="s">
        <v>174</v>
      </c>
      <c r="L28" s="84" t="s">
        <v>171</v>
      </c>
      <c r="M28" s="64">
        <f t="shared" si="12"/>
        <v>46</v>
      </c>
      <c r="N28" s="64">
        <f t="shared" si="12"/>
        <v>2</v>
      </c>
      <c r="P28" s="328">
        <v>7.18</v>
      </c>
      <c r="Q28" s="234">
        <v>7.18</v>
      </c>
      <c r="S28" s="65">
        <f t="shared" si="6"/>
        <v>330.28</v>
      </c>
      <c r="T28" s="65">
        <f t="shared" si="1"/>
        <v>14.36</v>
      </c>
      <c r="U28" s="65"/>
      <c r="V28" s="64">
        <f t="shared" si="13"/>
        <v>46</v>
      </c>
      <c r="W28" s="64">
        <f t="shared" si="13"/>
        <v>2</v>
      </c>
      <c r="Y28" s="65"/>
      <c r="AA28" s="64">
        <f t="shared" si="3"/>
        <v>46</v>
      </c>
      <c r="AB28" s="64">
        <f t="shared" si="3"/>
        <v>2</v>
      </c>
      <c r="AD28" s="424">
        <f t="shared" si="7"/>
        <v>8.17</v>
      </c>
      <c r="AE28" s="74">
        <f t="shared" si="8"/>
        <v>8.17</v>
      </c>
      <c r="AG28" s="65">
        <f t="shared" si="4"/>
        <v>375.82</v>
      </c>
      <c r="AH28" s="65">
        <f t="shared" si="5"/>
        <v>16.34</v>
      </c>
    </row>
    <row r="29" spans="2:34" ht="13">
      <c r="B29" s="480" t="s">
        <v>139</v>
      </c>
      <c r="C29" s="481" t="s">
        <v>133</v>
      </c>
      <c r="D29" s="480" t="s">
        <v>521</v>
      </c>
      <c r="E29" s="437">
        <v>652</v>
      </c>
      <c r="F29" s="67"/>
      <c r="G29" s="67" t="str">
        <f t="shared" si="9"/>
        <v>047HPBL</v>
      </c>
      <c r="H29" s="285"/>
      <c r="I29" t="s">
        <v>518</v>
      </c>
      <c r="J29" t="str">
        <f>J6</f>
        <v>on existing standard</v>
      </c>
      <c r="K29" t="s">
        <v>109</v>
      </c>
      <c r="L29" s="84" t="s">
        <v>520</v>
      </c>
      <c r="M29" s="64">
        <f t="shared" si="12"/>
        <v>766</v>
      </c>
      <c r="N29" s="64">
        <f t="shared" si="12"/>
        <v>1281</v>
      </c>
      <c r="P29" s="340">
        <v>15.51</v>
      </c>
      <c r="Q29" s="234">
        <v>15.51</v>
      </c>
      <c r="S29" s="65">
        <f t="shared" ref="S29:S40" si="14">IF(AND(M29&lt;&gt;0,P29=0),#VALUE!,M29*P29)</f>
        <v>11880.66</v>
      </c>
      <c r="T29" s="65">
        <f t="shared" ref="T29:T40" si="15">IF(AND(N29&lt;&gt;0,Q29=0),#VALUE!,N29*Q29)</f>
        <v>19868.310000000001</v>
      </c>
      <c r="U29" s="65"/>
      <c r="V29" s="64">
        <f t="shared" si="13"/>
        <v>766</v>
      </c>
      <c r="W29" s="64">
        <f t="shared" si="13"/>
        <v>1281</v>
      </c>
      <c r="Y29" s="65"/>
      <c r="AA29" s="64">
        <f t="shared" ref="AA29:AA40" si="16">M29</f>
        <v>766</v>
      </c>
      <c r="AB29" s="64">
        <f t="shared" ref="AB29:AB50" si="17">N29</f>
        <v>1281</v>
      </c>
      <c r="AD29" s="424">
        <f>AD6</f>
        <v>17.64</v>
      </c>
      <c r="AE29" s="74">
        <f t="shared" si="8"/>
        <v>17.64</v>
      </c>
      <c r="AG29" s="65">
        <f>IF(AND(AA29&lt;&gt;0,AD29=0),#VALUE!,AA29*AD29)</f>
        <v>13512.24</v>
      </c>
      <c r="AH29" s="65">
        <f>IF(AND(AB29&lt;&gt;0,AE29=0),#VALUE!,AB29*AE29)</f>
        <v>22596.84</v>
      </c>
    </row>
    <row r="30" spans="2:34" ht="13">
      <c r="B30" s="480" t="s">
        <v>139</v>
      </c>
      <c r="C30" s="481" t="s">
        <v>133</v>
      </c>
      <c r="D30" s="480" t="s">
        <v>541</v>
      </c>
      <c r="E30" s="437">
        <v>193</v>
      </c>
      <c r="F30" s="67"/>
      <c r="G30" s="67" t="str">
        <f t="shared" si="9"/>
        <v>047HPCL</v>
      </c>
      <c r="H30" s="285"/>
      <c r="I30" t="s">
        <v>518</v>
      </c>
      <c r="J30" t="str">
        <f>J7</f>
        <v>on existing standard</v>
      </c>
      <c r="K30" t="s">
        <v>517</v>
      </c>
      <c r="L30" s="84" t="s">
        <v>521</v>
      </c>
      <c r="M30" s="64">
        <f t="shared" si="12"/>
        <v>652</v>
      </c>
      <c r="N30" s="64">
        <f t="shared" si="12"/>
        <v>193</v>
      </c>
      <c r="P30" s="340">
        <v>22.02</v>
      </c>
      <c r="Q30" s="234">
        <v>22.02</v>
      </c>
      <c r="S30" s="65">
        <f t="shared" si="14"/>
        <v>14357.039999999999</v>
      </c>
      <c r="T30" s="65">
        <f t="shared" si="15"/>
        <v>4249.8599999999997</v>
      </c>
      <c r="U30" s="65"/>
      <c r="V30" s="64">
        <f t="shared" si="13"/>
        <v>652</v>
      </c>
      <c r="W30" s="64">
        <f t="shared" si="13"/>
        <v>193</v>
      </c>
      <c r="Y30" s="65"/>
      <c r="AA30" s="64">
        <f t="shared" si="16"/>
        <v>652</v>
      </c>
      <c r="AB30" s="64">
        <f t="shared" si="17"/>
        <v>193</v>
      </c>
      <c r="AD30" s="424">
        <f>AD7</f>
        <v>25.04</v>
      </c>
      <c r="AE30" s="74">
        <f>AE7</f>
        <v>25.04</v>
      </c>
      <c r="AG30" s="65">
        <f t="shared" ref="AG30:AG39" si="18">IF(AND(AA30&lt;&gt;0,AD30=0),#VALUE!,AA30*AD30)</f>
        <v>16326.08</v>
      </c>
      <c r="AH30" s="65">
        <f t="shared" ref="AH30:AH40" si="19">IF(AND(AB30&lt;&gt;0,AE30=0),#VALUE!,AB30*AE30)</f>
        <v>4832.72</v>
      </c>
    </row>
    <row r="31" spans="2:34" ht="13">
      <c r="B31" s="480" t="s">
        <v>139</v>
      </c>
      <c r="C31" s="481" t="s">
        <v>133</v>
      </c>
      <c r="D31" s="480" t="s">
        <v>524</v>
      </c>
      <c r="E31" s="437">
        <v>564</v>
      </c>
      <c r="F31" s="67"/>
      <c r="G31" s="67" t="str">
        <f t="shared" si="9"/>
        <v>047HPDL</v>
      </c>
      <c r="H31" s="285"/>
      <c r="I31" t="s">
        <v>518</v>
      </c>
      <c r="J31" t="str">
        <f>J8</f>
        <v>on existing standard</v>
      </c>
      <c r="K31" t="s">
        <v>655</v>
      </c>
      <c r="L31" s="84" t="s">
        <v>541</v>
      </c>
      <c r="M31" s="64">
        <f t="shared" si="12"/>
        <v>193</v>
      </c>
      <c r="N31" s="64">
        <f t="shared" si="12"/>
        <v>7</v>
      </c>
      <c r="P31" s="340">
        <v>30.42</v>
      </c>
      <c r="Q31" s="234">
        <v>30.42</v>
      </c>
      <c r="S31" s="65">
        <f>IF(AND(M31&lt;&gt;0,P31=0),#VALUE!,M31*P31)</f>
        <v>5871.06</v>
      </c>
      <c r="T31" s="65">
        <f>IF(AND(N31&lt;&gt;0,Q31=0),#VALUE!,N31*Q31)</f>
        <v>212.94</v>
      </c>
      <c r="U31" s="65"/>
      <c r="V31" s="64">
        <f t="shared" si="13"/>
        <v>193</v>
      </c>
      <c r="W31" s="64">
        <f t="shared" si="13"/>
        <v>7</v>
      </c>
      <c r="Y31" s="65"/>
      <c r="AA31" s="64">
        <f>M31</f>
        <v>193</v>
      </c>
      <c r="AB31" s="64">
        <f>N31</f>
        <v>7</v>
      </c>
      <c r="AD31" s="424">
        <f>AD8</f>
        <v>34.590000000000003</v>
      </c>
      <c r="AE31" s="74">
        <f>AE8</f>
        <v>34.590000000000003</v>
      </c>
      <c r="AG31" s="65">
        <f>IF(AND(AA31&lt;&gt;0,AD31=0),#VALUE!,AA31*AD31)</f>
        <v>6675.8700000000008</v>
      </c>
      <c r="AH31" s="65">
        <f>IF(AND(AB31&lt;&gt;0,AE31=0),#VALUE!,AB31*AE31)</f>
        <v>242.13000000000002</v>
      </c>
    </row>
    <row r="32" spans="2:34" ht="13">
      <c r="B32" s="480" t="s">
        <v>139</v>
      </c>
      <c r="C32" s="481" t="s">
        <v>133</v>
      </c>
      <c r="D32" s="480" t="s">
        <v>523</v>
      </c>
      <c r="E32" s="437">
        <v>541</v>
      </c>
      <c r="F32" s="483"/>
      <c r="G32" s="483" t="str">
        <f t="shared" si="9"/>
        <v>047HPEL</v>
      </c>
      <c r="H32" s="285"/>
      <c r="I32" t="s">
        <v>518</v>
      </c>
      <c r="J32" t="str">
        <f>J14</f>
        <v>20' fiberglass pole</v>
      </c>
      <c r="K32" t="s">
        <v>109</v>
      </c>
      <c r="L32" s="84" t="s">
        <v>522</v>
      </c>
      <c r="M32" s="64">
        <f t="shared" si="12"/>
        <v>81</v>
      </c>
      <c r="N32" s="64">
        <f t="shared" si="12"/>
        <v>291</v>
      </c>
      <c r="P32" s="340">
        <v>22.71</v>
      </c>
      <c r="Q32" s="234">
        <v>22.71</v>
      </c>
      <c r="S32" s="65">
        <f t="shared" si="14"/>
        <v>1839.51</v>
      </c>
      <c r="T32" s="65">
        <f t="shared" si="15"/>
        <v>6608.6100000000006</v>
      </c>
      <c r="U32" s="65"/>
      <c r="V32" s="64">
        <f t="shared" si="13"/>
        <v>81</v>
      </c>
      <c r="W32" s="64">
        <f t="shared" si="13"/>
        <v>291</v>
      </c>
      <c r="Y32" s="65"/>
      <c r="AA32" s="64">
        <f t="shared" si="16"/>
        <v>81</v>
      </c>
      <c r="AB32" s="64">
        <f t="shared" si="17"/>
        <v>291</v>
      </c>
      <c r="AD32" s="424">
        <f>AD14</f>
        <v>25.83</v>
      </c>
      <c r="AE32" s="74">
        <f>AE14</f>
        <v>25.83</v>
      </c>
      <c r="AG32" s="65">
        <f t="shared" si="18"/>
        <v>2092.23</v>
      </c>
      <c r="AH32" s="65">
        <f t="shared" si="19"/>
        <v>7516.53</v>
      </c>
    </row>
    <row r="33" spans="2:34" ht="13">
      <c r="B33" s="32" t="s">
        <v>139</v>
      </c>
      <c r="C33" s="511" t="s">
        <v>133</v>
      </c>
      <c r="D33" s="180" t="s">
        <v>149</v>
      </c>
      <c r="E33" s="512">
        <v>2</v>
      </c>
      <c r="G33" s="67" t="str">
        <f t="shared" si="9"/>
        <v>047HPL</v>
      </c>
      <c r="H33" s="292"/>
      <c r="I33" t="s">
        <v>518</v>
      </c>
      <c r="J33" t="str">
        <f>J10</f>
        <v>35' wood pole</v>
      </c>
      <c r="K33" t="s">
        <v>109</v>
      </c>
      <c r="L33" s="84" t="s">
        <v>523</v>
      </c>
      <c r="M33" s="64">
        <f t="shared" si="12"/>
        <v>541</v>
      </c>
      <c r="N33" s="64">
        <f t="shared" si="12"/>
        <v>612</v>
      </c>
      <c r="P33" s="340">
        <v>22.71</v>
      </c>
      <c r="Q33" s="234">
        <v>22.71</v>
      </c>
      <c r="S33" s="65">
        <f t="shared" si="14"/>
        <v>12286.11</v>
      </c>
      <c r="T33" s="65">
        <f t="shared" si="15"/>
        <v>13898.52</v>
      </c>
      <c r="U33" s="65"/>
      <c r="V33" s="64">
        <f t="shared" si="13"/>
        <v>541</v>
      </c>
      <c r="W33" s="64">
        <f t="shared" si="13"/>
        <v>612</v>
      </c>
      <c r="Y33" s="65"/>
      <c r="AA33" s="64">
        <f t="shared" si="16"/>
        <v>541</v>
      </c>
      <c r="AB33" s="64">
        <f t="shared" si="17"/>
        <v>612</v>
      </c>
      <c r="AD33" s="424">
        <f>AD10</f>
        <v>25.810000000000002</v>
      </c>
      <c r="AE33" s="74">
        <f>AE10</f>
        <v>25.810000000000002</v>
      </c>
      <c r="AG33" s="65">
        <f t="shared" si="18"/>
        <v>13963.210000000001</v>
      </c>
      <c r="AH33" s="65">
        <f t="shared" si="19"/>
        <v>15795.720000000001</v>
      </c>
    </row>
    <row r="34" spans="2:34" ht="13">
      <c r="B34" s="32" t="s">
        <v>139</v>
      </c>
      <c r="C34" s="511" t="s">
        <v>133</v>
      </c>
      <c r="D34" s="32" t="s">
        <v>542</v>
      </c>
      <c r="E34" s="512">
        <v>151</v>
      </c>
      <c r="F34" s="67"/>
      <c r="G34" s="67" t="str">
        <f>IF(OR(ISBLANK(C34),ISBLANK(D34)),"",TEXT(C34,"000")&amp;TEXT(D34,"000"))</f>
        <v>047HPGL</v>
      </c>
      <c r="H34" s="335"/>
      <c r="I34" t="s">
        <v>518</v>
      </c>
      <c r="J34" t="str">
        <f>J9</f>
        <v>35' wood pole</v>
      </c>
      <c r="K34" t="s">
        <v>517</v>
      </c>
      <c r="L34" s="84" t="s">
        <v>524</v>
      </c>
      <c r="M34" s="64">
        <f t="shared" si="12"/>
        <v>564</v>
      </c>
      <c r="N34" s="64">
        <f t="shared" si="12"/>
        <v>96</v>
      </c>
      <c r="P34" s="340">
        <v>30.6</v>
      </c>
      <c r="Q34" s="234">
        <v>30.6</v>
      </c>
      <c r="S34" s="65">
        <f t="shared" si="14"/>
        <v>17258.400000000001</v>
      </c>
      <c r="T34" s="65">
        <f t="shared" si="15"/>
        <v>2937.6000000000004</v>
      </c>
      <c r="U34" s="65"/>
      <c r="V34" s="64">
        <f t="shared" si="13"/>
        <v>564</v>
      </c>
      <c r="W34" s="64">
        <f t="shared" si="13"/>
        <v>96</v>
      </c>
      <c r="Y34" s="65"/>
      <c r="AA34" s="64">
        <f t="shared" si="16"/>
        <v>564</v>
      </c>
      <c r="AB34" s="64">
        <f t="shared" si="17"/>
        <v>96</v>
      </c>
      <c r="AD34" s="424">
        <f>AD9</f>
        <v>33.21</v>
      </c>
      <c r="AE34" s="74">
        <f>AE9</f>
        <v>33.21</v>
      </c>
      <c r="AG34" s="65">
        <f t="shared" si="18"/>
        <v>18730.439999999999</v>
      </c>
      <c r="AH34" s="65">
        <f t="shared" si="19"/>
        <v>3188.16</v>
      </c>
    </row>
    <row r="35" spans="2:34" ht="13">
      <c r="B35" s="32" t="s">
        <v>139</v>
      </c>
      <c r="C35" s="511" t="s">
        <v>133</v>
      </c>
      <c r="D35" s="180" t="s">
        <v>787</v>
      </c>
      <c r="E35" s="512">
        <v>1</v>
      </c>
      <c r="F35" s="67"/>
      <c r="G35" s="67" t="str">
        <f t="shared" ref="G35" si="20">IF(OR(ISBLANK(C35),ISBLANK(D35)),"",TEXT(C35,"000")&amp;TEXT(D35,"000"))</f>
        <v>047HPJL</v>
      </c>
      <c r="H35" s="335"/>
      <c r="I35" t="s">
        <v>518</v>
      </c>
      <c r="J35" s="41" t="s">
        <v>854</v>
      </c>
      <c r="K35" s="41" t="s">
        <v>535</v>
      </c>
      <c r="L35" s="84" t="s">
        <v>787</v>
      </c>
      <c r="M35" s="64">
        <f t="shared" si="12"/>
        <v>1</v>
      </c>
      <c r="N35" s="64">
        <f t="shared" si="12"/>
        <v>0</v>
      </c>
      <c r="P35" s="340">
        <v>38.99</v>
      </c>
      <c r="Q35" s="234">
        <v>38.99</v>
      </c>
      <c r="S35" s="65">
        <f t="shared" ref="S35" si="21">IF(AND(M35&lt;&gt;0,P35=0),#VALUE!,M35*P35)</f>
        <v>38.99</v>
      </c>
      <c r="T35" s="65">
        <f t="shared" ref="T35" si="22">IF(AND(N35&lt;&gt;0,Q35=0),#VALUE!,N35*Q35)</f>
        <v>0</v>
      </c>
      <c r="U35" s="65"/>
      <c r="V35" s="64">
        <f t="shared" si="13"/>
        <v>1</v>
      </c>
      <c r="W35" s="64">
        <f t="shared" si="13"/>
        <v>0</v>
      </c>
      <c r="Y35" s="65"/>
      <c r="AA35" s="64">
        <f t="shared" ref="AA35" si="23">M35</f>
        <v>1</v>
      </c>
      <c r="AB35" s="64">
        <f t="shared" ref="AB35" si="24">N35</f>
        <v>0</v>
      </c>
      <c r="AD35" s="424">
        <f t="shared" ref="AD35" si="25">ROUND(P35*(1+AD$1),2)</f>
        <v>44.34</v>
      </c>
      <c r="AE35" s="74">
        <f>AE10</f>
        <v>25.810000000000002</v>
      </c>
      <c r="AG35" s="65">
        <f t="shared" ref="AG35" si="26">IF(AND(AA35&lt;&gt;0,AD35=0),#VALUE!,AA35*AD35)</f>
        <v>44.34</v>
      </c>
      <c r="AH35" s="65">
        <f t="shared" ref="AH35" si="27">IF(AND(AB35&lt;&gt;0,AE35=0),#VALUE!,AB35*AE35)</f>
        <v>0</v>
      </c>
    </row>
    <row r="36" spans="2:34" ht="13">
      <c r="B36" s="32" t="s">
        <v>139</v>
      </c>
      <c r="C36" s="511" t="s">
        <v>133</v>
      </c>
      <c r="D36" s="32" t="s">
        <v>659</v>
      </c>
      <c r="E36" s="512">
        <v>8</v>
      </c>
      <c r="F36" s="67"/>
      <c r="G36" s="67" t="str">
        <f t="shared" ref="G36:G53" si="28">IF(OR(ISBLANK(C36),ISBLANK(D36)),"",TEXT(C36,"000")&amp;TEXT(D36,"000"))</f>
        <v>047HPKL</v>
      </c>
      <c r="H36" s="335"/>
      <c r="I36" t="s">
        <v>518</v>
      </c>
      <c r="J36" t="str">
        <f>J13</f>
        <v>25' steel pole</v>
      </c>
      <c r="K36" t="s">
        <v>517</v>
      </c>
      <c r="L36" s="84" t="s">
        <v>525</v>
      </c>
      <c r="M36" s="64">
        <f t="shared" si="12"/>
        <v>0</v>
      </c>
      <c r="N36" s="64">
        <f t="shared" si="12"/>
        <v>2</v>
      </c>
      <c r="P36" s="340">
        <v>33.28</v>
      </c>
      <c r="Q36" s="234">
        <v>33.28</v>
      </c>
      <c r="S36" s="65">
        <f t="shared" si="14"/>
        <v>0</v>
      </c>
      <c r="T36" s="65">
        <f t="shared" si="15"/>
        <v>66.56</v>
      </c>
      <c r="U36" s="65"/>
      <c r="V36" s="64">
        <f t="shared" si="13"/>
        <v>0</v>
      </c>
      <c r="W36" s="64">
        <f t="shared" si="13"/>
        <v>2</v>
      </c>
      <c r="Y36" s="65"/>
      <c r="AA36" s="64">
        <f t="shared" si="16"/>
        <v>0</v>
      </c>
      <c r="AB36" s="64">
        <f t="shared" si="17"/>
        <v>2</v>
      </c>
      <c r="AD36" s="424">
        <f>AD13</f>
        <v>37.85</v>
      </c>
      <c r="AE36" s="74">
        <f>AE13</f>
        <v>37.85</v>
      </c>
      <c r="AG36" s="65">
        <f t="shared" si="18"/>
        <v>0</v>
      </c>
      <c r="AH36" s="65">
        <f t="shared" si="19"/>
        <v>75.7</v>
      </c>
    </row>
    <row r="37" spans="2:34" ht="13">
      <c r="B37" s="32" t="s">
        <v>139</v>
      </c>
      <c r="C37" s="511" t="s">
        <v>133</v>
      </c>
      <c r="D37" s="32" t="s">
        <v>526</v>
      </c>
      <c r="E37" s="512">
        <v>9</v>
      </c>
      <c r="F37" s="67"/>
      <c r="G37" s="67" t="str">
        <f t="shared" si="28"/>
        <v>047HPLL</v>
      </c>
      <c r="H37" s="335"/>
      <c r="I37" t="s">
        <v>518</v>
      </c>
      <c r="J37" t="str">
        <f>J12</f>
        <v>30' steel pole</v>
      </c>
      <c r="K37" t="s">
        <v>517</v>
      </c>
      <c r="L37" s="84" t="s">
        <v>526</v>
      </c>
      <c r="M37" s="64">
        <f t="shared" si="12"/>
        <v>9</v>
      </c>
      <c r="N37" s="64">
        <f t="shared" si="12"/>
        <v>3</v>
      </c>
      <c r="P37" s="340">
        <v>38.409999999999997</v>
      </c>
      <c r="Q37" s="234">
        <v>38.409999999999997</v>
      </c>
      <c r="S37" s="65">
        <f t="shared" si="14"/>
        <v>345.68999999999994</v>
      </c>
      <c r="T37" s="65">
        <f t="shared" si="15"/>
        <v>115.22999999999999</v>
      </c>
      <c r="U37" s="65"/>
      <c r="V37" s="64">
        <f t="shared" si="13"/>
        <v>9</v>
      </c>
      <c r="W37" s="64">
        <f t="shared" si="13"/>
        <v>3</v>
      </c>
      <c r="Y37" s="65"/>
      <c r="AA37" s="64">
        <f t="shared" si="16"/>
        <v>9</v>
      </c>
      <c r="AB37" s="64">
        <f t="shared" si="17"/>
        <v>3</v>
      </c>
      <c r="AD37" s="424">
        <f>AD12</f>
        <v>43.68</v>
      </c>
      <c r="AE37" s="74">
        <f>AE12</f>
        <v>43.68</v>
      </c>
      <c r="AG37" s="65">
        <f t="shared" si="18"/>
        <v>393.12</v>
      </c>
      <c r="AH37" s="65">
        <f t="shared" si="19"/>
        <v>131.04</v>
      </c>
    </row>
    <row r="38" spans="2:34" ht="13">
      <c r="B38" s="32" t="s">
        <v>139</v>
      </c>
      <c r="C38" s="511" t="s">
        <v>133</v>
      </c>
      <c r="D38" s="32" t="s">
        <v>522</v>
      </c>
      <c r="E38" s="512">
        <f>80+1</f>
        <v>81</v>
      </c>
      <c r="F38" s="67"/>
      <c r="G38" s="67" t="str">
        <f t="shared" si="28"/>
        <v>047HPSL</v>
      </c>
      <c r="H38" s="292"/>
      <c r="I38" t="s">
        <v>518</v>
      </c>
      <c r="J38" t="str">
        <f>J15</f>
        <v>30' steel pole w/2 arms</v>
      </c>
      <c r="K38" t="s">
        <v>517</v>
      </c>
      <c r="L38" s="84" t="s">
        <v>527</v>
      </c>
      <c r="M38" s="64">
        <f t="shared" si="12"/>
        <v>5</v>
      </c>
      <c r="N38" s="64">
        <f t="shared" si="12"/>
        <v>0</v>
      </c>
      <c r="P38" s="340">
        <v>65.099999999999994</v>
      </c>
      <c r="Q38" s="234">
        <v>65.099999999999994</v>
      </c>
      <c r="S38" s="65">
        <f t="shared" si="14"/>
        <v>325.5</v>
      </c>
      <c r="T38" s="65">
        <f t="shared" si="15"/>
        <v>0</v>
      </c>
      <c r="U38" s="65"/>
      <c r="V38" s="64">
        <f t="shared" si="13"/>
        <v>5</v>
      </c>
      <c r="W38" s="64">
        <f t="shared" si="13"/>
        <v>0</v>
      </c>
      <c r="Y38" s="65"/>
      <c r="AA38" s="64">
        <f t="shared" si="16"/>
        <v>5</v>
      </c>
      <c r="AB38" s="64">
        <f t="shared" si="17"/>
        <v>0</v>
      </c>
      <c r="AD38" s="424">
        <f>AD15</f>
        <v>74.03</v>
      </c>
      <c r="AE38" s="74">
        <f>AE15</f>
        <v>74.03</v>
      </c>
      <c r="AG38" s="65">
        <f t="shared" si="18"/>
        <v>370.15</v>
      </c>
      <c r="AH38" s="65">
        <f t="shared" si="19"/>
        <v>0</v>
      </c>
    </row>
    <row r="39" spans="2:34" ht="13">
      <c r="B39" s="480" t="s">
        <v>139</v>
      </c>
      <c r="C39" s="481" t="s">
        <v>133</v>
      </c>
      <c r="D39" s="480" t="s">
        <v>527</v>
      </c>
      <c r="E39" s="437">
        <v>5</v>
      </c>
      <c r="F39" s="483"/>
      <c r="G39" s="483" t="str">
        <f t="shared" si="28"/>
        <v>047HPYL</v>
      </c>
      <c r="H39" s="488"/>
      <c r="I39" t="s">
        <v>518</v>
      </c>
      <c r="J39">
        <f>J98</f>
        <v>0</v>
      </c>
      <c r="K39" t="s">
        <v>109</v>
      </c>
      <c r="L39" s="84" t="s">
        <v>528</v>
      </c>
      <c r="M39" s="64">
        <f t="shared" si="12"/>
        <v>1</v>
      </c>
      <c r="N39" s="64">
        <f t="shared" si="12"/>
        <v>0</v>
      </c>
      <c r="P39" s="328">
        <v>33.81</v>
      </c>
      <c r="Q39" s="234">
        <v>33.81</v>
      </c>
      <c r="S39" s="65">
        <f t="shared" si="14"/>
        <v>33.81</v>
      </c>
      <c r="T39" s="65">
        <f t="shared" si="15"/>
        <v>0</v>
      </c>
      <c r="U39" s="65"/>
      <c r="V39" s="64">
        <f t="shared" si="13"/>
        <v>1</v>
      </c>
      <c r="W39" s="64">
        <f t="shared" si="13"/>
        <v>0</v>
      </c>
      <c r="Y39" s="65"/>
      <c r="AA39" s="64">
        <f t="shared" si="16"/>
        <v>1</v>
      </c>
      <c r="AB39" s="64">
        <f t="shared" si="17"/>
        <v>0</v>
      </c>
      <c r="AD39" s="424">
        <f t="shared" ref="AD39:AD40" si="29">ROUND(P39*(1+AD$1),2)</f>
        <v>38.450000000000003</v>
      </c>
      <c r="AE39" s="74">
        <f t="shared" ref="AE39:AE40" si="30">AD39</f>
        <v>38.450000000000003</v>
      </c>
      <c r="AG39" s="65">
        <f t="shared" si="18"/>
        <v>38.450000000000003</v>
      </c>
      <c r="AH39" s="65">
        <f t="shared" si="19"/>
        <v>0</v>
      </c>
    </row>
    <row r="40" spans="2:34" ht="13">
      <c r="B40" s="480" t="s">
        <v>139</v>
      </c>
      <c r="C40" s="489" t="s">
        <v>133</v>
      </c>
      <c r="D40" s="486" t="s">
        <v>741</v>
      </c>
      <c r="E40" s="437">
        <v>43</v>
      </c>
      <c r="F40" s="483"/>
      <c r="G40" s="483" t="str">
        <f t="shared" si="28"/>
        <v>047HPZL</v>
      </c>
      <c r="H40" s="488"/>
      <c r="I40" t="s">
        <v>518</v>
      </c>
      <c r="J40">
        <f>J99</f>
        <v>0</v>
      </c>
      <c r="K40" t="s">
        <v>109</v>
      </c>
      <c r="L40" s="84" t="s">
        <v>529</v>
      </c>
      <c r="M40" s="64">
        <f t="shared" si="12"/>
        <v>4</v>
      </c>
      <c r="N40" s="64">
        <f t="shared" si="12"/>
        <v>1</v>
      </c>
      <c r="P40" s="328">
        <v>32.25</v>
      </c>
      <c r="Q40" s="234">
        <v>32.25</v>
      </c>
      <c r="S40" s="65">
        <f t="shared" si="14"/>
        <v>129</v>
      </c>
      <c r="T40" s="65">
        <f t="shared" si="15"/>
        <v>32.25</v>
      </c>
      <c r="U40" s="65"/>
      <c r="V40" s="64">
        <f t="shared" si="13"/>
        <v>4</v>
      </c>
      <c r="W40" s="64">
        <f t="shared" si="13"/>
        <v>1</v>
      </c>
      <c r="Y40" s="65"/>
      <c r="AA40" s="64">
        <f t="shared" si="16"/>
        <v>4</v>
      </c>
      <c r="AB40" s="64">
        <f t="shared" si="17"/>
        <v>1</v>
      </c>
      <c r="AD40" s="424">
        <f t="shared" si="29"/>
        <v>36.67</v>
      </c>
      <c r="AE40" s="74">
        <f t="shared" si="30"/>
        <v>36.67</v>
      </c>
      <c r="AG40" s="65">
        <f>IF(AND(AA40&lt;&gt;0,AD40=0),#VALUE!,AA40*AD40)</f>
        <v>146.68</v>
      </c>
      <c r="AH40" s="65">
        <f t="shared" si="19"/>
        <v>36.67</v>
      </c>
    </row>
    <row r="41" spans="2:34" ht="13">
      <c r="B41" s="480" t="s">
        <v>139</v>
      </c>
      <c r="C41" s="481" t="s">
        <v>133</v>
      </c>
      <c r="D41" s="480" t="s">
        <v>155</v>
      </c>
      <c r="E41" s="437">
        <v>67</v>
      </c>
      <c r="F41" s="483"/>
      <c r="G41" s="483" t="str">
        <f t="shared" si="28"/>
        <v>047MVA</v>
      </c>
      <c r="H41" s="488"/>
      <c r="I41" t="s">
        <v>518</v>
      </c>
      <c r="J41" t="s">
        <v>660</v>
      </c>
      <c r="K41" t="s">
        <v>109</v>
      </c>
      <c r="L41" s="84" t="s">
        <v>656</v>
      </c>
      <c r="M41" s="64">
        <f t="shared" si="12"/>
        <v>7</v>
      </c>
      <c r="N41" s="64">
        <f t="shared" si="12"/>
        <v>13</v>
      </c>
      <c r="P41" s="328">
        <v>31.9</v>
      </c>
      <c r="Q41" s="234">
        <v>31.9</v>
      </c>
      <c r="S41" s="65">
        <f t="shared" ref="S41:T50" si="31">IF(AND(M41&lt;&gt;0,P41=0),#VALUE!,M41*P41)</f>
        <v>223.29999999999998</v>
      </c>
      <c r="T41" s="65">
        <f t="shared" si="31"/>
        <v>414.7</v>
      </c>
      <c r="U41" s="65"/>
      <c r="V41" s="64">
        <f t="shared" si="13"/>
        <v>7</v>
      </c>
      <c r="W41" s="64">
        <f t="shared" si="13"/>
        <v>13</v>
      </c>
      <c r="Y41" s="65"/>
      <c r="AA41" s="64">
        <f t="shared" ref="AA41:AB50" si="32">M41</f>
        <v>7</v>
      </c>
      <c r="AB41" s="64">
        <f t="shared" si="32"/>
        <v>13</v>
      </c>
      <c r="AD41" s="424">
        <f t="shared" ref="AD41" si="33">ROUND(P41*(1+AD$1),2)</f>
        <v>36.28</v>
      </c>
      <c r="AE41" s="74">
        <f t="shared" ref="AE41" si="34">AD41</f>
        <v>36.28</v>
      </c>
      <c r="AG41" s="65">
        <f>IF(AND(AA41&lt;&gt;0,AD41=0),#VALUE!,AA41*AD41)</f>
        <v>253.96</v>
      </c>
      <c r="AH41" s="65">
        <f t="shared" ref="AG41:AH50" si="35">IF(AND(AB41&lt;&gt;0,AE41=0),#VALUE!,AB41*AE41)</f>
        <v>471.64</v>
      </c>
    </row>
    <row r="42" spans="2:34" ht="13">
      <c r="B42" s="480" t="s">
        <v>139</v>
      </c>
      <c r="C42" s="481" t="s">
        <v>133</v>
      </c>
      <c r="D42" s="480" t="s">
        <v>157</v>
      </c>
      <c r="E42" s="437">
        <v>96</v>
      </c>
      <c r="F42" s="483"/>
      <c r="G42" s="483" t="str">
        <f t="shared" si="28"/>
        <v>047MVB</v>
      </c>
      <c r="H42" s="488"/>
      <c r="I42" t="s">
        <v>518</v>
      </c>
      <c r="J42" t="s">
        <v>135</v>
      </c>
      <c r="K42" t="s">
        <v>661</v>
      </c>
      <c r="L42" s="84" t="s">
        <v>657</v>
      </c>
      <c r="M42" s="64">
        <f t="shared" si="12"/>
        <v>135</v>
      </c>
      <c r="N42" s="64">
        <f t="shared" si="12"/>
        <v>18</v>
      </c>
      <c r="P42" s="328">
        <v>17.21</v>
      </c>
      <c r="Q42" s="234">
        <v>17.21</v>
      </c>
      <c r="S42" s="65">
        <f t="shared" si="31"/>
        <v>2323.35</v>
      </c>
      <c r="T42" s="65">
        <f t="shared" si="31"/>
        <v>309.78000000000003</v>
      </c>
      <c r="U42" s="65"/>
      <c r="V42" s="64">
        <f t="shared" si="13"/>
        <v>135</v>
      </c>
      <c r="W42" s="64">
        <f t="shared" si="13"/>
        <v>18</v>
      </c>
      <c r="Y42" s="65"/>
      <c r="AA42" s="64">
        <f t="shared" si="32"/>
        <v>135</v>
      </c>
      <c r="AB42" s="64">
        <f t="shared" si="32"/>
        <v>18</v>
      </c>
      <c r="AD42" s="424">
        <f t="shared" ref="AD42:AD48" si="36">ROUND(P42*(1+AD$1),2)</f>
        <v>19.57</v>
      </c>
      <c r="AE42" s="74">
        <f t="shared" ref="AE42:AE48" si="37">AD42</f>
        <v>19.57</v>
      </c>
      <c r="AG42" s="65">
        <f>IF(AND(AA42&lt;&gt;0,AD42=0),#VALUE!,AA42*AD42)</f>
        <v>2641.95</v>
      </c>
      <c r="AH42" s="65">
        <f t="shared" si="35"/>
        <v>352.26</v>
      </c>
    </row>
    <row r="43" spans="2:34" ht="13">
      <c r="B43" s="480" t="s">
        <v>139</v>
      </c>
      <c r="C43" s="481" t="s">
        <v>133</v>
      </c>
      <c r="D43" s="480" t="s">
        <v>158</v>
      </c>
      <c r="E43" s="437">
        <v>163</v>
      </c>
      <c r="F43" s="483"/>
      <c r="G43" s="483" t="str">
        <f t="shared" si="28"/>
        <v>047MVC</v>
      </c>
      <c r="H43" s="488"/>
      <c r="I43" t="s">
        <v>518</v>
      </c>
      <c r="J43" t="s">
        <v>662</v>
      </c>
      <c r="K43" t="s">
        <v>661</v>
      </c>
      <c r="L43" s="84" t="s">
        <v>658</v>
      </c>
      <c r="M43" s="64">
        <f t="shared" si="12"/>
        <v>35</v>
      </c>
      <c r="N43" s="64">
        <f t="shared" si="12"/>
        <v>2</v>
      </c>
      <c r="P43" s="328">
        <v>24.4</v>
      </c>
      <c r="Q43" s="234">
        <v>24.4</v>
      </c>
      <c r="S43" s="65">
        <f t="shared" si="31"/>
        <v>854</v>
      </c>
      <c r="T43" s="65">
        <f t="shared" si="31"/>
        <v>48.8</v>
      </c>
      <c r="U43" s="65"/>
      <c r="V43" s="64">
        <f t="shared" si="13"/>
        <v>35</v>
      </c>
      <c r="W43" s="64">
        <f t="shared" si="13"/>
        <v>2</v>
      </c>
      <c r="Y43" s="65"/>
      <c r="AA43" s="64">
        <f>M43</f>
        <v>35</v>
      </c>
      <c r="AB43" s="64">
        <f t="shared" si="32"/>
        <v>2</v>
      </c>
      <c r="AD43" s="424">
        <f t="shared" si="36"/>
        <v>27.75</v>
      </c>
      <c r="AE43" s="74">
        <f t="shared" si="37"/>
        <v>27.75</v>
      </c>
      <c r="AG43" s="65">
        <f t="shared" si="35"/>
        <v>971.25</v>
      </c>
      <c r="AH43" s="65">
        <f t="shared" si="35"/>
        <v>55.5</v>
      </c>
    </row>
    <row r="44" spans="2:34" ht="13">
      <c r="B44" s="480" t="s">
        <v>139</v>
      </c>
      <c r="C44" s="481" t="s">
        <v>133</v>
      </c>
      <c r="D44" s="480" t="s">
        <v>159</v>
      </c>
      <c r="E44" s="437">
        <v>26</v>
      </c>
      <c r="F44" s="483"/>
      <c r="G44" s="483" t="str">
        <f t="shared" si="28"/>
        <v>047MVD</v>
      </c>
      <c r="H44" s="488"/>
      <c r="I44" t="s">
        <v>518</v>
      </c>
      <c r="J44" t="s">
        <v>683</v>
      </c>
      <c r="K44" t="s">
        <v>109</v>
      </c>
      <c r="L44" s="84" t="s">
        <v>680</v>
      </c>
      <c r="M44" s="64">
        <f t="shared" ref="M44:N53" si="38">SUMIF($G:$G,TEXT(M$3,"000")&amp;TEXT($L44,"000"),$E:$E)</f>
        <v>0</v>
      </c>
      <c r="N44" s="64">
        <f t="shared" si="38"/>
        <v>0</v>
      </c>
      <c r="P44" s="328">
        <v>32.67</v>
      </c>
      <c r="Q44" s="234">
        <v>32.67</v>
      </c>
      <c r="S44" s="65">
        <f t="shared" si="31"/>
        <v>0</v>
      </c>
      <c r="T44" s="65">
        <f t="shared" si="31"/>
        <v>0</v>
      </c>
      <c r="U44" s="65"/>
      <c r="V44" s="64">
        <f t="shared" ref="V44:W53" si="39">SUMIF($G:$G,TEXT(V$3,"000")&amp;TEXT($L44,"000"),$E:$E)</f>
        <v>0</v>
      </c>
      <c r="W44" s="64">
        <f t="shared" si="39"/>
        <v>0</v>
      </c>
      <c r="Y44" s="65"/>
      <c r="AA44" s="64">
        <f t="shared" ref="AA44:AA47" si="40">M44</f>
        <v>0</v>
      </c>
      <c r="AB44" s="64">
        <f t="shared" ref="AB44:AB47" si="41">N44</f>
        <v>0</v>
      </c>
      <c r="AD44" s="424">
        <f t="shared" ref="AD44:AD47" si="42">ROUND(P44*(1+AD$1),2)</f>
        <v>37.15</v>
      </c>
      <c r="AE44" s="74">
        <f t="shared" ref="AE44:AE47" si="43">AD44</f>
        <v>37.15</v>
      </c>
      <c r="AG44" s="65">
        <f t="shared" ref="AG44:AG47" si="44">IF(AND(AA44&lt;&gt;0,AD44=0),#VALUE!,AA44*AD44)</f>
        <v>0</v>
      </c>
      <c r="AH44" s="65">
        <f t="shared" ref="AH44:AH47" si="45">IF(AND(AB44&lt;&gt;0,AE44=0),#VALUE!,AB44*AE44)</f>
        <v>0</v>
      </c>
    </row>
    <row r="45" spans="2:34" ht="13">
      <c r="B45" s="480" t="s">
        <v>139</v>
      </c>
      <c r="C45" s="481" t="s">
        <v>133</v>
      </c>
      <c r="D45" s="480" t="s">
        <v>160</v>
      </c>
      <c r="E45" s="437">
        <v>30</v>
      </c>
      <c r="F45" s="483"/>
      <c r="G45" s="483" t="str">
        <f t="shared" si="28"/>
        <v>047MVE</v>
      </c>
      <c r="H45" s="488"/>
      <c r="I45" t="s">
        <v>518</v>
      </c>
      <c r="J45" t="s">
        <v>684</v>
      </c>
      <c r="K45" t="s">
        <v>109</v>
      </c>
      <c r="L45" s="84" t="s">
        <v>681</v>
      </c>
      <c r="M45" s="64">
        <f t="shared" si="38"/>
        <v>9</v>
      </c>
      <c r="N45" s="64">
        <f t="shared" si="38"/>
        <v>14</v>
      </c>
      <c r="P45" s="328">
        <v>29.69</v>
      </c>
      <c r="Q45" s="234">
        <v>29.69</v>
      </c>
      <c r="S45" s="65">
        <f t="shared" ref="S45:S47" si="46">IF(AND(M45&lt;&gt;0,P45=0),#VALUE!,M45*P45)</f>
        <v>267.21000000000004</v>
      </c>
      <c r="T45" s="65">
        <f t="shared" ref="T45:T47" si="47">IF(AND(N45&lt;&gt;0,Q45=0),#VALUE!,N45*Q45)</f>
        <v>415.66</v>
      </c>
      <c r="U45" s="65"/>
      <c r="V45" s="64">
        <f t="shared" si="39"/>
        <v>9</v>
      </c>
      <c r="W45" s="64">
        <f t="shared" si="39"/>
        <v>14</v>
      </c>
      <c r="Y45" s="65"/>
      <c r="AA45" s="64">
        <f t="shared" si="40"/>
        <v>9</v>
      </c>
      <c r="AB45" s="64">
        <f t="shared" si="41"/>
        <v>14</v>
      </c>
      <c r="AD45" s="424">
        <f t="shared" si="42"/>
        <v>33.76</v>
      </c>
      <c r="AE45" s="74">
        <f t="shared" si="43"/>
        <v>33.76</v>
      </c>
      <c r="AG45" s="65">
        <f t="shared" si="44"/>
        <v>303.83999999999997</v>
      </c>
      <c r="AH45" s="65">
        <f t="shared" si="45"/>
        <v>472.64</v>
      </c>
    </row>
    <row r="46" spans="2:34" ht="13">
      <c r="B46" s="480" t="s">
        <v>139</v>
      </c>
      <c r="C46" s="481" t="s">
        <v>133</v>
      </c>
      <c r="D46" s="480" t="s">
        <v>161</v>
      </c>
      <c r="E46" s="437">
        <v>92</v>
      </c>
      <c r="F46" s="483"/>
      <c r="G46" s="483" t="str">
        <f t="shared" si="28"/>
        <v>047MVF</v>
      </c>
      <c r="H46" s="488"/>
      <c r="I46" t="s">
        <v>518</v>
      </c>
      <c r="J46" s="41" t="s">
        <v>743</v>
      </c>
      <c r="K46" s="41" t="s">
        <v>535</v>
      </c>
      <c r="L46" s="84" t="s">
        <v>740</v>
      </c>
      <c r="M46" s="64">
        <f t="shared" si="38"/>
        <v>20</v>
      </c>
      <c r="N46" s="64">
        <f t="shared" si="38"/>
        <v>0</v>
      </c>
      <c r="P46" s="328">
        <v>20.38</v>
      </c>
      <c r="Q46" s="234">
        <v>20.38</v>
      </c>
      <c r="S46" s="65">
        <f t="shared" ref="S46" si="48">IF(AND(M46&lt;&gt;0,P46=0),#VALUE!,M46*P46)</f>
        <v>407.59999999999997</v>
      </c>
      <c r="T46" s="65">
        <f t="shared" ref="T46" si="49">IF(AND(N46&lt;&gt;0,Q46=0),#VALUE!,N46*Q46)</f>
        <v>0</v>
      </c>
      <c r="U46" s="65"/>
      <c r="V46" s="64">
        <f t="shared" si="39"/>
        <v>20</v>
      </c>
      <c r="W46" s="64">
        <f t="shared" si="39"/>
        <v>0</v>
      </c>
      <c r="Y46" s="65"/>
      <c r="AA46" s="64">
        <f t="shared" ref="AA46" si="50">M46</f>
        <v>20</v>
      </c>
      <c r="AB46" s="64">
        <f t="shared" ref="AB46" si="51">N46</f>
        <v>0</v>
      </c>
      <c r="AD46" s="424">
        <f t="shared" ref="AD46" si="52">ROUND(P46*(1+AD$1),2)</f>
        <v>23.18</v>
      </c>
      <c r="AE46" s="74">
        <f t="shared" ref="AE46" si="53">AD46</f>
        <v>23.18</v>
      </c>
      <c r="AG46" s="65">
        <f t="shared" ref="AG46" si="54">IF(AND(AA46&lt;&gt;0,AD46=0),#VALUE!,AA46*AD46)</f>
        <v>463.6</v>
      </c>
      <c r="AH46" s="65">
        <f t="shared" ref="AH46" si="55">IF(AND(AB46&lt;&gt;0,AE46=0),#VALUE!,AB46*AE46)</f>
        <v>0</v>
      </c>
    </row>
    <row r="47" spans="2:34" ht="13">
      <c r="B47" s="480" t="s">
        <v>139</v>
      </c>
      <c r="C47" s="481" t="s">
        <v>133</v>
      </c>
      <c r="D47" s="480" t="s">
        <v>162</v>
      </c>
      <c r="E47" s="490">
        <v>0</v>
      </c>
      <c r="F47" s="483"/>
      <c r="G47" s="483" t="str">
        <f t="shared" si="28"/>
        <v>047MVH</v>
      </c>
      <c r="H47" s="488"/>
      <c r="I47" t="s">
        <v>518</v>
      </c>
      <c r="J47" t="s">
        <v>685</v>
      </c>
      <c r="K47" t="s">
        <v>517</v>
      </c>
      <c r="L47" s="84" t="s">
        <v>682</v>
      </c>
      <c r="M47" s="64">
        <f t="shared" si="38"/>
        <v>19</v>
      </c>
      <c r="N47" s="64">
        <f t="shared" si="38"/>
        <v>0</v>
      </c>
      <c r="P47" s="328">
        <v>32.71</v>
      </c>
      <c r="Q47" s="234">
        <v>32.71</v>
      </c>
      <c r="S47" s="65">
        <f t="shared" si="46"/>
        <v>621.49</v>
      </c>
      <c r="T47" s="65">
        <f t="shared" si="47"/>
        <v>0</v>
      </c>
      <c r="U47" s="65"/>
      <c r="V47" s="64">
        <f t="shared" si="39"/>
        <v>19</v>
      </c>
      <c r="W47" s="64">
        <f t="shared" si="39"/>
        <v>0</v>
      </c>
      <c r="Y47" s="65"/>
      <c r="AA47" s="64">
        <f t="shared" si="40"/>
        <v>19</v>
      </c>
      <c r="AB47" s="64">
        <f t="shared" si="41"/>
        <v>0</v>
      </c>
      <c r="AD47" s="424">
        <f t="shared" si="42"/>
        <v>37.200000000000003</v>
      </c>
      <c r="AE47" s="74">
        <f t="shared" si="43"/>
        <v>37.200000000000003</v>
      </c>
      <c r="AG47" s="65">
        <f t="shared" si="44"/>
        <v>706.80000000000007</v>
      </c>
      <c r="AH47" s="65">
        <f t="shared" si="45"/>
        <v>0</v>
      </c>
    </row>
    <row r="48" spans="2:34" ht="13">
      <c r="B48" s="480" t="s">
        <v>139</v>
      </c>
      <c r="C48" s="481" t="s">
        <v>133</v>
      </c>
      <c r="D48" s="480" t="s">
        <v>163</v>
      </c>
      <c r="E48" s="437">
        <v>0</v>
      </c>
      <c r="F48" s="483"/>
      <c r="G48" s="483" t="str">
        <f t="shared" si="28"/>
        <v>047MVI</v>
      </c>
      <c r="H48" s="488"/>
      <c r="I48" t="s">
        <v>518</v>
      </c>
      <c r="J48" t="s">
        <v>663</v>
      </c>
      <c r="K48" t="s">
        <v>109</v>
      </c>
      <c r="L48" s="84" t="s">
        <v>659</v>
      </c>
      <c r="M48" s="64">
        <f t="shared" si="38"/>
        <v>8</v>
      </c>
      <c r="N48" s="64">
        <f t="shared" si="38"/>
        <v>0</v>
      </c>
      <c r="P48" s="328">
        <v>31.9</v>
      </c>
      <c r="Q48" s="234">
        <v>31.9</v>
      </c>
      <c r="S48" s="65">
        <f t="shared" si="31"/>
        <v>255.2</v>
      </c>
      <c r="T48" s="65">
        <f t="shared" si="31"/>
        <v>0</v>
      </c>
      <c r="U48" s="65"/>
      <c r="V48" s="64">
        <f t="shared" si="39"/>
        <v>8</v>
      </c>
      <c r="W48" s="64">
        <f t="shared" si="39"/>
        <v>0</v>
      </c>
      <c r="Y48" s="65"/>
      <c r="AA48" s="64">
        <f t="shared" si="32"/>
        <v>8</v>
      </c>
      <c r="AB48" s="64">
        <f t="shared" si="32"/>
        <v>0</v>
      </c>
      <c r="AD48" s="424">
        <f t="shared" si="36"/>
        <v>36.28</v>
      </c>
      <c r="AE48" s="74">
        <f t="shared" si="37"/>
        <v>36.28</v>
      </c>
      <c r="AG48" s="65">
        <f>IF(AND(AA48&lt;&gt;0,AD48=0),#VALUE!,AA48*AD48)</f>
        <v>290.24</v>
      </c>
      <c r="AH48" s="65">
        <f t="shared" si="35"/>
        <v>0</v>
      </c>
    </row>
    <row r="49" spans="2:34">
      <c r="B49" s="480" t="s">
        <v>139</v>
      </c>
      <c r="C49" s="481" t="s">
        <v>133</v>
      </c>
      <c r="D49" s="480" t="s">
        <v>166</v>
      </c>
      <c r="E49" s="437">
        <v>0</v>
      </c>
      <c r="F49" s="483"/>
      <c r="G49" s="483" t="str">
        <f t="shared" si="28"/>
        <v>047MVJ</v>
      </c>
      <c r="H49" s="488"/>
      <c r="I49" t="s">
        <v>518</v>
      </c>
      <c r="J49" s="41" t="s">
        <v>742</v>
      </c>
      <c r="K49" s="41" t="s">
        <v>517</v>
      </c>
      <c r="L49" s="84" t="s">
        <v>741</v>
      </c>
      <c r="M49" s="64">
        <f t="shared" si="38"/>
        <v>43</v>
      </c>
      <c r="N49" s="64">
        <f t="shared" si="38"/>
        <v>0</v>
      </c>
      <c r="P49" s="340">
        <v>30.6</v>
      </c>
      <c r="Q49" s="234">
        <v>30.6</v>
      </c>
      <c r="S49" s="65">
        <f t="shared" ref="S49" si="56">IF(AND(M49&lt;&gt;0,P49=0),#VALUE!,M49*P49)</f>
        <v>1315.8</v>
      </c>
      <c r="T49" s="65">
        <f t="shared" ref="T49" si="57">IF(AND(N49&lt;&gt;0,Q49=0),#VALUE!,N49*Q49)</f>
        <v>0</v>
      </c>
      <c r="U49" s="65"/>
      <c r="V49" s="64">
        <f t="shared" si="39"/>
        <v>43</v>
      </c>
      <c r="W49" s="64">
        <f t="shared" si="39"/>
        <v>0</v>
      </c>
      <c r="Y49" s="65"/>
      <c r="AA49" s="64">
        <f t="shared" ref="AA49" si="58">M49</f>
        <v>43</v>
      </c>
      <c r="AB49" s="64">
        <f t="shared" ref="AB49" si="59">N49</f>
        <v>0</v>
      </c>
      <c r="AD49" s="74">
        <f t="shared" ref="AD49" si="60">ROUND(P49*(1+AD$1),2)</f>
        <v>34.799999999999997</v>
      </c>
      <c r="AE49" s="74">
        <f t="shared" ref="AE49" si="61">AD49</f>
        <v>34.799999999999997</v>
      </c>
      <c r="AG49" s="65">
        <f>IF(AND(AA49&lt;&gt;0,AD49=0),#VALUE!,AA49*AD49)</f>
        <v>1496.3999999999999</v>
      </c>
      <c r="AH49" s="65">
        <f t="shared" ref="AH49" si="62">IF(AND(AB49&lt;&gt;0,AE49=0),#VALUE!,AB49*AE49)</f>
        <v>0</v>
      </c>
    </row>
    <row r="50" spans="2:34" ht="13">
      <c r="B50" s="480" t="s">
        <v>139</v>
      </c>
      <c r="C50" s="481" t="s">
        <v>133</v>
      </c>
      <c r="D50" s="480" t="s">
        <v>167</v>
      </c>
      <c r="E50" s="437">
        <v>0</v>
      </c>
      <c r="F50" s="483"/>
      <c r="G50" s="483" t="str">
        <f t="shared" si="28"/>
        <v>047MVK</v>
      </c>
      <c r="H50" s="488"/>
      <c r="I50" t="s">
        <v>518</v>
      </c>
      <c r="J50" t="str">
        <f>J11</f>
        <v>35' wood pole</v>
      </c>
      <c r="K50" t="s">
        <v>535</v>
      </c>
      <c r="L50" s="84" t="s">
        <v>542</v>
      </c>
      <c r="M50" s="64">
        <f t="shared" si="38"/>
        <v>151</v>
      </c>
      <c r="N50" s="64">
        <f t="shared" si="38"/>
        <v>0</v>
      </c>
      <c r="P50" s="340">
        <v>39.11</v>
      </c>
      <c r="Q50" s="234">
        <v>39.11</v>
      </c>
      <c r="S50" s="65">
        <f t="shared" si="31"/>
        <v>5905.61</v>
      </c>
      <c r="T50" s="65">
        <f t="shared" si="31"/>
        <v>0</v>
      </c>
      <c r="U50" s="65"/>
      <c r="V50" s="64">
        <f t="shared" si="39"/>
        <v>151</v>
      </c>
      <c r="W50" s="64">
        <f t="shared" si="39"/>
        <v>0</v>
      </c>
      <c r="Y50" s="65"/>
      <c r="AA50" s="64">
        <f t="shared" si="32"/>
        <v>151</v>
      </c>
      <c r="AB50" s="64">
        <f t="shared" si="17"/>
        <v>0</v>
      </c>
      <c r="AD50" s="424">
        <f>AD11</f>
        <v>42.760000000000005</v>
      </c>
      <c r="AE50" s="74">
        <f>AE11</f>
        <v>42.760000000000005</v>
      </c>
      <c r="AG50" s="65">
        <f>IF(AND(AA50&lt;&gt;0,AD50=0),#VALUE!,AA50*AD50)</f>
        <v>6456.7600000000011</v>
      </c>
      <c r="AH50" s="65">
        <f t="shared" si="35"/>
        <v>0</v>
      </c>
    </row>
    <row r="51" spans="2:34">
      <c r="B51" s="480" t="s">
        <v>139</v>
      </c>
      <c r="C51" s="481" t="s">
        <v>133</v>
      </c>
      <c r="D51" s="480" t="s">
        <v>168</v>
      </c>
      <c r="E51" s="437">
        <v>2</v>
      </c>
      <c r="F51" s="483"/>
      <c r="G51" s="483" t="str">
        <f t="shared" si="28"/>
        <v>047MVL</v>
      </c>
      <c r="H51" s="488"/>
      <c r="L51" s="84" t="s">
        <v>176</v>
      </c>
      <c r="M51" s="64">
        <f t="shared" si="38"/>
        <v>0</v>
      </c>
      <c r="N51" s="64">
        <f t="shared" si="38"/>
        <v>0</v>
      </c>
      <c r="P51" s="85"/>
      <c r="Q51" s="85">
        <v>9.9999999999999995E-8</v>
      </c>
      <c r="S51" s="65">
        <f t="shared" si="6"/>
        <v>0</v>
      </c>
      <c r="T51" s="65">
        <f t="shared" si="1"/>
        <v>0</v>
      </c>
      <c r="U51" s="65"/>
      <c r="V51" s="64">
        <f t="shared" si="39"/>
        <v>0</v>
      </c>
      <c r="W51" s="64">
        <f t="shared" si="39"/>
        <v>0</v>
      </c>
      <c r="Y51" s="65"/>
      <c r="AA51" s="64">
        <f t="shared" si="3"/>
        <v>0</v>
      </c>
      <c r="AB51" s="64">
        <f t="shared" si="3"/>
        <v>0</v>
      </c>
      <c r="AD51" s="74">
        <f>ROUND(P51*(1+$Z$1),2)</f>
        <v>0</v>
      </c>
      <c r="AE51" s="119">
        <v>9.9999999999999995E-7</v>
      </c>
      <c r="AG51" s="65">
        <f t="shared" si="4"/>
        <v>0</v>
      </c>
      <c r="AH51" s="65">
        <f t="shared" si="5"/>
        <v>0</v>
      </c>
    </row>
    <row r="52" spans="2:34">
      <c r="B52" s="480" t="s">
        <v>139</v>
      </c>
      <c r="C52" s="481" t="s">
        <v>133</v>
      </c>
      <c r="D52" s="480" t="s">
        <v>170</v>
      </c>
      <c r="E52" s="437">
        <v>0</v>
      </c>
      <c r="F52" s="483"/>
      <c r="G52" s="483" t="str">
        <f t="shared" si="28"/>
        <v>047MVO</v>
      </c>
      <c r="H52" s="488"/>
      <c r="L52" s="84" t="s">
        <v>177</v>
      </c>
      <c r="M52" s="64">
        <f t="shared" si="38"/>
        <v>0</v>
      </c>
      <c r="N52" s="64">
        <f t="shared" si="38"/>
        <v>195</v>
      </c>
      <c r="P52" s="85"/>
      <c r="Q52" s="85">
        <v>9.9999999999999995E-7</v>
      </c>
      <c r="S52" s="65">
        <f t="shared" si="6"/>
        <v>0</v>
      </c>
      <c r="T52" s="65">
        <f t="shared" si="1"/>
        <v>1.95E-4</v>
      </c>
      <c r="U52" s="65"/>
      <c r="V52" s="64">
        <f t="shared" si="39"/>
        <v>0</v>
      </c>
      <c r="W52" s="64">
        <f t="shared" si="39"/>
        <v>195</v>
      </c>
      <c r="Y52" s="65"/>
      <c r="AA52" s="64">
        <f t="shared" si="3"/>
        <v>0</v>
      </c>
      <c r="AB52" s="64">
        <f t="shared" si="3"/>
        <v>195</v>
      </c>
      <c r="AD52" s="74">
        <f>ROUND(P52*(1+$Z$1),2)</f>
        <v>0</v>
      </c>
      <c r="AE52" s="119">
        <v>9.9999999999999995E-7</v>
      </c>
      <c r="AG52" s="65">
        <f t="shared" si="4"/>
        <v>0</v>
      </c>
      <c r="AH52" s="65">
        <f t="shared" si="5"/>
        <v>1.95E-4</v>
      </c>
    </row>
    <row r="53" spans="2:34">
      <c r="B53" s="480" t="s">
        <v>139</v>
      </c>
      <c r="C53" s="481" t="s">
        <v>133</v>
      </c>
      <c r="D53" s="480" t="s">
        <v>171</v>
      </c>
      <c r="E53" s="437">
        <v>46</v>
      </c>
      <c r="F53" s="483"/>
      <c r="G53" s="483" t="str">
        <f t="shared" si="28"/>
        <v>047PA</v>
      </c>
      <c r="H53" s="488"/>
      <c r="L53" s="84" t="s">
        <v>178</v>
      </c>
      <c r="M53" s="64">
        <f t="shared" si="38"/>
        <v>0</v>
      </c>
      <c r="N53" s="64">
        <f t="shared" si="38"/>
        <v>0</v>
      </c>
      <c r="P53" s="85"/>
      <c r="Q53" s="85">
        <v>9.9999999999999995E-7</v>
      </c>
      <c r="S53" s="65">
        <f t="shared" si="6"/>
        <v>0</v>
      </c>
      <c r="T53" s="65">
        <f t="shared" si="1"/>
        <v>0</v>
      </c>
      <c r="U53" s="65"/>
      <c r="V53" s="64">
        <f t="shared" si="39"/>
        <v>0</v>
      </c>
      <c r="W53" s="64">
        <f t="shared" si="39"/>
        <v>0</v>
      </c>
      <c r="Y53" s="65"/>
      <c r="AA53" s="64">
        <f t="shared" si="3"/>
        <v>0</v>
      </c>
      <c r="AB53" s="64">
        <f t="shared" si="3"/>
        <v>0</v>
      </c>
      <c r="AD53" s="74">
        <f>ROUND(P53*(1+$Z$1),2)</f>
        <v>0</v>
      </c>
      <c r="AE53" s="119">
        <v>9.9999999999999995E-7</v>
      </c>
      <c r="AG53" s="65">
        <f t="shared" si="4"/>
        <v>0</v>
      </c>
      <c r="AH53" s="65">
        <f t="shared" si="5"/>
        <v>0</v>
      </c>
    </row>
    <row r="54" spans="2:34">
      <c r="B54" s="480"/>
      <c r="C54" s="480"/>
      <c r="D54" s="480"/>
      <c r="E54" s="484">
        <f>SUM(E7:E53)</f>
        <v>5596</v>
      </c>
      <c r="F54" s="483"/>
      <c r="G54" s="483" t="str">
        <f>IF(OR(ISBLANK(C55),ISBLANK(D55)),"",TEXT(C55,"000")&amp;TEXT(D55,"000"))</f>
        <v/>
      </c>
      <c r="H54" s="488"/>
      <c r="P54" s="49"/>
      <c r="Q54" s="49"/>
      <c r="S54" s="65"/>
      <c r="T54" s="65"/>
      <c r="U54" s="65"/>
      <c r="Y54" s="65"/>
      <c r="AD54" s="49"/>
      <c r="AE54" s="49"/>
      <c r="AG54" s="65"/>
      <c r="AH54" s="65"/>
    </row>
    <row r="55" spans="2:34">
      <c r="B55" s="480"/>
      <c r="C55" s="480"/>
      <c r="D55" s="480"/>
      <c r="E55" s="483"/>
      <c r="F55" s="483"/>
      <c r="G55" s="483"/>
      <c r="H55" s="488"/>
      <c r="K55" s="54" t="s">
        <v>64</v>
      </c>
      <c r="M55" s="69">
        <f>SUM(M4:M54)</f>
        <v>5596</v>
      </c>
      <c r="N55" s="69">
        <f>SUM(N4:N54)</f>
        <v>4062</v>
      </c>
      <c r="S55" s="70">
        <f>SUM(S4:S54)</f>
        <v>134436.6</v>
      </c>
      <c r="T55" s="70">
        <f>SUM(T4:T54)</f>
        <v>78219.860195000016</v>
      </c>
      <c r="U55" s="70"/>
      <c r="V55" s="69">
        <f>SUM(V4:V54)</f>
        <v>5596</v>
      </c>
      <c r="W55" s="69">
        <f>SUM(W4:W54)</f>
        <v>4062</v>
      </c>
      <c r="Y55" s="65"/>
      <c r="AA55" s="69">
        <f>SUM(AA4:AA54)</f>
        <v>5596</v>
      </c>
      <c r="AB55" s="69">
        <f>SUM(AB4:AB54)</f>
        <v>4062</v>
      </c>
      <c r="AG55" s="70">
        <f>SUM(AG4:AG54)</f>
        <v>151504.94999999998</v>
      </c>
      <c r="AH55" s="70">
        <f>SUM(AH4:AH54)</f>
        <v>88856.830194999988</v>
      </c>
    </row>
    <row r="56" spans="2:34">
      <c r="B56" s="480" t="s">
        <v>139</v>
      </c>
      <c r="C56" s="481" t="s">
        <v>134</v>
      </c>
      <c r="D56" s="480" t="s">
        <v>136</v>
      </c>
      <c r="E56" s="437">
        <v>2</v>
      </c>
      <c r="F56" s="67"/>
      <c r="G56" s="67" t="str">
        <f t="shared" ref="G56:G78" si="63">IF(OR(ISBLANK(C56),ISBLANK(D56)),"",TEXT(C56,"000")&amp;TEXT(D56,"000"))</f>
        <v>048HAH</v>
      </c>
      <c r="H56" s="285"/>
      <c r="N56" s="64">
        <f>SUM(M55:N55)</f>
        <v>9658</v>
      </c>
      <c r="S56" s="65"/>
      <c r="T56" s="71">
        <f>ROUND(SUM(S55:T55),2)</f>
        <v>212656.46</v>
      </c>
      <c r="U56" s="71"/>
      <c r="W56" s="64">
        <f>SUM(V55:W55)</f>
        <v>9658</v>
      </c>
      <c r="Y56" s="71"/>
      <c r="AB56" s="64">
        <f>SUM(AA55:AB55)</f>
        <v>9658</v>
      </c>
      <c r="AG56" s="65"/>
      <c r="AH56" s="71">
        <f>ROUND(SUM(AG55:AH55),2)</f>
        <v>240361.78</v>
      </c>
    </row>
    <row r="57" spans="2:34">
      <c r="B57" s="480" t="s">
        <v>139</v>
      </c>
      <c r="C57" s="481" t="s">
        <v>134</v>
      </c>
      <c r="D57" s="480" t="s">
        <v>138</v>
      </c>
      <c r="E57" s="437">
        <v>2</v>
      </c>
      <c r="F57" s="67"/>
      <c r="G57" s="67" t="str">
        <f t="shared" si="63"/>
        <v>048HAI</v>
      </c>
      <c r="H57" s="285"/>
      <c r="I57" s="331">
        <f>'St Lts'!I107</f>
        <v>0</v>
      </c>
      <c r="N57" s="67">
        <f>ROUND(N56-E100,0)</f>
        <v>0</v>
      </c>
      <c r="S57" s="86"/>
      <c r="T57" s="86"/>
      <c r="U57" s="86"/>
      <c r="W57" s="67"/>
      <c r="Y57" s="86"/>
      <c r="AB57" s="67">
        <f>AB56-N56</f>
        <v>0</v>
      </c>
      <c r="AH57" s="76">
        <f>AH56/T56-1</f>
        <v>0.13028205209472588</v>
      </c>
    </row>
    <row r="58" spans="2:34">
      <c r="B58" s="480" t="s">
        <v>139</v>
      </c>
      <c r="C58" s="481" t="s">
        <v>134</v>
      </c>
      <c r="D58" s="480" t="s">
        <v>140</v>
      </c>
      <c r="E58" s="437">
        <v>0</v>
      </c>
      <c r="F58" s="67"/>
      <c r="G58" s="67" t="str">
        <f t="shared" si="63"/>
        <v>048HAP</v>
      </c>
      <c r="H58" s="285"/>
      <c r="P58" s="85"/>
      <c r="S58" s="70">
        <f>S55-S57</f>
        <v>134436.6</v>
      </c>
      <c r="T58" s="70">
        <f>T55-T57</f>
        <v>78219.860195000016</v>
      </c>
      <c r="U58" s="65"/>
      <c r="Y58" s="65"/>
    </row>
    <row r="59" spans="2:34">
      <c r="B59" s="480" t="s">
        <v>139</v>
      </c>
      <c r="C59" s="481" t="s">
        <v>134</v>
      </c>
      <c r="D59" s="480" t="s">
        <v>141</v>
      </c>
      <c r="E59" s="437">
        <v>262</v>
      </c>
      <c r="F59" s="67"/>
      <c r="G59" s="67" t="str">
        <f t="shared" si="63"/>
        <v>048HPA</v>
      </c>
      <c r="H59" s="285"/>
      <c r="I59" s="41"/>
      <c r="P59" s="85"/>
      <c r="T59" s="71"/>
      <c r="U59" s="71"/>
      <c r="Y59" s="71"/>
    </row>
    <row r="60" spans="2:34">
      <c r="B60" s="480" t="s">
        <v>139</v>
      </c>
      <c r="C60" s="481" t="s">
        <v>134</v>
      </c>
      <c r="D60" s="480" t="s">
        <v>520</v>
      </c>
      <c r="E60" s="437">
        <v>1281</v>
      </c>
      <c r="F60" s="67"/>
      <c r="G60" s="67" t="str">
        <f t="shared" si="63"/>
        <v>048HPAL</v>
      </c>
      <c r="H60" s="285"/>
      <c r="P60" s="85"/>
      <c r="S60" s="215"/>
      <c r="T60" s="133"/>
      <c r="U60" s="133"/>
      <c r="Y60" s="133"/>
      <c r="AG60" s="72"/>
    </row>
    <row r="61" spans="2:34">
      <c r="B61" s="480" t="s">
        <v>139</v>
      </c>
      <c r="C61" s="481" t="s">
        <v>134</v>
      </c>
      <c r="D61" s="480" t="s">
        <v>143</v>
      </c>
      <c r="E61" s="437">
        <v>318</v>
      </c>
      <c r="F61" s="67"/>
      <c r="G61" s="67" t="str">
        <f t="shared" si="63"/>
        <v>048HPB</v>
      </c>
      <c r="H61" s="285"/>
    </row>
    <row r="62" spans="2:34">
      <c r="B62" s="480" t="s">
        <v>139</v>
      </c>
      <c r="C62" s="481" t="s">
        <v>134</v>
      </c>
      <c r="D62" s="480" t="s">
        <v>521</v>
      </c>
      <c r="E62" s="437">
        <v>193</v>
      </c>
      <c r="F62" s="67"/>
      <c r="G62" s="67" t="str">
        <f t="shared" si="63"/>
        <v>048HPBL</v>
      </c>
      <c r="H62" s="285"/>
      <c r="R62" s="54"/>
      <c r="S62" s="122"/>
      <c r="T62" s="122"/>
      <c r="U62" s="122"/>
      <c r="Y62" s="122"/>
      <c r="AF62" s="54"/>
      <c r="AG62" s="122"/>
      <c r="AH62" s="122"/>
    </row>
    <row r="63" spans="2:34">
      <c r="B63" s="480" t="s">
        <v>139</v>
      </c>
      <c r="C63" s="481" t="s">
        <v>134</v>
      </c>
      <c r="D63" s="480" t="s">
        <v>144</v>
      </c>
      <c r="E63" s="437">
        <v>7</v>
      </c>
      <c r="F63" s="67"/>
      <c r="G63" s="67" t="str">
        <f t="shared" si="63"/>
        <v>048HPC</v>
      </c>
      <c r="H63" s="285"/>
      <c r="R63" s="54"/>
      <c r="S63" s="342"/>
      <c r="T63" s="342"/>
      <c r="U63" s="342"/>
      <c r="Y63" s="342"/>
      <c r="AF63" s="54"/>
      <c r="AG63" s="342"/>
      <c r="AH63" s="342"/>
    </row>
    <row r="64" spans="2:34">
      <c r="B64" s="480" t="s">
        <v>139</v>
      </c>
      <c r="C64" s="481" t="s">
        <v>134</v>
      </c>
      <c r="D64" s="480" t="s">
        <v>541</v>
      </c>
      <c r="E64" s="437">
        <v>7</v>
      </c>
      <c r="F64" s="67"/>
      <c r="G64" s="67" t="str">
        <f t="shared" si="63"/>
        <v>048HPCL</v>
      </c>
      <c r="H64" s="285"/>
      <c r="S64" s="65">
        <f>S62+S63</f>
        <v>0</v>
      </c>
      <c r="T64" s="65">
        <f>T62+T63</f>
        <v>0</v>
      </c>
      <c r="U64" s="65"/>
      <c r="Y64" s="65"/>
      <c r="AG64" s="65"/>
      <c r="AH64" s="65"/>
    </row>
    <row r="65" spans="2:34">
      <c r="B65" s="480" t="s">
        <v>139</v>
      </c>
      <c r="C65" s="481" t="s">
        <v>134</v>
      </c>
      <c r="D65" s="480" t="s">
        <v>145</v>
      </c>
      <c r="E65" s="437">
        <v>150</v>
      </c>
      <c r="F65" s="67"/>
      <c r="G65" s="67" t="str">
        <f t="shared" si="63"/>
        <v>048HPD</v>
      </c>
      <c r="H65" s="285"/>
      <c r="T65" s="65">
        <f>S64+T64</f>
        <v>0</v>
      </c>
      <c r="U65" s="65"/>
      <c r="Y65" s="65"/>
      <c r="AH65" s="65"/>
    </row>
    <row r="66" spans="2:34">
      <c r="B66" s="480" t="s">
        <v>139</v>
      </c>
      <c r="C66" s="481" t="s">
        <v>134</v>
      </c>
      <c r="D66" s="480" t="s">
        <v>524</v>
      </c>
      <c r="E66" s="437">
        <v>96</v>
      </c>
      <c r="F66" s="67"/>
      <c r="G66" s="67" t="str">
        <f t="shared" si="63"/>
        <v>048HPDL</v>
      </c>
      <c r="H66" s="285"/>
    </row>
    <row r="67" spans="2:34">
      <c r="B67" s="480" t="s">
        <v>139</v>
      </c>
      <c r="C67" s="481" t="s">
        <v>134</v>
      </c>
      <c r="D67" s="480" t="s">
        <v>147</v>
      </c>
      <c r="E67" s="437">
        <v>117</v>
      </c>
      <c r="F67" s="67"/>
      <c r="G67" s="67" t="str">
        <f t="shared" si="63"/>
        <v>048HPE</v>
      </c>
      <c r="H67" s="285"/>
    </row>
    <row r="68" spans="2:34">
      <c r="B68" s="480" t="s">
        <v>139</v>
      </c>
      <c r="C68" s="481" t="s">
        <v>134</v>
      </c>
      <c r="D68" s="480" t="s">
        <v>523</v>
      </c>
      <c r="E68" s="437">
        <v>612</v>
      </c>
      <c r="F68" s="67"/>
      <c r="G68" s="67" t="str">
        <f t="shared" si="63"/>
        <v>048HPEL</v>
      </c>
      <c r="H68" s="285"/>
      <c r="S68" s="335"/>
      <c r="T68" s="335"/>
      <c r="X68" t="s">
        <v>481</v>
      </c>
    </row>
    <row r="69" spans="2:34">
      <c r="B69" s="480" t="s">
        <v>139</v>
      </c>
      <c r="C69" s="481" t="s">
        <v>134</v>
      </c>
      <c r="D69" s="480" t="s">
        <v>148</v>
      </c>
      <c r="E69" s="437">
        <v>3</v>
      </c>
      <c r="F69" s="67"/>
      <c r="G69" s="67" t="str">
        <f t="shared" si="63"/>
        <v>048HPG</v>
      </c>
      <c r="H69" s="285"/>
      <c r="X69" t="s">
        <v>405</v>
      </c>
    </row>
    <row r="70" spans="2:34">
      <c r="B70" s="480" t="s">
        <v>139</v>
      </c>
      <c r="C70" s="481" t="s">
        <v>134</v>
      </c>
      <c r="D70" s="480" t="s">
        <v>149</v>
      </c>
      <c r="E70" s="437">
        <v>7</v>
      </c>
      <c r="F70" s="67"/>
      <c r="G70" s="67" t="str">
        <f t="shared" si="63"/>
        <v>048HPL</v>
      </c>
      <c r="H70" s="285"/>
    </row>
    <row r="71" spans="2:34">
      <c r="B71" s="480" t="s">
        <v>139</v>
      </c>
      <c r="C71" s="481" t="s">
        <v>134</v>
      </c>
      <c r="D71" s="480" t="s">
        <v>526</v>
      </c>
      <c r="E71" s="437">
        <v>3</v>
      </c>
      <c r="F71" s="67"/>
      <c r="G71" s="67" t="str">
        <f t="shared" si="63"/>
        <v>048HPLL</v>
      </c>
      <c r="H71" s="285"/>
    </row>
    <row r="72" spans="2:34">
      <c r="B72" s="480" t="s">
        <v>139</v>
      </c>
      <c r="C72" s="481" t="s">
        <v>134</v>
      </c>
      <c r="D72" s="480" t="s">
        <v>152</v>
      </c>
      <c r="E72" s="437">
        <v>0</v>
      </c>
      <c r="F72" s="67"/>
      <c r="G72" s="67" t="str">
        <f t="shared" si="63"/>
        <v>048HPO</v>
      </c>
      <c r="H72" s="285"/>
      <c r="S72" s="335"/>
      <c r="T72" s="335"/>
    </row>
    <row r="73" spans="2:34">
      <c r="B73" s="480" t="s">
        <v>139</v>
      </c>
      <c r="C73" s="481" t="s">
        <v>134</v>
      </c>
      <c r="D73" s="480" t="s">
        <v>525</v>
      </c>
      <c r="E73" s="437">
        <v>2</v>
      </c>
      <c r="F73" s="67"/>
      <c r="G73" s="67" t="str">
        <f t="shared" si="63"/>
        <v>048HPOL</v>
      </c>
      <c r="H73" s="285"/>
    </row>
    <row r="74" spans="2:34">
      <c r="B74" s="480" t="s">
        <v>139</v>
      </c>
      <c r="C74" s="481" t="s">
        <v>134</v>
      </c>
      <c r="D74" s="480" t="s">
        <v>150</v>
      </c>
      <c r="E74" s="437">
        <v>86</v>
      </c>
      <c r="F74" s="67"/>
      <c r="G74" s="67" t="str">
        <f t="shared" si="63"/>
        <v>048HPS</v>
      </c>
      <c r="H74" s="285"/>
    </row>
    <row r="75" spans="2:34">
      <c r="B75" s="480" t="s">
        <v>139</v>
      </c>
      <c r="C75" s="481" t="s">
        <v>134</v>
      </c>
      <c r="D75" s="480" t="s">
        <v>522</v>
      </c>
      <c r="E75" s="437">
        <v>291</v>
      </c>
      <c r="F75" s="67"/>
      <c r="G75" s="67" t="str">
        <f t="shared" si="63"/>
        <v>048HPSL</v>
      </c>
      <c r="H75" s="285"/>
    </row>
    <row r="76" spans="2:34">
      <c r="B76" s="480" t="s">
        <v>139</v>
      </c>
      <c r="C76" s="481" t="s">
        <v>134</v>
      </c>
      <c r="D76" s="480" t="s">
        <v>656</v>
      </c>
      <c r="E76" s="437">
        <v>13</v>
      </c>
      <c r="F76" s="67"/>
      <c r="G76" s="67" t="str">
        <f t="shared" si="63"/>
        <v>048HAAL</v>
      </c>
      <c r="H76" s="285"/>
    </row>
    <row r="77" spans="2:34">
      <c r="B77" s="480" t="s">
        <v>139</v>
      </c>
      <c r="C77" s="481" t="s">
        <v>134</v>
      </c>
      <c r="D77" s="480" t="s">
        <v>657</v>
      </c>
      <c r="E77" s="437">
        <v>18</v>
      </c>
      <c r="F77" s="67"/>
      <c r="G77" s="67" t="str">
        <f t="shared" si="63"/>
        <v>048HAML</v>
      </c>
      <c r="H77" s="285"/>
    </row>
    <row r="78" spans="2:34">
      <c r="B78" s="480" t="s">
        <v>139</v>
      </c>
      <c r="C78" s="481" t="s">
        <v>134</v>
      </c>
      <c r="D78" s="480" t="s">
        <v>658</v>
      </c>
      <c r="E78" s="437">
        <v>2</v>
      </c>
      <c r="F78" s="483"/>
      <c r="G78" s="483" t="str">
        <f t="shared" si="63"/>
        <v>048HANL</v>
      </c>
      <c r="H78" s="285"/>
    </row>
    <row r="79" spans="2:34">
      <c r="B79" s="480" t="s">
        <v>139</v>
      </c>
      <c r="C79" s="489" t="s">
        <v>134</v>
      </c>
      <c r="D79" s="486" t="s">
        <v>681</v>
      </c>
      <c r="E79" s="437">
        <v>14</v>
      </c>
      <c r="F79" s="67"/>
      <c r="G79" s="67" t="str">
        <f t="shared" ref="G79" si="64">IF(OR(ISBLANK(C79),ISBLANK(D79)),"",TEXT(C79,"000")&amp;TEXT(D79,"000"))</f>
        <v>048HAOL</v>
      </c>
      <c r="H79" s="285"/>
    </row>
    <row r="80" spans="2:34">
      <c r="B80" s="480" t="s">
        <v>139</v>
      </c>
      <c r="C80" s="481" t="s">
        <v>134</v>
      </c>
      <c r="D80" s="480" t="s">
        <v>529</v>
      </c>
      <c r="E80" s="437">
        <v>1</v>
      </c>
      <c r="F80" s="67"/>
      <c r="G80" s="67" t="str">
        <f t="shared" ref="G80:G97" si="65">IF(OR(ISBLANK(C80),ISBLANK(D80)),"",TEXT(C80,"000")&amp;TEXT(D80,"000"))</f>
        <v>048HAPL</v>
      </c>
      <c r="H80" s="285"/>
    </row>
    <row r="81" spans="2:8">
      <c r="B81" s="480" t="s">
        <v>139</v>
      </c>
      <c r="C81" s="481" t="s">
        <v>134</v>
      </c>
      <c r="D81" s="480" t="s">
        <v>659</v>
      </c>
      <c r="E81" s="437">
        <v>0</v>
      </c>
      <c r="F81" s="67"/>
      <c r="G81" s="67" t="str">
        <f t="shared" si="65"/>
        <v>048HPKL</v>
      </c>
      <c r="H81" s="285"/>
    </row>
    <row r="82" spans="2:8">
      <c r="B82" s="480" t="s">
        <v>139</v>
      </c>
      <c r="C82" s="481" t="s">
        <v>134</v>
      </c>
      <c r="D82" s="480" t="s">
        <v>155</v>
      </c>
      <c r="E82" s="437">
        <v>131</v>
      </c>
      <c r="F82" s="67"/>
      <c r="G82" s="67" t="str">
        <f t="shared" si="65"/>
        <v>048MVA</v>
      </c>
      <c r="H82" s="285"/>
    </row>
    <row r="83" spans="2:8">
      <c r="B83" s="480" t="s">
        <v>139</v>
      </c>
      <c r="C83" s="481" t="s">
        <v>134</v>
      </c>
      <c r="D83" s="480" t="s">
        <v>157</v>
      </c>
      <c r="E83" s="437">
        <v>133</v>
      </c>
      <c r="F83" s="67"/>
      <c r="G83" s="67" t="str">
        <f t="shared" si="65"/>
        <v>048MVB</v>
      </c>
      <c r="H83" s="285"/>
    </row>
    <row r="84" spans="2:8">
      <c r="B84" s="480" t="s">
        <v>139</v>
      </c>
      <c r="C84" s="481" t="s">
        <v>134</v>
      </c>
      <c r="D84" s="480" t="s">
        <v>158</v>
      </c>
      <c r="E84" s="437">
        <v>10</v>
      </c>
      <c r="F84" s="67"/>
      <c r="G84" s="67" t="str">
        <f t="shared" si="65"/>
        <v>048MVC</v>
      </c>
      <c r="H84" s="285"/>
    </row>
    <row r="85" spans="2:8">
      <c r="B85" s="480" t="s">
        <v>139</v>
      </c>
      <c r="C85" s="481" t="s">
        <v>134</v>
      </c>
      <c r="D85" s="480" t="s">
        <v>159</v>
      </c>
      <c r="E85" s="437">
        <v>60</v>
      </c>
      <c r="G85" s="67" t="str">
        <f t="shared" si="65"/>
        <v>048MVD</v>
      </c>
      <c r="H85" s="285"/>
    </row>
    <row r="86" spans="2:8">
      <c r="B86" s="480" t="s">
        <v>139</v>
      </c>
      <c r="C86" s="481" t="s">
        <v>134</v>
      </c>
      <c r="D86" s="480" t="s">
        <v>160</v>
      </c>
      <c r="E86" s="437">
        <v>28</v>
      </c>
      <c r="F86" s="67"/>
      <c r="G86" s="67" t="str">
        <f t="shared" si="65"/>
        <v>048MVE</v>
      </c>
      <c r="H86" s="285"/>
    </row>
    <row r="87" spans="2:8">
      <c r="B87" s="480" t="s">
        <v>139</v>
      </c>
      <c r="C87" s="481" t="s">
        <v>134</v>
      </c>
      <c r="D87" s="480" t="s">
        <v>161</v>
      </c>
      <c r="E87" s="437">
        <v>11</v>
      </c>
      <c r="F87" s="67"/>
      <c r="G87" s="67" t="str">
        <f t="shared" si="65"/>
        <v>048MVF</v>
      </c>
      <c r="H87" s="285"/>
    </row>
    <row r="88" spans="2:8">
      <c r="B88" s="480" t="s">
        <v>139</v>
      </c>
      <c r="C88" s="481" t="s">
        <v>134</v>
      </c>
      <c r="D88" s="480" t="s">
        <v>165</v>
      </c>
      <c r="E88" s="437">
        <v>0</v>
      </c>
      <c r="F88" s="67"/>
      <c r="G88" s="67" t="str">
        <f t="shared" si="65"/>
        <v>048MVG</v>
      </c>
      <c r="H88" s="285"/>
    </row>
    <row r="89" spans="2:8">
      <c r="B89" s="480" t="s">
        <v>139</v>
      </c>
      <c r="C89" s="481" t="s">
        <v>134</v>
      </c>
      <c r="D89" s="480" t="s">
        <v>162</v>
      </c>
      <c r="E89" s="437">
        <v>0</v>
      </c>
      <c r="F89" s="67"/>
      <c r="G89" s="67" t="str">
        <f t="shared" si="65"/>
        <v>048MVH</v>
      </c>
      <c r="H89" s="285"/>
    </row>
    <row r="90" spans="2:8">
      <c r="B90" s="480" t="s">
        <v>139</v>
      </c>
      <c r="C90" s="481" t="s">
        <v>134</v>
      </c>
      <c r="D90" s="480" t="s">
        <v>167</v>
      </c>
      <c r="E90" s="437">
        <v>3</v>
      </c>
      <c r="F90" s="67"/>
      <c r="G90" s="67" t="str">
        <f t="shared" si="65"/>
        <v>048MVK</v>
      </c>
      <c r="H90" s="378"/>
    </row>
    <row r="91" spans="2:8">
      <c r="B91" s="480" t="s">
        <v>139</v>
      </c>
      <c r="C91" s="481" t="s">
        <v>134</v>
      </c>
      <c r="D91" s="480" t="s">
        <v>172</v>
      </c>
      <c r="E91" s="437">
        <v>0</v>
      </c>
      <c r="F91" s="67"/>
      <c r="G91" s="67" t="str">
        <f t="shared" si="65"/>
        <v>048MVN</v>
      </c>
      <c r="H91" s="287"/>
    </row>
    <row r="92" spans="2:8">
      <c r="B92" s="480" t="s">
        <v>139</v>
      </c>
      <c r="C92" s="481" t="s">
        <v>134</v>
      </c>
      <c r="D92" s="480" t="s">
        <v>391</v>
      </c>
      <c r="E92" s="437">
        <v>2</v>
      </c>
      <c r="G92" s="67" t="str">
        <f t="shared" si="65"/>
        <v>048MVV</v>
      </c>
      <c r="H92" s="285"/>
    </row>
    <row r="93" spans="2:8">
      <c r="B93" s="480" t="s">
        <v>139</v>
      </c>
      <c r="C93" s="481" t="s">
        <v>134</v>
      </c>
      <c r="D93" s="480" t="s">
        <v>171</v>
      </c>
      <c r="E93" s="437">
        <v>2</v>
      </c>
      <c r="F93" s="67"/>
      <c r="G93" s="67" t="str">
        <f t="shared" si="65"/>
        <v>048PA</v>
      </c>
      <c r="H93" s="285"/>
    </row>
    <row r="94" spans="2:8">
      <c r="B94" s="480" t="s">
        <v>139</v>
      </c>
      <c r="C94" s="481" t="s">
        <v>134</v>
      </c>
      <c r="D94" s="480" t="s">
        <v>175</v>
      </c>
      <c r="E94" s="437">
        <v>0</v>
      </c>
      <c r="F94" s="67"/>
      <c r="G94" s="67" t="str">
        <f t="shared" si="65"/>
        <v>048PB</v>
      </c>
    </row>
    <row r="95" spans="2:8">
      <c r="B95" s="480" t="s">
        <v>139</v>
      </c>
      <c r="C95" s="481" t="s">
        <v>134</v>
      </c>
      <c r="D95" s="480" t="s">
        <v>176</v>
      </c>
      <c r="E95" s="437">
        <v>0</v>
      </c>
      <c r="F95" s="67"/>
      <c r="G95" s="67" t="str">
        <f t="shared" si="65"/>
        <v>048SLB</v>
      </c>
    </row>
    <row r="96" spans="2:8">
      <c r="B96" s="480" t="s">
        <v>139</v>
      </c>
      <c r="C96" s="481" t="s">
        <v>134</v>
      </c>
      <c r="D96" s="480" t="s">
        <v>177</v>
      </c>
      <c r="E96" s="437">
        <v>195</v>
      </c>
      <c r="F96" s="67"/>
      <c r="G96" s="67" t="str">
        <f t="shared" si="65"/>
        <v>048SLC</v>
      </c>
    </row>
    <row r="97" spans="2:35">
      <c r="B97" s="480" t="s">
        <v>139</v>
      </c>
      <c r="C97" s="481" t="s">
        <v>134</v>
      </c>
      <c r="D97" s="480" t="s">
        <v>178</v>
      </c>
      <c r="E97" s="437">
        <v>0</v>
      </c>
      <c r="F97" s="67"/>
      <c r="G97" s="67" t="str">
        <f t="shared" si="65"/>
        <v>048SLD</v>
      </c>
    </row>
    <row r="98" spans="2:35">
      <c r="B98" s="480"/>
      <c r="C98" s="480"/>
      <c r="D98" s="480"/>
      <c r="E98" s="484">
        <f>SUM(E56:E97)</f>
        <v>4062</v>
      </c>
      <c r="G98" s="67" t="str">
        <f t="shared" ref="G98" si="66">IF(OR(ISBLANK(C99),ISBLANK(D99)),"",TEXT(C99,"000")&amp;TEXT(D99,"000"))</f>
        <v/>
      </c>
      <c r="I98" s="336"/>
      <c r="J98" s="336"/>
      <c r="K98" s="338"/>
      <c r="L98" s="339"/>
      <c r="M98" s="345"/>
      <c r="N98" s="345"/>
      <c r="O98" s="336"/>
      <c r="P98" s="361"/>
      <c r="Q98" s="362"/>
      <c r="R98" s="336"/>
      <c r="S98" s="360">
        <f t="shared" ref="S98:T104" si="67">IF(AND(M98&lt;&gt;0,P98=0),#VALUE!,M98*P98)</f>
        <v>0</v>
      </c>
      <c r="T98" s="360">
        <f t="shared" si="67"/>
        <v>0</v>
      </c>
      <c r="U98" s="360"/>
      <c r="V98" s="345">
        <f t="shared" ref="V98:W104" si="68">SUMIF($G:$G,TEXT(V$3,"000")&amp;TEXT($L98,"000"),$E:$E)</f>
        <v>0</v>
      </c>
      <c r="W98" s="345">
        <f t="shared" si="68"/>
        <v>0</v>
      </c>
      <c r="X98" s="336"/>
      <c r="Y98" s="360"/>
      <c r="Z98" s="336"/>
      <c r="AA98" s="345">
        <f t="shared" ref="AA98:AB104" si="69">M98</f>
        <v>0</v>
      </c>
      <c r="AB98" s="345">
        <f t="shared" si="69"/>
        <v>0</v>
      </c>
      <c r="AC98" s="336"/>
      <c r="AD98" s="347">
        <f t="shared" ref="AD98:AD104" si="70">ROUND(P98*(1+AD$1),2)</f>
        <v>0</v>
      </c>
      <c r="AE98" s="347">
        <f t="shared" ref="AE98:AE104" si="71">AD98</f>
        <v>0</v>
      </c>
      <c r="AF98" s="336"/>
      <c r="AG98" s="360">
        <f t="shared" ref="AG98:AH104" si="72">IF(AND(AA98&lt;&gt;0,AD98=0),#VALUE!,AA98*AD98)</f>
        <v>0</v>
      </c>
      <c r="AH98" s="360">
        <f t="shared" si="72"/>
        <v>0</v>
      </c>
    </row>
    <row r="99" spans="2:35">
      <c r="B99" s="480"/>
      <c r="C99" s="480"/>
      <c r="D99" s="480"/>
      <c r="E99" s="450"/>
      <c r="F99" s="67"/>
      <c r="G99" s="67"/>
      <c r="I99" s="336"/>
      <c r="J99" s="336"/>
      <c r="K99" s="338"/>
      <c r="L99" s="339"/>
      <c r="M99" s="345"/>
      <c r="N99" s="345"/>
      <c r="O99" s="336"/>
      <c r="P99" s="361"/>
      <c r="Q99" s="362"/>
      <c r="R99" s="336"/>
      <c r="S99" s="360">
        <f t="shared" si="67"/>
        <v>0</v>
      </c>
      <c r="T99" s="360">
        <f t="shared" si="67"/>
        <v>0</v>
      </c>
      <c r="U99" s="360"/>
      <c r="V99" s="345">
        <f t="shared" si="68"/>
        <v>0</v>
      </c>
      <c r="W99" s="345">
        <f t="shared" si="68"/>
        <v>0</v>
      </c>
      <c r="X99" s="336"/>
      <c r="Y99" s="360"/>
      <c r="Z99" s="336"/>
      <c r="AA99" s="345">
        <f t="shared" si="69"/>
        <v>0</v>
      </c>
      <c r="AB99" s="345">
        <f t="shared" si="69"/>
        <v>0</v>
      </c>
      <c r="AC99" s="336"/>
      <c r="AD99" s="347">
        <f t="shared" si="70"/>
        <v>0</v>
      </c>
      <c r="AE99" s="347">
        <f t="shared" si="71"/>
        <v>0</v>
      </c>
      <c r="AF99" s="336"/>
      <c r="AG99" s="360">
        <f t="shared" si="72"/>
        <v>0</v>
      </c>
      <c r="AH99" s="360">
        <f t="shared" si="72"/>
        <v>0</v>
      </c>
    </row>
    <row r="100" spans="2:35">
      <c r="B100" s="480" t="s">
        <v>139</v>
      </c>
      <c r="C100" s="480"/>
      <c r="D100" s="480"/>
      <c r="E100" s="483">
        <f>E54+E98</f>
        <v>9658</v>
      </c>
      <c r="I100" s="336"/>
      <c r="J100" s="336"/>
      <c r="K100" s="338"/>
      <c r="L100" s="339"/>
      <c r="M100" s="345"/>
      <c r="N100" s="345"/>
      <c r="O100" s="336"/>
      <c r="P100" s="361"/>
      <c r="Q100" s="362"/>
      <c r="R100" s="336"/>
      <c r="S100" s="360">
        <f t="shared" si="67"/>
        <v>0</v>
      </c>
      <c r="T100" s="360">
        <f t="shared" si="67"/>
        <v>0</v>
      </c>
      <c r="U100" s="360"/>
      <c r="V100" s="345">
        <f t="shared" si="68"/>
        <v>0</v>
      </c>
      <c r="W100" s="345">
        <f t="shared" si="68"/>
        <v>0</v>
      </c>
      <c r="X100" s="336"/>
      <c r="Y100" s="360"/>
      <c r="Z100" s="336"/>
      <c r="AA100" s="345">
        <f t="shared" si="69"/>
        <v>0</v>
      </c>
      <c r="AB100" s="345">
        <f t="shared" si="69"/>
        <v>0</v>
      </c>
      <c r="AC100" s="336"/>
      <c r="AD100" s="347">
        <f t="shared" si="70"/>
        <v>0</v>
      </c>
      <c r="AE100" s="347">
        <f t="shared" si="71"/>
        <v>0</v>
      </c>
      <c r="AF100" s="336"/>
      <c r="AG100" s="360">
        <f t="shared" si="72"/>
        <v>0</v>
      </c>
      <c r="AH100" s="360">
        <f t="shared" si="72"/>
        <v>0</v>
      </c>
    </row>
    <row r="101" spans="2:35">
      <c r="I101" s="336"/>
      <c r="J101" s="336"/>
      <c r="K101" s="338"/>
      <c r="L101" s="339"/>
      <c r="M101" s="345"/>
      <c r="N101" s="345"/>
      <c r="O101" s="336"/>
      <c r="P101" s="361"/>
      <c r="Q101" s="362"/>
      <c r="R101" s="336"/>
      <c r="S101" s="360">
        <f t="shared" si="67"/>
        <v>0</v>
      </c>
      <c r="T101" s="360">
        <f t="shared" si="67"/>
        <v>0</v>
      </c>
      <c r="U101" s="360"/>
      <c r="V101" s="345">
        <f t="shared" si="68"/>
        <v>0</v>
      </c>
      <c r="W101" s="345">
        <f t="shared" si="68"/>
        <v>0</v>
      </c>
      <c r="X101" s="336"/>
      <c r="Y101" s="360"/>
      <c r="Z101" s="336"/>
      <c r="AA101" s="345">
        <f t="shared" si="69"/>
        <v>0</v>
      </c>
      <c r="AB101" s="345">
        <f t="shared" si="69"/>
        <v>0</v>
      </c>
      <c r="AC101" s="336"/>
      <c r="AD101" s="347">
        <f t="shared" si="70"/>
        <v>0</v>
      </c>
      <c r="AE101" s="347">
        <f t="shared" si="71"/>
        <v>0</v>
      </c>
      <c r="AF101" s="336"/>
      <c r="AG101" s="360">
        <f t="shared" si="72"/>
        <v>0</v>
      </c>
      <c r="AH101" s="360">
        <f t="shared" si="72"/>
        <v>0</v>
      </c>
    </row>
    <row r="102" spans="2:35">
      <c r="I102" s="336"/>
      <c r="J102" s="336"/>
      <c r="K102" s="338"/>
      <c r="L102" s="339"/>
      <c r="M102" s="345"/>
      <c r="N102" s="345"/>
      <c r="O102" s="336"/>
      <c r="P102" s="361"/>
      <c r="Q102" s="362"/>
      <c r="R102" s="336"/>
      <c r="S102" s="360">
        <f t="shared" si="67"/>
        <v>0</v>
      </c>
      <c r="T102" s="360">
        <f t="shared" si="67"/>
        <v>0</v>
      </c>
      <c r="U102" s="360"/>
      <c r="V102" s="345">
        <f t="shared" si="68"/>
        <v>0</v>
      </c>
      <c r="W102" s="345">
        <f t="shared" si="68"/>
        <v>0</v>
      </c>
      <c r="X102" s="336"/>
      <c r="Y102" s="360"/>
      <c r="Z102" s="336"/>
      <c r="AA102" s="345">
        <f t="shared" si="69"/>
        <v>0</v>
      </c>
      <c r="AB102" s="345">
        <f t="shared" si="69"/>
        <v>0</v>
      </c>
      <c r="AC102" s="336"/>
      <c r="AD102" s="347">
        <f t="shared" si="70"/>
        <v>0</v>
      </c>
      <c r="AE102" s="347">
        <f t="shared" si="71"/>
        <v>0</v>
      </c>
      <c r="AF102" s="336"/>
      <c r="AG102" s="360">
        <f t="shared" si="72"/>
        <v>0</v>
      </c>
      <c r="AH102" s="360">
        <f t="shared" si="72"/>
        <v>0</v>
      </c>
    </row>
    <row r="103" spans="2:35">
      <c r="I103" s="336"/>
      <c r="J103" s="336"/>
      <c r="K103" s="338"/>
      <c r="L103" s="339"/>
      <c r="M103" s="345"/>
      <c r="N103" s="345"/>
      <c r="O103" s="336"/>
      <c r="P103" s="361"/>
      <c r="Q103" s="362"/>
      <c r="R103" s="336"/>
      <c r="S103" s="360">
        <f t="shared" si="67"/>
        <v>0</v>
      </c>
      <c r="T103" s="360">
        <f t="shared" si="67"/>
        <v>0</v>
      </c>
      <c r="U103" s="360"/>
      <c r="V103" s="345">
        <f t="shared" si="68"/>
        <v>0</v>
      </c>
      <c r="W103" s="345">
        <f t="shared" si="68"/>
        <v>0</v>
      </c>
      <c r="X103" s="336"/>
      <c r="Y103" s="360"/>
      <c r="Z103" s="336"/>
      <c r="AA103" s="345">
        <f t="shared" si="69"/>
        <v>0</v>
      </c>
      <c r="AB103" s="345">
        <f t="shared" si="69"/>
        <v>0</v>
      </c>
      <c r="AC103" s="336"/>
      <c r="AD103" s="347">
        <f t="shared" si="70"/>
        <v>0</v>
      </c>
      <c r="AE103" s="347">
        <f t="shared" si="71"/>
        <v>0</v>
      </c>
      <c r="AF103" s="336"/>
      <c r="AG103" s="360">
        <f t="shared" si="72"/>
        <v>0</v>
      </c>
      <c r="AH103" s="360">
        <f t="shared" si="72"/>
        <v>0</v>
      </c>
    </row>
    <row r="104" spans="2:35">
      <c r="I104" s="336"/>
      <c r="J104" s="336"/>
      <c r="K104" s="338"/>
      <c r="L104" s="339"/>
      <c r="M104" s="345"/>
      <c r="N104" s="345"/>
      <c r="O104" s="336"/>
      <c r="P104" s="361"/>
      <c r="Q104" s="362"/>
      <c r="R104" s="336"/>
      <c r="S104" s="360">
        <f t="shared" si="67"/>
        <v>0</v>
      </c>
      <c r="T104" s="360">
        <f t="shared" si="67"/>
        <v>0</v>
      </c>
      <c r="U104" s="360"/>
      <c r="V104" s="345">
        <f t="shared" si="68"/>
        <v>0</v>
      </c>
      <c r="W104" s="345">
        <f t="shared" si="68"/>
        <v>0</v>
      </c>
      <c r="X104" s="336"/>
      <c r="Y104" s="360"/>
      <c r="Z104" s="336"/>
      <c r="AA104" s="345">
        <f t="shared" si="69"/>
        <v>0</v>
      </c>
      <c r="AB104" s="345">
        <f t="shared" si="69"/>
        <v>0</v>
      </c>
      <c r="AC104" s="336"/>
      <c r="AD104" s="347">
        <f t="shared" si="70"/>
        <v>0</v>
      </c>
      <c r="AE104" s="347">
        <f t="shared" si="71"/>
        <v>0</v>
      </c>
      <c r="AF104" s="336"/>
      <c r="AG104" s="360">
        <f t="shared" si="72"/>
        <v>0</v>
      </c>
      <c r="AH104" s="360">
        <f t="shared" si="72"/>
        <v>0</v>
      </c>
      <c r="AI104" s="336"/>
    </row>
  </sheetData>
  <phoneticPr fontId="15" type="noConversion"/>
  <conditionalFormatting sqref="N57 W57 AB57">
    <cfRule type="cellIs" dxfId="0" priority="8" stopIfTrue="1" operator="notEqual">
      <formula>0</formula>
    </cfRule>
  </conditionalFormatting>
  <pageMargins left="0.5" right="0" top="0.5" bottom="0" header="0.5" footer="0.35"/>
  <pageSetup scale="45"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F8532-5C3B-4025-A12D-6EBD4E7E5F4D}">
  <dimension ref="A5:P40"/>
  <sheetViews>
    <sheetView topLeftCell="E1" workbookViewId="0">
      <selection activeCell="P12" sqref="P12"/>
    </sheetView>
  </sheetViews>
  <sheetFormatPr defaultRowHeight="12.5"/>
  <cols>
    <col min="1" max="1" width="33.453125" hidden="1" customWidth="1"/>
    <col min="2" max="2" width="11.7265625" hidden="1" customWidth="1"/>
    <col min="3" max="3" width="16.7265625" hidden="1" customWidth="1"/>
    <col min="4" max="4" width="11.7265625" hidden="1" customWidth="1"/>
    <col min="5" max="5" width="4.26953125" customWidth="1"/>
    <col min="6" max="6" width="33.453125" bestFit="1" customWidth="1"/>
    <col min="7" max="7" width="11.7265625" bestFit="1" customWidth="1"/>
    <col min="8" max="8" width="16.7265625" bestFit="1" customWidth="1"/>
    <col min="9" max="9" width="11.7265625" bestFit="1" customWidth="1"/>
    <col min="10" max="10" width="10" bestFit="1" customWidth="1"/>
    <col min="11" max="11" width="11.26953125" bestFit="1" customWidth="1"/>
    <col min="12" max="12" width="34.453125" bestFit="1" customWidth="1"/>
    <col min="13" max="13" width="12.453125" bestFit="1" customWidth="1"/>
    <col min="14" max="14" width="16.7265625" bestFit="1" customWidth="1"/>
    <col min="15" max="15" width="11.26953125" customWidth="1"/>
    <col min="16" max="16" width="24.7265625" bestFit="1" customWidth="1"/>
  </cols>
  <sheetData>
    <row r="5" spans="1:16">
      <c r="A5" t="s">
        <v>855</v>
      </c>
      <c r="F5" t="s">
        <v>855</v>
      </c>
      <c r="L5" t="s">
        <v>855</v>
      </c>
      <c r="P5" s="556"/>
    </row>
    <row r="6" spans="1:16">
      <c r="A6" t="s">
        <v>974</v>
      </c>
      <c r="F6" t="s">
        <v>974</v>
      </c>
      <c r="L6" t="s">
        <v>974</v>
      </c>
      <c r="P6" s="556"/>
    </row>
    <row r="7" spans="1:16">
      <c r="A7" s="320" t="s">
        <v>975</v>
      </c>
      <c r="F7" s="41" t="s">
        <v>1018</v>
      </c>
      <c r="L7" s="41" t="s">
        <v>1061</v>
      </c>
      <c r="P7" s="556"/>
    </row>
    <row r="8" spans="1:16">
      <c r="P8" s="556"/>
    </row>
    <row r="9" spans="1:16" ht="13" thickBot="1">
      <c r="P9" s="556"/>
    </row>
    <row r="10" spans="1:16" ht="16" thickBot="1">
      <c r="A10" s="574" t="s">
        <v>976</v>
      </c>
      <c r="B10" s="575"/>
      <c r="C10" s="575"/>
      <c r="D10" s="576"/>
      <c r="F10" s="574" t="s">
        <v>976</v>
      </c>
      <c r="G10" s="575"/>
      <c r="H10" s="575"/>
      <c r="I10" s="576"/>
      <c r="J10" s="72" t="s">
        <v>977</v>
      </c>
      <c r="L10" s="574" t="s">
        <v>976</v>
      </c>
      <c r="M10" s="575"/>
      <c r="N10" s="575"/>
      <c r="O10" s="576"/>
      <c r="P10" s="577" t="s">
        <v>977</v>
      </c>
    </row>
    <row r="11" spans="1:16" ht="15.5">
      <c r="A11" s="578" t="s">
        <v>978</v>
      </c>
      <c r="B11" s="579" t="s">
        <v>978</v>
      </c>
      <c r="C11" s="580" t="s">
        <v>979</v>
      </c>
      <c r="D11" s="581" t="s">
        <v>980</v>
      </c>
      <c r="F11" s="578" t="s">
        <v>978</v>
      </c>
      <c r="G11" s="579" t="s">
        <v>978</v>
      </c>
      <c r="H11" s="580" t="s">
        <v>979</v>
      </c>
      <c r="I11" s="581" t="s">
        <v>980</v>
      </c>
      <c r="L11" s="578" t="s">
        <v>978</v>
      </c>
      <c r="M11" s="579" t="s">
        <v>978</v>
      </c>
      <c r="N11" s="580" t="s">
        <v>979</v>
      </c>
      <c r="O11" s="581" t="s">
        <v>980</v>
      </c>
      <c r="P11" s="556"/>
    </row>
    <row r="12" spans="1:16" ht="15.5">
      <c r="A12" s="582" t="s">
        <v>979</v>
      </c>
      <c r="B12" s="583" t="s">
        <v>981</v>
      </c>
      <c r="C12" s="584" t="s">
        <v>982</v>
      </c>
      <c r="D12" s="585" t="s">
        <v>982</v>
      </c>
      <c r="F12" s="582" t="s">
        <v>979</v>
      </c>
      <c r="G12" s="583" t="s">
        <v>981</v>
      </c>
      <c r="H12" s="584" t="s">
        <v>982</v>
      </c>
      <c r="I12" s="585" t="s">
        <v>982</v>
      </c>
      <c r="L12" s="582" t="s">
        <v>979</v>
      </c>
      <c r="M12" s="583" t="s">
        <v>981</v>
      </c>
      <c r="N12" s="584" t="s">
        <v>982</v>
      </c>
      <c r="O12" s="585" t="s">
        <v>982</v>
      </c>
      <c r="P12" s="556"/>
    </row>
    <row r="13" spans="1:16" ht="15.5">
      <c r="A13" s="586" t="s">
        <v>983</v>
      </c>
      <c r="B13" s="587">
        <v>0.53</v>
      </c>
      <c r="C13" s="588">
        <v>5.7200000000000001E-2</v>
      </c>
      <c r="D13" s="589">
        <f>B13*C13</f>
        <v>3.0316000000000003E-2</v>
      </c>
      <c r="F13" s="586" t="s">
        <v>983</v>
      </c>
      <c r="G13" s="590">
        <v>0.51500000000000001</v>
      </c>
      <c r="H13" s="591">
        <v>4.7980582524271849E-2</v>
      </c>
      <c r="I13" s="589">
        <f>G13*H13</f>
        <v>2.4710000000000003E-2</v>
      </c>
      <c r="L13" s="586" t="s">
        <v>983</v>
      </c>
      <c r="M13" s="590">
        <v>0.51500000000000001</v>
      </c>
      <c r="N13" s="591">
        <v>4.99E-2</v>
      </c>
      <c r="O13" s="592">
        <f>M13*N13</f>
        <v>2.5698499999999999E-2</v>
      </c>
      <c r="P13" s="41"/>
    </row>
    <row r="14" spans="1:16" ht="15.5">
      <c r="A14" s="586" t="s">
        <v>984</v>
      </c>
      <c r="B14" s="587">
        <v>0</v>
      </c>
      <c r="C14" s="588">
        <v>0</v>
      </c>
      <c r="D14" s="589">
        <f>B14*C14</f>
        <v>0</v>
      </c>
      <c r="F14" s="586" t="s">
        <v>984</v>
      </c>
      <c r="G14" s="590">
        <v>0</v>
      </c>
      <c r="H14" s="591">
        <v>0</v>
      </c>
      <c r="I14" s="589">
        <f>G14*H14</f>
        <v>0</v>
      </c>
      <c r="L14" s="586" t="s">
        <v>984</v>
      </c>
      <c r="M14" s="590">
        <v>0</v>
      </c>
      <c r="N14" s="591">
        <v>0</v>
      </c>
      <c r="O14" s="592">
        <f>M14*N14</f>
        <v>0</v>
      </c>
      <c r="P14" s="41"/>
    </row>
    <row r="15" spans="1:16" ht="16" thickBot="1">
      <c r="A15" s="593" t="s">
        <v>985</v>
      </c>
      <c r="B15" s="594">
        <v>0.47</v>
      </c>
      <c r="C15" s="595">
        <v>9.8000000000000004E-2</v>
      </c>
      <c r="D15" s="589">
        <f>B15*C15</f>
        <v>4.6059999999999997E-2</v>
      </c>
      <c r="F15" s="593" t="s">
        <v>985</v>
      </c>
      <c r="G15" s="596">
        <v>0.48499999999999999</v>
      </c>
      <c r="H15" s="597">
        <v>9.4E-2</v>
      </c>
      <c r="I15" s="589">
        <f>G15*H15</f>
        <v>4.5589999999999999E-2</v>
      </c>
      <c r="L15" s="593" t="s">
        <v>985</v>
      </c>
      <c r="M15" s="596">
        <v>0.48499999999999999</v>
      </c>
      <c r="N15" s="597">
        <v>0.104</v>
      </c>
      <c r="O15" s="592">
        <f>M15*N15</f>
        <v>5.0439999999999999E-2</v>
      </c>
      <c r="P15" s="41"/>
    </row>
    <row r="16" spans="1:16" ht="16.5" thickTop="1" thickBot="1">
      <c r="A16" s="598" t="s">
        <v>64</v>
      </c>
      <c r="B16" s="599">
        <f>SUM(B13:B15)</f>
        <v>1</v>
      </c>
      <c r="C16" s="600"/>
      <c r="D16" s="601">
        <f>SUM(D13:D15)</f>
        <v>7.6375999999999999E-2</v>
      </c>
      <c r="F16" s="598" t="s">
        <v>64</v>
      </c>
      <c r="G16" s="599">
        <f>SUM(G13:G15)</f>
        <v>1</v>
      </c>
      <c r="H16" s="600"/>
      <c r="I16" s="602">
        <f>SUM(I13:I15)</f>
        <v>7.0300000000000001E-2</v>
      </c>
      <c r="L16" s="598" t="s">
        <v>64</v>
      </c>
      <c r="M16" s="599">
        <f>SUM(M13:M15)</f>
        <v>1</v>
      </c>
      <c r="N16" s="600"/>
      <c r="O16" s="602">
        <f>SUM(O13:O15)</f>
        <v>7.6138499999999998E-2</v>
      </c>
      <c r="P16" s="556" t="s">
        <v>1062</v>
      </c>
    </row>
    <row r="17" spans="1:16" ht="15.5">
      <c r="A17" s="603"/>
      <c r="B17" s="603"/>
      <c r="C17" s="604"/>
      <c r="D17" s="604"/>
      <c r="F17" s="603"/>
      <c r="G17" s="603"/>
      <c r="H17" s="604"/>
      <c r="I17" s="604"/>
      <c r="L17" s="603"/>
      <c r="M17" s="603"/>
      <c r="N17" s="604"/>
      <c r="O17" s="604"/>
      <c r="P17" s="556"/>
    </row>
    <row r="18" spans="1:16" ht="16" thickBot="1">
      <c r="A18" s="605"/>
      <c r="B18" s="605"/>
      <c r="C18" s="605"/>
      <c r="D18" s="605"/>
      <c r="F18" s="605"/>
      <c r="G18" s="605"/>
      <c r="H18" s="605"/>
      <c r="I18" s="605"/>
      <c r="L18" s="605"/>
      <c r="M18" s="605"/>
      <c r="N18" s="605"/>
      <c r="O18" s="605"/>
      <c r="P18" s="556"/>
    </row>
    <row r="19" spans="1:16" ht="16" thickBot="1">
      <c r="A19" s="574" t="s">
        <v>986</v>
      </c>
      <c r="B19" s="575"/>
      <c r="C19" s="575"/>
      <c r="D19" s="576"/>
      <c r="F19" s="574" t="s">
        <v>986</v>
      </c>
      <c r="G19" s="575"/>
      <c r="H19" s="575"/>
      <c r="I19" s="576"/>
      <c r="L19" s="574" t="s">
        <v>986</v>
      </c>
      <c r="M19" s="575"/>
      <c r="N19" s="575"/>
      <c r="O19" s="576"/>
      <c r="P19" s="556"/>
    </row>
    <row r="20" spans="1:16" ht="15.5">
      <c r="A20" s="586"/>
      <c r="B20" s="605"/>
      <c r="C20" s="605"/>
      <c r="D20" s="606"/>
      <c r="F20" s="586"/>
      <c r="G20" s="605"/>
      <c r="H20" s="605"/>
      <c r="I20" s="606"/>
      <c r="L20" s="586"/>
      <c r="M20" s="605"/>
      <c r="N20" s="605"/>
      <c r="O20" s="606"/>
      <c r="P20" s="556"/>
    </row>
    <row r="21" spans="1:16" ht="15.5">
      <c r="A21" s="586" t="s">
        <v>987</v>
      </c>
      <c r="B21" s="605"/>
      <c r="C21" s="605"/>
      <c r="D21" s="607">
        <f>1/0.62082</f>
        <v>1.6107728488128603</v>
      </c>
      <c r="F21" s="586" t="s">
        <v>987</v>
      </c>
      <c r="G21" s="605"/>
      <c r="H21" s="605"/>
      <c r="I21" s="607">
        <f>1/0.755294</f>
        <v>1.3239877451694306</v>
      </c>
      <c r="L21" s="586" t="s">
        <v>987</v>
      </c>
      <c r="M21" s="605"/>
      <c r="N21" s="605"/>
      <c r="O21" s="607">
        <f>1/0.75248</f>
        <v>1.3289389751222622</v>
      </c>
      <c r="P21" s="556" t="s">
        <v>1062</v>
      </c>
    </row>
    <row r="22" spans="1:16" ht="15.5">
      <c r="A22" s="586"/>
      <c r="B22" s="605"/>
      <c r="C22" s="608"/>
      <c r="D22" s="606"/>
      <c r="F22" s="586"/>
      <c r="G22" s="605"/>
      <c r="H22" s="608"/>
      <c r="I22" s="606"/>
      <c r="L22" s="586"/>
      <c r="M22" s="605"/>
      <c r="N22" s="608"/>
      <c r="O22" s="606"/>
      <c r="P22" s="556"/>
    </row>
    <row r="23" spans="1:16" ht="15.5">
      <c r="A23" s="586"/>
      <c r="B23" s="605"/>
      <c r="C23" s="608"/>
      <c r="D23" s="606"/>
      <c r="F23" s="586"/>
      <c r="G23" s="605"/>
      <c r="H23" s="608"/>
      <c r="I23" s="606"/>
      <c r="L23" s="586"/>
      <c r="M23" s="605"/>
      <c r="N23" s="608"/>
      <c r="O23" s="606"/>
      <c r="P23" s="556"/>
    </row>
    <row r="24" spans="1:16" ht="15.5">
      <c r="A24" s="586" t="s">
        <v>988</v>
      </c>
      <c r="B24" s="605"/>
      <c r="C24" s="609" t="s">
        <v>989</v>
      </c>
      <c r="D24" s="589">
        <f>D15*D21</f>
        <v>7.4192197416320341E-2</v>
      </c>
      <c r="F24" s="586" t="s">
        <v>988</v>
      </c>
      <c r="G24" s="605"/>
      <c r="H24" s="609" t="s">
        <v>990</v>
      </c>
      <c r="I24" s="589">
        <f>I15*I21</f>
        <v>6.0360601302274337E-2</v>
      </c>
      <c r="L24" s="586" t="s">
        <v>988</v>
      </c>
      <c r="M24" s="605"/>
      <c r="N24" s="609" t="s">
        <v>991</v>
      </c>
      <c r="O24" s="589">
        <f>O15*O21</f>
        <v>6.7031681905166909E-2</v>
      </c>
      <c r="P24" s="556"/>
    </row>
    <row r="25" spans="1:16" ht="15.5">
      <c r="A25" s="586" t="s">
        <v>983</v>
      </c>
      <c r="B25" s="605"/>
      <c r="C25" s="605"/>
      <c r="D25" s="589">
        <f>D13</f>
        <v>3.0316000000000003E-2</v>
      </c>
      <c r="F25" s="586" t="s">
        <v>983</v>
      </c>
      <c r="G25" s="605"/>
      <c r="H25" s="605"/>
      <c r="I25" s="589">
        <f>I13</f>
        <v>2.4710000000000003E-2</v>
      </c>
      <c r="L25" s="586" t="s">
        <v>983</v>
      </c>
      <c r="M25" s="605"/>
      <c r="N25" s="605"/>
      <c r="O25" s="589">
        <f>O13</f>
        <v>2.5698499999999999E-2</v>
      </c>
    </row>
    <row r="26" spans="1:16" ht="16" thickBot="1">
      <c r="A26" s="593" t="s">
        <v>992</v>
      </c>
      <c r="B26" s="610"/>
      <c r="C26" s="611" t="s">
        <v>993</v>
      </c>
      <c r="D26" s="612">
        <f>D14*D21</f>
        <v>0</v>
      </c>
      <c r="F26" s="593" t="s">
        <v>992</v>
      </c>
      <c r="G26" s="610"/>
      <c r="H26" s="611" t="s">
        <v>994</v>
      </c>
      <c r="I26" s="612">
        <f>I14*I21</f>
        <v>0</v>
      </c>
      <c r="L26" s="593" t="s">
        <v>992</v>
      </c>
      <c r="M26" s="610"/>
      <c r="N26" s="611" t="s">
        <v>995</v>
      </c>
      <c r="O26" s="612">
        <f>O14*O21</f>
        <v>0</v>
      </c>
      <c r="P26" s="556"/>
    </row>
    <row r="27" spans="1:16" ht="16.5" thickTop="1" thickBot="1">
      <c r="A27" s="598" t="s">
        <v>986</v>
      </c>
      <c r="B27" s="613"/>
      <c r="C27" s="613"/>
      <c r="D27" s="614">
        <f>SUM(D24:D26)</f>
        <v>0.10450819741632034</v>
      </c>
      <c r="F27" s="598" t="s">
        <v>986</v>
      </c>
      <c r="G27" s="613"/>
      <c r="H27" s="613"/>
      <c r="I27" s="614">
        <f>SUM(I24:I26)</f>
        <v>8.507060130227434E-2</v>
      </c>
      <c r="L27" s="598" t="s">
        <v>986</v>
      </c>
      <c r="M27" s="613"/>
      <c r="N27" s="613"/>
      <c r="O27" s="614">
        <f>SUM(O24:O26)</f>
        <v>9.2730181905166909E-2</v>
      </c>
      <c r="P27" s="556"/>
    </row>
    <row r="28" spans="1:16">
      <c r="P28" s="556"/>
    </row>
    <row r="29" spans="1:16">
      <c r="P29" s="556"/>
    </row>
    <row r="30" spans="1:16" ht="13" thickBot="1">
      <c r="P30" s="556"/>
    </row>
    <row r="31" spans="1:16">
      <c r="A31" s="615"/>
      <c r="B31" s="616"/>
      <c r="C31" s="617" t="s">
        <v>996</v>
      </c>
      <c r="D31" s="617" t="s">
        <v>997</v>
      </c>
      <c r="F31" s="615"/>
      <c r="G31" s="616"/>
      <c r="H31" s="617" t="s">
        <v>996</v>
      </c>
      <c r="I31" s="617" t="s">
        <v>997</v>
      </c>
      <c r="L31" s="615"/>
      <c r="M31" s="616"/>
      <c r="N31" s="617" t="s">
        <v>996</v>
      </c>
      <c r="O31" s="617" t="s">
        <v>997</v>
      </c>
      <c r="P31" s="556"/>
    </row>
    <row r="32" spans="1:16">
      <c r="A32" s="618" t="s">
        <v>998</v>
      </c>
      <c r="B32" s="619" t="s">
        <v>999</v>
      </c>
      <c r="C32" s="619" t="s">
        <v>1000</v>
      </c>
      <c r="D32" s="619" t="s">
        <v>1000</v>
      </c>
      <c r="F32" s="618" t="s">
        <v>998</v>
      </c>
      <c r="G32" s="619" t="s">
        <v>999</v>
      </c>
      <c r="H32" s="619" t="s">
        <v>1000</v>
      </c>
      <c r="I32" s="619" t="s">
        <v>1000</v>
      </c>
      <c r="L32" s="618" t="s">
        <v>998</v>
      </c>
      <c r="M32" s="619" t="s">
        <v>999</v>
      </c>
      <c r="N32" s="619" t="s">
        <v>1000</v>
      </c>
      <c r="O32" s="619" t="s">
        <v>1000</v>
      </c>
      <c r="P32" s="556"/>
    </row>
    <row r="33" spans="1:16" ht="13" thickBot="1">
      <c r="A33" s="620" t="s">
        <v>262</v>
      </c>
      <c r="B33" s="621" t="s">
        <v>261</v>
      </c>
      <c r="C33" s="621" t="s">
        <v>1001</v>
      </c>
      <c r="D33" s="621" t="s">
        <v>246</v>
      </c>
      <c r="F33" s="620" t="s">
        <v>262</v>
      </c>
      <c r="G33" s="621" t="s">
        <v>261</v>
      </c>
      <c r="H33" s="621" t="s">
        <v>1001</v>
      </c>
      <c r="I33" s="621" t="s">
        <v>246</v>
      </c>
      <c r="L33" s="620" t="s">
        <v>262</v>
      </c>
      <c r="M33" s="621" t="s">
        <v>261</v>
      </c>
      <c r="N33" s="621" t="s">
        <v>1001</v>
      </c>
      <c r="O33" s="621" t="s">
        <v>246</v>
      </c>
      <c r="P33" s="556"/>
    </row>
    <row r="34" spans="1:16" ht="13" thickBot="1">
      <c r="A34" s="622" t="s">
        <v>1002</v>
      </c>
      <c r="B34" s="623">
        <v>20810000</v>
      </c>
      <c r="C34" s="623">
        <v>593000</v>
      </c>
      <c r="D34" s="624">
        <f>C34/B34</f>
        <v>2.8495915425276311E-2</v>
      </c>
      <c r="F34" s="625" t="s">
        <v>1002</v>
      </c>
      <c r="G34" s="626">
        <v>47978000</v>
      </c>
      <c r="H34" s="626">
        <v>1259000</v>
      </c>
      <c r="I34" s="627">
        <f>H34/G34</f>
        <v>2.6241193880528577E-2</v>
      </c>
      <c r="L34" s="625" t="s">
        <v>1002</v>
      </c>
      <c r="M34" s="626">
        <v>52246000</v>
      </c>
      <c r="N34" s="626">
        <v>1384000</v>
      </c>
      <c r="O34" s="627">
        <f>N34/M34</f>
        <v>2.6490066225165563E-2</v>
      </c>
      <c r="P34" s="628" t="s">
        <v>1063</v>
      </c>
    </row>
    <row r="35" spans="1:16" ht="13" thickBot="1">
      <c r="A35" s="629" t="s">
        <v>1003</v>
      </c>
      <c r="B35" s="630"/>
      <c r="C35" s="631"/>
      <c r="D35" s="632">
        <v>0.95498899999999998</v>
      </c>
      <c r="F35" s="629" t="s">
        <v>1003</v>
      </c>
      <c r="G35" s="630"/>
      <c r="H35" s="631"/>
      <c r="I35" s="632">
        <v>0.95606899999999995</v>
      </c>
      <c r="L35" s="629" t="s">
        <v>1003</v>
      </c>
      <c r="M35" s="630"/>
      <c r="N35" s="631"/>
      <c r="O35" s="632">
        <v>0.95250599999999996</v>
      </c>
      <c r="P35" s="556" t="s">
        <v>1062</v>
      </c>
    </row>
    <row r="36" spans="1:16" ht="14" thickTop="1" thickBot="1">
      <c r="A36" s="633" t="s">
        <v>1004</v>
      </c>
      <c r="B36" s="326"/>
      <c r="C36" s="326"/>
      <c r="D36" s="634">
        <f>D34/D35</f>
        <v>2.9838998590849018E-2</v>
      </c>
      <c r="F36" s="633" t="s">
        <v>1004</v>
      </c>
      <c r="G36" s="326"/>
      <c r="H36" s="326"/>
      <c r="I36" s="634">
        <f>I34/I35</f>
        <v>2.7446966568865402E-2</v>
      </c>
      <c r="L36" s="633" t="s">
        <v>1004</v>
      </c>
      <c r="M36" s="326"/>
      <c r="N36" s="326"/>
      <c r="O36" s="634">
        <f>O34/O35</f>
        <v>2.7810917962895313E-2</v>
      </c>
      <c r="P36" s="556"/>
    </row>
    <row r="37" spans="1:16">
      <c r="H37" s="635"/>
      <c r="N37" s="635"/>
      <c r="P37" s="556"/>
    </row>
    <row r="38" spans="1:16">
      <c r="A38" s="635" t="s">
        <v>1005</v>
      </c>
      <c r="F38" s="635" t="s">
        <v>1060</v>
      </c>
      <c r="L38" s="635" t="s">
        <v>1060</v>
      </c>
      <c r="P38" s="556"/>
    </row>
    <row r="39" spans="1:16">
      <c r="P39" s="556"/>
    </row>
    <row r="40" spans="1:16" ht="15.5">
      <c r="A40" s="56" t="s">
        <v>1006</v>
      </c>
      <c r="B40" s="636">
        <f>D27+D36</f>
        <v>0.13434719600716935</v>
      </c>
      <c r="F40" s="56" t="s">
        <v>1006</v>
      </c>
      <c r="G40" s="636">
        <f>I27+I36</f>
        <v>0.11251756787113974</v>
      </c>
      <c r="L40" s="56" t="s">
        <v>1006</v>
      </c>
      <c r="M40" s="636">
        <f>O27+O36</f>
        <v>0.12054109986806222</v>
      </c>
      <c r="P40" s="55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3:S167"/>
  <sheetViews>
    <sheetView workbookViewId="0">
      <selection activeCell="C102" sqref="C102"/>
    </sheetView>
  </sheetViews>
  <sheetFormatPr defaultColWidth="9.26953125" defaultRowHeight="12.5"/>
  <cols>
    <col min="1" max="1" width="11.7265625" customWidth="1"/>
    <col min="2" max="2" width="16.54296875" bestFit="1" customWidth="1"/>
    <col min="3" max="12" width="12.7265625" bestFit="1" customWidth="1"/>
    <col min="13" max="13" width="12.26953125" bestFit="1" customWidth="1"/>
    <col min="14" max="14" width="12.7265625" bestFit="1" customWidth="1"/>
    <col min="15" max="16" width="14.54296875" bestFit="1" customWidth="1"/>
    <col min="18" max="18" width="14" bestFit="1" customWidth="1"/>
  </cols>
  <sheetData>
    <row r="3" spans="1:19">
      <c r="A3" t="s">
        <v>470</v>
      </c>
    </row>
    <row r="4" spans="1:19">
      <c r="C4" s="180" t="s">
        <v>443</v>
      </c>
      <c r="D4" s="180" t="s">
        <v>444</v>
      </c>
      <c r="E4" s="180" t="s">
        <v>445</v>
      </c>
      <c r="F4" s="180" t="s">
        <v>446</v>
      </c>
      <c r="G4" s="180" t="s">
        <v>447</v>
      </c>
      <c r="H4" s="180" t="s">
        <v>448</v>
      </c>
      <c r="I4" s="180" t="s">
        <v>449</v>
      </c>
      <c r="J4" s="180" t="s">
        <v>450</v>
      </c>
      <c r="K4" s="180" t="s">
        <v>451</v>
      </c>
      <c r="L4" s="180" t="s">
        <v>452</v>
      </c>
      <c r="M4" s="180" t="s">
        <v>453</v>
      </c>
      <c r="N4" s="180" t="s">
        <v>454</v>
      </c>
      <c r="O4" s="32" t="s">
        <v>455</v>
      </c>
    </row>
    <row r="5" spans="1:19" ht="13" thickBot="1">
      <c r="A5" t="s">
        <v>456</v>
      </c>
    </row>
    <row r="6" spans="1:19">
      <c r="A6" s="382"/>
      <c r="B6" s="383" t="s">
        <v>595</v>
      </c>
      <c r="C6" s="384"/>
      <c r="D6" s="384"/>
      <c r="E6" s="384"/>
      <c r="F6" s="384"/>
      <c r="G6" s="384"/>
      <c r="H6" s="384"/>
      <c r="I6" s="384"/>
      <c r="J6" s="384"/>
      <c r="K6" s="384"/>
      <c r="L6" s="384"/>
      <c r="M6" s="384"/>
      <c r="N6" s="384"/>
      <c r="O6" s="385"/>
      <c r="P6" s="386"/>
    </row>
    <row r="7" spans="1:19">
      <c r="A7" s="387"/>
      <c r="B7" t="s">
        <v>457</v>
      </c>
      <c r="C7" s="388">
        <f>'REVRUNS 12ME0623'!D61+'REVRUNS 12ME0623'!D76</f>
        <v>133403670.4764</v>
      </c>
      <c r="D7" s="388">
        <f>'REVRUNS 12ME0623'!E61+'REVRUNS 12ME0623'!E76</f>
        <v>149082386.96383998</v>
      </c>
      <c r="E7" s="388">
        <f>'REVRUNS 12ME0623'!F61+'REVRUNS 12ME0623'!F76</f>
        <v>142255745.48017001</v>
      </c>
      <c r="F7" s="388">
        <f>'REVRUNS 12ME0623'!G61+'REVRUNS 12ME0623'!G76</f>
        <v>124472286.62684999</v>
      </c>
      <c r="G7" s="388">
        <f>'REVRUNS 12ME0623'!H61+'REVRUNS 12ME0623'!H76</f>
        <v>140741794.06058002</v>
      </c>
      <c r="H7" s="388">
        <f>'REVRUNS 12ME0623'!I61+'REVRUNS 12ME0623'!I76</f>
        <v>158771733.89572001</v>
      </c>
      <c r="I7" s="388">
        <f>'REVRUNS 12ME0623'!J61+'REVRUNS 12ME0623'!J76</f>
        <v>160299614.60496002</v>
      </c>
      <c r="J7" s="388">
        <f>'REVRUNS 12ME0623'!K61+'REVRUNS 12ME0623'!K76</f>
        <v>134751229.73877001</v>
      </c>
      <c r="K7" s="388">
        <f>'REVRUNS 12ME0623'!L61+'REVRUNS 12ME0623'!L76</f>
        <v>168484449.65279001</v>
      </c>
      <c r="L7" s="388">
        <f>'REVRUNS 12ME0623'!M61+'REVRUNS 12ME0623'!M76</f>
        <v>133510127.43682</v>
      </c>
      <c r="M7" s="388">
        <f>'REVRUNS 12ME0623'!N61+'REVRUNS 12ME0623'!N76</f>
        <v>141162710.19343999</v>
      </c>
      <c r="N7" s="388">
        <f>'REVRUNS 12ME0623'!O61+'REVRUNS 12ME0623'!O76</f>
        <v>131698290.53143001</v>
      </c>
      <c r="O7" s="389">
        <f>SUM(C7:N7)</f>
        <v>1718634039.6617701</v>
      </c>
      <c r="P7" s="390"/>
      <c r="R7" s="40">
        <v>0</v>
      </c>
      <c r="S7" s="289" t="e">
        <f>R7/$R$10</f>
        <v>#DIV/0!</v>
      </c>
    </row>
    <row r="8" spans="1:19">
      <c r="A8" s="387"/>
      <c r="B8" t="s">
        <v>458</v>
      </c>
      <c r="C8" s="388">
        <f>'REVRUNS 12ME0623'!D62+'REVRUNS 12ME0623'!D77</f>
        <v>34165056.450579993</v>
      </c>
      <c r="D8" s="388">
        <f>'REVRUNS 12ME0623'!E62+'REVRUNS 12ME0623'!E77</f>
        <v>59690974.271160007</v>
      </c>
      <c r="E8" s="388">
        <f>'REVRUNS 12ME0623'!F62+'REVRUNS 12ME0623'!F77</f>
        <v>45547523.145830005</v>
      </c>
      <c r="F8" s="388">
        <f>'REVRUNS 12ME0623'!G62+'REVRUNS 12ME0623'!G77</f>
        <v>21774207.072149999</v>
      </c>
      <c r="G8" s="388">
        <f>'REVRUNS 12ME0623'!H62+'REVRUNS 12ME0623'!H77</f>
        <v>40942736.848420002</v>
      </c>
      <c r="H8" s="388">
        <f>'REVRUNS 12ME0623'!I62+'REVRUNS 12ME0623'!I77</f>
        <v>74105959.343820006</v>
      </c>
      <c r="I8" s="388">
        <f>'REVRUNS 12ME0623'!J62+'REVRUNS 12ME0623'!J77</f>
        <v>77293622.16268</v>
      </c>
      <c r="J8" s="388">
        <f>'REVRUNS 12ME0623'!K62+'REVRUNS 12ME0623'!K77</f>
        <v>56384250.524240002</v>
      </c>
      <c r="K8" s="388">
        <f>'REVRUNS 12ME0623'!L62+'REVRUNS 12ME0623'!L77</f>
        <v>64998770.7152</v>
      </c>
      <c r="L8" s="388">
        <f>'REVRUNS 12ME0623'!M62+'REVRUNS 12ME0623'!M77</f>
        <v>41624915.436179996</v>
      </c>
      <c r="M8" s="388">
        <f>'REVRUNS 12ME0623'!N62+'REVRUNS 12ME0623'!N77</f>
        <v>30549779.880569998</v>
      </c>
      <c r="N8" s="388">
        <f>'REVRUNS 12ME0623'!O62+'REVRUNS 12ME0623'!O77</f>
        <v>30582678.123559996</v>
      </c>
      <c r="O8" s="389">
        <f>SUM(C8:N8)</f>
        <v>577660473.97439003</v>
      </c>
      <c r="P8" s="390"/>
      <c r="R8" s="40">
        <v>0</v>
      </c>
      <c r="S8" s="289" t="e">
        <f>R8/$R$10</f>
        <v>#DIV/0!</v>
      </c>
    </row>
    <row r="9" spans="1:19">
      <c r="A9" s="387"/>
      <c r="B9" t="s">
        <v>469</v>
      </c>
      <c r="C9" s="388">
        <f>'REVRUNS 12ME0623'!D63+'REVRUNS 12ME0623'!D78</f>
        <v>10842432.141999999</v>
      </c>
      <c r="D9" s="388">
        <f>'REVRUNS 12ME0623'!E63+'REVRUNS 12ME0623'!E78</f>
        <v>26766251.778000001</v>
      </c>
      <c r="E9" s="388">
        <f>'REVRUNS 12ME0623'!F63+'REVRUNS 12ME0623'!F78</f>
        <v>17529839.943</v>
      </c>
      <c r="F9" s="388">
        <f>'REVRUNS 12ME0623'!G63+'REVRUNS 12ME0623'!G78</f>
        <v>5569670.858</v>
      </c>
      <c r="G9" s="388">
        <f>'REVRUNS 12ME0623'!H63+'REVRUNS 12ME0623'!H78</f>
        <v>20828024.364999998</v>
      </c>
      <c r="H9" s="388">
        <f>'REVRUNS 12ME0623'!I63+'REVRUNS 12ME0623'!I78</f>
        <v>74050322.676109999</v>
      </c>
      <c r="I9" s="388">
        <f>'REVRUNS 12ME0623'!J63+'REVRUNS 12ME0623'!J78</f>
        <v>80669085.455030009</v>
      </c>
      <c r="J9" s="388">
        <f>'REVRUNS 12ME0623'!K63+'REVRUNS 12ME0623'!K78</f>
        <v>48810633.655979998</v>
      </c>
      <c r="K9" s="388">
        <f>'REVRUNS 12ME0623'!L63+'REVRUNS 12ME0623'!L78</f>
        <v>49096232.138999999</v>
      </c>
      <c r="L9" s="388">
        <f>'REVRUNS 12ME0623'!M63+'REVRUNS 12ME0623'!M78</f>
        <v>22084289.832000002</v>
      </c>
      <c r="M9" s="388">
        <f>'REVRUNS 12ME0623'!N63+'REVRUNS 12ME0623'!N78</f>
        <v>9077828.6659999993</v>
      </c>
      <c r="N9" s="388">
        <f>'REVRUNS 12ME0623'!O63+'REVRUNS 12ME0623'!O78</f>
        <v>8771147.0260000005</v>
      </c>
      <c r="O9" s="389">
        <f>SUM(C9:N9)</f>
        <v>374095758.53612006</v>
      </c>
      <c r="P9" s="390"/>
      <c r="R9" s="288">
        <v>0</v>
      </c>
      <c r="S9" s="290" t="e">
        <f>R9/$R$10</f>
        <v>#DIV/0!</v>
      </c>
    </row>
    <row r="10" spans="1:19">
      <c r="A10" s="387" t="s">
        <v>459</v>
      </c>
      <c r="B10" s="32" t="s">
        <v>64</v>
      </c>
      <c r="C10" s="284">
        <f>SUM(C7:C9)</f>
        <v>178411159.06897998</v>
      </c>
      <c r="D10" s="284">
        <f t="shared" ref="D10:O10" si="0">SUM(D7:D9)</f>
        <v>235539613.01299998</v>
      </c>
      <c r="E10" s="284">
        <f t="shared" si="0"/>
        <v>205333108.56900001</v>
      </c>
      <c r="F10" s="284">
        <f t="shared" si="0"/>
        <v>151816164.55700001</v>
      </c>
      <c r="G10" s="284">
        <f t="shared" si="0"/>
        <v>202512555.27400002</v>
      </c>
      <c r="H10" s="284">
        <f t="shared" si="0"/>
        <v>306928015.91565001</v>
      </c>
      <c r="I10" s="284">
        <f t="shared" si="0"/>
        <v>318262322.22267002</v>
      </c>
      <c r="J10" s="284">
        <f t="shared" si="0"/>
        <v>239946113.91899002</v>
      </c>
      <c r="K10" s="284">
        <f t="shared" si="0"/>
        <v>282579452.50699002</v>
      </c>
      <c r="L10" s="284">
        <f t="shared" si="0"/>
        <v>197219332.70499998</v>
      </c>
      <c r="M10" s="284">
        <f t="shared" si="0"/>
        <v>180790318.74000999</v>
      </c>
      <c r="N10" s="284">
        <f t="shared" si="0"/>
        <v>171052115.68099001</v>
      </c>
      <c r="O10" s="284">
        <f t="shared" si="0"/>
        <v>2670390272.1722798</v>
      </c>
      <c r="P10" s="390"/>
      <c r="R10" s="40">
        <f>SUM(R7:R9)</f>
        <v>0</v>
      </c>
      <c r="S10" s="76" t="e">
        <f>SUM(S7:S9)</f>
        <v>#DIV/0!</v>
      </c>
    </row>
    <row r="11" spans="1:19">
      <c r="A11" s="387"/>
      <c r="B11" t="s">
        <v>460</v>
      </c>
      <c r="C11" s="391">
        <f>'REVRUNS 12ME0623'!C39</f>
        <v>226281</v>
      </c>
      <c r="D11" s="391">
        <f>'REVRUNS 12ME0623'!D39</f>
        <v>227405</v>
      </c>
      <c r="E11" s="391">
        <f>'REVRUNS 12ME0623'!E39</f>
        <v>227331</v>
      </c>
      <c r="F11" s="391">
        <f>'REVRUNS 12ME0623'!F39</f>
        <v>227745</v>
      </c>
      <c r="G11" s="391">
        <f>'REVRUNS 12ME0623'!G39</f>
        <v>228126</v>
      </c>
      <c r="H11" s="391">
        <f>'REVRUNS 12ME0623'!H39</f>
        <v>228468</v>
      </c>
      <c r="I11" s="391">
        <f>'REVRUNS 12ME0623'!I39</f>
        <v>228134</v>
      </c>
      <c r="J11" s="391">
        <f>'REVRUNS 12ME0623'!J39</f>
        <v>227625</v>
      </c>
      <c r="K11" s="391">
        <f>'REVRUNS 12ME0623'!K39</f>
        <v>229409</v>
      </c>
      <c r="L11" s="391">
        <f>'REVRUNS 12ME0623'!L39</f>
        <v>229068</v>
      </c>
      <c r="M11" s="391">
        <f>'REVRUNS 12ME0623'!M39</f>
        <v>229744</v>
      </c>
      <c r="N11" s="391">
        <f>'REVRUNS 12ME0623'!N39</f>
        <v>228836</v>
      </c>
      <c r="O11" s="40">
        <f>SUM(C11:N11)</f>
        <v>2738172</v>
      </c>
      <c r="P11" s="390"/>
    </row>
    <row r="12" spans="1:19">
      <c r="A12" s="387"/>
      <c r="B12" t="s">
        <v>461</v>
      </c>
      <c r="C12" s="389">
        <f>C11*800</f>
        <v>181024800</v>
      </c>
      <c r="D12" s="389">
        <f t="shared" ref="D12:N12" si="1">D11*800</f>
        <v>181924000</v>
      </c>
      <c r="E12" s="389">
        <f t="shared" si="1"/>
        <v>181864800</v>
      </c>
      <c r="F12" s="389">
        <f t="shared" si="1"/>
        <v>182196000</v>
      </c>
      <c r="G12" s="389">
        <f t="shared" si="1"/>
        <v>182500800</v>
      </c>
      <c r="H12" s="389">
        <f t="shared" si="1"/>
        <v>182774400</v>
      </c>
      <c r="I12" s="389">
        <f t="shared" si="1"/>
        <v>182507200</v>
      </c>
      <c r="J12" s="389">
        <f t="shared" si="1"/>
        <v>182100000</v>
      </c>
      <c r="K12" s="389">
        <f t="shared" si="1"/>
        <v>183527200</v>
      </c>
      <c r="L12" s="389">
        <f t="shared" si="1"/>
        <v>183254400</v>
      </c>
      <c r="M12" s="389">
        <f t="shared" si="1"/>
        <v>183795200</v>
      </c>
      <c r="N12" s="389">
        <f t="shared" si="1"/>
        <v>183068800</v>
      </c>
      <c r="O12" s="40">
        <f>SUM(C12:N12)</f>
        <v>2190537600</v>
      </c>
      <c r="P12" s="390"/>
    </row>
    <row r="13" spans="1:19">
      <c r="A13" s="387"/>
      <c r="B13" t="s">
        <v>72</v>
      </c>
      <c r="C13" s="391">
        <f>'REVRUNS 12ME0623'!D333</f>
        <v>178411159.06897998</v>
      </c>
      <c r="D13" s="391">
        <f>'REVRUNS 12ME0623'!E333</f>
        <v>235539613.01299998</v>
      </c>
      <c r="E13" s="391">
        <f>'REVRUNS 12ME0623'!F333</f>
        <v>205333108.56900004</v>
      </c>
      <c r="F13" s="391">
        <f>'REVRUNS 12ME0623'!G333</f>
        <v>151816164.55699998</v>
      </c>
      <c r="G13" s="391">
        <f>'REVRUNS 12ME0623'!H333</f>
        <v>202512555.27400002</v>
      </c>
      <c r="H13" s="391">
        <f>'REVRUNS 12ME0623'!I333</f>
        <v>306928015.91564995</v>
      </c>
      <c r="I13" s="391">
        <f>'REVRUNS 12ME0623'!J333</f>
        <v>318262322.22266996</v>
      </c>
      <c r="J13" s="391">
        <f>'REVRUNS 12ME0623'!K333</f>
        <v>239946113.91899002</v>
      </c>
      <c r="K13" s="391">
        <f>'REVRUNS 12ME0623'!L333</f>
        <v>282579452.50699002</v>
      </c>
      <c r="L13" s="391">
        <f>'REVRUNS 12ME0623'!M333</f>
        <v>197213803.02499998</v>
      </c>
      <c r="M13" s="391">
        <f>'REVRUNS 12ME0623'!N333</f>
        <v>180790318.74001002</v>
      </c>
      <c r="N13" s="391">
        <f>'REVRUNS 12ME0623'!O333</f>
        <v>171052115.68099001</v>
      </c>
      <c r="O13" s="40">
        <f>SUM(C13:N13)</f>
        <v>2670384742.49228</v>
      </c>
      <c r="P13" s="390"/>
    </row>
    <row r="14" spans="1:19">
      <c r="A14" s="387"/>
      <c r="B14" t="s">
        <v>472</v>
      </c>
      <c r="C14" s="389">
        <f>C13-C10</f>
        <v>0</v>
      </c>
      <c r="D14" s="389">
        <f t="shared" ref="D14:N14" si="2">D13-D10</f>
        <v>0</v>
      </c>
      <c r="E14" s="389">
        <f t="shared" si="2"/>
        <v>0</v>
      </c>
      <c r="F14" s="389">
        <f t="shared" si="2"/>
        <v>0</v>
      </c>
      <c r="G14" s="389">
        <f t="shared" si="2"/>
        <v>0</v>
      </c>
      <c r="H14" s="389">
        <f t="shared" si="2"/>
        <v>0</v>
      </c>
      <c r="I14" s="392">
        <f t="shared" si="2"/>
        <v>0</v>
      </c>
      <c r="J14" s="392">
        <f t="shared" si="2"/>
        <v>0</v>
      </c>
      <c r="K14" s="392">
        <f t="shared" si="2"/>
        <v>0</v>
      </c>
      <c r="L14" s="392">
        <f t="shared" si="2"/>
        <v>-5529.6800000071526</v>
      </c>
      <c r="M14" s="392">
        <f t="shared" si="2"/>
        <v>0</v>
      </c>
      <c r="N14" s="392">
        <f t="shared" si="2"/>
        <v>0</v>
      </c>
      <c r="O14" s="40">
        <f>SUM(C14:N14)</f>
        <v>-5529.6800000071526</v>
      </c>
      <c r="P14" s="393">
        <f>O14/O13</f>
        <v>-2.0707428079619273E-6</v>
      </c>
    </row>
    <row r="15" spans="1:19">
      <c r="A15" s="387"/>
      <c r="C15" s="389"/>
      <c r="D15" s="389"/>
      <c r="E15" s="389"/>
      <c r="F15" s="389"/>
      <c r="G15" s="389"/>
      <c r="H15" s="389"/>
      <c r="I15" s="392"/>
      <c r="J15" s="392"/>
      <c r="K15" s="392"/>
      <c r="L15" s="392"/>
      <c r="M15" s="392"/>
      <c r="N15" s="392"/>
      <c r="O15" s="40"/>
      <c r="P15" s="393"/>
    </row>
    <row r="16" spans="1:19">
      <c r="A16" s="387"/>
      <c r="B16" t="s">
        <v>457</v>
      </c>
      <c r="C16" s="287">
        <f>(C7/C$10)*C$14</f>
        <v>0</v>
      </c>
      <c r="D16" s="287">
        <f>(D7/D$10)*D$14</f>
        <v>0</v>
      </c>
      <c r="E16" s="287">
        <f>(E7/E$10)*E$14</f>
        <v>0</v>
      </c>
      <c r="F16" s="287">
        <f>(F7/F$10)*F$14</f>
        <v>0</v>
      </c>
      <c r="G16" s="287">
        <f>(G7/G$10)*G$14</f>
        <v>0</v>
      </c>
      <c r="H16" s="287">
        <f t="shared" ref="H16:N16" si="3">(H7/H$10)*H$14</f>
        <v>0</v>
      </c>
      <c r="I16" s="287">
        <f t="shared" si="3"/>
        <v>0</v>
      </c>
      <c r="J16" s="287">
        <f t="shared" si="3"/>
        <v>0</v>
      </c>
      <c r="K16" s="287">
        <f t="shared" si="3"/>
        <v>0</v>
      </c>
      <c r="L16" s="287">
        <f t="shared" si="3"/>
        <v>-3743.3869761139945</v>
      </c>
      <c r="M16" s="287">
        <f>(M7/M$10)*M$14</f>
        <v>0</v>
      </c>
      <c r="N16" s="287">
        <f t="shared" si="3"/>
        <v>0</v>
      </c>
      <c r="O16" s="287">
        <f>SUM(C16:N16)</f>
        <v>-3743.3869761139945</v>
      </c>
      <c r="P16" s="393"/>
    </row>
    <row r="17" spans="1:19">
      <c r="A17" s="387"/>
      <c r="B17" t="s">
        <v>458</v>
      </c>
      <c r="C17" s="287">
        <f t="shared" ref="C17:F18" si="4">(C8/C$10)*C$14</f>
        <v>0</v>
      </c>
      <c r="D17" s="287">
        <f t="shared" si="4"/>
        <v>0</v>
      </c>
      <c r="E17" s="287">
        <f t="shared" si="4"/>
        <v>0</v>
      </c>
      <c r="F17" s="287">
        <f t="shared" si="4"/>
        <v>0</v>
      </c>
      <c r="G17" s="287">
        <f t="shared" ref="G17:N17" si="5">(G8/G$10)*G$14</f>
        <v>0</v>
      </c>
      <c r="H17" s="287">
        <f t="shared" si="5"/>
        <v>0</v>
      </c>
      <c r="I17" s="287">
        <f t="shared" si="5"/>
        <v>0</v>
      </c>
      <c r="J17" s="287">
        <f t="shared" si="5"/>
        <v>0</v>
      </c>
      <c r="K17" s="287">
        <f t="shared" si="5"/>
        <v>0</v>
      </c>
      <c r="L17" s="287">
        <f t="shared" si="5"/>
        <v>-1167.0887393870494</v>
      </c>
      <c r="M17" s="287">
        <f t="shared" si="5"/>
        <v>0</v>
      </c>
      <c r="N17" s="287">
        <f t="shared" si="5"/>
        <v>0</v>
      </c>
      <c r="O17" s="287">
        <f>SUM(C17:N17)</f>
        <v>-1167.0887393870494</v>
      </c>
      <c r="P17" s="393"/>
    </row>
    <row r="18" spans="1:19">
      <c r="A18" s="387"/>
      <c r="B18" t="s">
        <v>469</v>
      </c>
      <c r="C18" s="286">
        <f t="shared" si="4"/>
        <v>0</v>
      </c>
      <c r="D18" s="286">
        <f t="shared" si="4"/>
        <v>0</v>
      </c>
      <c r="E18" s="286">
        <f t="shared" si="4"/>
        <v>0</v>
      </c>
      <c r="F18" s="286">
        <f t="shared" si="4"/>
        <v>0</v>
      </c>
      <c r="G18" s="286">
        <f t="shared" ref="G18:N18" si="6">(G9/G$10)*G$14</f>
        <v>0</v>
      </c>
      <c r="H18" s="286">
        <f t="shared" si="6"/>
        <v>0</v>
      </c>
      <c r="I18" s="286">
        <f t="shared" si="6"/>
        <v>0</v>
      </c>
      <c r="J18" s="286">
        <f t="shared" si="6"/>
        <v>0</v>
      </c>
      <c r="K18" s="286">
        <f t="shared" si="6"/>
        <v>0</v>
      </c>
      <c r="L18" s="286">
        <f t="shared" si="6"/>
        <v>-619.20428450610882</v>
      </c>
      <c r="M18" s="286">
        <f t="shared" si="6"/>
        <v>0</v>
      </c>
      <c r="N18" s="286">
        <f t="shared" si="6"/>
        <v>0</v>
      </c>
      <c r="O18" s="286">
        <f>SUM(C18:N18)</f>
        <v>-619.20428450610882</v>
      </c>
      <c r="P18" s="393"/>
    </row>
    <row r="19" spans="1:19">
      <c r="A19" s="387"/>
      <c r="C19" s="287">
        <f t="shared" ref="C19:O19" si="7">SUM(C16:C18)</f>
        <v>0</v>
      </c>
      <c r="D19" s="287">
        <f t="shared" si="7"/>
        <v>0</v>
      </c>
      <c r="E19" s="287">
        <f t="shared" si="7"/>
        <v>0</v>
      </c>
      <c r="F19" s="287">
        <f t="shared" si="7"/>
        <v>0</v>
      </c>
      <c r="G19" s="287">
        <f t="shared" si="7"/>
        <v>0</v>
      </c>
      <c r="H19" s="287">
        <f t="shared" si="7"/>
        <v>0</v>
      </c>
      <c r="I19" s="287">
        <f t="shared" si="7"/>
        <v>0</v>
      </c>
      <c r="J19" s="287">
        <f t="shared" si="7"/>
        <v>0</v>
      </c>
      <c r="K19" s="287">
        <f t="shared" si="7"/>
        <v>0</v>
      </c>
      <c r="L19" s="287">
        <f t="shared" si="7"/>
        <v>-5529.6800000071526</v>
      </c>
      <c r="M19" s="287">
        <f t="shared" si="7"/>
        <v>0</v>
      </c>
      <c r="N19" s="287">
        <f t="shared" si="7"/>
        <v>0</v>
      </c>
      <c r="O19" s="287">
        <f t="shared" si="7"/>
        <v>-5529.6800000071526</v>
      </c>
      <c r="P19" s="393"/>
    </row>
    <row r="20" spans="1:19">
      <c r="A20" s="387"/>
      <c r="C20" s="287"/>
      <c r="D20" s="287"/>
      <c r="E20" s="287"/>
      <c r="F20" s="287"/>
      <c r="G20" s="287"/>
      <c r="H20" s="287"/>
      <c r="I20" s="287"/>
      <c r="J20" s="287"/>
      <c r="K20" s="287"/>
      <c r="L20" s="287"/>
      <c r="M20" s="287"/>
      <c r="N20" s="287"/>
      <c r="O20" s="287"/>
      <c r="P20" s="393"/>
    </row>
    <row r="21" spans="1:19">
      <c r="A21" s="387"/>
      <c r="B21" t="s">
        <v>457</v>
      </c>
      <c r="C21" s="287">
        <f>C7+C16</f>
        <v>133403670.4764</v>
      </c>
      <c r="D21" s="287">
        <f>D7+D16</f>
        <v>149082386.96383998</v>
      </c>
      <c r="E21" s="287">
        <f>E7+E16</f>
        <v>142255745.48017001</v>
      </c>
      <c r="F21" s="287">
        <f>F7+F16</f>
        <v>124472286.62684999</v>
      </c>
      <c r="G21" s="287">
        <f>G7+G16</f>
        <v>140741794.06058002</v>
      </c>
      <c r="H21" s="287">
        <f t="shared" ref="H21:N21" si="8">H7+H16</f>
        <v>158771733.89572001</v>
      </c>
      <c r="I21" s="287">
        <f t="shared" si="8"/>
        <v>160299614.60496002</v>
      </c>
      <c r="J21" s="287">
        <f t="shared" si="8"/>
        <v>134751229.73877001</v>
      </c>
      <c r="K21" s="287">
        <f t="shared" si="8"/>
        <v>168484449.65279001</v>
      </c>
      <c r="L21" s="287">
        <f t="shared" si="8"/>
        <v>133506384.04984389</v>
      </c>
      <c r="M21" s="287">
        <f t="shared" si="8"/>
        <v>141162710.19343999</v>
      </c>
      <c r="N21" s="287">
        <f t="shared" si="8"/>
        <v>131698290.53143001</v>
      </c>
      <c r="O21" s="287">
        <f>SUM(C21:N21)</f>
        <v>1718630296.2747939</v>
      </c>
      <c r="P21" s="393"/>
    </row>
    <row r="22" spans="1:19">
      <c r="A22" s="387"/>
      <c r="B22" t="s">
        <v>458</v>
      </c>
      <c r="C22" s="287">
        <f t="shared" ref="C22:F23" si="9">C8+C17</f>
        <v>34165056.450579993</v>
      </c>
      <c r="D22" s="287">
        <f t="shared" si="9"/>
        <v>59690974.271160007</v>
      </c>
      <c r="E22" s="287">
        <f t="shared" si="9"/>
        <v>45547523.145830005</v>
      </c>
      <c r="F22" s="287">
        <f t="shared" si="9"/>
        <v>21774207.072149999</v>
      </c>
      <c r="G22" s="287">
        <f t="shared" ref="G22:N22" si="10">G8+G17</f>
        <v>40942736.848420002</v>
      </c>
      <c r="H22" s="287">
        <f t="shared" si="10"/>
        <v>74105959.343820006</v>
      </c>
      <c r="I22" s="287">
        <f t="shared" si="10"/>
        <v>77293622.16268</v>
      </c>
      <c r="J22" s="287">
        <f t="shared" si="10"/>
        <v>56384250.524240002</v>
      </c>
      <c r="K22" s="287">
        <f t="shared" si="10"/>
        <v>64998770.7152</v>
      </c>
      <c r="L22" s="287">
        <f t="shared" si="10"/>
        <v>41623748.347440608</v>
      </c>
      <c r="M22" s="287">
        <f t="shared" si="10"/>
        <v>30549779.880569998</v>
      </c>
      <c r="N22" s="287">
        <f t="shared" si="10"/>
        <v>30582678.123559996</v>
      </c>
      <c r="O22" s="287">
        <f>SUM(C22:N22)</f>
        <v>577659306.88565063</v>
      </c>
      <c r="P22" s="393"/>
    </row>
    <row r="23" spans="1:19">
      <c r="A23" s="387"/>
      <c r="B23" t="s">
        <v>469</v>
      </c>
      <c r="C23" s="286">
        <f t="shared" si="9"/>
        <v>10842432.141999999</v>
      </c>
      <c r="D23" s="286">
        <f t="shared" si="9"/>
        <v>26766251.778000001</v>
      </c>
      <c r="E23" s="286">
        <f t="shared" si="9"/>
        <v>17529839.943</v>
      </c>
      <c r="F23" s="286">
        <f t="shared" si="9"/>
        <v>5569670.858</v>
      </c>
      <c r="G23" s="286">
        <f t="shared" ref="G23:N23" si="11">G9+G18</f>
        <v>20828024.364999998</v>
      </c>
      <c r="H23" s="286">
        <f t="shared" si="11"/>
        <v>74050322.676109999</v>
      </c>
      <c r="I23" s="286">
        <f t="shared" si="11"/>
        <v>80669085.455030009</v>
      </c>
      <c r="J23" s="286">
        <f t="shared" si="11"/>
        <v>48810633.655979998</v>
      </c>
      <c r="K23" s="286">
        <f t="shared" si="11"/>
        <v>49096232.138999999</v>
      </c>
      <c r="L23" s="286">
        <f t="shared" si="11"/>
        <v>22083670.627715494</v>
      </c>
      <c r="M23" s="286">
        <f t="shared" si="11"/>
        <v>9077828.6659999993</v>
      </c>
      <c r="N23" s="286">
        <f t="shared" si="11"/>
        <v>8771147.0260000005</v>
      </c>
      <c r="O23" s="286">
        <f>SUM(C23:N23)</f>
        <v>374095139.33183551</v>
      </c>
      <c r="P23" s="393"/>
    </row>
    <row r="24" spans="1:19">
      <c r="A24" s="387"/>
      <c r="C24" s="287">
        <f t="shared" ref="C24:O24" si="12">SUM(C21:C23)</f>
        <v>178411159.06897998</v>
      </c>
      <c r="D24" s="287">
        <f t="shared" si="12"/>
        <v>235539613.01299998</v>
      </c>
      <c r="E24" s="287">
        <f t="shared" si="12"/>
        <v>205333108.56900001</v>
      </c>
      <c r="F24" s="287">
        <f t="shared" si="12"/>
        <v>151816164.55700001</v>
      </c>
      <c r="G24" s="287">
        <f t="shared" si="12"/>
        <v>202512555.27400002</v>
      </c>
      <c r="H24" s="287">
        <f t="shared" si="12"/>
        <v>306928015.91565001</v>
      </c>
      <c r="I24" s="287">
        <f t="shared" si="12"/>
        <v>318262322.22267002</v>
      </c>
      <c r="J24" s="287">
        <f t="shared" si="12"/>
        <v>239946113.91899002</v>
      </c>
      <c r="K24" s="287">
        <f t="shared" si="12"/>
        <v>282579452.50699002</v>
      </c>
      <c r="L24" s="287">
        <f t="shared" si="12"/>
        <v>197213803.02500001</v>
      </c>
      <c r="M24" s="287">
        <f t="shared" si="12"/>
        <v>180790318.74000999</v>
      </c>
      <c r="N24" s="287">
        <f t="shared" si="12"/>
        <v>171052115.68099001</v>
      </c>
      <c r="O24" s="287">
        <f t="shared" si="12"/>
        <v>2670384742.49228</v>
      </c>
      <c r="P24" s="393"/>
    </row>
    <row r="25" spans="1:19">
      <c r="A25" s="387"/>
      <c r="C25" s="389">
        <f t="shared" ref="C25:O25" si="13">C24-C13</f>
        <v>0</v>
      </c>
      <c r="D25" s="389">
        <f>D24-D13</f>
        <v>0</v>
      </c>
      <c r="E25" s="389">
        <f t="shared" si="13"/>
        <v>0</v>
      </c>
      <c r="F25" s="389">
        <f t="shared" si="13"/>
        <v>0</v>
      </c>
      <c r="G25" s="389">
        <f t="shared" si="13"/>
        <v>0</v>
      </c>
      <c r="H25" s="389">
        <f t="shared" si="13"/>
        <v>0</v>
      </c>
      <c r="I25" s="389">
        <f t="shared" si="13"/>
        <v>0</v>
      </c>
      <c r="J25" s="389">
        <f t="shared" si="13"/>
        <v>0</v>
      </c>
      <c r="K25" s="389">
        <f t="shared" si="13"/>
        <v>0</v>
      </c>
      <c r="L25" s="389">
        <f t="shared" si="13"/>
        <v>0</v>
      </c>
      <c r="M25" s="389">
        <f t="shared" si="13"/>
        <v>0</v>
      </c>
      <c r="N25" s="389">
        <f t="shared" si="13"/>
        <v>0</v>
      </c>
      <c r="O25" s="389">
        <f t="shared" si="13"/>
        <v>0</v>
      </c>
      <c r="P25" s="393"/>
    </row>
    <row r="26" spans="1:19" ht="13" thickBot="1">
      <c r="A26" s="394"/>
      <c r="B26" s="326"/>
      <c r="C26" s="395"/>
      <c r="D26" s="395"/>
      <c r="E26" s="395"/>
      <c r="F26" s="395"/>
      <c r="G26" s="395"/>
      <c r="H26" s="395"/>
      <c r="I26" s="396"/>
      <c r="J26" s="396"/>
      <c r="K26" s="396"/>
      <c r="L26" s="396"/>
      <c r="M26" s="396"/>
      <c r="N26" s="396"/>
      <c r="O26" s="397"/>
      <c r="P26" s="398"/>
    </row>
    <row r="27" spans="1:19">
      <c r="A27" s="382"/>
      <c r="B27" s="433" t="s">
        <v>462</v>
      </c>
      <c r="C27" s="399"/>
      <c r="D27" s="399"/>
      <c r="E27" s="399"/>
      <c r="F27" s="399"/>
      <c r="G27" s="399"/>
      <c r="H27" s="399"/>
      <c r="I27" s="399"/>
      <c r="J27" s="399"/>
      <c r="K27" s="399"/>
      <c r="L27" s="399"/>
      <c r="M27" s="399"/>
      <c r="N27" s="399"/>
      <c r="O27" s="384"/>
      <c r="P27" s="386"/>
    </row>
    <row r="28" spans="1:19">
      <c r="A28" s="387"/>
      <c r="B28" t="s">
        <v>457</v>
      </c>
      <c r="C28" s="388">
        <f>'REVRUNS 12ME0623'!D94+'REVRUNS 12ME0623'!D108</f>
        <v>34777491.001019999</v>
      </c>
      <c r="D28" s="388">
        <f>'REVRUNS 12ME0623'!E94+'REVRUNS 12ME0623'!E108</f>
        <v>38712480.622639999</v>
      </c>
      <c r="E28" s="388">
        <f>'REVRUNS 12ME0623'!F94+'REVRUNS 12ME0623'!F108</f>
        <v>37330724.276710004</v>
      </c>
      <c r="F28" s="388">
        <f>'REVRUNS 12ME0623'!G94+'REVRUNS 12ME0623'!G108</f>
        <v>33767966.33862</v>
      </c>
      <c r="G28" s="388">
        <f>'REVRUNS 12ME0623'!H94+'REVRUNS 12ME0623'!H108</f>
        <v>35721712.524949998</v>
      </c>
      <c r="H28" s="388">
        <f>'REVRUNS 12ME0623'!I94+'REVRUNS 12ME0623'!I108</f>
        <v>45119486.023640007</v>
      </c>
      <c r="I28" s="388">
        <f>'REVRUNS 12ME0623'!J94+'REVRUNS 12ME0623'!J108</f>
        <v>46593238.431589998</v>
      </c>
      <c r="J28" s="388">
        <f>'REVRUNS 12ME0623'!K94+'REVRUNS 12ME0623'!K108</f>
        <v>37337701.136770003</v>
      </c>
      <c r="K28" s="388">
        <f>'REVRUNS 12ME0623'!L94+'REVRUNS 12ME0623'!L108</f>
        <v>48001210.390649997</v>
      </c>
      <c r="L28" s="388">
        <f>'REVRUNS 12ME0623'!M94+'REVRUNS 12ME0623'!M108</f>
        <v>36346351.308650002</v>
      </c>
      <c r="M28" s="388">
        <f>'REVRUNS 12ME0623'!N94+'REVRUNS 12ME0623'!N108</f>
        <v>38390778.734990001</v>
      </c>
      <c r="N28" s="388">
        <f>'REVRUNS 12ME0623'!O94+'REVRUNS 12ME0623'!O108</f>
        <v>34261809.492650002</v>
      </c>
      <c r="O28" s="389">
        <f>SUM(C28:N28)</f>
        <v>466360950.28288007</v>
      </c>
      <c r="P28" s="390"/>
      <c r="R28" s="40">
        <v>0</v>
      </c>
      <c r="S28" s="289" t="e">
        <f>R28/$R$30</f>
        <v>#DIV/0!</v>
      </c>
    </row>
    <row r="29" spans="1:19">
      <c r="A29" s="387"/>
      <c r="B29" t="s">
        <v>458</v>
      </c>
      <c r="C29" s="388">
        <f>'REVRUNS 12ME0623'!D95+'REVRUNS 12ME0623'!D109</f>
        <v>17300323.425980002</v>
      </c>
      <c r="D29" s="388">
        <f>'REVRUNS 12ME0623'!E95+'REVRUNS 12ME0623'!E109</f>
        <v>24193229.320360001</v>
      </c>
      <c r="E29" s="388">
        <f>'REVRUNS 12ME0623'!F95+'REVRUNS 12ME0623'!F109</f>
        <v>20961024.001290001</v>
      </c>
      <c r="F29" s="388">
        <f>'REVRUNS 12ME0623'!G95+'REVRUNS 12ME0623'!G109</f>
        <v>15030406.42138</v>
      </c>
      <c r="G29" s="388">
        <f>'REVRUNS 12ME0623'!H95+'REVRUNS 12ME0623'!H109</f>
        <v>15736571.773050001</v>
      </c>
      <c r="H29" s="388">
        <f>'REVRUNS 12ME0623'!I95+'REVRUNS 12ME0623'!I109</f>
        <v>24760854.266679998</v>
      </c>
      <c r="I29" s="388">
        <f>'REVRUNS 12ME0623'!J95+'REVRUNS 12ME0623'!J109</f>
        <v>26842022.712889999</v>
      </c>
      <c r="J29" s="388">
        <f>'REVRUNS 12ME0623'!K95+'REVRUNS 12ME0623'!K109</f>
        <v>18836458.712309998</v>
      </c>
      <c r="K29" s="388">
        <f>'REVRUNS 12ME0623'!L95+'REVRUNS 12ME0623'!L109</f>
        <v>23506235.64435</v>
      </c>
      <c r="L29" s="388">
        <f>'REVRUNS 12ME0623'!M95+'REVRUNS 12ME0623'!M109</f>
        <v>15139386.564350002</v>
      </c>
      <c r="M29" s="388">
        <f>'REVRUNS 12ME0623'!N95+'REVRUNS 12ME0623'!N109</f>
        <v>15952209.159010001</v>
      </c>
      <c r="N29" s="388">
        <f>'REVRUNS 12ME0623'!O95+'REVRUNS 12ME0623'!O109</f>
        <v>16115352.40635</v>
      </c>
      <c r="O29" s="389">
        <f>SUM(C29:N29)</f>
        <v>234374074.40799999</v>
      </c>
      <c r="P29" s="390"/>
      <c r="R29" s="288">
        <v>0</v>
      </c>
      <c r="S29" s="290" t="e">
        <f>R29/$R$30</f>
        <v>#DIV/0!</v>
      </c>
    </row>
    <row r="30" spans="1:19">
      <c r="A30" s="387" t="s">
        <v>459</v>
      </c>
      <c r="B30" s="32" t="s">
        <v>64</v>
      </c>
      <c r="C30" s="284">
        <f t="shared" ref="C30:H30" si="14">SUM(C28:C29)</f>
        <v>52077814.427000001</v>
      </c>
      <c r="D30" s="284">
        <f t="shared" si="14"/>
        <v>62905709.943000004</v>
      </c>
      <c r="E30" s="284">
        <f t="shared" si="14"/>
        <v>58291748.278000005</v>
      </c>
      <c r="F30" s="284">
        <f t="shared" si="14"/>
        <v>48798372.759999998</v>
      </c>
      <c r="G30" s="284">
        <f t="shared" si="14"/>
        <v>51458284.298</v>
      </c>
      <c r="H30" s="284">
        <f t="shared" si="14"/>
        <v>69880340.290320009</v>
      </c>
      <c r="I30" s="284">
        <f>SUM(I28:I29)</f>
        <v>73435261.14447999</v>
      </c>
      <c r="J30" s="284">
        <f t="shared" ref="J30:O30" si="15">SUM(J28:J29)</f>
        <v>56174159.849079996</v>
      </c>
      <c r="K30" s="284">
        <f t="shared" si="15"/>
        <v>71507446.034999996</v>
      </c>
      <c r="L30" s="284">
        <f t="shared" si="15"/>
        <v>51485737.873000003</v>
      </c>
      <c r="M30" s="284">
        <f t="shared" si="15"/>
        <v>54342987.894000001</v>
      </c>
      <c r="N30" s="284">
        <f t="shared" si="15"/>
        <v>50377161.899000004</v>
      </c>
      <c r="O30" s="284">
        <f t="shared" si="15"/>
        <v>700735024.69088006</v>
      </c>
      <c r="P30" s="390"/>
      <c r="R30" s="40">
        <f>SUM(R28:R29)</f>
        <v>0</v>
      </c>
      <c r="S30" s="76" t="e">
        <f>SUM(S28:S29)</f>
        <v>#DIV/0!</v>
      </c>
    </row>
    <row r="31" spans="1:19">
      <c r="A31" s="387"/>
      <c r="B31" t="s">
        <v>72</v>
      </c>
      <c r="C31" s="318">
        <f>'REVRUNS 12ME0623'!D334</f>
        <v>52077814.426999994</v>
      </c>
      <c r="D31" s="318">
        <f>'REVRUNS 12ME0623'!E334</f>
        <v>62905709.943000004</v>
      </c>
      <c r="E31" s="318">
        <f>'REVRUNS 12ME0623'!F334</f>
        <v>58291748.278000005</v>
      </c>
      <c r="F31" s="318">
        <f>'REVRUNS 12ME0623'!G334</f>
        <v>48798372.759999998</v>
      </c>
      <c r="G31" s="318">
        <f>'REVRUNS 12ME0623'!H334</f>
        <v>51458284.298</v>
      </c>
      <c r="H31" s="318">
        <f>'REVRUNS 12ME0623'!I334</f>
        <v>69898340.290319994</v>
      </c>
      <c r="I31" s="318">
        <f>'REVRUNS 12ME0623'!J334</f>
        <v>73435261.14447999</v>
      </c>
      <c r="J31" s="318">
        <f>'REVRUNS 12ME0623'!K334</f>
        <v>56174159.849079996</v>
      </c>
      <c r="K31" s="318">
        <f>'REVRUNS 12ME0623'!L334</f>
        <v>71507446.034999996</v>
      </c>
      <c r="L31" s="318">
        <f>'REVRUNS 12ME0623'!M334</f>
        <v>51485737.872999996</v>
      </c>
      <c r="M31" s="318">
        <f>'REVRUNS 12ME0623'!N334</f>
        <v>54342987.894000001</v>
      </c>
      <c r="N31" s="318">
        <f>'REVRUNS 12ME0623'!O334</f>
        <v>50377161.898999996</v>
      </c>
      <c r="O31" s="389">
        <f>SUM(C31:N31)</f>
        <v>700753024.69088006</v>
      </c>
      <c r="P31" s="390"/>
    </row>
    <row r="32" spans="1:19">
      <c r="A32" s="387"/>
      <c r="C32" s="40">
        <f t="shared" ref="C32:N32" si="16">C31-C30</f>
        <v>0</v>
      </c>
      <c r="D32" s="40">
        <f t="shared" si="16"/>
        <v>0</v>
      </c>
      <c r="E32" s="40">
        <f t="shared" si="16"/>
        <v>0</v>
      </c>
      <c r="F32" s="40">
        <f t="shared" si="16"/>
        <v>0</v>
      </c>
      <c r="G32" s="40">
        <f t="shared" si="16"/>
        <v>0</v>
      </c>
      <c r="H32" s="40">
        <f t="shared" si="16"/>
        <v>17999.999999985099</v>
      </c>
      <c r="I32" s="40">
        <f t="shared" si="16"/>
        <v>0</v>
      </c>
      <c r="J32" s="40">
        <f t="shared" si="16"/>
        <v>0</v>
      </c>
      <c r="K32" s="40">
        <f t="shared" si="16"/>
        <v>0</v>
      </c>
      <c r="L32" s="40">
        <f t="shared" si="16"/>
        <v>0</v>
      </c>
      <c r="M32" s="40">
        <f t="shared" si="16"/>
        <v>0</v>
      </c>
      <c r="N32" s="40">
        <f t="shared" si="16"/>
        <v>0</v>
      </c>
      <c r="O32" s="389">
        <f>SUM(C32:N32)</f>
        <v>17999.999999985099</v>
      </c>
      <c r="P32" s="393">
        <f>O32/O31</f>
        <v>2.5686653308311235E-5</v>
      </c>
    </row>
    <row r="33" spans="1:18">
      <c r="A33" s="387"/>
      <c r="C33" s="40"/>
      <c r="D33" s="40"/>
      <c r="E33" s="40"/>
      <c r="F33" s="40"/>
      <c r="G33" s="40"/>
      <c r="H33" s="40"/>
      <c r="I33" s="40"/>
      <c r="J33" s="40"/>
      <c r="K33" s="40"/>
      <c r="L33" s="40"/>
      <c r="M33" s="40"/>
      <c r="N33" s="40"/>
      <c r="O33" s="389"/>
      <c r="P33" s="393"/>
    </row>
    <row r="34" spans="1:18">
      <c r="A34" s="387"/>
      <c r="B34" t="s">
        <v>457</v>
      </c>
      <c r="C34" s="287">
        <f>(C28/C$30)*C$32</f>
        <v>0</v>
      </c>
      <c r="D34" s="287">
        <f t="shared" ref="D34:N34" si="17">(D28/D$30)*D$32</f>
        <v>0</v>
      </c>
      <c r="E34" s="287">
        <f t="shared" si="17"/>
        <v>0</v>
      </c>
      <c r="F34" s="287">
        <f t="shared" si="17"/>
        <v>0</v>
      </c>
      <c r="G34" s="287">
        <f t="shared" si="17"/>
        <v>0</v>
      </c>
      <c r="H34" s="287">
        <f t="shared" si="17"/>
        <v>11622.020514650369</v>
      </c>
      <c r="I34" s="287">
        <f t="shared" si="17"/>
        <v>0</v>
      </c>
      <c r="J34" s="287">
        <f t="shared" si="17"/>
        <v>0</v>
      </c>
      <c r="K34" s="287">
        <f t="shared" si="17"/>
        <v>0</v>
      </c>
      <c r="L34" s="287">
        <f t="shared" si="17"/>
        <v>0</v>
      </c>
      <c r="M34" s="287">
        <f t="shared" si="17"/>
        <v>0</v>
      </c>
      <c r="N34" s="287">
        <f t="shared" si="17"/>
        <v>0</v>
      </c>
      <c r="O34" s="287">
        <f>SUM(C34:N34)</f>
        <v>11622.020514650369</v>
      </c>
      <c r="P34" s="393"/>
    </row>
    <row r="35" spans="1:18">
      <c r="A35" s="387"/>
      <c r="B35" t="s">
        <v>458</v>
      </c>
      <c r="C35" s="286">
        <f t="shared" ref="C35:N35" si="18">(C29/C$30)*C$32</f>
        <v>0</v>
      </c>
      <c r="D35" s="286">
        <f t="shared" si="18"/>
        <v>0</v>
      </c>
      <c r="E35" s="286">
        <f t="shared" si="18"/>
        <v>0</v>
      </c>
      <c r="F35" s="286">
        <f t="shared" si="18"/>
        <v>0</v>
      </c>
      <c r="G35" s="286">
        <f t="shared" si="18"/>
        <v>0</v>
      </c>
      <c r="H35" s="286">
        <f t="shared" si="18"/>
        <v>6377.9794853347303</v>
      </c>
      <c r="I35" s="286">
        <f t="shared" si="18"/>
        <v>0</v>
      </c>
      <c r="J35" s="286">
        <f t="shared" si="18"/>
        <v>0</v>
      </c>
      <c r="K35" s="286">
        <f t="shared" si="18"/>
        <v>0</v>
      </c>
      <c r="L35" s="286">
        <f t="shared" si="18"/>
        <v>0</v>
      </c>
      <c r="M35" s="286">
        <f t="shared" si="18"/>
        <v>0</v>
      </c>
      <c r="N35" s="286">
        <f t="shared" si="18"/>
        <v>0</v>
      </c>
      <c r="O35" s="286">
        <f>SUM(C35:N35)</f>
        <v>6377.9794853347303</v>
      </c>
      <c r="P35" s="393"/>
    </row>
    <row r="36" spans="1:18">
      <c r="A36" s="387"/>
      <c r="C36" s="287">
        <f>SUM(C34:C35)</f>
        <v>0</v>
      </c>
      <c r="D36" s="287">
        <f t="shared" ref="D36:N36" si="19">SUM(D34:D35)</f>
        <v>0</v>
      </c>
      <c r="E36" s="287">
        <f t="shared" si="19"/>
        <v>0</v>
      </c>
      <c r="F36" s="287">
        <f t="shared" si="19"/>
        <v>0</v>
      </c>
      <c r="G36" s="287">
        <f t="shared" si="19"/>
        <v>0</v>
      </c>
      <c r="H36" s="287">
        <f t="shared" si="19"/>
        <v>17999.999999985099</v>
      </c>
      <c r="I36" s="287">
        <f t="shared" si="19"/>
        <v>0</v>
      </c>
      <c r="J36" s="287">
        <f t="shared" si="19"/>
        <v>0</v>
      </c>
      <c r="K36" s="287">
        <f t="shared" si="19"/>
        <v>0</v>
      </c>
      <c r="L36" s="287">
        <f t="shared" si="19"/>
        <v>0</v>
      </c>
      <c r="M36" s="287">
        <f t="shared" si="19"/>
        <v>0</v>
      </c>
      <c r="N36" s="287">
        <f t="shared" si="19"/>
        <v>0</v>
      </c>
      <c r="O36" s="287">
        <f>SUM(O34:O35)</f>
        <v>17999.999999985099</v>
      </c>
      <c r="P36" s="393"/>
    </row>
    <row r="37" spans="1:18">
      <c r="A37" s="387"/>
      <c r="C37" s="287"/>
      <c r="D37" s="287"/>
      <c r="E37" s="287"/>
      <c r="F37" s="287"/>
      <c r="G37" s="287"/>
      <c r="H37" s="287"/>
      <c r="I37" s="287"/>
      <c r="J37" s="287"/>
      <c r="K37" s="287"/>
      <c r="L37" s="287"/>
      <c r="M37" s="287"/>
      <c r="N37" s="287"/>
      <c r="O37" s="287"/>
      <c r="P37" s="393"/>
    </row>
    <row r="38" spans="1:18">
      <c r="A38" s="387"/>
      <c r="B38" t="s">
        <v>457</v>
      </c>
      <c r="C38" s="287">
        <f>C28+C34</f>
        <v>34777491.001019999</v>
      </c>
      <c r="D38" s="287">
        <f t="shared" ref="D38:N38" si="20">D28+D34</f>
        <v>38712480.622639999</v>
      </c>
      <c r="E38" s="287">
        <f t="shared" si="20"/>
        <v>37330724.276710004</v>
      </c>
      <c r="F38" s="287">
        <f t="shared" si="20"/>
        <v>33767966.33862</v>
      </c>
      <c r="G38" s="287">
        <f t="shared" si="20"/>
        <v>35721712.524949998</v>
      </c>
      <c r="H38" s="287">
        <f t="shared" si="20"/>
        <v>45131108.044154659</v>
      </c>
      <c r="I38" s="287">
        <f t="shared" si="20"/>
        <v>46593238.431589998</v>
      </c>
      <c r="J38" s="287">
        <f t="shared" si="20"/>
        <v>37337701.136770003</v>
      </c>
      <c r="K38" s="287">
        <f t="shared" si="20"/>
        <v>48001210.390649997</v>
      </c>
      <c r="L38" s="287">
        <f t="shared" si="20"/>
        <v>36346351.308650002</v>
      </c>
      <c r="M38" s="287">
        <f t="shared" si="20"/>
        <v>38390778.734990001</v>
      </c>
      <c r="N38" s="287">
        <f t="shared" si="20"/>
        <v>34261809.492650002</v>
      </c>
      <c r="O38" s="287">
        <f>SUM(C38:N38)</f>
        <v>466372572.30339468</v>
      </c>
      <c r="P38" s="393"/>
    </row>
    <row r="39" spans="1:18">
      <c r="A39" s="387"/>
      <c r="B39" t="s">
        <v>458</v>
      </c>
      <c r="C39" s="286">
        <f>C29+C35</f>
        <v>17300323.425980002</v>
      </c>
      <c r="D39" s="286">
        <f t="shared" ref="D39:N39" si="21">D29+D35</f>
        <v>24193229.320360001</v>
      </c>
      <c r="E39" s="286">
        <f t="shared" si="21"/>
        <v>20961024.001290001</v>
      </c>
      <c r="F39" s="286">
        <f t="shared" si="21"/>
        <v>15030406.42138</v>
      </c>
      <c r="G39" s="286">
        <f t="shared" si="21"/>
        <v>15736571.773050001</v>
      </c>
      <c r="H39" s="286">
        <f t="shared" si="21"/>
        <v>24767232.246165331</v>
      </c>
      <c r="I39" s="286">
        <f t="shared" si="21"/>
        <v>26842022.712889999</v>
      </c>
      <c r="J39" s="286">
        <f t="shared" si="21"/>
        <v>18836458.712309998</v>
      </c>
      <c r="K39" s="286">
        <f t="shared" si="21"/>
        <v>23506235.64435</v>
      </c>
      <c r="L39" s="286">
        <f t="shared" si="21"/>
        <v>15139386.564350002</v>
      </c>
      <c r="M39" s="286">
        <f t="shared" si="21"/>
        <v>15952209.159010001</v>
      </c>
      <c r="N39" s="286">
        <f t="shared" si="21"/>
        <v>16115352.40635</v>
      </c>
      <c r="O39" s="286">
        <f>SUM(C39:N39)</f>
        <v>234380452.38748533</v>
      </c>
      <c r="P39" s="393"/>
    </row>
    <row r="40" spans="1:18">
      <c r="A40" s="387"/>
      <c r="C40" s="287">
        <f t="shared" ref="C40:O40" si="22">SUM(C38:C39)</f>
        <v>52077814.427000001</v>
      </c>
      <c r="D40" s="287">
        <f t="shared" si="22"/>
        <v>62905709.943000004</v>
      </c>
      <c r="E40" s="287">
        <f t="shared" si="22"/>
        <v>58291748.278000005</v>
      </c>
      <c r="F40" s="287">
        <f t="shared" si="22"/>
        <v>48798372.759999998</v>
      </c>
      <c r="G40" s="287">
        <f t="shared" si="22"/>
        <v>51458284.298</v>
      </c>
      <c r="H40" s="287">
        <f t="shared" si="22"/>
        <v>69898340.290319994</v>
      </c>
      <c r="I40" s="287">
        <f t="shared" si="22"/>
        <v>73435261.14447999</v>
      </c>
      <c r="J40" s="287">
        <f t="shared" si="22"/>
        <v>56174159.849079996</v>
      </c>
      <c r="K40" s="287">
        <f t="shared" si="22"/>
        <v>71507446.034999996</v>
      </c>
      <c r="L40" s="287">
        <f t="shared" si="22"/>
        <v>51485737.873000003</v>
      </c>
      <c r="M40" s="287">
        <f t="shared" si="22"/>
        <v>54342987.894000001</v>
      </c>
      <c r="N40" s="287">
        <f t="shared" si="22"/>
        <v>50377161.899000004</v>
      </c>
      <c r="O40" s="287">
        <f t="shared" si="22"/>
        <v>700753024.69088006</v>
      </c>
      <c r="P40" s="393"/>
    </row>
    <row r="41" spans="1:18">
      <c r="A41" s="387"/>
      <c r="C41" s="389">
        <f t="shared" ref="C41:O41" si="23">C40-C31</f>
        <v>0</v>
      </c>
      <c r="D41" s="389">
        <f t="shared" si="23"/>
        <v>0</v>
      </c>
      <c r="E41" s="389">
        <f t="shared" si="23"/>
        <v>0</v>
      </c>
      <c r="F41" s="389">
        <f t="shared" si="23"/>
        <v>0</v>
      </c>
      <c r="G41" s="389">
        <f t="shared" si="23"/>
        <v>0</v>
      </c>
      <c r="H41" s="389">
        <f t="shared" si="23"/>
        <v>0</v>
      </c>
      <c r="I41" s="389">
        <f t="shared" si="23"/>
        <v>0</v>
      </c>
      <c r="J41" s="389">
        <f t="shared" si="23"/>
        <v>0</v>
      </c>
      <c r="K41" s="389">
        <f t="shared" si="23"/>
        <v>0</v>
      </c>
      <c r="L41" s="389">
        <f t="shared" si="23"/>
        <v>0</v>
      </c>
      <c r="M41" s="389">
        <f t="shared" si="23"/>
        <v>0</v>
      </c>
      <c r="N41" s="389">
        <f t="shared" si="23"/>
        <v>0</v>
      </c>
      <c r="O41" s="389">
        <f t="shared" si="23"/>
        <v>0</v>
      </c>
      <c r="P41" s="393"/>
    </row>
    <row r="42" spans="1:18">
      <c r="A42" s="387"/>
      <c r="C42" s="40"/>
      <c r="D42" s="40"/>
      <c r="E42" s="40"/>
      <c r="F42" s="40"/>
      <c r="G42" s="40"/>
      <c r="H42" s="40"/>
      <c r="I42" s="40"/>
      <c r="J42" s="40"/>
      <c r="K42" s="40"/>
      <c r="L42" s="40"/>
      <c r="M42" s="40"/>
      <c r="N42" s="40"/>
      <c r="O42" s="389"/>
      <c r="P42" s="393"/>
    </row>
    <row r="43" spans="1:18">
      <c r="A43" s="387"/>
      <c r="B43" s="32" t="s">
        <v>462</v>
      </c>
      <c r="C43" s="400"/>
      <c r="D43" s="400"/>
      <c r="E43" s="400"/>
      <c r="F43" s="400"/>
      <c r="G43" s="400"/>
      <c r="H43" s="400"/>
      <c r="I43" s="400"/>
      <c r="J43" s="400"/>
      <c r="K43" s="400"/>
      <c r="L43" s="400"/>
      <c r="M43" s="400"/>
      <c r="N43" s="400"/>
      <c r="P43" s="390"/>
    </row>
    <row r="44" spans="1:18">
      <c r="A44" s="387"/>
      <c r="B44" t="s">
        <v>457</v>
      </c>
      <c r="C44" s="388"/>
      <c r="D44" s="388"/>
      <c r="E44" s="388"/>
      <c r="F44" s="388"/>
      <c r="G44" s="388"/>
      <c r="H44" s="388"/>
      <c r="I44" s="388"/>
      <c r="J44" s="388"/>
      <c r="K44" s="388"/>
      <c r="L44" s="388"/>
      <c r="M44" s="388"/>
      <c r="N44" s="388"/>
      <c r="O44" s="389">
        <f>SUM(C44:N44)</f>
        <v>0</v>
      </c>
      <c r="P44" s="390"/>
      <c r="R44" s="40">
        <v>0</v>
      </c>
    </row>
    <row r="45" spans="1:18">
      <c r="A45" s="387"/>
      <c r="B45" t="s">
        <v>458</v>
      </c>
      <c r="C45" s="392">
        <f>('REVRUNS 12ME0623'!D426+'REVRUNS 12ME0623'!D431)/7</f>
        <v>47951.838571428569</v>
      </c>
      <c r="D45" s="392">
        <f>('REVRUNS 12ME0623'!E426+'REVRUNS 12ME0623'!E431)/7</f>
        <v>55845.67571428571</v>
      </c>
      <c r="E45" s="392">
        <f>('REVRUNS 12ME0623'!F426+'REVRUNS 12ME0623'!F431)/7</f>
        <v>54480.954285714295</v>
      </c>
      <c r="F45" s="392">
        <f>('REVRUNS 12ME0623'!G426+'REVRUNS 12ME0623'!G431)/7</f>
        <v>40689.687142857139</v>
      </c>
      <c r="G45" s="392">
        <f>('REVRUNS 12ME0623'!H426+'REVRUNS 12ME0623'!H431)/7</f>
        <v>41610.81</v>
      </c>
      <c r="H45" s="392">
        <f>('REVRUNS 12ME0623'!I426+'REVRUNS 12ME0623'!I431)/7.5</f>
        <v>46665.938666666661</v>
      </c>
      <c r="I45" s="392">
        <f>('REVRUNS 12ME0623'!J426+'REVRUNS 12ME0623'!J431)/7.5</f>
        <v>48189.056000000004</v>
      </c>
      <c r="J45" s="392">
        <f>('REVRUNS 12ME0623'!K426+'REVRUNS 12ME0623'!K431)/7.5</f>
        <v>40646.572000000007</v>
      </c>
      <c r="K45" s="392">
        <f>('REVRUNS 12ME0623'!L426+'REVRUNS 12ME0623'!L431)/7.5</f>
        <v>54030.941333333343</v>
      </c>
      <c r="L45" s="392">
        <f>('REVRUNS 12ME0623'!M426+'REVRUNS 12ME0623'!M431)/7.5</f>
        <v>39698.153333333328</v>
      </c>
      <c r="M45" s="392">
        <f>('REVRUNS 12ME0623'!N426+'REVRUNS 12ME0623'!N431)/7.5</f>
        <v>50388.015999999996</v>
      </c>
      <c r="N45" s="392">
        <f>('REVRUNS 12ME0623'!O426+'REVRUNS 12ME0623'!O431)/7.5</f>
        <v>46715.189333333336</v>
      </c>
      <c r="O45" s="389">
        <f>SUM(C45:N45)</f>
        <v>566912.83238095231</v>
      </c>
      <c r="P45" s="401">
        <f>(O45-(('REVRUNS 12ME0623'!P426+'REVRUNS 12ME0623'!P431)/7.25))</f>
        <v>-2957.0655500821304</v>
      </c>
      <c r="R45" s="288">
        <v>0</v>
      </c>
    </row>
    <row r="46" spans="1:18">
      <c r="A46" s="387" t="s">
        <v>463</v>
      </c>
      <c r="B46" s="32" t="s">
        <v>64</v>
      </c>
      <c r="C46" s="284">
        <f t="shared" ref="C46:H46" si="24">SUM(C44:C45)</f>
        <v>47951.838571428569</v>
      </c>
      <c r="D46" s="284">
        <f t="shared" si="24"/>
        <v>55845.67571428571</v>
      </c>
      <c r="E46" s="284">
        <f t="shared" si="24"/>
        <v>54480.954285714295</v>
      </c>
      <c r="F46" s="284">
        <f t="shared" si="24"/>
        <v>40689.687142857139</v>
      </c>
      <c r="G46" s="284">
        <f t="shared" si="24"/>
        <v>41610.81</v>
      </c>
      <c r="H46" s="284">
        <f t="shared" si="24"/>
        <v>46665.938666666661</v>
      </c>
      <c r="I46" s="284">
        <f>SUM(I44:I45)</f>
        <v>48189.056000000004</v>
      </c>
      <c r="J46" s="284">
        <f t="shared" ref="J46:O46" si="25">SUM(J44:J45)</f>
        <v>40646.572000000007</v>
      </c>
      <c r="K46" s="284">
        <f t="shared" si="25"/>
        <v>54030.941333333343</v>
      </c>
      <c r="L46" s="284">
        <f t="shared" si="25"/>
        <v>39698.153333333328</v>
      </c>
      <c r="M46" s="284">
        <f t="shared" si="25"/>
        <v>50388.015999999996</v>
      </c>
      <c r="N46" s="284">
        <f t="shared" si="25"/>
        <v>46715.189333333336</v>
      </c>
      <c r="O46" s="284">
        <f t="shared" si="25"/>
        <v>566912.83238095231</v>
      </c>
      <c r="P46" s="390"/>
      <c r="R46" s="40">
        <f>SUM(R44:R45)</f>
        <v>0</v>
      </c>
    </row>
    <row r="47" spans="1:18">
      <c r="A47" s="387"/>
      <c r="P47" s="390"/>
    </row>
    <row r="48" spans="1:18">
      <c r="A48" s="387"/>
      <c r="B48" s="32" t="s">
        <v>462</v>
      </c>
      <c r="P48" s="390"/>
    </row>
    <row r="49" spans="1:19">
      <c r="A49" s="387"/>
      <c r="B49" t="s">
        <v>464</v>
      </c>
      <c r="C49" s="392">
        <f>('REVRUNS 12ME0623'!D427+'REVRUNS 12ME0623'!D432)/0.5</f>
        <v>0</v>
      </c>
      <c r="D49" s="392">
        <f>('REVRUNS 12ME0623'!E427+'REVRUNS 12ME0623'!E432)/0.5</f>
        <v>0</v>
      </c>
      <c r="E49" s="392">
        <f>('REVRUNS 12ME0623'!F427+'REVRUNS 12ME0623'!F432)/0.5</f>
        <v>0</v>
      </c>
      <c r="F49" s="392">
        <f>('REVRUNS 12ME0623'!G427+'REVRUNS 12ME0623'!G432)/0.5</f>
        <v>0</v>
      </c>
      <c r="G49" s="392">
        <f>('REVRUNS 12ME0623'!H427+'REVRUNS 12ME0623'!H432)/0.5</f>
        <v>0</v>
      </c>
      <c r="H49" s="392">
        <f>('REVRUNS 12ME0623'!I427+'REVRUNS 12ME0623'!I432)/0.5</f>
        <v>0</v>
      </c>
      <c r="I49" s="392">
        <f>('REVRUNS 12ME0623'!J427+'REVRUNS 12ME0623'!J432)/0.5</f>
        <v>0</v>
      </c>
      <c r="J49" s="392">
        <f>('REVRUNS 12ME0623'!K427+'REVRUNS 12ME0623'!K432)/0.5</f>
        <v>0</v>
      </c>
      <c r="K49" s="392">
        <f>('REVRUNS 12ME0623'!L427+'REVRUNS 12ME0623'!L432)/0.5</f>
        <v>0</v>
      </c>
      <c r="L49" s="392">
        <f>('REVRUNS 12ME0623'!M427+'REVRUNS 12ME0623'!M432)/0.5</f>
        <v>0</v>
      </c>
      <c r="M49" s="392">
        <f>('REVRUNS 12ME0623'!N427+'REVRUNS 12ME0623'!N432)/0.5</f>
        <v>0</v>
      </c>
      <c r="N49" s="392">
        <f>('REVRUNS 12ME0623'!O427+'REVRUNS 12ME0623'!O432)/0.5</f>
        <v>0</v>
      </c>
      <c r="O49" s="389">
        <f>SUM(C49:N49)</f>
        <v>0</v>
      </c>
      <c r="P49" s="390"/>
      <c r="R49" s="40">
        <v>0</v>
      </c>
    </row>
    <row r="50" spans="1:19">
      <c r="A50" s="387"/>
      <c r="B50" t="s">
        <v>465</v>
      </c>
      <c r="C50" s="402">
        <v>0.5</v>
      </c>
      <c r="D50" s="402">
        <v>0.5</v>
      </c>
      <c r="E50" s="402">
        <v>0.5</v>
      </c>
      <c r="F50" s="402">
        <v>0.5</v>
      </c>
      <c r="G50" s="402">
        <v>0.5</v>
      </c>
      <c r="H50" s="402">
        <v>0.5</v>
      </c>
      <c r="I50" s="402">
        <v>0.5</v>
      </c>
      <c r="J50" s="402">
        <v>0.5</v>
      </c>
      <c r="K50" s="402">
        <v>0.5</v>
      </c>
      <c r="L50" s="402">
        <v>0.5</v>
      </c>
      <c r="M50" s="402">
        <v>0.5</v>
      </c>
      <c r="N50" s="402">
        <v>0.5</v>
      </c>
      <c r="O50" s="403">
        <v>0.5</v>
      </c>
      <c r="P50" s="390"/>
    </row>
    <row r="51" spans="1:19">
      <c r="A51" s="387"/>
      <c r="B51" t="s">
        <v>466</v>
      </c>
      <c r="C51" s="403">
        <f t="shared" ref="C51:O51" si="26">C49*C50</f>
        <v>0</v>
      </c>
      <c r="D51" s="403">
        <f t="shared" si="26"/>
        <v>0</v>
      </c>
      <c r="E51" s="403">
        <f t="shared" si="26"/>
        <v>0</v>
      </c>
      <c r="F51" s="403">
        <f t="shared" si="26"/>
        <v>0</v>
      </c>
      <c r="G51" s="403">
        <f t="shared" si="26"/>
        <v>0</v>
      </c>
      <c r="H51" s="403">
        <f t="shared" si="26"/>
        <v>0</v>
      </c>
      <c r="I51" s="403">
        <f t="shared" si="26"/>
        <v>0</v>
      </c>
      <c r="J51" s="403">
        <f t="shared" si="26"/>
        <v>0</v>
      </c>
      <c r="K51" s="403">
        <f t="shared" si="26"/>
        <v>0</v>
      </c>
      <c r="L51" s="403">
        <f t="shared" si="26"/>
        <v>0</v>
      </c>
      <c r="M51" s="403">
        <f t="shared" si="26"/>
        <v>0</v>
      </c>
      <c r="N51" s="403">
        <f t="shared" si="26"/>
        <v>0</v>
      </c>
      <c r="O51" s="403">
        <f t="shared" si="26"/>
        <v>0</v>
      </c>
      <c r="P51" s="404">
        <f>O51-'REVRUNS 12ME0623'!P427-'REVRUNS 12ME0623'!P432</f>
        <v>0</v>
      </c>
    </row>
    <row r="52" spans="1:19" ht="13" thickBot="1">
      <c r="A52" s="394"/>
      <c r="B52" s="326"/>
      <c r="C52" s="326"/>
      <c r="D52" s="326"/>
      <c r="E52" s="326"/>
      <c r="F52" s="326"/>
      <c r="G52" s="326"/>
      <c r="H52" s="326"/>
      <c r="I52" s="326"/>
      <c r="J52" s="326"/>
      <c r="K52" s="326"/>
      <c r="L52" s="326"/>
      <c r="M52" s="326"/>
      <c r="N52" s="326"/>
      <c r="O52" s="326"/>
      <c r="P52" s="405"/>
    </row>
    <row r="53" spans="1:19">
      <c r="A53" s="382"/>
      <c r="B53" s="383" t="s">
        <v>760</v>
      </c>
      <c r="C53" s="399"/>
      <c r="D53" s="399"/>
      <c r="E53" s="399"/>
      <c r="F53" s="399"/>
      <c r="G53" s="399"/>
      <c r="H53" s="399"/>
      <c r="I53" s="399"/>
      <c r="J53" s="399"/>
      <c r="K53" s="399"/>
      <c r="L53" s="399"/>
      <c r="M53" s="399"/>
      <c r="N53" s="399"/>
      <c r="O53" s="384"/>
      <c r="P53" s="386"/>
    </row>
    <row r="54" spans="1:19">
      <c r="A54" s="387"/>
      <c r="B54" t="s">
        <v>457</v>
      </c>
      <c r="C54" s="388">
        <f>'REVRUNS 12ME0623'!D123</f>
        <v>24591.119999999999</v>
      </c>
      <c r="D54" s="388">
        <f>'REVRUNS 12ME0623'!E123</f>
        <v>28632.75</v>
      </c>
      <c r="E54" s="388">
        <f>'REVRUNS 12ME0623'!F123</f>
        <v>31423.89</v>
      </c>
      <c r="F54" s="388">
        <f>'REVRUNS 12ME0623'!G123</f>
        <v>34138.83</v>
      </c>
      <c r="G54" s="388">
        <f>'REVRUNS 12ME0623'!H123</f>
        <v>25962.47</v>
      </c>
      <c r="H54" s="388">
        <f>'REVRUNS 12ME0623'!I123</f>
        <v>22047.439999999999</v>
      </c>
      <c r="I54" s="388">
        <f>'REVRUNS 12ME0623'!J123</f>
        <v>24113.73</v>
      </c>
      <c r="J54" s="388">
        <f>'REVRUNS 12ME0623'!K123</f>
        <v>20235.900000000001</v>
      </c>
      <c r="K54" s="388">
        <f>'REVRUNS 12ME0623'!L123</f>
        <v>28153.02</v>
      </c>
      <c r="L54" s="388">
        <f>'REVRUNS 12ME0623'!M123</f>
        <v>34788.879999999997</v>
      </c>
      <c r="M54" s="388">
        <f>'REVRUNS 12ME0623'!N123</f>
        <v>43286.62</v>
      </c>
      <c r="N54" s="388">
        <f>'REVRUNS 12ME0623'!O123</f>
        <v>53242.720000000001</v>
      </c>
      <c r="O54" s="389">
        <f>SUM(C54:N54)</f>
        <v>370617.37</v>
      </c>
      <c r="P54" s="390"/>
      <c r="R54" s="40">
        <v>0</v>
      </c>
      <c r="S54" s="289" t="e">
        <f>R54/$R$30</f>
        <v>#DIV/0!</v>
      </c>
    </row>
    <row r="55" spans="1:19">
      <c r="A55" s="387"/>
      <c r="B55" t="s">
        <v>458</v>
      </c>
      <c r="C55" s="388">
        <f>'REVRUNS 12ME0623'!D124</f>
        <v>0</v>
      </c>
      <c r="D55" s="388">
        <f>'REVRUNS 12ME0623'!E124</f>
        <v>0</v>
      </c>
      <c r="E55" s="388">
        <f>'REVRUNS 12ME0623'!F124</f>
        <v>0</v>
      </c>
      <c r="F55" s="388">
        <f>'REVRUNS 12ME0623'!G124</f>
        <v>0</v>
      </c>
      <c r="G55" s="388">
        <f>'REVRUNS 12ME0623'!H124</f>
        <v>0</v>
      </c>
      <c r="H55" s="388">
        <f>'REVRUNS 12ME0623'!I124</f>
        <v>0</v>
      </c>
      <c r="I55" s="388">
        <f>'REVRUNS 12ME0623'!J124</f>
        <v>0</v>
      </c>
      <c r="J55" s="388">
        <f>'REVRUNS 12ME0623'!K124</f>
        <v>0</v>
      </c>
      <c r="K55" s="388">
        <f>'REVRUNS 12ME0623'!L124</f>
        <v>0</v>
      </c>
      <c r="L55" s="388">
        <f>'REVRUNS 12ME0623'!M124</f>
        <v>0</v>
      </c>
      <c r="M55" s="388">
        <f>'REVRUNS 12ME0623'!N124</f>
        <v>0</v>
      </c>
      <c r="N55" s="388">
        <f>'REVRUNS 12ME0623'!O124</f>
        <v>0</v>
      </c>
      <c r="O55" s="389">
        <f t="shared" ref="O55:O56" si="27">SUM(C55:N55)</f>
        <v>0</v>
      </c>
      <c r="P55" s="390"/>
      <c r="R55" s="288">
        <v>0</v>
      </c>
      <c r="S55" s="290" t="e">
        <f>R55/$R$30</f>
        <v>#DIV/0!</v>
      </c>
    </row>
    <row r="56" spans="1:19">
      <c r="A56" s="457"/>
      <c r="B56" s="458" t="s">
        <v>572</v>
      </c>
      <c r="C56" s="388">
        <f>'REVRUNS 12ME0623'!D125</f>
        <v>0</v>
      </c>
      <c r="D56" s="388">
        <f>'REVRUNS 12ME0623'!E125</f>
        <v>-503</v>
      </c>
      <c r="E56" s="388">
        <f>'REVRUNS 12ME0623'!F125</f>
        <v>291</v>
      </c>
      <c r="F56" s="388">
        <f>'REVRUNS 12ME0623'!G125</f>
        <v>211</v>
      </c>
      <c r="G56" s="388">
        <f>'REVRUNS 12ME0623'!H125</f>
        <v>0</v>
      </c>
      <c r="H56" s="388">
        <f>'REVRUNS 12ME0623'!I125</f>
        <v>0</v>
      </c>
      <c r="I56" s="388">
        <f>'REVRUNS 12ME0623'!J125</f>
        <v>0</v>
      </c>
      <c r="J56" s="388">
        <f>'REVRUNS 12ME0623'!K125</f>
        <v>0</v>
      </c>
      <c r="K56" s="388">
        <f>'REVRUNS 12ME0623'!L125</f>
        <v>0</v>
      </c>
      <c r="L56" s="388">
        <f>'REVRUNS 12ME0623'!M125</f>
        <v>0</v>
      </c>
      <c r="M56" s="388">
        <f>'REVRUNS 12ME0623'!N125</f>
        <v>0</v>
      </c>
      <c r="N56" s="388">
        <f>'REVRUNS 12ME0623'!O125</f>
        <v>0</v>
      </c>
      <c r="O56" s="389">
        <f t="shared" si="27"/>
        <v>-1</v>
      </c>
      <c r="P56" s="390"/>
      <c r="R56" s="40"/>
      <c r="S56" s="456"/>
    </row>
    <row r="57" spans="1:19">
      <c r="A57" s="387" t="s">
        <v>459</v>
      </c>
      <c r="B57" s="32" t="s">
        <v>64</v>
      </c>
      <c r="C57" s="284">
        <f>SUM(C54:C56)</f>
        <v>24591.119999999999</v>
      </c>
      <c r="D57" s="284">
        <f t="shared" ref="D57:N57" si="28">SUM(D54:D56)</f>
        <v>28129.75</v>
      </c>
      <c r="E57" s="284">
        <f t="shared" si="28"/>
        <v>31714.89</v>
      </c>
      <c r="F57" s="284">
        <f t="shared" si="28"/>
        <v>34349.83</v>
      </c>
      <c r="G57" s="284">
        <f t="shared" si="28"/>
        <v>25962.47</v>
      </c>
      <c r="H57" s="284">
        <f t="shared" si="28"/>
        <v>22047.439999999999</v>
      </c>
      <c r="I57" s="284">
        <f t="shared" si="28"/>
        <v>24113.73</v>
      </c>
      <c r="J57" s="284">
        <f t="shared" si="28"/>
        <v>20235.900000000001</v>
      </c>
      <c r="K57" s="284">
        <f t="shared" si="28"/>
        <v>28153.02</v>
      </c>
      <c r="L57" s="284">
        <f t="shared" si="28"/>
        <v>34788.879999999997</v>
      </c>
      <c r="M57" s="284">
        <f t="shared" si="28"/>
        <v>43286.62</v>
      </c>
      <c r="N57" s="284">
        <f t="shared" si="28"/>
        <v>53242.720000000001</v>
      </c>
      <c r="O57" s="284">
        <f t="shared" ref="O57" si="29">SUM(O54:O55)</f>
        <v>370617.37</v>
      </c>
      <c r="P57" s="390"/>
      <c r="R57" s="40">
        <f>SUM(R54:R55)</f>
        <v>0</v>
      </c>
      <c r="S57" s="76" t="e">
        <f>SUM(S54:S55)</f>
        <v>#DIV/0!</v>
      </c>
    </row>
    <row r="58" spans="1:19">
      <c r="A58" s="387"/>
      <c r="B58" t="s">
        <v>72</v>
      </c>
      <c r="C58" s="318">
        <f>'REVRUNS 12ME0623'!D335</f>
        <v>24591.119999999999</v>
      </c>
      <c r="D58" s="318">
        <f>'REVRUNS 12ME0623'!E335</f>
        <v>28129.75</v>
      </c>
      <c r="E58" s="318">
        <f>'REVRUNS 12ME0623'!F335</f>
        <v>31714.89</v>
      </c>
      <c r="F58" s="318">
        <f>'REVRUNS 12ME0623'!G335</f>
        <v>34349.83</v>
      </c>
      <c r="G58" s="318">
        <f>'REVRUNS 12ME0623'!H335</f>
        <v>25962.47</v>
      </c>
      <c r="H58" s="318">
        <f>'REVRUNS 12ME0623'!I335</f>
        <v>22047.439999999999</v>
      </c>
      <c r="I58" s="318">
        <f>'REVRUNS 12ME0623'!J335</f>
        <v>24113.73</v>
      </c>
      <c r="J58" s="318">
        <f>'REVRUNS 12ME0623'!K335</f>
        <v>20235.900000000001</v>
      </c>
      <c r="K58" s="318">
        <f>'REVRUNS 12ME0623'!L335</f>
        <v>28153.02</v>
      </c>
      <c r="L58" s="318">
        <f>'REVRUNS 12ME0623'!M335</f>
        <v>34788.879999999997</v>
      </c>
      <c r="M58" s="318">
        <f>'REVRUNS 12ME0623'!N335</f>
        <v>43286.62</v>
      </c>
      <c r="N58" s="318">
        <f>'REVRUNS 12ME0623'!O335</f>
        <v>53242.720000000001</v>
      </c>
      <c r="O58" s="389">
        <f>SUM(C58:N58)</f>
        <v>370616.37</v>
      </c>
      <c r="P58" s="390"/>
    </row>
    <row r="59" spans="1:19">
      <c r="A59" s="447"/>
      <c r="B59" s="320"/>
      <c r="C59" s="461">
        <f t="shared" ref="C59:N59" si="30">C58-C57</f>
        <v>0</v>
      </c>
      <c r="D59" s="461">
        <f t="shared" si="30"/>
        <v>0</v>
      </c>
      <c r="E59" s="461">
        <f t="shared" si="30"/>
        <v>0</v>
      </c>
      <c r="F59" s="461">
        <f t="shared" si="30"/>
        <v>0</v>
      </c>
      <c r="G59" s="461">
        <f t="shared" si="30"/>
        <v>0</v>
      </c>
      <c r="H59" s="461">
        <f t="shared" si="30"/>
        <v>0</v>
      </c>
      <c r="I59" s="461">
        <f t="shared" si="30"/>
        <v>0</v>
      </c>
      <c r="J59" s="461">
        <f t="shared" si="30"/>
        <v>0</v>
      </c>
      <c r="K59" s="461">
        <f t="shared" si="30"/>
        <v>0</v>
      </c>
      <c r="L59" s="461">
        <f t="shared" si="30"/>
        <v>0</v>
      </c>
      <c r="M59" s="461">
        <f t="shared" si="30"/>
        <v>0</v>
      </c>
      <c r="N59" s="461">
        <f t="shared" si="30"/>
        <v>0</v>
      </c>
      <c r="O59" s="462">
        <f>SUM(C59:N59)</f>
        <v>0</v>
      </c>
      <c r="P59" s="393">
        <f>O59/O58</f>
        <v>0</v>
      </c>
    </row>
    <row r="60" spans="1:19">
      <c r="A60" s="447"/>
      <c r="B60" s="320"/>
      <c r="C60" s="461"/>
      <c r="D60" s="461"/>
      <c r="E60" s="461"/>
      <c r="F60" s="461"/>
      <c r="G60" s="461"/>
      <c r="H60" s="461"/>
      <c r="I60" s="461"/>
      <c r="J60" s="461"/>
      <c r="K60" s="461"/>
      <c r="L60" s="461"/>
      <c r="M60" s="461"/>
      <c r="N60" s="461"/>
      <c r="O60" s="462"/>
      <c r="P60" s="393"/>
    </row>
    <row r="61" spans="1:19">
      <c r="A61" s="447"/>
      <c r="B61" s="320" t="s">
        <v>457</v>
      </c>
      <c r="C61" s="463">
        <f>IF(C57=0,0,(C54/C$58)*C$59)</f>
        <v>0</v>
      </c>
      <c r="D61" s="463">
        <f t="shared" ref="D61:N61" si="31">IF(D57=0,0,(D54/D$58)*D$59)</f>
        <v>0</v>
      </c>
      <c r="E61" s="463">
        <f t="shared" si="31"/>
        <v>0</v>
      </c>
      <c r="F61" s="463">
        <f t="shared" si="31"/>
        <v>0</v>
      </c>
      <c r="G61" s="463">
        <f t="shared" si="31"/>
        <v>0</v>
      </c>
      <c r="H61" s="463">
        <f t="shared" si="31"/>
        <v>0</v>
      </c>
      <c r="I61" s="463">
        <f t="shared" si="31"/>
        <v>0</v>
      </c>
      <c r="J61" s="463">
        <f t="shared" si="31"/>
        <v>0</v>
      </c>
      <c r="K61" s="463">
        <f t="shared" si="31"/>
        <v>0</v>
      </c>
      <c r="L61" s="463">
        <f t="shared" si="31"/>
        <v>0</v>
      </c>
      <c r="M61" s="463">
        <f t="shared" si="31"/>
        <v>0</v>
      </c>
      <c r="N61" s="463">
        <f t="shared" si="31"/>
        <v>0</v>
      </c>
      <c r="O61" s="463">
        <f>SUM(C61:N61)</f>
        <v>0</v>
      </c>
      <c r="P61" s="393"/>
    </row>
    <row r="62" spans="1:19">
      <c r="A62" s="447"/>
      <c r="B62" s="320" t="s">
        <v>458</v>
      </c>
      <c r="C62" s="464">
        <f>IF(C57=0,0,(C55/C$58)*C$59)</f>
        <v>0</v>
      </c>
      <c r="D62" s="464">
        <f t="shared" ref="D62:N62" si="32">IF(D57=0,0,(D55/D$58)*D$59)</f>
        <v>0</v>
      </c>
      <c r="E62" s="464">
        <f t="shared" si="32"/>
        <v>0</v>
      </c>
      <c r="F62" s="464">
        <f t="shared" si="32"/>
        <v>0</v>
      </c>
      <c r="G62" s="464">
        <f t="shared" si="32"/>
        <v>0</v>
      </c>
      <c r="H62" s="464">
        <f t="shared" si="32"/>
        <v>0</v>
      </c>
      <c r="I62" s="464">
        <f t="shared" si="32"/>
        <v>0</v>
      </c>
      <c r="J62" s="464">
        <f t="shared" si="32"/>
        <v>0</v>
      </c>
      <c r="K62" s="464">
        <f t="shared" si="32"/>
        <v>0</v>
      </c>
      <c r="L62" s="464">
        <f t="shared" si="32"/>
        <v>0</v>
      </c>
      <c r="M62" s="464">
        <f t="shared" si="32"/>
        <v>0</v>
      </c>
      <c r="N62" s="464">
        <f t="shared" si="32"/>
        <v>0</v>
      </c>
      <c r="O62" s="464">
        <f>SUM(C62:N62)</f>
        <v>0</v>
      </c>
      <c r="P62" s="393"/>
    </row>
    <row r="63" spans="1:19">
      <c r="A63" s="447"/>
      <c r="B63" s="320"/>
      <c r="C63" s="463">
        <f>SUM(C61:C62)</f>
        <v>0</v>
      </c>
      <c r="D63" s="463">
        <f t="shared" ref="D63:N63" si="33">SUM(D61:D62)</f>
        <v>0</v>
      </c>
      <c r="E63" s="463">
        <f t="shared" si="33"/>
        <v>0</v>
      </c>
      <c r="F63" s="463">
        <f t="shared" si="33"/>
        <v>0</v>
      </c>
      <c r="G63" s="463">
        <f t="shared" si="33"/>
        <v>0</v>
      </c>
      <c r="H63" s="463">
        <f t="shared" si="33"/>
        <v>0</v>
      </c>
      <c r="I63" s="463">
        <f t="shared" si="33"/>
        <v>0</v>
      </c>
      <c r="J63" s="463">
        <f t="shared" si="33"/>
        <v>0</v>
      </c>
      <c r="K63" s="463">
        <f t="shared" si="33"/>
        <v>0</v>
      </c>
      <c r="L63" s="463">
        <f t="shared" si="33"/>
        <v>0</v>
      </c>
      <c r="M63" s="463">
        <f t="shared" si="33"/>
        <v>0</v>
      </c>
      <c r="N63" s="463">
        <f t="shared" si="33"/>
        <v>0</v>
      </c>
      <c r="O63" s="463">
        <f>SUM(O61:O62)</f>
        <v>0</v>
      </c>
      <c r="P63" s="393"/>
    </row>
    <row r="64" spans="1:19">
      <c r="A64" s="447"/>
      <c r="B64" s="320"/>
      <c r="C64" s="463"/>
      <c r="D64" s="463"/>
      <c r="E64" s="463"/>
      <c r="F64" s="463"/>
      <c r="G64" s="463"/>
      <c r="H64" s="463"/>
      <c r="I64" s="463"/>
      <c r="J64" s="463"/>
      <c r="K64" s="463"/>
      <c r="L64" s="463"/>
      <c r="M64" s="463"/>
      <c r="N64" s="463"/>
      <c r="O64" s="463"/>
      <c r="P64" s="393"/>
    </row>
    <row r="65" spans="1:18">
      <c r="A65" s="447"/>
      <c r="B65" s="320" t="s">
        <v>457</v>
      </c>
      <c r="C65" s="463">
        <f>C54+C61</f>
        <v>24591.119999999999</v>
      </c>
      <c r="D65" s="463">
        <f t="shared" ref="D65:N65" si="34">D54+D61</f>
        <v>28632.75</v>
      </c>
      <c r="E65" s="463">
        <f t="shared" si="34"/>
        <v>31423.89</v>
      </c>
      <c r="F65" s="463">
        <f t="shared" si="34"/>
        <v>34138.83</v>
      </c>
      <c r="G65" s="463">
        <f t="shared" si="34"/>
        <v>25962.47</v>
      </c>
      <c r="H65" s="463">
        <f t="shared" si="34"/>
        <v>22047.439999999999</v>
      </c>
      <c r="I65" s="463">
        <f t="shared" si="34"/>
        <v>24113.73</v>
      </c>
      <c r="J65" s="463">
        <f t="shared" si="34"/>
        <v>20235.900000000001</v>
      </c>
      <c r="K65" s="463">
        <f t="shared" si="34"/>
        <v>28153.02</v>
      </c>
      <c r="L65" s="463">
        <f t="shared" si="34"/>
        <v>34788.879999999997</v>
      </c>
      <c r="M65" s="463">
        <f t="shared" si="34"/>
        <v>43286.62</v>
      </c>
      <c r="N65" s="463">
        <f t="shared" si="34"/>
        <v>53242.720000000001</v>
      </c>
      <c r="O65" s="463">
        <f>SUM(C65:N65)</f>
        <v>370617.37</v>
      </c>
      <c r="P65" s="393"/>
    </row>
    <row r="66" spans="1:18">
      <c r="A66" s="447"/>
      <c r="B66" s="320" t="s">
        <v>458</v>
      </c>
      <c r="C66" s="464">
        <f>C55+C62</f>
        <v>0</v>
      </c>
      <c r="D66" s="464">
        <f t="shared" ref="D66:N66" si="35">D55+D62</f>
        <v>0</v>
      </c>
      <c r="E66" s="464">
        <f t="shared" si="35"/>
        <v>0</v>
      </c>
      <c r="F66" s="464">
        <f t="shared" si="35"/>
        <v>0</v>
      </c>
      <c r="G66" s="464">
        <f t="shared" si="35"/>
        <v>0</v>
      </c>
      <c r="H66" s="464">
        <f t="shared" si="35"/>
        <v>0</v>
      </c>
      <c r="I66" s="464">
        <f t="shared" si="35"/>
        <v>0</v>
      </c>
      <c r="J66" s="464">
        <f t="shared" si="35"/>
        <v>0</v>
      </c>
      <c r="K66" s="464">
        <f t="shared" si="35"/>
        <v>0</v>
      </c>
      <c r="L66" s="464">
        <f t="shared" si="35"/>
        <v>0</v>
      </c>
      <c r="M66" s="464">
        <f t="shared" si="35"/>
        <v>0</v>
      </c>
      <c r="N66" s="464">
        <f t="shared" si="35"/>
        <v>0</v>
      </c>
      <c r="O66" s="464">
        <f>SUM(C66:N66)</f>
        <v>0</v>
      </c>
      <c r="P66" s="393"/>
    </row>
    <row r="67" spans="1:18">
      <c r="A67" s="447"/>
      <c r="B67" s="320"/>
      <c r="C67" s="463">
        <f t="shared" ref="C67:O67" si="36">SUM(C65:C66)</f>
        <v>24591.119999999999</v>
      </c>
      <c r="D67" s="463">
        <f t="shared" si="36"/>
        <v>28632.75</v>
      </c>
      <c r="E67" s="463">
        <f t="shared" si="36"/>
        <v>31423.89</v>
      </c>
      <c r="F67" s="463">
        <f t="shared" si="36"/>
        <v>34138.83</v>
      </c>
      <c r="G67" s="463">
        <f t="shared" si="36"/>
        <v>25962.47</v>
      </c>
      <c r="H67" s="463">
        <f t="shared" si="36"/>
        <v>22047.439999999999</v>
      </c>
      <c r="I67" s="463">
        <f t="shared" si="36"/>
        <v>24113.73</v>
      </c>
      <c r="J67" s="463">
        <f t="shared" si="36"/>
        <v>20235.900000000001</v>
      </c>
      <c r="K67" s="463">
        <f t="shared" si="36"/>
        <v>28153.02</v>
      </c>
      <c r="L67" s="463">
        <f t="shared" si="36"/>
        <v>34788.879999999997</v>
      </c>
      <c r="M67" s="463">
        <f t="shared" si="36"/>
        <v>43286.62</v>
      </c>
      <c r="N67" s="463">
        <f t="shared" si="36"/>
        <v>53242.720000000001</v>
      </c>
      <c r="O67" s="463">
        <f t="shared" si="36"/>
        <v>370617.37</v>
      </c>
      <c r="P67" s="393"/>
    </row>
    <row r="68" spans="1:18">
      <c r="A68" s="447"/>
      <c r="B68" s="320"/>
      <c r="C68" s="462">
        <f t="shared" ref="C68:O68" si="37">C67-C58</f>
        <v>0</v>
      </c>
      <c r="D68" s="462">
        <f t="shared" si="37"/>
        <v>503</v>
      </c>
      <c r="E68" s="462">
        <f t="shared" si="37"/>
        <v>-291</v>
      </c>
      <c r="F68" s="462">
        <f t="shared" si="37"/>
        <v>-211</v>
      </c>
      <c r="G68" s="462">
        <f t="shared" si="37"/>
        <v>0</v>
      </c>
      <c r="H68" s="462">
        <f t="shared" si="37"/>
        <v>0</v>
      </c>
      <c r="I68" s="462">
        <f t="shared" si="37"/>
        <v>0</v>
      </c>
      <c r="J68" s="462">
        <f t="shared" si="37"/>
        <v>0</v>
      </c>
      <c r="K68" s="462">
        <f t="shared" si="37"/>
        <v>0</v>
      </c>
      <c r="L68" s="462">
        <f t="shared" si="37"/>
        <v>0</v>
      </c>
      <c r="M68" s="462">
        <f t="shared" si="37"/>
        <v>0</v>
      </c>
      <c r="N68" s="462">
        <f t="shared" si="37"/>
        <v>0</v>
      </c>
      <c r="O68" s="462">
        <f t="shared" si="37"/>
        <v>1</v>
      </c>
      <c r="P68" s="393"/>
    </row>
    <row r="69" spans="1:18">
      <c r="A69" s="447"/>
      <c r="B69" s="320"/>
      <c r="C69" s="461"/>
      <c r="D69" s="461"/>
      <c r="E69" s="461"/>
      <c r="F69" s="461"/>
      <c r="G69" s="461"/>
      <c r="H69" s="461"/>
      <c r="I69" s="461"/>
      <c r="J69" s="461"/>
      <c r="K69" s="461"/>
      <c r="L69" s="461"/>
      <c r="M69" s="461"/>
      <c r="N69" s="461"/>
      <c r="O69" s="462"/>
      <c r="P69" s="393"/>
    </row>
    <row r="70" spans="1:18">
      <c r="A70" s="447"/>
      <c r="B70" s="448" t="s">
        <v>760</v>
      </c>
      <c r="C70" s="465"/>
      <c r="D70" s="465"/>
      <c r="E70" s="465"/>
      <c r="F70" s="465"/>
      <c r="G70" s="465"/>
      <c r="H70" s="465"/>
      <c r="I70" s="465"/>
      <c r="J70" s="465"/>
      <c r="K70" s="465"/>
      <c r="L70" s="465"/>
      <c r="M70" s="465"/>
      <c r="N70" s="465"/>
      <c r="O70" s="320"/>
      <c r="P70" s="390"/>
    </row>
    <row r="71" spans="1:18">
      <c r="A71" s="447"/>
      <c r="B71" s="320" t="s">
        <v>457</v>
      </c>
      <c r="C71" s="462"/>
      <c r="D71" s="462"/>
      <c r="E71" s="462"/>
      <c r="F71" s="462"/>
      <c r="G71" s="462"/>
      <c r="H71" s="462"/>
      <c r="I71" s="462"/>
      <c r="J71" s="462"/>
      <c r="K71" s="462"/>
      <c r="L71" s="462"/>
      <c r="M71" s="462"/>
      <c r="N71" s="462"/>
      <c r="O71" s="462">
        <f>SUM(C71:N71)</f>
        <v>0</v>
      </c>
      <c r="P71" s="390"/>
      <c r="R71" s="40">
        <v>0</v>
      </c>
    </row>
    <row r="72" spans="1:18">
      <c r="A72" s="447"/>
      <c r="B72" s="320" t="s">
        <v>458</v>
      </c>
      <c r="C72" s="462" t="e">
        <f>'REVRUNS 12ME0623'!D436/'REVRUNS 12ME0623'!D438</f>
        <v>#DIV/0!</v>
      </c>
      <c r="D72" s="462" t="e">
        <f>'REVRUNS 12ME0623'!E436/'REVRUNS 12ME0623'!E438</f>
        <v>#DIV/0!</v>
      </c>
      <c r="E72" s="462" t="e">
        <f>'REVRUNS 12ME0623'!F436/'REVRUNS 12ME0623'!F438</f>
        <v>#DIV/0!</v>
      </c>
      <c r="F72" s="462" t="e">
        <f>'REVRUNS 12ME0623'!G436/'REVRUNS 12ME0623'!G438</f>
        <v>#DIV/0!</v>
      </c>
      <c r="G72" s="462" t="e">
        <f>'REVRUNS 12ME0623'!H436/'REVRUNS 12ME0623'!H438</f>
        <v>#DIV/0!</v>
      </c>
      <c r="H72" s="462" t="e">
        <f>'REVRUNS 12ME0623'!I436/'REVRUNS 12ME0623'!I438</f>
        <v>#DIV/0!</v>
      </c>
      <c r="I72" s="462" t="e">
        <f>'REVRUNS 12ME0623'!J436/'REVRUNS 12ME0623'!J438</f>
        <v>#DIV/0!</v>
      </c>
      <c r="J72" s="462" t="e">
        <f>'REVRUNS 12ME0623'!K436/'REVRUNS 12ME0623'!K438</f>
        <v>#DIV/0!</v>
      </c>
      <c r="K72" s="462" t="e">
        <f>'REVRUNS 12ME0623'!L436/'REVRUNS 12ME0623'!L438</f>
        <v>#DIV/0!</v>
      </c>
      <c r="L72" s="462" t="e">
        <f>'REVRUNS 12ME0623'!M436/'REVRUNS 12ME0623'!M438</f>
        <v>#DIV/0!</v>
      </c>
      <c r="M72" s="462" t="e">
        <f>'REVRUNS 12ME0623'!N436/'REVRUNS 12ME0623'!N438</f>
        <v>#DIV/0!</v>
      </c>
      <c r="N72" s="462" t="e">
        <f>'REVRUNS 12ME0623'!O436/'REVRUNS 12ME0623'!O438</f>
        <v>#DIV/0!</v>
      </c>
      <c r="O72" s="462" t="e">
        <f>SUM(C72:N72)</f>
        <v>#DIV/0!</v>
      </c>
      <c r="P72" s="401" t="e">
        <f>(O72-'REVRUNS 12ME0623'!D436/6.5)</f>
        <v>#DIV/0!</v>
      </c>
      <c r="R72" s="288">
        <v>0</v>
      </c>
    </row>
    <row r="73" spans="1:18">
      <c r="A73" s="447" t="s">
        <v>463</v>
      </c>
      <c r="B73" s="448" t="s">
        <v>64</v>
      </c>
      <c r="C73" s="466" t="e">
        <f t="shared" ref="C73:H73" si="38">SUM(C71:C72)</f>
        <v>#DIV/0!</v>
      </c>
      <c r="D73" s="466" t="e">
        <f t="shared" si="38"/>
        <v>#DIV/0!</v>
      </c>
      <c r="E73" s="466" t="e">
        <f t="shared" si="38"/>
        <v>#DIV/0!</v>
      </c>
      <c r="F73" s="466" t="e">
        <f t="shared" si="38"/>
        <v>#DIV/0!</v>
      </c>
      <c r="G73" s="466" t="e">
        <f t="shared" si="38"/>
        <v>#DIV/0!</v>
      </c>
      <c r="H73" s="466" t="e">
        <f t="shared" si="38"/>
        <v>#DIV/0!</v>
      </c>
      <c r="I73" s="466" t="e">
        <f>SUM(I71:I72)</f>
        <v>#DIV/0!</v>
      </c>
      <c r="J73" s="466" t="e">
        <f t="shared" ref="J73:O73" si="39">SUM(J71:J72)</f>
        <v>#DIV/0!</v>
      </c>
      <c r="K73" s="466" t="e">
        <f t="shared" si="39"/>
        <v>#DIV/0!</v>
      </c>
      <c r="L73" s="466" t="e">
        <f t="shared" si="39"/>
        <v>#DIV/0!</v>
      </c>
      <c r="M73" s="466" t="e">
        <f t="shared" si="39"/>
        <v>#DIV/0!</v>
      </c>
      <c r="N73" s="466" t="e">
        <f t="shared" si="39"/>
        <v>#DIV/0!</v>
      </c>
      <c r="O73" s="466" t="e">
        <f t="shared" si="39"/>
        <v>#DIV/0!</v>
      </c>
      <c r="P73" s="390"/>
      <c r="R73" s="40">
        <f>SUM(R71:R72)</f>
        <v>0</v>
      </c>
    </row>
    <row r="74" spans="1:18">
      <c r="A74" s="447"/>
      <c r="B74" s="320"/>
      <c r="C74" s="320"/>
      <c r="D74" s="320"/>
      <c r="E74" s="320"/>
      <c r="F74" s="320"/>
      <c r="G74" s="320"/>
      <c r="H74" s="320"/>
      <c r="I74" s="320"/>
      <c r="J74" s="320"/>
      <c r="K74" s="320"/>
      <c r="L74" s="320"/>
      <c r="M74" s="320"/>
      <c r="N74" s="320"/>
      <c r="O74" s="320"/>
      <c r="P74" s="390"/>
    </row>
    <row r="75" spans="1:18">
      <c r="A75" s="447"/>
      <c r="B75" s="448" t="s">
        <v>760</v>
      </c>
      <c r="C75" s="320"/>
      <c r="D75" s="320"/>
      <c r="E75" s="320"/>
      <c r="F75" s="320"/>
      <c r="G75" s="320"/>
      <c r="H75" s="320"/>
      <c r="I75" s="320"/>
      <c r="J75" s="320"/>
      <c r="K75" s="320"/>
      <c r="L75" s="320"/>
      <c r="M75" s="320"/>
      <c r="N75" s="320"/>
      <c r="O75" s="320"/>
      <c r="P75" s="390"/>
    </row>
    <row r="76" spans="1:18">
      <c r="A76" s="447"/>
      <c r="B76" s="320" t="s">
        <v>464</v>
      </c>
      <c r="C76" s="462">
        <f>'REVRUNS 12ME0623'!D437/'REVRUNS 12ME0623'!D439</f>
        <v>0</v>
      </c>
      <c r="D76" s="462">
        <f>'REVRUNS 12ME0623'!E437/'REVRUNS 12ME0623'!E439</f>
        <v>0</v>
      </c>
      <c r="E76" s="462">
        <f>'REVRUNS 12ME0623'!F437/'REVRUNS 12ME0623'!F439</f>
        <v>0</v>
      </c>
      <c r="F76" s="462">
        <f>'REVRUNS 12ME0623'!G437/'REVRUNS 12ME0623'!G439</f>
        <v>0</v>
      </c>
      <c r="G76" s="462">
        <f>'REVRUNS 12ME0623'!H437/'REVRUNS 12ME0623'!H439</f>
        <v>0</v>
      </c>
      <c r="H76" s="462">
        <f>'REVRUNS 12ME0623'!I437/'REVRUNS 12ME0623'!I439</f>
        <v>0</v>
      </c>
      <c r="I76" s="462">
        <f>'REVRUNS 12ME0623'!J437/'REVRUNS 12ME0623'!J439</f>
        <v>0</v>
      </c>
      <c r="J76" s="462">
        <f>'REVRUNS 12ME0623'!K437/'REVRUNS 12ME0623'!K439</f>
        <v>0</v>
      </c>
      <c r="K76" s="462">
        <f>'REVRUNS 12ME0623'!L437/'REVRUNS 12ME0623'!L439</f>
        <v>0</v>
      </c>
      <c r="L76" s="462">
        <f>'REVRUNS 12ME0623'!M437/'REVRUNS 12ME0623'!M439</f>
        <v>0</v>
      </c>
      <c r="M76" s="462">
        <f>'REVRUNS 12ME0623'!N437/'REVRUNS 12ME0623'!N439</f>
        <v>0</v>
      </c>
      <c r="N76" s="462">
        <f>'REVRUNS 12ME0623'!O437/'REVRUNS 12ME0623'!O439</f>
        <v>0</v>
      </c>
      <c r="O76" s="462">
        <f>SUM(C76:N76)</f>
        <v>0</v>
      </c>
      <c r="P76" s="390"/>
      <c r="R76" s="40">
        <v>0</v>
      </c>
    </row>
    <row r="77" spans="1:18">
      <c r="A77" s="447"/>
      <c r="B77" s="320" t="s">
        <v>465</v>
      </c>
      <c r="C77" s="467">
        <v>0.5</v>
      </c>
      <c r="D77" s="467">
        <v>0.5</v>
      </c>
      <c r="E77" s="467">
        <v>0.5</v>
      </c>
      <c r="F77" s="467">
        <v>0.5</v>
      </c>
      <c r="G77" s="467">
        <v>0.5</v>
      </c>
      <c r="H77" s="467">
        <v>0.5</v>
      </c>
      <c r="I77" s="467">
        <v>0.5</v>
      </c>
      <c r="J77" s="467">
        <v>0.5</v>
      </c>
      <c r="K77" s="467">
        <v>0.5</v>
      </c>
      <c r="L77" s="467">
        <v>0.5</v>
      </c>
      <c r="M77" s="467">
        <v>0.5</v>
      </c>
      <c r="N77" s="467">
        <v>0.5</v>
      </c>
      <c r="O77" s="467">
        <v>0.5</v>
      </c>
      <c r="P77" s="390"/>
    </row>
    <row r="78" spans="1:18">
      <c r="A78" s="447"/>
      <c r="B78" s="320" t="s">
        <v>466</v>
      </c>
      <c r="C78" s="467">
        <f t="shared" ref="C78:O78" si="40">C76*C77</f>
        <v>0</v>
      </c>
      <c r="D78" s="467">
        <f t="shared" si="40"/>
        <v>0</v>
      </c>
      <c r="E78" s="467">
        <f t="shared" si="40"/>
        <v>0</v>
      </c>
      <c r="F78" s="467">
        <f t="shared" si="40"/>
        <v>0</v>
      </c>
      <c r="G78" s="467">
        <f t="shared" si="40"/>
        <v>0</v>
      </c>
      <c r="H78" s="467">
        <f t="shared" si="40"/>
        <v>0</v>
      </c>
      <c r="I78" s="467">
        <f t="shared" si="40"/>
        <v>0</v>
      </c>
      <c r="J78" s="467">
        <f t="shared" si="40"/>
        <v>0</v>
      </c>
      <c r="K78" s="467">
        <f t="shared" si="40"/>
        <v>0</v>
      </c>
      <c r="L78" s="467">
        <f t="shared" si="40"/>
        <v>0</v>
      </c>
      <c r="M78" s="467">
        <f t="shared" si="40"/>
        <v>0</v>
      </c>
      <c r="N78" s="467">
        <f t="shared" si="40"/>
        <v>0</v>
      </c>
      <c r="O78" s="467">
        <f t="shared" si="40"/>
        <v>0</v>
      </c>
      <c r="P78" s="404">
        <f>'REVRUNS 12ME0623'!P437-O78</f>
        <v>0</v>
      </c>
    </row>
    <row r="79" spans="1:18" ht="13" thickBot="1">
      <c r="A79" s="394"/>
      <c r="B79" s="326"/>
      <c r="C79" s="326"/>
      <c r="D79" s="326"/>
      <c r="E79" s="326"/>
      <c r="F79" s="326"/>
      <c r="G79" s="326"/>
      <c r="H79" s="326"/>
      <c r="I79" s="326"/>
      <c r="J79" s="326"/>
      <c r="K79" s="326"/>
      <c r="L79" s="326"/>
      <c r="M79" s="326"/>
      <c r="N79" s="326"/>
      <c r="O79" s="326"/>
      <c r="P79" s="405"/>
    </row>
    <row r="80" spans="1:18">
      <c r="A80" s="382"/>
      <c r="B80" s="433" t="s">
        <v>467</v>
      </c>
      <c r="C80" s="384"/>
      <c r="D80" s="384"/>
      <c r="E80" s="384"/>
      <c r="F80" s="384"/>
      <c r="G80" s="384"/>
      <c r="H80" s="384"/>
      <c r="I80" s="384"/>
      <c r="J80" s="384"/>
      <c r="K80" s="384"/>
      <c r="L80" s="384"/>
      <c r="M80" s="384"/>
      <c r="N80" s="384"/>
      <c r="O80" s="384"/>
      <c r="P80" s="386"/>
    </row>
    <row r="81" spans="1:19">
      <c r="A81" s="387"/>
      <c r="B81" t="s">
        <v>457</v>
      </c>
      <c r="C81" s="388">
        <f>'REVRUNS 12ME0623'!D138+'REVRUNS 12ME0623'!D152</f>
        <v>96169689.993999988</v>
      </c>
      <c r="D81" s="388">
        <f>'REVRUNS 12ME0623'!E138+'REVRUNS 12ME0623'!E152</f>
        <v>106094177.51199999</v>
      </c>
      <c r="E81" s="388">
        <f>'REVRUNS 12ME0623'!F138+'REVRUNS 12ME0623'!F152</f>
        <v>102041466.85499999</v>
      </c>
      <c r="F81" s="388">
        <f>'REVRUNS 12ME0623'!G138+'REVRUNS 12ME0623'!G152</f>
        <v>94569098.804999992</v>
      </c>
      <c r="G81" s="388">
        <f>'REVRUNS 12ME0623'!H138+'REVRUNS 12ME0623'!H152</f>
        <v>92283910.316</v>
      </c>
      <c r="H81" s="388">
        <f>'REVRUNS 12ME0623'!I138+'REVRUNS 12ME0623'!I152</f>
        <v>106773630.832</v>
      </c>
      <c r="I81" s="388">
        <f>'REVRUNS 12ME0623'!J138+'REVRUNS 12ME0623'!J152</f>
        <v>108234127.55135</v>
      </c>
      <c r="J81" s="388">
        <f>'REVRUNS 12ME0623'!K138+'REVRUNS 12ME0623'!K152</f>
        <v>80417612.188329995</v>
      </c>
      <c r="K81" s="388">
        <f>'REVRUNS 12ME0623'!L138+'REVRUNS 12ME0623'!L152</f>
        <v>114846231.36466001</v>
      </c>
      <c r="L81" s="388">
        <f>'REVRUNS 12ME0623'!M138+'REVRUNS 12ME0623'!M152</f>
        <v>86052192.638999999</v>
      </c>
      <c r="M81" s="388">
        <f>'REVRUNS 12ME0623'!N138+'REVRUNS 12ME0623'!N152</f>
        <v>98837844.930000007</v>
      </c>
      <c r="N81" s="388">
        <f>'REVRUNS 12ME0623'!O138+'REVRUNS 12ME0623'!O152</f>
        <v>94953605.835000008</v>
      </c>
      <c r="O81" s="389">
        <f>SUM(C81:N81)</f>
        <v>1181273588.82234</v>
      </c>
      <c r="P81" s="390"/>
      <c r="R81" s="40">
        <v>0</v>
      </c>
      <c r="S81" s="289" t="e">
        <f>R81/$R$83</f>
        <v>#DIV/0!</v>
      </c>
    </row>
    <row r="82" spans="1:19">
      <c r="A82" s="387"/>
      <c r="B82" t="s">
        <v>458</v>
      </c>
      <c r="C82" s="388">
        <f>'REVRUNS 12ME0623'!D139+'REVRUNS 12ME0623'!D153</f>
        <v>12627026.499</v>
      </c>
      <c r="D82" s="388">
        <f>'REVRUNS 12ME0623'!E139+'REVRUNS 12ME0623'!E153</f>
        <v>17276666.181000002</v>
      </c>
      <c r="E82" s="388">
        <f>'REVRUNS 12ME0623'!F139+'REVRUNS 12ME0623'!F153</f>
        <v>15008371.739</v>
      </c>
      <c r="F82" s="388">
        <f>'REVRUNS 12ME0623'!G139+'REVRUNS 12ME0623'!G153</f>
        <v>11052568.51</v>
      </c>
      <c r="G82" s="388">
        <f>'REVRUNS 12ME0623'!H139+'REVRUNS 12ME0623'!H153</f>
        <v>9646407.1439999994</v>
      </c>
      <c r="H82" s="388">
        <f>'REVRUNS 12ME0623'!I139+'REVRUNS 12ME0623'!I153</f>
        <v>14161894.070999999</v>
      </c>
      <c r="I82" s="388">
        <f>'REVRUNS 12ME0623'!J139+'REVRUNS 12ME0623'!J153</f>
        <v>12693688.173669999</v>
      </c>
      <c r="J82" s="388">
        <f>'REVRUNS 12ME0623'!K139+'REVRUNS 12ME0623'!K153</f>
        <v>8529597.6376699992</v>
      </c>
      <c r="K82" s="388">
        <f>'REVRUNS 12ME0623'!L139+'REVRUNS 12ME0623'!L153</f>
        <v>12520349.32834</v>
      </c>
      <c r="L82" s="388">
        <f>'REVRUNS 12ME0623'!M139+'REVRUNS 12ME0623'!M153</f>
        <v>8232346.5130000003</v>
      </c>
      <c r="M82" s="388">
        <f>'REVRUNS 12ME0623'!N139+'REVRUNS 12ME0623'!N153</f>
        <v>10618475.960000001</v>
      </c>
      <c r="N82" s="388">
        <f>'REVRUNS 12ME0623'!O139+'REVRUNS 12ME0623'!O153</f>
        <v>11754363.051999999</v>
      </c>
      <c r="O82" s="389">
        <f>SUM(C82:N82)</f>
        <v>144121754.80867997</v>
      </c>
      <c r="P82" s="390"/>
      <c r="R82" s="288">
        <v>0</v>
      </c>
      <c r="S82" s="290" t="e">
        <f>R82/$R$83</f>
        <v>#DIV/0!</v>
      </c>
    </row>
    <row r="83" spans="1:19">
      <c r="A83" s="387" t="s">
        <v>459</v>
      </c>
      <c r="B83" s="32" t="s">
        <v>64</v>
      </c>
      <c r="C83" s="284">
        <f t="shared" ref="C83:H83" si="41">SUM(C81:C82)</f>
        <v>108796716.49299999</v>
      </c>
      <c r="D83" s="284">
        <f t="shared" si="41"/>
        <v>123370843.69299999</v>
      </c>
      <c r="E83" s="284">
        <f t="shared" si="41"/>
        <v>117049838.59399998</v>
      </c>
      <c r="F83" s="284">
        <f t="shared" si="41"/>
        <v>105621667.315</v>
      </c>
      <c r="G83" s="284">
        <f t="shared" si="41"/>
        <v>101930317.45999999</v>
      </c>
      <c r="H83" s="284">
        <f t="shared" si="41"/>
        <v>120935524.903</v>
      </c>
      <c r="I83" s="284">
        <f>SUM(I81:I82)</f>
        <v>120927815.72501999</v>
      </c>
      <c r="J83" s="284">
        <f t="shared" ref="J83:O83" si="42">SUM(J81:J82)</f>
        <v>88947209.82599999</v>
      </c>
      <c r="K83" s="284">
        <f t="shared" si="42"/>
        <v>127366580.693</v>
      </c>
      <c r="L83" s="284">
        <f t="shared" si="42"/>
        <v>94284539.151999995</v>
      </c>
      <c r="M83" s="284">
        <f t="shared" si="42"/>
        <v>109456320.89000002</v>
      </c>
      <c r="N83" s="284">
        <f t="shared" si="42"/>
        <v>106707968.88700001</v>
      </c>
      <c r="O83" s="284">
        <f t="shared" si="42"/>
        <v>1325395343.6310201</v>
      </c>
      <c r="P83" s="390"/>
      <c r="R83" s="40">
        <f>SUM(R81:R82)</f>
        <v>0</v>
      </c>
      <c r="S83" s="76" t="e">
        <f>SUM(S81:S82)</f>
        <v>#DIV/0!</v>
      </c>
    </row>
    <row r="84" spans="1:19">
      <c r="A84" s="387"/>
      <c r="B84" t="s">
        <v>72</v>
      </c>
      <c r="C84" s="318">
        <f>'REVRUNS 12ME0623'!D337</f>
        <v>108796716.49299999</v>
      </c>
      <c r="D84" s="318">
        <f>'REVRUNS 12ME0623'!E337</f>
        <v>123370843.69299999</v>
      </c>
      <c r="E84" s="318">
        <f>'REVRUNS 12ME0623'!F337</f>
        <v>117049838.59399998</v>
      </c>
      <c r="F84" s="318">
        <f>'REVRUNS 12ME0623'!G337</f>
        <v>105621667.315</v>
      </c>
      <c r="G84" s="318">
        <f>'REVRUNS 12ME0623'!H337</f>
        <v>101930317.45999999</v>
      </c>
      <c r="H84" s="318">
        <f>'REVRUNS 12ME0623'!I337</f>
        <v>120935524.903</v>
      </c>
      <c r="I84" s="318">
        <f>'REVRUNS 12ME0623'!J337</f>
        <v>120927815.72501999</v>
      </c>
      <c r="J84" s="318">
        <f>'REVRUNS 12ME0623'!K337</f>
        <v>88947209.826000005</v>
      </c>
      <c r="K84" s="318">
        <f>'REVRUNS 12ME0623'!L337</f>
        <v>127366580.693</v>
      </c>
      <c r="L84" s="318">
        <f>'REVRUNS 12ME0623'!M337</f>
        <v>94284539.151999995</v>
      </c>
      <c r="M84" s="318">
        <f>'REVRUNS 12ME0623'!N337</f>
        <v>109456320.89000002</v>
      </c>
      <c r="N84" s="318">
        <f>'REVRUNS 12ME0623'!O337</f>
        <v>106707968.88700001</v>
      </c>
      <c r="O84" s="389">
        <f>SUM(C84:N84)</f>
        <v>1325395343.6310201</v>
      </c>
      <c r="P84" s="390"/>
    </row>
    <row r="85" spans="1:19">
      <c r="A85" s="387"/>
      <c r="C85" s="40">
        <f t="shared" ref="C85:N85" si="43">C84-C83</f>
        <v>0</v>
      </c>
      <c r="D85" s="40">
        <f t="shared" si="43"/>
        <v>0</v>
      </c>
      <c r="E85" s="40">
        <f t="shared" si="43"/>
        <v>0</v>
      </c>
      <c r="F85" s="40">
        <f t="shared" si="43"/>
        <v>0</v>
      </c>
      <c r="G85" s="40">
        <f t="shared" si="43"/>
        <v>0</v>
      </c>
      <c r="H85" s="40">
        <f t="shared" si="43"/>
        <v>0</v>
      </c>
      <c r="I85" s="40">
        <f t="shared" si="43"/>
        <v>0</v>
      </c>
      <c r="J85" s="40">
        <f t="shared" si="43"/>
        <v>0</v>
      </c>
      <c r="K85" s="40">
        <f t="shared" si="43"/>
        <v>0</v>
      </c>
      <c r="L85" s="40">
        <f t="shared" si="43"/>
        <v>0</v>
      </c>
      <c r="M85" s="40">
        <f t="shared" si="43"/>
        <v>0</v>
      </c>
      <c r="N85" s="40">
        <f t="shared" si="43"/>
        <v>0</v>
      </c>
      <c r="O85" s="389">
        <f>SUM(C85:N85)</f>
        <v>0</v>
      </c>
      <c r="P85" s="393">
        <f>O85/O84</f>
        <v>0</v>
      </c>
    </row>
    <row r="86" spans="1:19">
      <c r="A86" s="387"/>
      <c r="C86" s="40"/>
      <c r="D86" s="40"/>
      <c r="E86" s="40"/>
      <c r="F86" s="40"/>
      <c r="G86" s="40"/>
      <c r="H86" s="40"/>
      <c r="I86" s="40"/>
      <c r="J86" s="40"/>
      <c r="K86" s="40"/>
      <c r="L86" s="40"/>
      <c r="M86" s="40"/>
      <c r="N86" s="40"/>
      <c r="O86" s="389"/>
      <c r="P86" s="393"/>
    </row>
    <row r="87" spans="1:19">
      <c r="A87" s="387"/>
      <c r="B87" t="s">
        <v>457</v>
      </c>
      <c r="C87" s="287">
        <f>(C81/C$83)*C$85</f>
        <v>0</v>
      </c>
      <c r="D87" s="287">
        <f t="shared" ref="D87:N87" si="44">(D81/D$83)*D$85</f>
        <v>0</v>
      </c>
      <c r="E87" s="287">
        <f t="shared" si="44"/>
        <v>0</v>
      </c>
      <c r="F87" s="287">
        <f t="shared" si="44"/>
        <v>0</v>
      </c>
      <c r="G87" s="287">
        <f t="shared" si="44"/>
        <v>0</v>
      </c>
      <c r="H87" s="287">
        <f t="shared" si="44"/>
        <v>0</v>
      </c>
      <c r="I87" s="287">
        <f t="shared" si="44"/>
        <v>0</v>
      </c>
      <c r="J87" s="287">
        <f t="shared" si="44"/>
        <v>0</v>
      </c>
      <c r="K87" s="287">
        <f t="shared" si="44"/>
        <v>0</v>
      </c>
      <c r="L87" s="287">
        <f t="shared" si="44"/>
        <v>0</v>
      </c>
      <c r="M87" s="287">
        <f t="shared" si="44"/>
        <v>0</v>
      </c>
      <c r="N87" s="287">
        <f t="shared" si="44"/>
        <v>0</v>
      </c>
      <c r="O87" s="287">
        <f>SUM(C87:N87)</f>
        <v>0</v>
      </c>
      <c r="P87" s="393"/>
    </row>
    <row r="88" spans="1:19">
      <c r="A88" s="387"/>
      <c r="B88" t="s">
        <v>458</v>
      </c>
      <c r="C88" s="286">
        <f>(C82/C$83)*C$85</f>
        <v>0</v>
      </c>
      <c r="D88" s="286">
        <f t="shared" ref="D88:N88" si="45">(D82/D$83)*D$85</f>
        <v>0</v>
      </c>
      <c r="E88" s="286">
        <f t="shared" si="45"/>
        <v>0</v>
      </c>
      <c r="F88" s="286">
        <f t="shared" si="45"/>
        <v>0</v>
      </c>
      <c r="G88" s="286">
        <f t="shared" si="45"/>
        <v>0</v>
      </c>
      <c r="H88" s="286">
        <f t="shared" si="45"/>
        <v>0</v>
      </c>
      <c r="I88" s="286">
        <f t="shared" si="45"/>
        <v>0</v>
      </c>
      <c r="J88" s="286">
        <f t="shared" si="45"/>
        <v>0</v>
      </c>
      <c r="K88" s="286">
        <f t="shared" si="45"/>
        <v>0</v>
      </c>
      <c r="L88" s="286">
        <f t="shared" si="45"/>
        <v>0</v>
      </c>
      <c r="M88" s="286">
        <f t="shared" si="45"/>
        <v>0</v>
      </c>
      <c r="N88" s="286">
        <f t="shared" si="45"/>
        <v>0</v>
      </c>
      <c r="O88" s="286">
        <f>SUM(C88:N88)</f>
        <v>0</v>
      </c>
      <c r="P88" s="393"/>
    </row>
    <row r="89" spans="1:19">
      <c r="A89" s="387"/>
      <c r="C89" s="287">
        <f t="shared" ref="C89:O89" si="46">SUM(C87:C88)</f>
        <v>0</v>
      </c>
      <c r="D89" s="287">
        <f t="shared" si="46"/>
        <v>0</v>
      </c>
      <c r="E89" s="287">
        <f t="shared" si="46"/>
        <v>0</v>
      </c>
      <c r="F89" s="287">
        <f t="shared" si="46"/>
        <v>0</v>
      </c>
      <c r="G89" s="287">
        <f t="shared" si="46"/>
        <v>0</v>
      </c>
      <c r="H89" s="287">
        <f t="shared" si="46"/>
        <v>0</v>
      </c>
      <c r="I89" s="287">
        <f t="shared" si="46"/>
        <v>0</v>
      </c>
      <c r="J89" s="287">
        <f t="shared" si="46"/>
        <v>0</v>
      </c>
      <c r="K89" s="287">
        <f t="shared" si="46"/>
        <v>0</v>
      </c>
      <c r="L89" s="287">
        <f t="shared" si="46"/>
        <v>0</v>
      </c>
      <c r="M89" s="287">
        <f t="shared" si="46"/>
        <v>0</v>
      </c>
      <c r="N89" s="287">
        <f t="shared" si="46"/>
        <v>0</v>
      </c>
      <c r="O89" s="287">
        <f t="shared" si="46"/>
        <v>0</v>
      </c>
      <c r="P89" s="393"/>
    </row>
    <row r="90" spans="1:19">
      <c r="A90" s="387"/>
      <c r="C90" s="287"/>
      <c r="D90" s="287"/>
      <c r="E90" s="287"/>
      <c r="F90" s="287"/>
      <c r="G90" s="287"/>
      <c r="H90" s="287"/>
      <c r="I90" s="287"/>
      <c r="J90" s="287"/>
      <c r="K90" s="287"/>
      <c r="L90" s="287"/>
      <c r="M90" s="287"/>
      <c r="N90" s="287"/>
      <c r="O90" s="287"/>
      <c r="P90" s="393"/>
    </row>
    <row r="91" spans="1:19">
      <c r="A91" s="387"/>
      <c r="B91" t="s">
        <v>457</v>
      </c>
      <c r="C91" s="287">
        <f>C81+C87</f>
        <v>96169689.993999988</v>
      </c>
      <c r="D91" s="287">
        <f t="shared" ref="D91:N91" si="47">D81+D87</f>
        <v>106094177.51199999</v>
      </c>
      <c r="E91" s="287">
        <f t="shared" si="47"/>
        <v>102041466.85499999</v>
      </c>
      <c r="F91" s="287">
        <f t="shared" si="47"/>
        <v>94569098.804999992</v>
      </c>
      <c r="G91" s="287">
        <f t="shared" si="47"/>
        <v>92283910.316</v>
      </c>
      <c r="H91" s="287">
        <f t="shared" si="47"/>
        <v>106773630.832</v>
      </c>
      <c r="I91" s="287">
        <f t="shared" si="47"/>
        <v>108234127.55135</v>
      </c>
      <c r="J91" s="287">
        <f t="shared" si="47"/>
        <v>80417612.188329995</v>
      </c>
      <c r="K91" s="287">
        <f t="shared" si="47"/>
        <v>114846231.36466001</v>
      </c>
      <c r="L91" s="287">
        <f t="shared" si="47"/>
        <v>86052192.638999999</v>
      </c>
      <c r="M91" s="287">
        <f t="shared" si="47"/>
        <v>98837844.930000007</v>
      </c>
      <c r="N91" s="287">
        <f t="shared" si="47"/>
        <v>94953605.835000008</v>
      </c>
      <c r="O91" s="287">
        <f>SUM(C91:N91)</f>
        <v>1181273588.82234</v>
      </c>
      <c r="P91" s="393"/>
    </row>
    <row r="92" spans="1:19">
      <c r="A92" s="387"/>
      <c r="B92" t="s">
        <v>458</v>
      </c>
      <c r="C92" s="286">
        <f>C82+C88</f>
        <v>12627026.499</v>
      </c>
      <c r="D92" s="286">
        <f t="shared" ref="D92:N92" si="48">D82+D88</f>
        <v>17276666.181000002</v>
      </c>
      <c r="E92" s="286">
        <f t="shared" si="48"/>
        <v>15008371.739</v>
      </c>
      <c r="F92" s="286">
        <f t="shared" si="48"/>
        <v>11052568.51</v>
      </c>
      <c r="G92" s="286">
        <f t="shared" si="48"/>
        <v>9646407.1439999994</v>
      </c>
      <c r="H92" s="286">
        <f t="shared" si="48"/>
        <v>14161894.070999999</v>
      </c>
      <c r="I92" s="286">
        <f t="shared" si="48"/>
        <v>12693688.173669999</v>
      </c>
      <c r="J92" s="286">
        <f t="shared" si="48"/>
        <v>8529597.6376699992</v>
      </c>
      <c r="K92" s="286">
        <f t="shared" si="48"/>
        <v>12520349.32834</v>
      </c>
      <c r="L92" s="286">
        <f t="shared" si="48"/>
        <v>8232346.5130000003</v>
      </c>
      <c r="M92" s="286">
        <f t="shared" si="48"/>
        <v>10618475.960000001</v>
      </c>
      <c r="N92" s="286">
        <f t="shared" si="48"/>
        <v>11754363.051999999</v>
      </c>
      <c r="O92" s="286">
        <f>SUM(C92:N92)</f>
        <v>144121754.80867997</v>
      </c>
      <c r="P92" s="393"/>
    </row>
    <row r="93" spans="1:19">
      <c r="A93" s="387"/>
      <c r="C93" s="287">
        <f t="shared" ref="C93:O93" si="49">SUM(C91:C92)</f>
        <v>108796716.49299999</v>
      </c>
      <c r="D93" s="287">
        <f t="shared" si="49"/>
        <v>123370843.69299999</v>
      </c>
      <c r="E93" s="287">
        <f t="shared" si="49"/>
        <v>117049838.59399998</v>
      </c>
      <c r="F93" s="287">
        <f t="shared" si="49"/>
        <v>105621667.315</v>
      </c>
      <c r="G93" s="287">
        <f t="shared" si="49"/>
        <v>101930317.45999999</v>
      </c>
      <c r="H93" s="287">
        <f t="shared" si="49"/>
        <v>120935524.903</v>
      </c>
      <c r="I93" s="287">
        <f t="shared" si="49"/>
        <v>120927815.72501999</v>
      </c>
      <c r="J93" s="287">
        <f t="shared" si="49"/>
        <v>88947209.82599999</v>
      </c>
      <c r="K93" s="287">
        <f t="shared" si="49"/>
        <v>127366580.693</v>
      </c>
      <c r="L93" s="287">
        <f t="shared" si="49"/>
        <v>94284539.151999995</v>
      </c>
      <c r="M93" s="287">
        <f t="shared" si="49"/>
        <v>109456320.89000002</v>
      </c>
      <c r="N93" s="287">
        <f t="shared" si="49"/>
        <v>106707968.88700001</v>
      </c>
      <c r="O93" s="287">
        <f t="shared" si="49"/>
        <v>1325395343.6310201</v>
      </c>
      <c r="P93" s="393"/>
    </row>
    <row r="94" spans="1:19">
      <c r="A94" s="387"/>
      <c r="C94" s="389">
        <f t="shared" ref="C94:O94" si="50">C93-C84</f>
        <v>0</v>
      </c>
      <c r="D94" s="389">
        <f t="shared" si="50"/>
        <v>0</v>
      </c>
      <c r="E94" s="389">
        <f t="shared" si="50"/>
        <v>0</v>
      </c>
      <c r="F94" s="389">
        <f t="shared" si="50"/>
        <v>0</v>
      </c>
      <c r="G94" s="389">
        <f t="shared" si="50"/>
        <v>0</v>
      </c>
      <c r="H94" s="389">
        <f t="shared" si="50"/>
        <v>0</v>
      </c>
      <c r="I94" s="389">
        <f t="shared" si="50"/>
        <v>0</v>
      </c>
      <c r="J94" s="389">
        <f t="shared" si="50"/>
        <v>0</v>
      </c>
      <c r="K94" s="389">
        <f t="shared" si="50"/>
        <v>0</v>
      </c>
      <c r="L94" s="389">
        <f t="shared" si="50"/>
        <v>0</v>
      </c>
      <c r="M94" s="389">
        <f t="shared" si="50"/>
        <v>0</v>
      </c>
      <c r="N94" s="389">
        <f t="shared" si="50"/>
        <v>0</v>
      </c>
      <c r="O94" s="389">
        <f t="shared" si="50"/>
        <v>0</v>
      </c>
      <c r="P94" s="393"/>
    </row>
    <row r="95" spans="1:19">
      <c r="A95" s="387"/>
      <c r="C95" s="40"/>
      <c r="D95" s="40"/>
      <c r="E95" s="40"/>
      <c r="F95" s="40"/>
      <c r="G95" s="40"/>
      <c r="H95" s="40"/>
      <c r="I95" s="40"/>
      <c r="J95" s="40"/>
      <c r="K95" s="40"/>
      <c r="L95" s="40"/>
      <c r="M95" s="40"/>
      <c r="N95" s="40"/>
      <c r="O95" s="389"/>
      <c r="P95" s="393"/>
    </row>
    <row r="96" spans="1:19">
      <c r="A96" s="387"/>
      <c r="B96" s="32" t="s">
        <v>467</v>
      </c>
      <c r="P96" s="390"/>
    </row>
    <row r="97" spans="1:19">
      <c r="A97" s="387"/>
      <c r="B97" t="s">
        <v>457</v>
      </c>
      <c r="C97" s="388"/>
      <c r="D97" s="388"/>
      <c r="E97" s="388"/>
      <c r="F97" s="388"/>
      <c r="G97" s="388"/>
      <c r="H97" s="388"/>
      <c r="I97" s="388"/>
      <c r="J97" s="388"/>
      <c r="K97" s="388"/>
      <c r="L97" s="388"/>
      <c r="M97" s="388"/>
      <c r="N97" s="388"/>
      <c r="O97" s="389">
        <f>SUM(C97:N97)</f>
        <v>0</v>
      </c>
      <c r="P97" s="390"/>
      <c r="R97" s="40">
        <v>0</v>
      </c>
    </row>
    <row r="98" spans="1:19">
      <c r="A98" s="387"/>
      <c r="B98" t="s">
        <v>458</v>
      </c>
      <c r="C98" s="392">
        <f>('REVRUNS 12ME0623'!D441+'REVRUNS 12ME0623'!D448)/7</f>
        <v>226969.01571428572</v>
      </c>
      <c r="D98" s="392">
        <f>('REVRUNS 12ME0623'!E441+'REVRUNS 12ME0623'!E448)/7</f>
        <v>244674.7242857143</v>
      </c>
      <c r="E98" s="392">
        <f>('REVRUNS 12ME0623'!F441+'REVRUNS 12ME0623'!F448)/7</f>
        <v>242853.2542857143</v>
      </c>
      <c r="F98" s="392">
        <f>('REVRUNS 12ME0623'!G441+'REVRUNS 12ME0623'!G448)/7</f>
        <v>212537.16142857145</v>
      </c>
      <c r="G98" s="392">
        <f>('REVRUNS 12ME0623'!H441+'REVRUNS 12ME0623'!H448)/7</f>
        <v>201336.90142857144</v>
      </c>
      <c r="H98" s="392">
        <f>('REVRUNS 12ME0623'!I441+'REVRUNS 12ME0623'!I448)/7.5</f>
        <v>203950.96400000001</v>
      </c>
      <c r="I98" s="392">
        <f>('REVRUNS 12ME0623'!J441+'REVRUNS 12ME0623'!J448)/7.5</f>
        <v>207187.94533333334</v>
      </c>
      <c r="J98" s="392">
        <f>('REVRUNS 12ME0623'!K441+'REVRUNS 12ME0623'!K448)/7.5</f>
        <v>156922.32399999999</v>
      </c>
      <c r="K98" s="392">
        <f>('REVRUNS 12ME0623'!L441+'REVRUNS 12ME0623'!L448)/7.5</f>
        <v>253899.22666666665</v>
      </c>
      <c r="L98" s="392">
        <f>('REVRUNS 12ME0623'!M441+'REVRUNS 12ME0623'!M448)/7.5</f>
        <v>180632.17733333333</v>
      </c>
      <c r="M98" s="392">
        <f>('REVRUNS 12ME0623'!N441+'REVRUNS 12ME0623'!N448)/7.5</f>
        <v>237470.11200000002</v>
      </c>
      <c r="N98" s="392">
        <f>('REVRUNS 12ME0623'!O441+'REVRUNS 12ME0623'!O448)/7.5</f>
        <v>231566.568</v>
      </c>
      <c r="O98" s="392">
        <f>SUM(C98:N98)</f>
        <v>2600000.3744761907</v>
      </c>
      <c r="P98" s="401">
        <f>('REVRUNS 12ME0623'!P441+'REVRUNS 12ME0623'!P448)/7.25-O98</f>
        <v>11836.491730705835</v>
      </c>
      <c r="R98" s="288">
        <v>0</v>
      </c>
    </row>
    <row r="99" spans="1:19">
      <c r="A99" s="387" t="s">
        <v>463</v>
      </c>
      <c r="B99" s="32" t="s">
        <v>64</v>
      </c>
      <c r="C99" s="284">
        <f t="shared" ref="C99:O99" si="51">SUM(C97:C98)</f>
        <v>226969.01571428572</v>
      </c>
      <c r="D99" s="284">
        <f t="shared" si="51"/>
        <v>244674.7242857143</v>
      </c>
      <c r="E99" s="284">
        <f t="shared" si="51"/>
        <v>242853.2542857143</v>
      </c>
      <c r="F99" s="284">
        <f t="shared" si="51"/>
        <v>212537.16142857145</v>
      </c>
      <c r="G99" s="284">
        <f t="shared" si="51"/>
        <v>201336.90142857144</v>
      </c>
      <c r="H99" s="284">
        <f t="shared" si="51"/>
        <v>203950.96400000001</v>
      </c>
      <c r="I99" s="284">
        <f t="shared" si="51"/>
        <v>207187.94533333334</v>
      </c>
      <c r="J99" s="284">
        <f t="shared" si="51"/>
        <v>156922.32399999999</v>
      </c>
      <c r="K99" s="284">
        <f t="shared" si="51"/>
        <v>253899.22666666665</v>
      </c>
      <c r="L99" s="284">
        <f t="shared" si="51"/>
        <v>180632.17733333333</v>
      </c>
      <c r="M99" s="284">
        <f t="shared" si="51"/>
        <v>237470.11200000002</v>
      </c>
      <c r="N99" s="284">
        <f t="shared" si="51"/>
        <v>231566.568</v>
      </c>
      <c r="O99" s="284">
        <f t="shared" si="51"/>
        <v>2600000.3744761907</v>
      </c>
      <c r="P99" s="390"/>
      <c r="R99" s="40">
        <f>SUM(R97:R98)</f>
        <v>0</v>
      </c>
    </row>
    <row r="100" spans="1:19">
      <c r="A100" s="387"/>
      <c r="P100" s="390"/>
    </row>
    <row r="101" spans="1:19">
      <c r="A101" s="387"/>
      <c r="B101" s="32" t="s">
        <v>467</v>
      </c>
      <c r="P101" s="390"/>
    </row>
    <row r="102" spans="1:19">
      <c r="A102" s="387"/>
      <c r="B102" t="s">
        <v>464</v>
      </c>
      <c r="C102" s="392">
        <f>('REVRUNS 12ME0623'!D442+'REVRUNS 12ME0623'!D449)/0.5</f>
        <v>30837.84</v>
      </c>
      <c r="D102" s="392">
        <f>('REVRUNS 12ME0623'!E442+'REVRUNS 12ME0623'!E449)/0.5</f>
        <v>30115.119999999999</v>
      </c>
      <c r="E102" s="392">
        <f>('REVRUNS 12ME0623'!F442+'REVRUNS 12ME0623'!F449)/0.5</f>
        <v>31808.1</v>
      </c>
      <c r="F102" s="392">
        <f>('REVRUNS 12ME0623'!G442+'REVRUNS 12ME0623'!G449)/0.5</f>
        <v>28956.76</v>
      </c>
      <c r="G102" s="392">
        <f>('REVRUNS 12ME0623'!H442+'REVRUNS 12ME0623'!H449)/0.5</f>
        <v>25112.600000000002</v>
      </c>
      <c r="H102" s="392">
        <f>('REVRUNS 12ME0623'!I442+'REVRUNS 12ME0623'!I449)/0.5</f>
        <v>22333.02</v>
      </c>
      <c r="I102" s="392">
        <f>('REVRUNS 12ME0623'!J442+'REVRUNS 12ME0623'!J449)/0.5</f>
        <v>20990.560000000001</v>
      </c>
      <c r="J102" s="392">
        <f>('REVRUNS 12ME0623'!K442+'REVRUNS 12ME0623'!K449)/0.5</f>
        <v>14838.72</v>
      </c>
      <c r="K102" s="392">
        <f>('REVRUNS 12ME0623'!L442+'REVRUNS 12ME0623'!L449)/0.5</f>
        <v>26623.8</v>
      </c>
      <c r="L102" s="392">
        <f>('REVRUNS 12ME0623'!M442+'REVRUNS 12ME0623'!M449)/0.5</f>
        <v>21562.98</v>
      </c>
      <c r="M102" s="392">
        <f>('REVRUNS 12ME0623'!N442+'REVRUNS 12ME0623'!N449)/0.5</f>
        <v>28456.22</v>
      </c>
      <c r="N102" s="392">
        <f>('REVRUNS 12ME0623'!O442+'REVRUNS 12ME0623'!O449)/0.5</f>
        <v>28951.599999999999</v>
      </c>
      <c r="O102" s="389">
        <f>SUM(C102:N102)</f>
        <v>310587.31999999995</v>
      </c>
      <c r="P102" s="390"/>
      <c r="R102" s="40">
        <v>0</v>
      </c>
    </row>
    <row r="103" spans="1:19">
      <c r="A103" s="387"/>
      <c r="B103" t="s">
        <v>465</v>
      </c>
      <c r="C103" s="402">
        <v>0.5</v>
      </c>
      <c r="D103" s="402">
        <v>0.5</v>
      </c>
      <c r="E103" s="402">
        <v>0.5</v>
      </c>
      <c r="F103" s="402">
        <v>0.5</v>
      </c>
      <c r="G103" s="402">
        <v>0.5</v>
      </c>
      <c r="H103" s="402">
        <v>0.5</v>
      </c>
      <c r="I103" s="402">
        <v>0.5</v>
      </c>
      <c r="J103" s="402">
        <v>0.5</v>
      </c>
      <c r="K103" s="402">
        <v>0.5</v>
      </c>
      <c r="L103" s="402">
        <v>0.5</v>
      </c>
      <c r="M103" s="402">
        <v>0.5</v>
      </c>
      <c r="N103" s="402">
        <v>0.5</v>
      </c>
      <c r="O103" s="402">
        <v>0.5</v>
      </c>
      <c r="P103" s="390"/>
    </row>
    <row r="104" spans="1:19">
      <c r="A104" s="387"/>
      <c r="B104" t="s">
        <v>466</v>
      </c>
      <c r="C104" s="403">
        <f t="shared" ref="C104:H104" si="52">C102*C103</f>
        <v>15418.92</v>
      </c>
      <c r="D104" s="403">
        <f t="shared" si="52"/>
        <v>15057.56</v>
      </c>
      <c r="E104" s="403">
        <f t="shared" si="52"/>
        <v>15904.05</v>
      </c>
      <c r="F104" s="403">
        <f t="shared" si="52"/>
        <v>14478.38</v>
      </c>
      <c r="G104" s="403">
        <f t="shared" si="52"/>
        <v>12556.300000000001</v>
      </c>
      <c r="H104" s="403">
        <f t="shared" si="52"/>
        <v>11166.51</v>
      </c>
      <c r="I104" s="403">
        <f>I102*I103</f>
        <v>10495.28</v>
      </c>
      <c r="J104" s="403">
        <f t="shared" ref="J104:O104" si="53">J102*J103</f>
        <v>7419.36</v>
      </c>
      <c r="K104" s="403">
        <f t="shared" si="53"/>
        <v>13311.9</v>
      </c>
      <c r="L104" s="403">
        <f t="shared" si="53"/>
        <v>10781.49</v>
      </c>
      <c r="M104" s="403">
        <f t="shared" si="53"/>
        <v>14228.11</v>
      </c>
      <c r="N104" s="403">
        <f t="shared" si="53"/>
        <v>14475.8</v>
      </c>
      <c r="O104" s="403">
        <f t="shared" si="53"/>
        <v>155293.65999999997</v>
      </c>
      <c r="P104" s="404">
        <f>O104-'REVRUNS 12ME0623'!P442-'REVRUNS 12ME0623'!P449</f>
        <v>-3.5242919693700969E-12</v>
      </c>
    </row>
    <row r="105" spans="1:19" ht="13" thickBot="1">
      <c r="A105" s="394"/>
      <c r="B105" s="326"/>
      <c r="C105" s="326"/>
      <c r="D105" s="326"/>
      <c r="E105" s="326"/>
      <c r="F105" s="326"/>
      <c r="G105" s="326"/>
      <c r="H105" s="326"/>
      <c r="I105" s="326"/>
      <c r="J105" s="326"/>
      <c r="K105" s="326"/>
      <c r="L105" s="326"/>
      <c r="M105" s="326"/>
      <c r="N105" s="326"/>
      <c r="O105" s="326"/>
      <c r="P105" s="405"/>
    </row>
    <row r="106" spans="1:19">
      <c r="A106" s="382"/>
      <c r="B106" s="383" t="s">
        <v>763</v>
      </c>
      <c r="C106" s="384"/>
      <c r="D106" s="384"/>
      <c r="E106" s="384"/>
      <c r="F106" s="384"/>
      <c r="G106" s="384"/>
      <c r="H106" s="384"/>
      <c r="I106" s="384"/>
      <c r="J106" s="384"/>
      <c r="K106" s="384"/>
      <c r="L106" s="384"/>
      <c r="M106" s="384"/>
      <c r="N106" s="384"/>
      <c r="O106" s="384"/>
      <c r="P106" s="386"/>
    </row>
    <row r="107" spans="1:19">
      <c r="A107" s="387"/>
      <c r="B107" t="s">
        <v>457</v>
      </c>
      <c r="C107" s="388">
        <f>'REVRUNS 12ME0623'!D167</f>
        <v>23864.6</v>
      </c>
      <c r="D107" s="388">
        <f>'REVRUNS 12ME0623'!E167</f>
        <v>19275.009999999998</v>
      </c>
      <c r="E107" s="388">
        <f>'REVRUNS 12ME0623'!F167</f>
        <v>12887.93</v>
      </c>
      <c r="F107" s="388">
        <f>'REVRUNS 12ME0623'!G167</f>
        <v>17128.64</v>
      </c>
      <c r="G107" s="388">
        <f>'REVRUNS 12ME0623'!H167</f>
        <v>26353.360000000001</v>
      </c>
      <c r="H107" s="388">
        <f>'REVRUNS 12ME0623'!I167</f>
        <v>18179.060000000001</v>
      </c>
      <c r="I107" s="388">
        <f>'REVRUNS 12ME0623'!J167</f>
        <v>53826.03</v>
      </c>
      <c r="J107" s="388">
        <f>'REVRUNS 12ME0623'!K167</f>
        <v>0</v>
      </c>
      <c r="K107" s="388">
        <f>'REVRUNS 12ME0623'!L167</f>
        <v>141125.35999999999</v>
      </c>
      <c r="L107" s="388">
        <f>'REVRUNS 12ME0623'!M167</f>
        <v>21888.12</v>
      </c>
      <c r="M107" s="388">
        <f>'REVRUNS 12ME0623'!N167</f>
        <v>78707.48</v>
      </c>
      <c r="N107" s="388">
        <f>'REVRUNS 12ME0623'!O167</f>
        <v>38407.839999999997</v>
      </c>
      <c r="O107" s="389">
        <f>SUM(C107:N107)</f>
        <v>451643.42999999993</v>
      </c>
      <c r="P107" s="390"/>
      <c r="R107" s="40">
        <v>0</v>
      </c>
      <c r="S107" s="289" t="e">
        <f>R107/$R$83</f>
        <v>#DIV/0!</v>
      </c>
    </row>
    <row r="108" spans="1:19">
      <c r="A108" s="387"/>
      <c r="B108" t="s">
        <v>458</v>
      </c>
      <c r="C108" s="388">
        <f>'REVRUNS 12ME0623'!D168</f>
        <v>0</v>
      </c>
      <c r="D108" s="388">
        <f>'REVRUNS 12ME0623'!E168</f>
        <v>0</v>
      </c>
      <c r="E108" s="388">
        <f>'REVRUNS 12ME0623'!F168</f>
        <v>0</v>
      </c>
      <c r="F108" s="388">
        <f>'REVRUNS 12ME0623'!G168</f>
        <v>0</v>
      </c>
      <c r="G108" s="388">
        <f>'REVRUNS 12ME0623'!H168</f>
        <v>0</v>
      </c>
      <c r="H108" s="388">
        <f>'REVRUNS 12ME0623'!I168</f>
        <v>0</v>
      </c>
      <c r="I108" s="388">
        <f>'REVRUNS 12ME0623'!J168</f>
        <v>0</v>
      </c>
      <c r="J108" s="388">
        <f>'REVRUNS 12ME0623'!K168</f>
        <v>0</v>
      </c>
      <c r="K108" s="388">
        <f>'REVRUNS 12ME0623'!L168</f>
        <v>0</v>
      </c>
      <c r="L108" s="388">
        <f>'REVRUNS 12ME0623'!M168</f>
        <v>0</v>
      </c>
      <c r="M108" s="388">
        <f>'REVRUNS 12ME0623'!N168</f>
        <v>0</v>
      </c>
      <c r="N108" s="388">
        <f>'REVRUNS 12ME0623'!O168</f>
        <v>0</v>
      </c>
      <c r="O108" s="389">
        <f>SUM(C108:N108)</f>
        <v>0</v>
      </c>
      <c r="P108" s="390"/>
      <c r="R108" s="288">
        <v>0</v>
      </c>
      <c r="S108" s="290" t="e">
        <f>R108/$R$83</f>
        <v>#DIV/0!</v>
      </c>
    </row>
    <row r="109" spans="1:19">
      <c r="A109" s="457"/>
      <c r="B109" s="458" t="s">
        <v>572</v>
      </c>
      <c r="C109" s="388">
        <f>'REVRUNS 12ME0623'!D169</f>
        <v>0</v>
      </c>
      <c r="D109" s="388">
        <f>'REVRUNS 12ME0623'!E169</f>
        <v>-2</v>
      </c>
      <c r="E109" s="388">
        <f>'REVRUNS 12ME0623'!F169</f>
        <v>0</v>
      </c>
      <c r="F109" s="388">
        <f>'REVRUNS 12ME0623'!G169</f>
        <v>0</v>
      </c>
      <c r="G109" s="388">
        <f>'REVRUNS 12ME0623'!H169</f>
        <v>0</v>
      </c>
      <c r="H109" s="388">
        <f>'REVRUNS 12ME0623'!I169</f>
        <v>0</v>
      </c>
      <c r="I109" s="388">
        <f>'REVRUNS 12ME0623'!J169</f>
        <v>0</v>
      </c>
      <c r="J109" s="388">
        <f>'REVRUNS 12ME0623'!K169</f>
        <v>0</v>
      </c>
      <c r="K109" s="388">
        <f>'REVRUNS 12ME0623'!L169</f>
        <v>0</v>
      </c>
      <c r="L109" s="388">
        <f>'REVRUNS 12ME0623'!M169</f>
        <v>0</v>
      </c>
      <c r="M109" s="388">
        <f>'REVRUNS 12ME0623'!N169</f>
        <v>0</v>
      </c>
      <c r="N109" s="388">
        <f>'REVRUNS 12ME0623'!O169</f>
        <v>0</v>
      </c>
      <c r="O109" s="389">
        <f>SUM(C109:N109)</f>
        <v>-2</v>
      </c>
      <c r="P109" s="390"/>
      <c r="R109" s="40"/>
      <c r="S109" s="456"/>
    </row>
    <row r="110" spans="1:19">
      <c r="A110" s="387" t="s">
        <v>459</v>
      </c>
      <c r="B110" s="32" t="s">
        <v>64</v>
      </c>
      <c r="C110" s="284">
        <f>SUM(C107:C109)</f>
        <v>23864.6</v>
      </c>
      <c r="D110" s="284">
        <f t="shared" ref="D110:N110" si="54">SUM(D107:D109)</f>
        <v>19273.009999999998</v>
      </c>
      <c r="E110" s="284">
        <f t="shared" si="54"/>
        <v>12887.93</v>
      </c>
      <c r="F110" s="284">
        <f t="shared" si="54"/>
        <v>17128.64</v>
      </c>
      <c r="G110" s="284">
        <f t="shared" si="54"/>
        <v>26353.360000000001</v>
      </c>
      <c r="H110" s="284">
        <f t="shared" si="54"/>
        <v>18179.060000000001</v>
      </c>
      <c r="I110" s="284">
        <f t="shared" si="54"/>
        <v>53826.03</v>
      </c>
      <c r="J110" s="284">
        <f t="shared" si="54"/>
        <v>0</v>
      </c>
      <c r="K110" s="284">
        <f t="shared" si="54"/>
        <v>141125.35999999999</v>
      </c>
      <c r="L110" s="284">
        <f t="shared" si="54"/>
        <v>21888.12</v>
      </c>
      <c r="M110" s="284">
        <f t="shared" si="54"/>
        <v>78707.48</v>
      </c>
      <c r="N110" s="284">
        <f t="shared" si="54"/>
        <v>38407.839999999997</v>
      </c>
      <c r="O110" s="284">
        <f t="shared" ref="O110" si="55">SUM(O107:O108)</f>
        <v>451643.42999999993</v>
      </c>
      <c r="P110" s="390"/>
      <c r="R110" s="40">
        <f>SUM(R107:R108)</f>
        <v>0</v>
      </c>
      <c r="S110" s="76" t="e">
        <f>SUM(S107:S108)</f>
        <v>#DIV/0!</v>
      </c>
    </row>
    <row r="111" spans="1:19">
      <c r="A111" s="387"/>
      <c r="B111" t="s">
        <v>72</v>
      </c>
      <c r="C111" s="318">
        <f>'REVRUNS 12ME0623'!D338</f>
        <v>23864.6</v>
      </c>
      <c r="D111" s="318">
        <f>'REVRUNS 12ME0623'!E338</f>
        <v>19273.009999999998</v>
      </c>
      <c r="E111" s="318">
        <f>'REVRUNS 12ME0623'!F338</f>
        <v>12887.93</v>
      </c>
      <c r="F111" s="318">
        <f>'REVRUNS 12ME0623'!G338</f>
        <v>17128.64</v>
      </c>
      <c r="G111" s="318">
        <f>'REVRUNS 12ME0623'!H338</f>
        <v>26353.360000000001</v>
      </c>
      <c r="H111" s="318">
        <f>'REVRUNS 12ME0623'!I338</f>
        <v>18179.060000000001</v>
      </c>
      <c r="I111" s="318">
        <f>'REVRUNS 12ME0623'!J338</f>
        <v>53826.03</v>
      </c>
      <c r="J111" s="318">
        <f>'REVRUNS 12ME0623'!K338</f>
        <v>0</v>
      </c>
      <c r="K111" s="318">
        <f>'REVRUNS 12ME0623'!L338</f>
        <v>141125.35999999999</v>
      </c>
      <c r="L111" s="318">
        <f>'REVRUNS 12ME0623'!M338</f>
        <v>21888.12</v>
      </c>
      <c r="M111" s="318">
        <f>'REVRUNS 12ME0623'!N338</f>
        <v>78707.48</v>
      </c>
      <c r="N111" s="318">
        <f>'REVRUNS 12ME0623'!O338</f>
        <v>38407.839999999997</v>
      </c>
      <c r="O111" s="389">
        <f>SUM(C111:N111)</f>
        <v>451641.42999999993</v>
      </c>
      <c r="P111" s="390"/>
    </row>
    <row r="112" spans="1:19">
      <c r="A112" s="387"/>
      <c r="C112" s="40">
        <f t="shared" ref="C112:N112" si="56">C111-C110</f>
        <v>0</v>
      </c>
      <c r="D112" s="40">
        <f t="shared" si="56"/>
        <v>0</v>
      </c>
      <c r="E112" s="40">
        <f t="shared" si="56"/>
        <v>0</v>
      </c>
      <c r="F112" s="40">
        <f t="shared" si="56"/>
        <v>0</v>
      </c>
      <c r="G112" s="40">
        <f t="shared" si="56"/>
        <v>0</v>
      </c>
      <c r="H112" s="40">
        <f t="shared" si="56"/>
        <v>0</v>
      </c>
      <c r="I112" s="40">
        <f t="shared" si="56"/>
        <v>0</v>
      </c>
      <c r="J112" s="40">
        <f t="shared" si="56"/>
        <v>0</v>
      </c>
      <c r="K112" s="40">
        <f t="shared" si="56"/>
        <v>0</v>
      </c>
      <c r="L112" s="40">
        <f t="shared" si="56"/>
        <v>0</v>
      </c>
      <c r="M112" s="40">
        <f t="shared" si="56"/>
        <v>0</v>
      </c>
      <c r="N112" s="40">
        <f t="shared" si="56"/>
        <v>0</v>
      </c>
      <c r="O112" s="389">
        <f>SUM(C112:N112)</f>
        <v>0</v>
      </c>
      <c r="P112" s="393">
        <f>O112/O111</f>
        <v>0</v>
      </c>
    </row>
    <row r="113" spans="1:18">
      <c r="A113" s="387"/>
      <c r="C113" s="40"/>
      <c r="D113" s="40"/>
      <c r="E113" s="40"/>
      <c r="F113" s="40"/>
      <c r="G113" s="40"/>
      <c r="H113" s="40"/>
      <c r="I113" s="40"/>
      <c r="J113" s="40"/>
      <c r="K113" s="40"/>
      <c r="L113" s="40"/>
      <c r="M113" s="40"/>
      <c r="N113" s="40"/>
      <c r="O113" s="389"/>
      <c r="P113" s="393"/>
    </row>
    <row r="114" spans="1:18">
      <c r="A114" s="447"/>
      <c r="B114" s="320" t="s">
        <v>457</v>
      </c>
      <c r="C114" s="463">
        <f>IF(C110=0,0,(C107/C$110)*C$113)</f>
        <v>0</v>
      </c>
      <c r="D114" s="463">
        <f t="shared" ref="D114:N114" si="57">IF(D110=0,0,(D107/D$110)*D$113)</f>
        <v>0</v>
      </c>
      <c r="E114" s="463">
        <f t="shared" si="57"/>
        <v>0</v>
      </c>
      <c r="F114" s="463">
        <f t="shared" si="57"/>
        <v>0</v>
      </c>
      <c r="G114" s="463">
        <f t="shared" si="57"/>
        <v>0</v>
      </c>
      <c r="H114" s="463">
        <f t="shared" si="57"/>
        <v>0</v>
      </c>
      <c r="I114" s="463">
        <f t="shared" si="57"/>
        <v>0</v>
      </c>
      <c r="J114" s="463">
        <f t="shared" si="57"/>
        <v>0</v>
      </c>
      <c r="K114" s="463">
        <f t="shared" si="57"/>
        <v>0</v>
      </c>
      <c r="L114" s="463">
        <f t="shared" si="57"/>
        <v>0</v>
      </c>
      <c r="M114" s="463">
        <f t="shared" si="57"/>
        <v>0</v>
      </c>
      <c r="N114" s="463">
        <f t="shared" si="57"/>
        <v>0</v>
      </c>
      <c r="O114" s="463">
        <f>SUM(C114:N114)</f>
        <v>0</v>
      </c>
      <c r="P114" s="393"/>
    </row>
    <row r="115" spans="1:18">
      <c r="A115" s="447"/>
      <c r="B115" s="320" t="s">
        <v>458</v>
      </c>
      <c r="C115" s="464">
        <f>IF(C110=0,0,(C108/C$110)*C$113)</f>
        <v>0</v>
      </c>
      <c r="D115" s="464">
        <f t="shared" ref="D115:N115" si="58">IF(D110=0,0,(D108/D$110)*D$113)</f>
        <v>0</v>
      </c>
      <c r="E115" s="464">
        <f t="shared" si="58"/>
        <v>0</v>
      </c>
      <c r="F115" s="464">
        <f t="shared" si="58"/>
        <v>0</v>
      </c>
      <c r="G115" s="464">
        <f t="shared" si="58"/>
        <v>0</v>
      </c>
      <c r="H115" s="464">
        <f t="shared" si="58"/>
        <v>0</v>
      </c>
      <c r="I115" s="464">
        <f t="shared" si="58"/>
        <v>0</v>
      </c>
      <c r="J115" s="464">
        <f t="shared" si="58"/>
        <v>0</v>
      </c>
      <c r="K115" s="464">
        <f t="shared" si="58"/>
        <v>0</v>
      </c>
      <c r="L115" s="464">
        <f t="shared" si="58"/>
        <v>0</v>
      </c>
      <c r="M115" s="464">
        <f t="shared" si="58"/>
        <v>0</v>
      </c>
      <c r="N115" s="464">
        <f t="shared" si="58"/>
        <v>0</v>
      </c>
      <c r="O115" s="464">
        <f>SUM(C115:N115)</f>
        <v>0</v>
      </c>
      <c r="P115" s="393"/>
    </row>
    <row r="116" spans="1:18">
      <c r="A116" s="447"/>
      <c r="B116" s="320"/>
      <c r="C116" s="463">
        <f t="shared" ref="C116:O116" si="59">SUM(C114:C115)</f>
        <v>0</v>
      </c>
      <c r="D116" s="463">
        <f t="shared" si="59"/>
        <v>0</v>
      </c>
      <c r="E116" s="463">
        <f t="shared" si="59"/>
        <v>0</v>
      </c>
      <c r="F116" s="463">
        <f t="shared" si="59"/>
        <v>0</v>
      </c>
      <c r="G116" s="463">
        <f t="shared" si="59"/>
        <v>0</v>
      </c>
      <c r="H116" s="463">
        <f t="shared" si="59"/>
        <v>0</v>
      </c>
      <c r="I116" s="463">
        <f t="shared" si="59"/>
        <v>0</v>
      </c>
      <c r="J116" s="463">
        <f t="shared" si="59"/>
        <v>0</v>
      </c>
      <c r="K116" s="463">
        <f t="shared" si="59"/>
        <v>0</v>
      </c>
      <c r="L116" s="463">
        <f t="shared" si="59"/>
        <v>0</v>
      </c>
      <c r="M116" s="463">
        <f t="shared" si="59"/>
        <v>0</v>
      </c>
      <c r="N116" s="463">
        <f t="shared" si="59"/>
        <v>0</v>
      </c>
      <c r="O116" s="463">
        <f t="shared" si="59"/>
        <v>0</v>
      </c>
      <c r="P116" s="393"/>
    </row>
    <row r="117" spans="1:18">
      <c r="A117" s="447"/>
      <c r="B117" s="320"/>
      <c r="C117" s="463"/>
      <c r="D117" s="463"/>
      <c r="E117" s="463"/>
      <c r="F117" s="463"/>
      <c r="G117" s="463"/>
      <c r="H117" s="463"/>
      <c r="I117" s="463"/>
      <c r="J117" s="463"/>
      <c r="K117" s="463"/>
      <c r="L117" s="463"/>
      <c r="M117" s="463"/>
      <c r="N117" s="463"/>
      <c r="O117" s="463"/>
      <c r="P117" s="393"/>
    </row>
    <row r="118" spans="1:18">
      <c r="A118" s="447"/>
      <c r="B118" s="320" t="s">
        <v>457</v>
      </c>
      <c r="C118" s="463">
        <f>C107+C114</f>
        <v>23864.6</v>
      </c>
      <c r="D118" s="463">
        <f t="shared" ref="D118:N118" si="60">D107+D114</f>
        <v>19275.009999999998</v>
      </c>
      <c r="E118" s="463">
        <f t="shared" si="60"/>
        <v>12887.93</v>
      </c>
      <c r="F118" s="463">
        <f t="shared" si="60"/>
        <v>17128.64</v>
      </c>
      <c r="G118" s="463">
        <f t="shared" si="60"/>
        <v>26353.360000000001</v>
      </c>
      <c r="H118" s="463">
        <f t="shared" si="60"/>
        <v>18179.060000000001</v>
      </c>
      <c r="I118" s="463">
        <f t="shared" si="60"/>
        <v>53826.03</v>
      </c>
      <c r="J118" s="463">
        <f t="shared" si="60"/>
        <v>0</v>
      </c>
      <c r="K118" s="463">
        <f t="shared" si="60"/>
        <v>141125.35999999999</v>
      </c>
      <c r="L118" s="463">
        <f t="shared" si="60"/>
        <v>21888.12</v>
      </c>
      <c r="M118" s="463">
        <f t="shared" si="60"/>
        <v>78707.48</v>
      </c>
      <c r="N118" s="463">
        <f t="shared" si="60"/>
        <v>38407.839999999997</v>
      </c>
      <c r="O118" s="463">
        <f>SUM(C118:N118)</f>
        <v>451643.42999999993</v>
      </c>
      <c r="P118" s="393"/>
    </row>
    <row r="119" spans="1:18">
      <c r="A119" s="447"/>
      <c r="B119" s="320" t="s">
        <v>458</v>
      </c>
      <c r="C119" s="464">
        <f>C108+C115</f>
        <v>0</v>
      </c>
      <c r="D119" s="464">
        <f t="shared" ref="D119:N119" si="61">D108+D115</f>
        <v>0</v>
      </c>
      <c r="E119" s="464">
        <f t="shared" si="61"/>
        <v>0</v>
      </c>
      <c r="F119" s="464">
        <f t="shared" si="61"/>
        <v>0</v>
      </c>
      <c r="G119" s="464">
        <f t="shared" si="61"/>
        <v>0</v>
      </c>
      <c r="H119" s="464">
        <f t="shared" si="61"/>
        <v>0</v>
      </c>
      <c r="I119" s="464">
        <f t="shared" si="61"/>
        <v>0</v>
      </c>
      <c r="J119" s="464">
        <f t="shared" si="61"/>
        <v>0</v>
      </c>
      <c r="K119" s="464">
        <f t="shared" si="61"/>
        <v>0</v>
      </c>
      <c r="L119" s="464">
        <f t="shared" si="61"/>
        <v>0</v>
      </c>
      <c r="M119" s="464">
        <f t="shared" si="61"/>
        <v>0</v>
      </c>
      <c r="N119" s="464">
        <f t="shared" si="61"/>
        <v>0</v>
      </c>
      <c r="O119" s="464">
        <f>SUM(C119:N119)</f>
        <v>0</v>
      </c>
      <c r="P119" s="393"/>
    </row>
    <row r="120" spans="1:18">
      <c r="A120" s="447"/>
      <c r="B120" s="320"/>
      <c r="C120" s="463">
        <f t="shared" ref="C120:O120" si="62">SUM(C118:C119)</f>
        <v>23864.6</v>
      </c>
      <c r="D120" s="463">
        <f t="shared" si="62"/>
        <v>19275.009999999998</v>
      </c>
      <c r="E120" s="463">
        <f t="shared" si="62"/>
        <v>12887.93</v>
      </c>
      <c r="F120" s="463">
        <f t="shared" si="62"/>
        <v>17128.64</v>
      </c>
      <c r="G120" s="463">
        <f t="shared" si="62"/>
        <v>26353.360000000001</v>
      </c>
      <c r="H120" s="463">
        <f t="shared" si="62"/>
        <v>18179.060000000001</v>
      </c>
      <c r="I120" s="463">
        <f t="shared" si="62"/>
        <v>53826.03</v>
      </c>
      <c r="J120" s="463">
        <f t="shared" si="62"/>
        <v>0</v>
      </c>
      <c r="K120" s="463">
        <f t="shared" si="62"/>
        <v>141125.35999999999</v>
      </c>
      <c r="L120" s="463">
        <f t="shared" si="62"/>
        <v>21888.12</v>
      </c>
      <c r="M120" s="463">
        <f t="shared" si="62"/>
        <v>78707.48</v>
      </c>
      <c r="N120" s="463">
        <f t="shared" si="62"/>
        <v>38407.839999999997</v>
      </c>
      <c r="O120" s="463">
        <f t="shared" si="62"/>
        <v>451643.42999999993</v>
      </c>
      <c r="P120" s="393"/>
    </row>
    <row r="121" spans="1:18">
      <c r="A121" s="447"/>
      <c r="B121" s="320"/>
      <c r="C121" s="462">
        <f t="shared" ref="C121:O121" si="63">C120-C111</f>
        <v>0</v>
      </c>
      <c r="D121" s="462">
        <f t="shared" si="63"/>
        <v>2</v>
      </c>
      <c r="E121" s="462">
        <f t="shared" si="63"/>
        <v>0</v>
      </c>
      <c r="F121" s="462">
        <f t="shared" si="63"/>
        <v>0</v>
      </c>
      <c r="G121" s="462">
        <f t="shared" si="63"/>
        <v>0</v>
      </c>
      <c r="H121" s="462">
        <f t="shared" si="63"/>
        <v>0</v>
      </c>
      <c r="I121" s="462">
        <f t="shared" si="63"/>
        <v>0</v>
      </c>
      <c r="J121" s="462">
        <f t="shared" si="63"/>
        <v>0</v>
      </c>
      <c r="K121" s="462">
        <f t="shared" si="63"/>
        <v>0</v>
      </c>
      <c r="L121" s="462">
        <f t="shared" si="63"/>
        <v>0</v>
      </c>
      <c r="M121" s="462">
        <f t="shared" si="63"/>
        <v>0</v>
      </c>
      <c r="N121" s="462">
        <f t="shared" si="63"/>
        <v>0</v>
      </c>
      <c r="O121" s="462">
        <f t="shared" si="63"/>
        <v>2</v>
      </c>
      <c r="P121" s="393"/>
    </row>
    <row r="122" spans="1:18">
      <c r="A122" s="447"/>
      <c r="B122" s="320"/>
      <c r="C122" s="461"/>
      <c r="D122" s="461"/>
      <c r="E122" s="461"/>
      <c r="F122" s="461"/>
      <c r="G122" s="461"/>
      <c r="H122" s="461"/>
      <c r="I122" s="461"/>
      <c r="J122" s="461"/>
      <c r="K122" s="461"/>
      <c r="L122" s="461"/>
      <c r="M122" s="461"/>
      <c r="N122" s="461"/>
      <c r="O122" s="462"/>
      <c r="P122" s="393"/>
    </row>
    <row r="123" spans="1:18">
      <c r="A123" s="447"/>
      <c r="B123" s="448" t="s">
        <v>763</v>
      </c>
      <c r="C123" s="320"/>
      <c r="D123" s="320"/>
      <c r="E123" s="320"/>
      <c r="F123" s="320"/>
      <c r="G123" s="320"/>
      <c r="H123" s="320"/>
      <c r="I123" s="320"/>
      <c r="J123" s="320"/>
      <c r="K123" s="320"/>
      <c r="L123" s="320"/>
      <c r="M123" s="320"/>
      <c r="N123" s="320"/>
      <c r="O123" s="320"/>
      <c r="P123" s="390"/>
    </row>
    <row r="124" spans="1:18">
      <c r="A124" s="447"/>
      <c r="B124" s="320" t="s">
        <v>457</v>
      </c>
      <c r="C124" s="462"/>
      <c r="D124" s="462"/>
      <c r="E124" s="462"/>
      <c r="F124" s="462"/>
      <c r="G124" s="462"/>
      <c r="H124" s="462"/>
      <c r="I124" s="462"/>
      <c r="J124" s="462"/>
      <c r="K124" s="462"/>
      <c r="L124" s="462"/>
      <c r="M124" s="462"/>
      <c r="N124" s="462"/>
      <c r="O124" s="462">
        <f>SUM(C124:N124)</f>
        <v>0</v>
      </c>
      <c r="P124" s="390"/>
      <c r="R124" s="40">
        <v>0</v>
      </c>
    </row>
    <row r="125" spans="1:18">
      <c r="A125" s="447"/>
      <c r="B125" s="320" t="s">
        <v>458</v>
      </c>
      <c r="C125" s="462" t="e">
        <f>'REVRUNS 12ME0623'!D455/'REVRUNS 12ME0623'!D458</f>
        <v>#DIV/0!</v>
      </c>
      <c r="D125" s="462" t="e">
        <f>'REVRUNS 12ME0623'!E455/'REVRUNS 12ME0623'!E458</f>
        <v>#DIV/0!</v>
      </c>
      <c r="E125" s="462" t="e">
        <f>'REVRUNS 12ME0623'!F455/'REVRUNS 12ME0623'!F458</f>
        <v>#DIV/0!</v>
      </c>
      <c r="F125" s="462" t="e">
        <f>'REVRUNS 12ME0623'!G455/'REVRUNS 12ME0623'!G458</f>
        <v>#DIV/0!</v>
      </c>
      <c r="G125" s="462" t="e">
        <f>'REVRUNS 12ME0623'!H455/'REVRUNS 12ME0623'!H458</f>
        <v>#DIV/0!</v>
      </c>
      <c r="H125" s="462" t="e">
        <f>'REVRUNS 12ME0623'!I455/'REVRUNS 12ME0623'!I458</f>
        <v>#DIV/0!</v>
      </c>
      <c r="I125" s="462" t="e">
        <f>'REVRUNS 12ME0623'!J455/'REVRUNS 12ME0623'!J458</f>
        <v>#DIV/0!</v>
      </c>
      <c r="J125" s="462" t="e">
        <f>'REVRUNS 12ME0623'!K455/'REVRUNS 12ME0623'!K458</f>
        <v>#DIV/0!</v>
      </c>
      <c r="K125" s="462" t="e">
        <f>'REVRUNS 12ME0623'!L455/'REVRUNS 12ME0623'!L458</f>
        <v>#DIV/0!</v>
      </c>
      <c r="L125" s="462" t="e">
        <f>'REVRUNS 12ME0623'!M455/'REVRUNS 12ME0623'!M458</f>
        <v>#DIV/0!</v>
      </c>
      <c r="M125" s="462" t="e">
        <f>'REVRUNS 12ME0623'!N455/'REVRUNS 12ME0623'!N458</f>
        <v>#DIV/0!</v>
      </c>
      <c r="N125" s="462" t="e">
        <f>'REVRUNS 12ME0623'!O455/'REVRUNS 12ME0623'!O458</f>
        <v>#DIV/0!</v>
      </c>
      <c r="O125" s="462" t="e">
        <f>SUM(C125:N125)</f>
        <v>#DIV/0!</v>
      </c>
      <c r="P125" s="401" t="e">
        <f>'REVRUNS 12ME0623'!P455/6.5-O125</f>
        <v>#DIV/0!</v>
      </c>
      <c r="R125" s="288">
        <v>0</v>
      </c>
    </row>
    <row r="126" spans="1:18">
      <c r="A126" s="447" t="s">
        <v>463</v>
      </c>
      <c r="B126" s="448" t="s">
        <v>64</v>
      </c>
      <c r="C126" s="466" t="e">
        <f t="shared" ref="C126:O126" si="64">SUM(C124:C125)</f>
        <v>#DIV/0!</v>
      </c>
      <c r="D126" s="466" t="e">
        <f t="shared" si="64"/>
        <v>#DIV/0!</v>
      </c>
      <c r="E126" s="466" t="e">
        <f t="shared" si="64"/>
        <v>#DIV/0!</v>
      </c>
      <c r="F126" s="466" t="e">
        <f t="shared" si="64"/>
        <v>#DIV/0!</v>
      </c>
      <c r="G126" s="466" t="e">
        <f t="shared" si="64"/>
        <v>#DIV/0!</v>
      </c>
      <c r="H126" s="466" t="e">
        <f t="shared" si="64"/>
        <v>#DIV/0!</v>
      </c>
      <c r="I126" s="466" t="e">
        <f t="shared" si="64"/>
        <v>#DIV/0!</v>
      </c>
      <c r="J126" s="466" t="e">
        <f t="shared" si="64"/>
        <v>#DIV/0!</v>
      </c>
      <c r="K126" s="466" t="e">
        <f t="shared" si="64"/>
        <v>#DIV/0!</v>
      </c>
      <c r="L126" s="466" t="e">
        <f t="shared" si="64"/>
        <v>#DIV/0!</v>
      </c>
      <c r="M126" s="466" t="e">
        <f t="shared" si="64"/>
        <v>#DIV/0!</v>
      </c>
      <c r="N126" s="466" t="e">
        <f t="shared" si="64"/>
        <v>#DIV/0!</v>
      </c>
      <c r="O126" s="466" t="e">
        <f t="shared" si="64"/>
        <v>#DIV/0!</v>
      </c>
      <c r="P126" s="390"/>
      <c r="R126" s="40">
        <f>SUM(R124:R125)</f>
        <v>0</v>
      </c>
    </row>
    <row r="127" spans="1:18">
      <c r="A127" s="447"/>
      <c r="B127" s="320"/>
      <c r="C127" s="320"/>
      <c r="D127" s="320"/>
      <c r="E127" s="320"/>
      <c r="F127" s="320"/>
      <c r="G127" s="320"/>
      <c r="H127" s="320"/>
      <c r="I127" s="320"/>
      <c r="J127" s="320"/>
      <c r="K127" s="320"/>
      <c r="L127" s="320"/>
      <c r="M127" s="320"/>
      <c r="N127" s="320"/>
      <c r="O127" s="320"/>
      <c r="P127" s="390"/>
    </row>
    <row r="128" spans="1:18">
      <c r="A128" s="447"/>
      <c r="B128" s="448" t="s">
        <v>763</v>
      </c>
      <c r="C128" s="320"/>
      <c r="D128" s="320"/>
      <c r="E128" s="320"/>
      <c r="F128" s="320"/>
      <c r="G128" s="320"/>
      <c r="H128" s="320"/>
      <c r="I128" s="320"/>
      <c r="J128" s="320"/>
      <c r="K128" s="320"/>
      <c r="L128" s="320"/>
      <c r="M128" s="320"/>
      <c r="N128" s="320"/>
      <c r="O128" s="320"/>
      <c r="P128" s="390"/>
    </row>
    <row r="129" spans="1:19">
      <c r="A129" s="447"/>
      <c r="B129" s="320" t="s">
        <v>464</v>
      </c>
      <c r="C129" s="462">
        <f>'REVRUNS 12ME0623'!D456/'REVRUNS 12ME0623'!D459</f>
        <v>0</v>
      </c>
      <c r="D129" s="462">
        <f>'REVRUNS 12ME0623'!E456/'REVRUNS 12ME0623'!E459</f>
        <v>0</v>
      </c>
      <c r="E129" s="462">
        <f>'REVRUNS 12ME0623'!F456/'REVRUNS 12ME0623'!F459</f>
        <v>0</v>
      </c>
      <c r="F129" s="462">
        <f>'REVRUNS 12ME0623'!G456/'REVRUNS 12ME0623'!G459</f>
        <v>0</v>
      </c>
      <c r="G129" s="462">
        <f>'REVRUNS 12ME0623'!H456/'REVRUNS 12ME0623'!H459</f>
        <v>0</v>
      </c>
      <c r="H129" s="462">
        <f>'REVRUNS 12ME0623'!I456/'REVRUNS 12ME0623'!I459</f>
        <v>0</v>
      </c>
      <c r="I129" s="462">
        <f>'REVRUNS 12ME0623'!J456/'REVRUNS 12ME0623'!J459</f>
        <v>0</v>
      </c>
      <c r="J129" s="462">
        <f>'REVRUNS 12ME0623'!K456/'REVRUNS 12ME0623'!K459</f>
        <v>0</v>
      </c>
      <c r="K129" s="462">
        <f>'REVRUNS 12ME0623'!L456/'REVRUNS 12ME0623'!L459</f>
        <v>0</v>
      </c>
      <c r="L129" s="462">
        <f>'REVRUNS 12ME0623'!M456/'REVRUNS 12ME0623'!M459</f>
        <v>0</v>
      </c>
      <c r="M129" s="462">
        <f>'REVRUNS 12ME0623'!N456/'REVRUNS 12ME0623'!N459</f>
        <v>0</v>
      </c>
      <c r="N129" s="462">
        <f>'REVRUNS 12ME0623'!O456/'REVRUNS 12ME0623'!O459</f>
        <v>0</v>
      </c>
      <c r="O129" s="462">
        <f>SUM(C129:N129)</f>
        <v>0</v>
      </c>
      <c r="P129" s="390"/>
      <c r="R129" s="40">
        <v>0</v>
      </c>
    </row>
    <row r="130" spans="1:19">
      <c r="A130" s="447"/>
      <c r="B130" s="320" t="s">
        <v>465</v>
      </c>
      <c r="C130" s="467">
        <v>0.5</v>
      </c>
      <c r="D130" s="467">
        <v>0.5</v>
      </c>
      <c r="E130" s="467">
        <v>0.5</v>
      </c>
      <c r="F130" s="467">
        <v>0.5</v>
      </c>
      <c r="G130" s="467">
        <v>0.5</v>
      </c>
      <c r="H130" s="467">
        <v>0.5</v>
      </c>
      <c r="I130" s="467">
        <v>0.5</v>
      </c>
      <c r="J130" s="467">
        <v>0.5</v>
      </c>
      <c r="K130" s="467">
        <v>0.5</v>
      </c>
      <c r="L130" s="467">
        <v>0.5</v>
      </c>
      <c r="M130" s="467">
        <v>0.5</v>
      </c>
      <c r="N130" s="467">
        <v>0.5</v>
      </c>
      <c r="O130" s="467">
        <v>0.5</v>
      </c>
      <c r="P130" s="390"/>
    </row>
    <row r="131" spans="1:19">
      <c r="A131" s="447"/>
      <c r="B131" s="320" t="s">
        <v>466</v>
      </c>
      <c r="C131" s="467">
        <f t="shared" ref="C131:H131" si="65">C129*C130</f>
        <v>0</v>
      </c>
      <c r="D131" s="467">
        <f t="shared" si="65"/>
        <v>0</v>
      </c>
      <c r="E131" s="467">
        <f t="shared" si="65"/>
        <v>0</v>
      </c>
      <c r="F131" s="467">
        <f t="shared" si="65"/>
        <v>0</v>
      </c>
      <c r="G131" s="467">
        <f t="shared" si="65"/>
        <v>0</v>
      </c>
      <c r="H131" s="467">
        <f t="shared" si="65"/>
        <v>0</v>
      </c>
      <c r="I131" s="467">
        <f>I129*I130</f>
        <v>0</v>
      </c>
      <c r="J131" s="467">
        <f t="shared" ref="J131:O131" si="66">J129*J130</f>
        <v>0</v>
      </c>
      <c r="K131" s="467">
        <f t="shared" si="66"/>
        <v>0</v>
      </c>
      <c r="L131" s="467">
        <f t="shared" si="66"/>
        <v>0</v>
      </c>
      <c r="M131" s="467">
        <f t="shared" si="66"/>
        <v>0</v>
      </c>
      <c r="N131" s="467">
        <f t="shared" si="66"/>
        <v>0</v>
      </c>
      <c r="O131" s="467">
        <f t="shared" si="66"/>
        <v>0</v>
      </c>
      <c r="P131" s="404">
        <f>O131-'REVRUNS 12ME0623'!P456</f>
        <v>0</v>
      </c>
    </row>
    <row r="132" spans="1:19" ht="13" thickBot="1">
      <c r="A132" s="394"/>
      <c r="B132" s="326"/>
      <c r="C132" s="326"/>
      <c r="D132" s="326"/>
      <c r="E132" s="326"/>
      <c r="F132" s="326"/>
      <c r="G132" s="326"/>
      <c r="H132" s="326"/>
      <c r="I132" s="326"/>
      <c r="J132" s="326"/>
      <c r="K132" s="326"/>
      <c r="L132" s="326"/>
      <c r="M132" s="326"/>
      <c r="N132" s="326"/>
      <c r="O132" s="326"/>
      <c r="P132" s="405"/>
    </row>
    <row r="133" spans="1:19">
      <c r="A133" s="382"/>
      <c r="B133" s="383" t="s">
        <v>471</v>
      </c>
      <c r="C133" s="384"/>
      <c r="D133" s="384"/>
      <c r="E133" s="384"/>
      <c r="F133" s="384"/>
      <c r="G133" s="384"/>
      <c r="H133" s="384"/>
      <c r="I133" s="384"/>
      <c r="J133" s="384"/>
      <c r="K133" s="384"/>
      <c r="L133" s="384"/>
      <c r="M133" s="384"/>
      <c r="N133" s="384"/>
      <c r="O133" s="384"/>
      <c r="P133" s="386"/>
    </row>
    <row r="134" spans="1:19">
      <c r="A134" s="387"/>
      <c r="B134" t="s">
        <v>457</v>
      </c>
      <c r="C134" s="388">
        <f>'REVRUNS 12ME0623'!D224+'REVRUNS 12ME0623'!D237</f>
        <v>4315349.09901</v>
      </c>
      <c r="D134" s="388">
        <f>'REVRUNS 12ME0623'!E224+'REVRUNS 12ME0623'!E237</f>
        <v>4250767.0290000001</v>
      </c>
      <c r="E134" s="388">
        <f>'REVRUNS 12ME0623'!F224+'REVRUNS 12ME0623'!F237</f>
        <v>4777094.7321800003</v>
      </c>
      <c r="F134" s="388">
        <f>'REVRUNS 12ME0623'!G224+'REVRUNS 12ME0623'!G237</f>
        <v>2868972.9504800001</v>
      </c>
      <c r="G134" s="388">
        <f>'REVRUNS 12ME0623'!H224+'REVRUNS 12ME0623'!H237</f>
        <v>2488999.6634999998</v>
      </c>
      <c r="H134" s="388">
        <f>'REVRUNS 12ME0623'!I224+'REVRUNS 12ME0623'!I237</f>
        <v>2053945.4382100001</v>
      </c>
      <c r="I134" s="388">
        <f>'REVRUNS 12ME0623'!J224+'REVRUNS 12ME0623'!J237</f>
        <v>1875289.5195299999</v>
      </c>
      <c r="J134" s="388">
        <f>'REVRUNS 12ME0623'!K224+'REVRUNS 12ME0623'!K237</f>
        <v>1369540.4623400001</v>
      </c>
      <c r="K134" s="388">
        <f>'REVRUNS 12ME0623'!L224+'REVRUNS 12ME0623'!L237</f>
        <v>2083138.25</v>
      </c>
      <c r="L134" s="388">
        <f>'REVRUNS 12ME0623'!M224+'REVRUNS 12ME0623'!M237</f>
        <v>1926624.99184</v>
      </c>
      <c r="M134" s="388">
        <f>'REVRUNS 12ME0623'!N224+'REVRUNS 12ME0623'!N237</f>
        <v>3581334.0961599997</v>
      </c>
      <c r="N134" s="388">
        <f>'REVRUNS 12ME0623'!O224+'REVRUNS 12ME0623'!O237</f>
        <v>4442295.2213300001</v>
      </c>
      <c r="O134" s="389">
        <f>SUM(C134:N134)</f>
        <v>36033351.45358</v>
      </c>
      <c r="P134" s="406"/>
      <c r="R134" s="40">
        <v>0</v>
      </c>
      <c r="S134" s="289" t="e">
        <f>R134/$R$137</f>
        <v>#DIV/0!</v>
      </c>
    </row>
    <row r="135" spans="1:19">
      <c r="A135" s="387"/>
      <c r="B135" t="s">
        <v>458</v>
      </c>
      <c r="C135" s="388">
        <f>'REVRUNS 12ME0623'!D225+'REVRUNS 12ME0623'!D238</f>
        <v>1465118.3076599999</v>
      </c>
      <c r="D135" s="388">
        <f>'REVRUNS 12ME0623'!E225+'REVRUNS 12ME0623'!E238</f>
        <v>1671049.946</v>
      </c>
      <c r="E135" s="388">
        <f>'REVRUNS 12ME0623'!F225+'REVRUNS 12ME0623'!F238</f>
        <v>1638148.1343200002</v>
      </c>
      <c r="F135" s="388">
        <f>'REVRUNS 12ME0623'!G225+'REVRUNS 12ME0623'!G238</f>
        <v>1100759.8307100001</v>
      </c>
      <c r="G135" s="388">
        <f>'REVRUNS 12ME0623'!H225+'REVRUNS 12ME0623'!H238</f>
        <v>533324.89266000001</v>
      </c>
      <c r="H135" s="388">
        <f>'REVRUNS 12ME0623'!I225+'REVRUNS 12ME0623'!I238</f>
        <v>584754.39899999998</v>
      </c>
      <c r="I135" s="388">
        <f>'REVRUNS 12ME0623'!J225+'REVRUNS 12ME0623'!J238</f>
        <v>587312.12251000002</v>
      </c>
      <c r="J135" s="388">
        <f>'REVRUNS 12ME0623'!K225+'REVRUNS 12ME0623'!K238</f>
        <v>433111.20133000001</v>
      </c>
      <c r="K135" s="388">
        <f>'REVRUNS 12ME0623'!L225+'REVRUNS 12ME0623'!L238</f>
        <v>643076.16700000002</v>
      </c>
      <c r="L135" s="388">
        <f>'REVRUNS 12ME0623'!M225+'REVRUNS 12ME0623'!M238</f>
        <v>461909.76715999999</v>
      </c>
      <c r="M135" s="388">
        <f>'REVRUNS 12ME0623'!N225+'REVRUNS 12ME0623'!N238</f>
        <v>1089559.58767</v>
      </c>
      <c r="N135" s="388">
        <f>'REVRUNS 12ME0623'!O225+'REVRUNS 12ME0623'!O238</f>
        <v>1518033.8498399998</v>
      </c>
      <c r="O135" s="389">
        <f>SUM(C135:N135)</f>
        <v>11726158.205860002</v>
      </c>
      <c r="P135" s="406"/>
      <c r="R135" s="40">
        <v>0</v>
      </c>
      <c r="S135" s="289" t="e">
        <f>R135/$R$137</f>
        <v>#DIV/0!</v>
      </c>
    </row>
    <row r="136" spans="1:19">
      <c r="A136" s="387"/>
      <c r="B136" t="s">
        <v>469</v>
      </c>
      <c r="C136" s="388">
        <f>'REVRUNS 12ME0623'!D226+'REVRUNS 12ME0623'!D239+'REVRUNS 12ME0623'!D212</f>
        <v>13455990.589329999</v>
      </c>
      <c r="D136" s="388">
        <f>'REVRUNS 12ME0623'!E226+'REVRUNS 12ME0623'!E239+'REVRUNS 12ME0623'!E212</f>
        <v>17604382.754000001</v>
      </c>
      <c r="E136" s="388">
        <f>'REVRUNS 12ME0623'!F226+'REVRUNS 12ME0623'!F239+'REVRUNS 12ME0623'!F212</f>
        <v>19376368.045500003</v>
      </c>
      <c r="F136" s="388">
        <f>'REVRUNS 12ME0623'!G226+'REVRUNS 12ME0623'!G239+'REVRUNS 12ME0623'!G212</f>
        <v>12095908.662810002</v>
      </c>
      <c r="G136" s="388">
        <f>'REVRUNS 12ME0623'!H226+'REVRUNS 12ME0623'!H239+'REVRUNS 12ME0623'!H212</f>
        <v>3359423.0798399998</v>
      </c>
      <c r="H136" s="388">
        <f>'REVRUNS 12ME0623'!I226+'REVRUNS 12ME0623'!I239+'REVRUNS 12ME0623'!I212</f>
        <v>2784758.5558099998</v>
      </c>
      <c r="I136" s="388">
        <f>'REVRUNS 12ME0623'!J226+'REVRUNS 12ME0623'!J239+'REVRUNS 12ME0623'!J212</f>
        <v>2580470.2461299999</v>
      </c>
      <c r="J136" s="388">
        <f>'REVRUNS 12ME0623'!K226+'REVRUNS 12ME0623'!K239+'REVRUNS 12ME0623'!K212</f>
        <v>1972310.83733</v>
      </c>
      <c r="K136" s="388">
        <f>'REVRUNS 12ME0623'!L226+'REVRUNS 12ME0623'!L239+'REVRUNS 12ME0623'!L212</f>
        <v>2592941.5579999997</v>
      </c>
      <c r="L136" s="388">
        <f>'REVRUNS 12ME0623'!M226+'REVRUNS 12ME0623'!M239+'REVRUNS 12ME0623'!M212</f>
        <v>2725215.2439999999</v>
      </c>
      <c r="M136" s="388">
        <f>'REVRUNS 12ME0623'!N226+'REVRUNS 12ME0623'!N239+'REVRUNS 12ME0623'!N212</f>
        <v>7253538.0241700001</v>
      </c>
      <c r="N136" s="388">
        <f>'REVRUNS 12ME0623'!O226+'REVRUNS 12ME0623'!O239+'REVRUNS 12ME0623'!O212</f>
        <v>13920648.204829998</v>
      </c>
      <c r="O136" s="389">
        <f>SUM(C136:N136)</f>
        <v>99721955.801750004</v>
      </c>
      <c r="P136" s="406"/>
      <c r="R136" s="288">
        <v>0</v>
      </c>
      <c r="S136" s="290" t="e">
        <f>R136/$R$137</f>
        <v>#DIV/0!</v>
      </c>
    </row>
    <row r="137" spans="1:19">
      <c r="A137" s="387" t="s">
        <v>459</v>
      </c>
      <c r="B137" s="32" t="s">
        <v>64</v>
      </c>
      <c r="C137" s="36">
        <f t="shared" ref="C137:O137" si="67">SUM(C134:C136)</f>
        <v>19236457.995999999</v>
      </c>
      <c r="D137" s="36">
        <f t="shared" si="67"/>
        <v>23526199.729000002</v>
      </c>
      <c r="E137" s="36">
        <f t="shared" si="67"/>
        <v>25791610.912000004</v>
      </c>
      <c r="F137" s="36">
        <f t="shared" si="67"/>
        <v>16065641.444000002</v>
      </c>
      <c r="G137" s="36">
        <f t="shared" si="67"/>
        <v>6381747.6359999999</v>
      </c>
      <c r="H137" s="36">
        <f t="shared" si="67"/>
        <v>5423458.3930200003</v>
      </c>
      <c r="I137" s="36">
        <f t="shared" si="67"/>
        <v>5043071.8881700002</v>
      </c>
      <c r="J137" s="36">
        <f t="shared" si="67"/>
        <v>3774962.5010000002</v>
      </c>
      <c r="K137" s="36">
        <f t="shared" si="67"/>
        <v>5319155.9749999996</v>
      </c>
      <c r="L137" s="36">
        <f t="shared" si="67"/>
        <v>5113750.0030000005</v>
      </c>
      <c r="M137" s="36">
        <f t="shared" si="67"/>
        <v>11924431.708000001</v>
      </c>
      <c r="N137" s="36">
        <f t="shared" si="67"/>
        <v>19880977.276000001</v>
      </c>
      <c r="O137" s="36">
        <f t="shared" si="67"/>
        <v>147481465.46119002</v>
      </c>
      <c r="P137" s="406"/>
      <c r="R137" s="40">
        <f>SUM(R134:R136)</f>
        <v>0</v>
      </c>
      <c r="S137" s="76" t="e">
        <f>SUM(S134:S136)</f>
        <v>#DIV/0!</v>
      </c>
    </row>
    <row r="138" spans="1:19">
      <c r="A138" s="387"/>
      <c r="B138" t="s">
        <v>72</v>
      </c>
      <c r="C138" s="319">
        <f>'REVRUNS 12ME0623'!D342</f>
        <v>19236457.995999999</v>
      </c>
      <c r="D138" s="319">
        <f>'REVRUNS 12ME0623'!E342</f>
        <v>23526199.729000002</v>
      </c>
      <c r="E138" s="319">
        <f>'REVRUNS 12ME0623'!F342</f>
        <v>25791610.912</v>
      </c>
      <c r="F138" s="319">
        <f>'REVRUNS 12ME0623'!G342</f>
        <v>16065641.444</v>
      </c>
      <c r="G138" s="319">
        <f>'REVRUNS 12ME0623'!H342</f>
        <v>6381747.6359999999</v>
      </c>
      <c r="H138" s="319">
        <f>'REVRUNS 12ME0623'!I342</f>
        <v>5423458.3930199994</v>
      </c>
      <c r="I138" s="319">
        <f>'REVRUNS 12ME0623'!J342</f>
        <v>5043071.8881699992</v>
      </c>
      <c r="J138" s="319">
        <f>'REVRUNS 12ME0623'!K342</f>
        <v>3774962.5010000006</v>
      </c>
      <c r="K138" s="319">
        <f>'REVRUNS 12ME0623'!L342</f>
        <v>5319155.9749999996</v>
      </c>
      <c r="L138" s="319">
        <f>'REVRUNS 12ME0623'!M342</f>
        <v>5113750.0029999996</v>
      </c>
      <c r="M138" s="319">
        <f>'REVRUNS 12ME0623'!N342</f>
        <v>11924431.708000001</v>
      </c>
      <c r="N138" s="319">
        <f>'REVRUNS 12ME0623'!O342</f>
        <v>19880977.276000001</v>
      </c>
      <c r="O138" s="389">
        <f>SUM(C138:N138)</f>
        <v>147481465.46119002</v>
      </c>
      <c r="P138" s="390"/>
    </row>
    <row r="139" spans="1:19">
      <c r="A139" s="387"/>
      <c r="C139" s="40">
        <f t="shared" ref="C139:N139" si="68">C138-C137</f>
        <v>0</v>
      </c>
      <c r="D139" s="40">
        <f t="shared" si="68"/>
        <v>0</v>
      </c>
      <c r="E139" s="40">
        <f t="shared" si="68"/>
        <v>0</v>
      </c>
      <c r="F139" s="40">
        <f t="shared" si="68"/>
        <v>0</v>
      </c>
      <c r="G139" s="40">
        <f t="shared" si="68"/>
        <v>0</v>
      </c>
      <c r="H139" s="40">
        <f t="shared" si="68"/>
        <v>0</v>
      </c>
      <c r="I139" s="40">
        <f t="shared" si="68"/>
        <v>0</v>
      </c>
      <c r="J139" s="40">
        <f t="shared" si="68"/>
        <v>0</v>
      </c>
      <c r="K139" s="40">
        <f t="shared" si="68"/>
        <v>0</v>
      </c>
      <c r="L139" s="40">
        <f t="shared" si="68"/>
        <v>0</v>
      </c>
      <c r="M139" s="40">
        <f t="shared" si="68"/>
        <v>0</v>
      </c>
      <c r="N139" s="40">
        <f t="shared" si="68"/>
        <v>0</v>
      </c>
      <c r="O139" s="389">
        <f>SUM(C139:N139)</f>
        <v>0</v>
      </c>
      <c r="P139" s="393">
        <f>O139/O138</f>
        <v>0</v>
      </c>
    </row>
    <row r="140" spans="1:19">
      <c r="A140" s="387"/>
      <c r="C140" s="40"/>
      <c r="D140" s="40"/>
      <c r="E140" s="40"/>
      <c r="F140" s="40"/>
      <c r="G140" s="40"/>
      <c r="H140" s="40"/>
      <c r="I140" s="40"/>
      <c r="J140" s="40"/>
      <c r="K140" s="40"/>
      <c r="L140" s="40"/>
      <c r="M140" s="40"/>
      <c r="N140" s="40"/>
      <c r="O140" s="389"/>
      <c r="P140" s="393"/>
    </row>
    <row r="141" spans="1:19">
      <c r="A141" s="387"/>
      <c r="B141" t="s">
        <v>457</v>
      </c>
      <c r="C141" s="287">
        <f>(C134/C$137)*C$139</f>
        <v>0</v>
      </c>
      <c r="D141" s="287">
        <f t="shared" ref="D141:N141" si="69">(D134/D$137)*D$139</f>
        <v>0</v>
      </c>
      <c r="E141" s="287">
        <f t="shared" si="69"/>
        <v>0</v>
      </c>
      <c r="F141" s="287">
        <f t="shared" si="69"/>
        <v>0</v>
      </c>
      <c r="G141" s="287">
        <f t="shared" si="69"/>
        <v>0</v>
      </c>
      <c r="H141" s="287">
        <f t="shared" si="69"/>
        <v>0</v>
      </c>
      <c r="I141" s="287">
        <f t="shared" si="69"/>
        <v>0</v>
      </c>
      <c r="J141" s="287">
        <f t="shared" si="69"/>
        <v>0</v>
      </c>
      <c r="K141" s="287">
        <f t="shared" si="69"/>
        <v>0</v>
      </c>
      <c r="L141" s="287">
        <f>(L134/L$137)*L$139</f>
        <v>0</v>
      </c>
      <c r="M141" s="287">
        <f t="shared" si="69"/>
        <v>0</v>
      </c>
      <c r="N141" s="287">
        <f t="shared" si="69"/>
        <v>0</v>
      </c>
      <c r="O141" s="287">
        <f>SUM(C141:N141)</f>
        <v>0</v>
      </c>
      <c r="P141" s="393"/>
    </row>
    <row r="142" spans="1:19">
      <c r="A142" s="387"/>
      <c r="B142" t="s">
        <v>458</v>
      </c>
      <c r="C142" s="287">
        <f t="shared" ref="C142:N143" si="70">(C135/C$137)*C$139</f>
        <v>0</v>
      </c>
      <c r="D142" s="287">
        <f t="shared" si="70"/>
        <v>0</v>
      </c>
      <c r="E142" s="287">
        <f t="shared" si="70"/>
        <v>0</v>
      </c>
      <c r="F142" s="287">
        <f t="shared" si="70"/>
        <v>0</v>
      </c>
      <c r="G142" s="287">
        <f t="shared" si="70"/>
        <v>0</v>
      </c>
      <c r="H142" s="287">
        <f t="shared" si="70"/>
        <v>0</v>
      </c>
      <c r="I142" s="287">
        <f t="shared" si="70"/>
        <v>0</v>
      </c>
      <c r="J142" s="287">
        <f t="shared" si="70"/>
        <v>0</v>
      </c>
      <c r="K142" s="287">
        <f t="shared" si="70"/>
        <v>0</v>
      </c>
      <c r="L142" s="287">
        <f t="shared" si="70"/>
        <v>0</v>
      </c>
      <c r="M142" s="287">
        <f t="shared" si="70"/>
        <v>0</v>
      </c>
      <c r="N142" s="287">
        <f t="shared" si="70"/>
        <v>0</v>
      </c>
      <c r="O142" s="287">
        <f>SUM(C142:N142)</f>
        <v>0</v>
      </c>
      <c r="P142" s="393"/>
    </row>
    <row r="143" spans="1:19">
      <c r="A143" s="387"/>
      <c r="B143" t="s">
        <v>469</v>
      </c>
      <c r="C143" s="286">
        <f t="shared" si="70"/>
        <v>0</v>
      </c>
      <c r="D143" s="286">
        <f t="shared" si="70"/>
        <v>0</v>
      </c>
      <c r="E143" s="286">
        <f t="shared" si="70"/>
        <v>0</v>
      </c>
      <c r="F143" s="286">
        <f t="shared" si="70"/>
        <v>0</v>
      </c>
      <c r="G143" s="286">
        <f t="shared" si="70"/>
        <v>0</v>
      </c>
      <c r="H143" s="286">
        <f t="shared" si="70"/>
        <v>0</v>
      </c>
      <c r="I143" s="286">
        <f t="shared" si="70"/>
        <v>0</v>
      </c>
      <c r="J143" s="286">
        <f t="shared" si="70"/>
        <v>0</v>
      </c>
      <c r="K143" s="286">
        <f t="shared" si="70"/>
        <v>0</v>
      </c>
      <c r="L143" s="286">
        <f t="shared" si="70"/>
        <v>0</v>
      </c>
      <c r="M143" s="286">
        <f t="shared" si="70"/>
        <v>0</v>
      </c>
      <c r="N143" s="286">
        <f t="shared" si="70"/>
        <v>0</v>
      </c>
      <c r="O143" s="286">
        <f>SUM(C143:N143)</f>
        <v>0</v>
      </c>
      <c r="P143" s="393"/>
    </row>
    <row r="144" spans="1:19">
      <c r="A144" s="387"/>
      <c r="C144" s="287">
        <f t="shared" ref="C144:O144" si="71">SUM(C141:C143)</f>
        <v>0</v>
      </c>
      <c r="D144" s="287">
        <f t="shared" si="71"/>
        <v>0</v>
      </c>
      <c r="E144" s="287">
        <f t="shared" si="71"/>
        <v>0</v>
      </c>
      <c r="F144" s="287">
        <f t="shared" si="71"/>
        <v>0</v>
      </c>
      <c r="G144" s="287">
        <f t="shared" si="71"/>
        <v>0</v>
      </c>
      <c r="H144" s="287">
        <f t="shared" si="71"/>
        <v>0</v>
      </c>
      <c r="I144" s="287">
        <f t="shared" si="71"/>
        <v>0</v>
      </c>
      <c r="J144" s="287">
        <f t="shared" si="71"/>
        <v>0</v>
      </c>
      <c r="K144" s="287">
        <f t="shared" si="71"/>
        <v>0</v>
      </c>
      <c r="L144" s="287">
        <f t="shared" si="71"/>
        <v>0</v>
      </c>
      <c r="M144" s="287">
        <f t="shared" si="71"/>
        <v>0</v>
      </c>
      <c r="N144" s="287">
        <f t="shared" si="71"/>
        <v>0</v>
      </c>
      <c r="O144" s="287">
        <f t="shared" si="71"/>
        <v>0</v>
      </c>
      <c r="P144" s="393"/>
    </row>
    <row r="145" spans="1:18">
      <c r="A145" s="387"/>
      <c r="C145" s="287"/>
      <c r="D145" s="287"/>
      <c r="E145" s="287"/>
      <c r="F145" s="287"/>
      <c r="G145" s="287"/>
      <c r="H145" s="287"/>
      <c r="I145" s="287"/>
      <c r="J145" s="287"/>
      <c r="K145" s="287"/>
      <c r="L145" s="287"/>
      <c r="M145" s="287"/>
      <c r="N145" s="287"/>
      <c r="O145" s="287"/>
      <c r="P145" s="393"/>
    </row>
    <row r="146" spans="1:18">
      <c r="A146" s="387"/>
      <c r="B146" t="s">
        <v>457</v>
      </c>
      <c r="C146" s="287">
        <f>C134+C141</f>
        <v>4315349.09901</v>
      </c>
      <c r="D146" s="287">
        <f t="shared" ref="D146:N146" si="72">D134+D141</f>
        <v>4250767.0290000001</v>
      </c>
      <c r="E146" s="287">
        <f t="shared" si="72"/>
        <v>4777094.7321800003</v>
      </c>
      <c r="F146" s="287">
        <f t="shared" si="72"/>
        <v>2868972.9504800001</v>
      </c>
      <c r="G146" s="287">
        <f t="shared" si="72"/>
        <v>2488999.6634999998</v>
      </c>
      <c r="H146" s="287">
        <f t="shared" si="72"/>
        <v>2053945.4382100001</v>
      </c>
      <c r="I146" s="287">
        <f t="shared" si="72"/>
        <v>1875289.5195299999</v>
      </c>
      <c r="J146" s="287">
        <f t="shared" si="72"/>
        <v>1369540.4623400001</v>
      </c>
      <c r="K146" s="287">
        <f t="shared" si="72"/>
        <v>2083138.25</v>
      </c>
      <c r="L146" s="287">
        <f>L134+L141</f>
        <v>1926624.99184</v>
      </c>
      <c r="M146" s="287">
        <f t="shared" si="72"/>
        <v>3581334.0961599997</v>
      </c>
      <c r="N146" s="287">
        <f t="shared" si="72"/>
        <v>4442295.2213300001</v>
      </c>
      <c r="O146" s="287">
        <f>SUM(C146:N146)</f>
        <v>36033351.45358</v>
      </c>
      <c r="P146" s="393">
        <f>O146/$O$149</f>
        <v>0.24432460947482404</v>
      </c>
    </row>
    <row r="147" spans="1:18">
      <c r="A147" s="387"/>
      <c r="B147" t="s">
        <v>458</v>
      </c>
      <c r="C147" s="287">
        <f t="shared" ref="C147:N148" si="73">C135+C142</f>
        <v>1465118.3076599999</v>
      </c>
      <c r="D147" s="287">
        <f t="shared" si="73"/>
        <v>1671049.946</v>
      </c>
      <c r="E147" s="287">
        <f t="shared" si="73"/>
        <v>1638148.1343200002</v>
      </c>
      <c r="F147" s="287">
        <f t="shared" si="73"/>
        <v>1100759.8307100001</v>
      </c>
      <c r="G147" s="287">
        <f t="shared" si="73"/>
        <v>533324.89266000001</v>
      </c>
      <c r="H147" s="287">
        <f t="shared" si="73"/>
        <v>584754.39899999998</v>
      </c>
      <c r="I147" s="287">
        <f t="shared" si="73"/>
        <v>587312.12251000002</v>
      </c>
      <c r="J147" s="287">
        <f t="shared" si="73"/>
        <v>433111.20133000001</v>
      </c>
      <c r="K147" s="287">
        <f t="shared" si="73"/>
        <v>643076.16700000002</v>
      </c>
      <c r="L147" s="287">
        <f t="shared" si="73"/>
        <v>461909.76715999999</v>
      </c>
      <c r="M147" s="287">
        <f t="shared" si="73"/>
        <v>1089559.58767</v>
      </c>
      <c r="N147" s="287">
        <f t="shared" si="73"/>
        <v>1518033.8498399998</v>
      </c>
      <c r="O147" s="287">
        <f>SUM(C147:N147)</f>
        <v>11726158.205860002</v>
      </c>
      <c r="P147" s="393">
        <f>O147/$O$149</f>
        <v>7.9509368646365666E-2</v>
      </c>
    </row>
    <row r="148" spans="1:18">
      <c r="A148" s="387"/>
      <c r="B148" t="s">
        <v>469</v>
      </c>
      <c r="C148" s="286">
        <f t="shared" si="73"/>
        <v>13455990.589329999</v>
      </c>
      <c r="D148" s="286">
        <f t="shared" si="73"/>
        <v>17604382.754000001</v>
      </c>
      <c r="E148" s="286">
        <f t="shared" si="73"/>
        <v>19376368.045500003</v>
      </c>
      <c r="F148" s="286">
        <f t="shared" si="73"/>
        <v>12095908.662810002</v>
      </c>
      <c r="G148" s="286">
        <f t="shared" si="73"/>
        <v>3359423.0798399998</v>
      </c>
      <c r="H148" s="286">
        <f t="shared" si="73"/>
        <v>2784758.5558099998</v>
      </c>
      <c r="I148" s="286">
        <f t="shared" si="73"/>
        <v>2580470.2461299999</v>
      </c>
      <c r="J148" s="286">
        <f t="shared" si="73"/>
        <v>1972310.83733</v>
      </c>
      <c r="K148" s="286">
        <f t="shared" si="73"/>
        <v>2592941.5579999997</v>
      </c>
      <c r="L148" s="286">
        <f t="shared" si="73"/>
        <v>2725215.2439999999</v>
      </c>
      <c r="M148" s="286">
        <f t="shared" si="73"/>
        <v>7253538.0241700001</v>
      </c>
      <c r="N148" s="286">
        <f t="shared" si="73"/>
        <v>13920648.204829998</v>
      </c>
      <c r="O148" s="286">
        <f>SUM(C148:N148)</f>
        <v>99721955.801750004</v>
      </c>
      <c r="P148" s="393">
        <f>O148/$O$149</f>
        <v>0.67616602187881025</v>
      </c>
    </row>
    <row r="149" spans="1:18">
      <c r="A149" s="387"/>
      <c r="C149" s="287">
        <f t="shared" ref="C149:O149" si="74">SUM(C146:C148)</f>
        <v>19236457.995999999</v>
      </c>
      <c r="D149" s="287">
        <f t="shared" si="74"/>
        <v>23526199.729000002</v>
      </c>
      <c r="E149" s="287">
        <f t="shared" si="74"/>
        <v>25791610.912000004</v>
      </c>
      <c r="F149" s="287">
        <f t="shared" si="74"/>
        <v>16065641.444000002</v>
      </c>
      <c r="G149" s="287">
        <f t="shared" si="74"/>
        <v>6381747.6359999999</v>
      </c>
      <c r="H149" s="287">
        <f t="shared" si="74"/>
        <v>5423458.3930200003</v>
      </c>
      <c r="I149" s="287">
        <f t="shared" si="74"/>
        <v>5043071.8881700002</v>
      </c>
      <c r="J149" s="287">
        <f t="shared" si="74"/>
        <v>3774962.5010000002</v>
      </c>
      <c r="K149" s="287">
        <f t="shared" si="74"/>
        <v>5319155.9749999996</v>
      </c>
      <c r="L149" s="287">
        <f t="shared" si="74"/>
        <v>5113750.0030000005</v>
      </c>
      <c r="M149" s="287">
        <f t="shared" si="74"/>
        <v>11924431.708000001</v>
      </c>
      <c r="N149" s="287">
        <f t="shared" si="74"/>
        <v>19880977.276000001</v>
      </c>
      <c r="O149" s="287">
        <f t="shared" si="74"/>
        <v>147481465.46119002</v>
      </c>
      <c r="P149" s="393">
        <f>O149/$O$149</f>
        <v>1</v>
      </c>
    </row>
    <row r="150" spans="1:18">
      <c r="A150" s="387"/>
      <c r="C150" s="389">
        <f t="shared" ref="C150:O150" si="75">C149-C138</f>
        <v>0</v>
      </c>
      <c r="D150" s="389">
        <f t="shared" si="75"/>
        <v>0</v>
      </c>
      <c r="E150" s="389">
        <f t="shared" si="75"/>
        <v>0</v>
      </c>
      <c r="F150" s="389">
        <f t="shared" si="75"/>
        <v>0</v>
      </c>
      <c r="G150" s="389">
        <f t="shared" si="75"/>
        <v>0</v>
      </c>
      <c r="H150" s="389">
        <f t="shared" si="75"/>
        <v>0</v>
      </c>
      <c r="I150" s="389">
        <f t="shared" si="75"/>
        <v>0</v>
      </c>
      <c r="J150" s="389">
        <f t="shared" si="75"/>
        <v>0</v>
      </c>
      <c r="K150" s="389">
        <f t="shared" si="75"/>
        <v>0</v>
      </c>
      <c r="L150" s="389">
        <f t="shared" si="75"/>
        <v>0</v>
      </c>
      <c r="M150" s="389">
        <f t="shared" si="75"/>
        <v>0</v>
      </c>
      <c r="N150" s="389">
        <f t="shared" si="75"/>
        <v>0</v>
      </c>
      <c r="O150" s="389">
        <f t="shared" si="75"/>
        <v>0</v>
      </c>
      <c r="P150" s="393"/>
    </row>
    <row r="151" spans="1:18">
      <c r="A151" s="387"/>
      <c r="C151" s="40"/>
      <c r="D151" s="40"/>
      <c r="E151" s="40"/>
      <c r="F151" s="40"/>
      <c r="G151" s="40"/>
      <c r="H151" s="40"/>
      <c r="I151" s="40"/>
      <c r="J151" s="40"/>
      <c r="K151" s="40"/>
      <c r="L151" s="40"/>
      <c r="M151" s="40"/>
      <c r="N151" s="40"/>
      <c r="O151" s="389"/>
      <c r="P151" s="393"/>
    </row>
    <row r="152" spans="1:18">
      <c r="A152" s="387"/>
      <c r="B152" s="32" t="s">
        <v>468</v>
      </c>
      <c r="P152" s="390"/>
    </row>
    <row r="153" spans="1:18">
      <c r="A153" s="387"/>
      <c r="B153" t="s">
        <v>464</v>
      </c>
      <c r="C153" s="392">
        <f>('REVRUNS 12ME0623'!D480+'REVRUNS 12ME0623'!D483+'REVRUNS 12ME0623'!D486)/0.5</f>
        <v>0</v>
      </c>
      <c r="D153" s="392">
        <f>('REVRUNS 12ME0623'!E480+'REVRUNS 12ME0623'!E483+'REVRUNS 12ME0623'!E486)/0.5</f>
        <v>0</v>
      </c>
      <c r="E153" s="392">
        <f>('REVRUNS 12ME0623'!F480+'REVRUNS 12ME0623'!F483+'REVRUNS 12ME0623'!F486)/0.5</f>
        <v>0</v>
      </c>
      <c r="F153" s="392">
        <f>('REVRUNS 12ME0623'!G480+'REVRUNS 12ME0623'!G483+'REVRUNS 12ME0623'!G486)/0.5</f>
        <v>0</v>
      </c>
      <c r="G153" s="392">
        <f>('REVRUNS 12ME0623'!H480+'REVRUNS 12ME0623'!H483+'REVRUNS 12ME0623'!H486)/0.5</f>
        <v>0</v>
      </c>
      <c r="H153" s="392">
        <f>('REVRUNS 12ME0623'!I480+'REVRUNS 12ME0623'!I483+'REVRUNS 12ME0623'!I486)/0.5</f>
        <v>0</v>
      </c>
      <c r="I153" s="392">
        <f>('REVRUNS 12ME0623'!J480+'REVRUNS 12ME0623'!J483+'REVRUNS 12ME0623'!J486)/0.5</f>
        <v>0</v>
      </c>
      <c r="J153" s="392">
        <f>('REVRUNS 12ME0623'!K480+'REVRUNS 12ME0623'!K483+'REVRUNS 12ME0623'!K486)/0.5</f>
        <v>0</v>
      </c>
      <c r="K153" s="392">
        <f>('REVRUNS 12ME0623'!L480+'REVRUNS 12ME0623'!L483+'REVRUNS 12ME0623'!L486)/0.5</f>
        <v>0</v>
      </c>
      <c r="L153" s="392">
        <f>('REVRUNS 12ME0623'!M480+'REVRUNS 12ME0623'!M483+'REVRUNS 12ME0623'!M486)/0.5</f>
        <v>0</v>
      </c>
      <c r="M153" s="392">
        <f>('REVRUNS 12ME0623'!N480+'REVRUNS 12ME0623'!N483+'REVRUNS 12ME0623'!N486)/0.5</f>
        <v>0</v>
      </c>
      <c r="N153" s="392">
        <f>('REVRUNS 12ME0623'!O480+'REVRUNS 12ME0623'!O483+'REVRUNS 12ME0623'!O486)/0.5</f>
        <v>0</v>
      </c>
      <c r="O153" s="389">
        <f>SUM(C153:N153)</f>
        <v>0</v>
      </c>
      <c r="P153" s="390"/>
      <c r="R153" s="40">
        <v>0</v>
      </c>
    </row>
    <row r="154" spans="1:18">
      <c r="A154" s="387"/>
      <c r="B154" t="s">
        <v>465</v>
      </c>
      <c r="C154" s="403">
        <v>0.5</v>
      </c>
      <c r="D154" s="403">
        <v>0.5</v>
      </c>
      <c r="E154" s="403">
        <v>0.5</v>
      </c>
      <c r="F154" s="403">
        <v>0.5</v>
      </c>
      <c r="G154" s="403">
        <v>0.5</v>
      </c>
      <c r="H154" s="403">
        <v>0.5</v>
      </c>
      <c r="I154" s="403">
        <v>0.5</v>
      </c>
      <c r="J154" s="403">
        <v>0.5</v>
      </c>
      <c r="K154" s="403">
        <v>0.5</v>
      </c>
      <c r="L154" s="403">
        <v>0.5</v>
      </c>
      <c r="M154" s="403">
        <v>0.5</v>
      </c>
      <c r="N154" s="403">
        <v>0.5</v>
      </c>
      <c r="O154" s="403">
        <v>0.5</v>
      </c>
      <c r="P154" s="390"/>
    </row>
    <row r="155" spans="1:18">
      <c r="A155" s="387"/>
      <c r="B155" t="s">
        <v>466</v>
      </c>
      <c r="C155" s="403">
        <f t="shared" ref="C155:H155" si="76">C153*C154</f>
        <v>0</v>
      </c>
      <c r="D155" s="403">
        <f t="shared" si="76"/>
        <v>0</v>
      </c>
      <c r="E155" s="403">
        <f t="shared" si="76"/>
        <v>0</v>
      </c>
      <c r="F155" s="403">
        <f t="shared" si="76"/>
        <v>0</v>
      </c>
      <c r="G155" s="403">
        <f t="shared" si="76"/>
        <v>0</v>
      </c>
      <c r="H155" s="403">
        <f t="shared" si="76"/>
        <v>0</v>
      </c>
      <c r="I155" s="403">
        <f>I153*I154</f>
        <v>0</v>
      </c>
      <c r="J155" s="403">
        <f t="shared" ref="J155:O155" si="77">J153*J154</f>
        <v>0</v>
      </c>
      <c r="K155" s="403">
        <f t="shared" si="77"/>
        <v>0</v>
      </c>
      <c r="L155" s="403">
        <f t="shared" si="77"/>
        <v>0</v>
      </c>
      <c r="M155" s="403">
        <f t="shared" si="77"/>
        <v>0</v>
      </c>
      <c r="N155" s="403">
        <f t="shared" si="77"/>
        <v>0</v>
      </c>
      <c r="O155" s="403">
        <f t="shared" si="77"/>
        <v>0</v>
      </c>
      <c r="P155" s="404">
        <f>O155-'REVRUNS 12ME0623'!P480-'REVRUNS 12ME0623'!P483-'REVRUNS 12ME0623'!P486</f>
        <v>0</v>
      </c>
    </row>
    <row r="156" spans="1:18" ht="13" thickBot="1">
      <c r="A156" s="394"/>
      <c r="B156" s="326"/>
      <c r="C156" s="326"/>
      <c r="D156" s="326"/>
      <c r="E156" s="326"/>
      <c r="F156" s="326"/>
      <c r="G156" s="326"/>
      <c r="H156" s="326"/>
      <c r="I156" s="326"/>
      <c r="J156" s="326"/>
      <c r="K156" s="326"/>
      <c r="L156" s="326"/>
      <c r="M156" s="326"/>
      <c r="N156" s="326"/>
      <c r="O156" s="326"/>
      <c r="P156" s="405"/>
    </row>
    <row r="161" spans="3:3">
      <c r="C161" s="287"/>
    </row>
    <row r="162" spans="3:3">
      <c r="C162" s="287"/>
    </row>
    <row r="163" spans="3:3">
      <c r="C163" s="287"/>
    </row>
    <row r="164" spans="3:3">
      <c r="C164" s="287"/>
    </row>
    <row r="165" spans="3:3">
      <c r="C165" s="287"/>
    </row>
    <row r="166" spans="3:3">
      <c r="C166" s="287"/>
    </row>
    <row r="167" spans="3:3">
      <c r="C167" s="287"/>
    </row>
  </sheetData>
  <phoneticPr fontId="15" type="noConversion"/>
  <pageMargins left="0.45" right="0.34" top="0.56999999999999995" bottom="2.31" header="0.51" footer="0.3"/>
  <pageSetup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3:Q487"/>
  <sheetViews>
    <sheetView zoomScaleNormal="100" workbookViewId="0">
      <selection activeCell="N39" sqref="N39:N46"/>
    </sheetView>
  </sheetViews>
  <sheetFormatPr defaultRowHeight="12.5"/>
  <cols>
    <col min="1" max="1" width="13.26953125" customWidth="1"/>
    <col min="2" max="2" width="10.54296875" customWidth="1"/>
    <col min="3" max="3" width="16.81640625" customWidth="1"/>
    <col min="4" max="4" width="13.54296875" bestFit="1" customWidth="1"/>
    <col min="5" max="14" width="13.453125" bestFit="1" customWidth="1"/>
    <col min="15" max="15" width="16" bestFit="1" customWidth="1"/>
    <col min="16" max="16" width="14.54296875" bestFit="1" customWidth="1"/>
  </cols>
  <sheetData>
    <row r="3" spans="1:16">
      <c r="A3" s="41" t="s">
        <v>804</v>
      </c>
    </row>
    <row r="5" spans="1:16">
      <c r="A5" t="s">
        <v>427</v>
      </c>
    </row>
    <row r="7" spans="1:16">
      <c r="C7" t="s">
        <v>191</v>
      </c>
    </row>
    <row r="8" spans="1:16">
      <c r="B8" t="s">
        <v>428</v>
      </c>
      <c r="C8" t="s">
        <v>792</v>
      </c>
      <c r="D8" t="s">
        <v>793</v>
      </c>
      <c r="E8" t="s">
        <v>794</v>
      </c>
      <c r="F8" t="s">
        <v>795</v>
      </c>
      <c r="G8" t="s">
        <v>796</v>
      </c>
      <c r="H8" t="s">
        <v>797</v>
      </c>
      <c r="I8" t="s">
        <v>798</v>
      </c>
      <c r="J8" t="s">
        <v>799</v>
      </c>
      <c r="K8" t="s">
        <v>800</v>
      </c>
      <c r="L8" t="s">
        <v>801</v>
      </c>
      <c r="M8" t="s">
        <v>802</v>
      </c>
      <c r="N8" t="s">
        <v>803</v>
      </c>
      <c r="O8" t="s">
        <v>429</v>
      </c>
      <c r="P8" t="s">
        <v>64</v>
      </c>
    </row>
    <row r="9" spans="1:16">
      <c r="A9" t="s">
        <v>353</v>
      </c>
    </row>
    <row r="10" spans="1:16">
      <c r="A10" t="s">
        <v>546</v>
      </c>
      <c r="C10" s="335">
        <v>225506</v>
      </c>
      <c r="D10" s="335">
        <v>226611</v>
      </c>
      <c r="E10" s="335">
        <v>226537</v>
      </c>
      <c r="F10" s="335">
        <v>226934</v>
      </c>
      <c r="G10" s="335">
        <v>227331</v>
      </c>
      <c r="H10" s="335">
        <v>227647</v>
      </c>
      <c r="I10" s="335">
        <v>227289</v>
      </c>
      <c r="J10" s="335">
        <v>226778</v>
      </c>
      <c r="K10" s="335">
        <v>228539</v>
      </c>
      <c r="L10" s="335">
        <v>228180</v>
      </c>
      <c r="M10" s="335">
        <v>228856</v>
      </c>
      <c r="N10" s="335">
        <v>227946</v>
      </c>
      <c r="O10" s="335">
        <f>AVERAGE(C10:N10)</f>
        <v>227346.16666666666</v>
      </c>
      <c r="P10" s="40">
        <f>SUM(C10:N10)</f>
        <v>2728154</v>
      </c>
    </row>
    <row r="11" spans="1:16">
      <c r="A11" t="s">
        <v>547</v>
      </c>
      <c r="C11" s="335">
        <v>775</v>
      </c>
      <c r="D11" s="335">
        <v>794</v>
      </c>
      <c r="E11" s="335">
        <v>794</v>
      </c>
      <c r="F11" s="335">
        <v>811</v>
      </c>
      <c r="G11" s="335">
        <v>795</v>
      </c>
      <c r="H11" s="335">
        <v>821</v>
      </c>
      <c r="I11" s="335">
        <v>845</v>
      </c>
      <c r="J11" s="335">
        <v>847</v>
      </c>
      <c r="K11" s="335">
        <v>870</v>
      </c>
      <c r="L11" s="335">
        <v>888</v>
      </c>
      <c r="M11" s="335">
        <v>888</v>
      </c>
      <c r="N11" s="335">
        <v>890</v>
      </c>
      <c r="O11" s="335">
        <f t="shared" ref="O11:O34" si="0">AVERAGE(C11:N11)</f>
        <v>834.83333333333337</v>
      </c>
      <c r="P11" s="40">
        <f t="shared" ref="P11:P34" si="1">SUM(C11:N11)</f>
        <v>10018</v>
      </c>
    </row>
    <row r="12" spans="1:16">
      <c r="A12" t="s">
        <v>548</v>
      </c>
      <c r="C12" s="335">
        <v>23830</v>
      </c>
      <c r="D12" s="335">
        <v>23831</v>
      </c>
      <c r="E12" s="335">
        <v>23900</v>
      </c>
      <c r="F12" s="335">
        <v>24031</v>
      </c>
      <c r="G12" s="335">
        <v>23958</v>
      </c>
      <c r="H12" s="335">
        <v>23859</v>
      </c>
      <c r="I12" s="335">
        <v>23986</v>
      </c>
      <c r="J12" s="335">
        <v>24426</v>
      </c>
      <c r="K12" s="335">
        <v>24485</v>
      </c>
      <c r="L12" s="335">
        <v>24806</v>
      </c>
      <c r="M12" s="335">
        <v>23691</v>
      </c>
      <c r="N12" s="335">
        <v>24368</v>
      </c>
      <c r="O12" s="335">
        <f t="shared" si="0"/>
        <v>24097.583333333332</v>
      </c>
      <c r="P12" s="40">
        <f t="shared" si="1"/>
        <v>289171</v>
      </c>
    </row>
    <row r="13" spans="1:16">
      <c r="A13" t="s">
        <v>549</v>
      </c>
      <c r="C13" s="335">
        <v>10460</v>
      </c>
      <c r="D13" s="335">
        <v>10487</v>
      </c>
      <c r="E13" s="335">
        <v>10502</v>
      </c>
      <c r="F13" s="335">
        <v>10573</v>
      </c>
      <c r="G13" s="335">
        <v>10503</v>
      </c>
      <c r="H13" s="335">
        <v>10317</v>
      </c>
      <c r="I13" s="335">
        <v>10591</v>
      </c>
      <c r="J13" s="335">
        <v>11097</v>
      </c>
      <c r="K13" s="335">
        <v>10672</v>
      </c>
      <c r="L13" s="335">
        <v>11101</v>
      </c>
      <c r="M13" s="335">
        <v>10500</v>
      </c>
      <c r="N13" s="335">
        <v>10763</v>
      </c>
      <c r="O13" s="335">
        <f t="shared" si="0"/>
        <v>10630.5</v>
      </c>
      <c r="P13" s="40">
        <f t="shared" si="1"/>
        <v>127566</v>
      </c>
    </row>
    <row r="14" spans="1:16">
      <c r="A14">
        <v>13</v>
      </c>
      <c r="C14" s="335">
        <v>8</v>
      </c>
      <c r="D14" s="335">
        <v>8</v>
      </c>
      <c r="E14" s="335">
        <v>11</v>
      </c>
      <c r="F14" s="335">
        <v>11</v>
      </c>
      <c r="G14" s="335">
        <v>11</v>
      </c>
      <c r="H14" s="335">
        <v>12</v>
      </c>
      <c r="I14" s="335">
        <v>13</v>
      </c>
      <c r="J14" s="335">
        <v>12</v>
      </c>
      <c r="K14" s="335">
        <v>14</v>
      </c>
      <c r="L14" s="335">
        <v>13</v>
      </c>
      <c r="M14" s="335">
        <v>20</v>
      </c>
      <c r="N14" s="335">
        <v>19</v>
      </c>
      <c r="O14" s="335">
        <f t="shared" si="0"/>
        <v>12.666666666666666</v>
      </c>
      <c r="P14" s="40">
        <f t="shared" si="1"/>
        <v>152</v>
      </c>
    </row>
    <row r="15" spans="1:16">
      <c r="A15" t="s">
        <v>551</v>
      </c>
      <c r="C15" s="335">
        <v>1655</v>
      </c>
      <c r="D15" s="335">
        <v>1650</v>
      </c>
      <c r="E15" s="335">
        <v>1661</v>
      </c>
      <c r="F15" s="335">
        <v>1667</v>
      </c>
      <c r="G15" s="335">
        <v>1622</v>
      </c>
      <c r="H15" s="335">
        <v>1620</v>
      </c>
      <c r="I15" s="335">
        <v>1657</v>
      </c>
      <c r="J15" s="335">
        <v>1664</v>
      </c>
      <c r="K15" s="335">
        <v>1684</v>
      </c>
      <c r="L15" s="335">
        <v>1725</v>
      </c>
      <c r="M15" s="335">
        <v>1618</v>
      </c>
      <c r="N15" s="335">
        <v>1663</v>
      </c>
      <c r="O15" s="335">
        <f t="shared" si="0"/>
        <v>1657.1666666666667</v>
      </c>
      <c r="P15" s="40">
        <f t="shared" si="1"/>
        <v>19886</v>
      </c>
    </row>
    <row r="16" spans="1:16">
      <c r="A16" t="s">
        <v>552</v>
      </c>
      <c r="C16" s="335">
        <v>44</v>
      </c>
      <c r="D16" s="335">
        <v>44</v>
      </c>
      <c r="E16" s="335">
        <v>44</v>
      </c>
      <c r="F16" s="335">
        <v>44</v>
      </c>
      <c r="G16" s="335">
        <v>42</v>
      </c>
      <c r="H16" s="335">
        <v>41</v>
      </c>
      <c r="I16" s="335">
        <v>44</v>
      </c>
      <c r="J16" s="335">
        <v>48</v>
      </c>
      <c r="K16" s="335">
        <v>39</v>
      </c>
      <c r="L16" s="335">
        <v>43</v>
      </c>
      <c r="M16" s="335">
        <v>48</v>
      </c>
      <c r="N16" s="335">
        <v>43</v>
      </c>
      <c r="O16" s="335">
        <f t="shared" si="0"/>
        <v>43.666666666666664</v>
      </c>
      <c r="P16" s="40">
        <f t="shared" si="1"/>
        <v>524</v>
      </c>
    </row>
    <row r="17" spans="1:16">
      <c r="A17">
        <v>23</v>
      </c>
      <c r="C17" s="335">
        <v>3</v>
      </c>
      <c r="D17" s="335">
        <v>4</v>
      </c>
      <c r="E17" s="335">
        <v>3</v>
      </c>
      <c r="F17" s="335">
        <v>3</v>
      </c>
      <c r="G17" s="335">
        <v>3</v>
      </c>
      <c r="H17" s="335">
        <v>2</v>
      </c>
      <c r="I17" s="335">
        <v>4</v>
      </c>
      <c r="J17" s="335">
        <v>0</v>
      </c>
      <c r="K17" s="335">
        <v>6</v>
      </c>
      <c r="L17" s="335">
        <v>2</v>
      </c>
      <c r="M17" s="335">
        <v>4</v>
      </c>
      <c r="N17" s="335">
        <v>3</v>
      </c>
      <c r="O17" s="335">
        <f t="shared" ref="O17" si="2">AVERAGE(C17:N17)</f>
        <v>3.0833333333333335</v>
      </c>
      <c r="P17" s="40">
        <f t="shared" ref="P17" si="3">SUM(C17:N17)</f>
        <v>37</v>
      </c>
    </row>
    <row r="18" spans="1:16">
      <c r="A18" t="s">
        <v>553</v>
      </c>
      <c r="C18" s="335">
        <v>21</v>
      </c>
      <c r="D18" s="335">
        <v>21</v>
      </c>
      <c r="E18" s="335">
        <v>21</v>
      </c>
      <c r="F18" s="335">
        <v>21</v>
      </c>
      <c r="G18" s="335">
        <v>21</v>
      </c>
      <c r="H18" s="335">
        <v>21</v>
      </c>
      <c r="I18" s="335">
        <v>40</v>
      </c>
      <c r="J18" s="335">
        <v>2</v>
      </c>
      <c r="K18" s="335">
        <v>21</v>
      </c>
      <c r="L18" s="335">
        <v>21</v>
      </c>
      <c r="M18" s="335">
        <v>21</v>
      </c>
      <c r="N18" s="335">
        <v>21</v>
      </c>
      <c r="O18" s="335">
        <f t="shared" si="0"/>
        <v>21</v>
      </c>
      <c r="P18" s="40">
        <f t="shared" si="1"/>
        <v>252</v>
      </c>
    </row>
    <row r="19" spans="1:16">
      <c r="A19" t="s">
        <v>756</v>
      </c>
      <c r="C19" s="335">
        <v>1</v>
      </c>
      <c r="D19" s="335">
        <v>1</v>
      </c>
      <c r="E19" s="335">
        <v>1</v>
      </c>
      <c r="F19" s="335">
        <v>1</v>
      </c>
      <c r="G19" s="335">
        <v>1</v>
      </c>
      <c r="H19" s="335">
        <v>1</v>
      </c>
      <c r="I19" s="335">
        <v>1</v>
      </c>
      <c r="J19" s="335">
        <v>1</v>
      </c>
      <c r="K19" s="335">
        <v>1</v>
      </c>
      <c r="L19" s="335">
        <v>1</v>
      </c>
      <c r="M19" s="335">
        <v>1</v>
      </c>
      <c r="N19" s="335">
        <v>1</v>
      </c>
      <c r="O19" s="335">
        <f t="shared" ref="O19" si="4">AVERAGE(C19:N19)</f>
        <v>1</v>
      </c>
      <c r="P19" s="40">
        <f t="shared" ref="P19" si="5">SUM(C19:N19)</f>
        <v>12</v>
      </c>
    </row>
    <row r="20" spans="1:16">
      <c r="A20" t="s">
        <v>554</v>
      </c>
      <c r="C20" s="335">
        <v>56</v>
      </c>
      <c r="D20" s="335">
        <v>55</v>
      </c>
      <c r="E20" s="335">
        <v>58</v>
      </c>
      <c r="F20" s="335">
        <v>54</v>
      </c>
      <c r="G20" s="335">
        <v>58</v>
      </c>
      <c r="H20" s="335">
        <v>55</v>
      </c>
      <c r="I20" s="335">
        <v>54</v>
      </c>
      <c r="J20" s="335">
        <v>58</v>
      </c>
      <c r="K20" s="335">
        <v>57</v>
      </c>
      <c r="L20" s="335">
        <v>56</v>
      </c>
      <c r="M20" s="335">
        <v>56</v>
      </c>
      <c r="N20" s="335">
        <v>57</v>
      </c>
      <c r="O20" s="335">
        <f t="shared" si="0"/>
        <v>56.166666666666664</v>
      </c>
      <c r="P20" s="40">
        <f t="shared" si="1"/>
        <v>674</v>
      </c>
    </row>
    <row r="21" spans="1:16">
      <c r="A21" t="s">
        <v>555</v>
      </c>
      <c r="C21" s="335">
        <v>1223</v>
      </c>
      <c r="D21" s="335">
        <v>1193</v>
      </c>
      <c r="E21" s="335">
        <v>1221</v>
      </c>
      <c r="F21" s="335">
        <v>1235</v>
      </c>
      <c r="G21" s="335">
        <v>1225</v>
      </c>
      <c r="H21" s="335">
        <v>1304</v>
      </c>
      <c r="I21" s="335">
        <v>1175</v>
      </c>
      <c r="J21" s="335">
        <v>1209</v>
      </c>
      <c r="K21" s="335">
        <v>1271</v>
      </c>
      <c r="L21" s="335">
        <v>1193</v>
      </c>
      <c r="M21" s="335">
        <v>1343</v>
      </c>
      <c r="N21" s="335">
        <v>1243</v>
      </c>
      <c r="O21" s="335">
        <f t="shared" si="0"/>
        <v>1236.25</v>
      </c>
      <c r="P21" s="40">
        <f t="shared" si="1"/>
        <v>14835</v>
      </c>
    </row>
    <row r="22" spans="1:16">
      <c r="A22" t="s">
        <v>556</v>
      </c>
      <c r="C22" s="335">
        <v>1235</v>
      </c>
      <c r="D22" s="335">
        <v>1257</v>
      </c>
      <c r="E22" s="335">
        <v>1253</v>
      </c>
      <c r="F22" s="335">
        <v>1260</v>
      </c>
      <c r="G22" s="335">
        <v>1257</v>
      </c>
      <c r="H22" s="335">
        <v>1218</v>
      </c>
      <c r="I22" s="335">
        <v>1254</v>
      </c>
      <c r="J22" s="335">
        <v>1288</v>
      </c>
      <c r="K22" s="335">
        <v>1267</v>
      </c>
      <c r="L22" s="335">
        <v>1274</v>
      </c>
      <c r="M22" s="335">
        <v>1278</v>
      </c>
      <c r="N22" s="335">
        <v>1277</v>
      </c>
      <c r="O22" s="335">
        <f t="shared" si="0"/>
        <v>1259.8333333333333</v>
      </c>
      <c r="P22" s="40">
        <f t="shared" si="1"/>
        <v>15118</v>
      </c>
    </row>
    <row r="23" spans="1:16">
      <c r="A23" t="s">
        <v>557</v>
      </c>
      <c r="C23" s="335">
        <v>3</v>
      </c>
      <c r="D23" s="335">
        <v>3</v>
      </c>
      <c r="E23" s="335">
        <v>3</v>
      </c>
      <c r="F23" s="335">
        <v>3</v>
      </c>
      <c r="G23" s="335">
        <v>3</v>
      </c>
      <c r="H23" s="335">
        <v>1</v>
      </c>
      <c r="I23" s="335">
        <v>-1</v>
      </c>
      <c r="J23" s="335">
        <v>0</v>
      </c>
      <c r="K23" s="335">
        <v>0</v>
      </c>
      <c r="L23" s="335">
        <v>0</v>
      </c>
      <c r="M23" s="335">
        <v>0</v>
      </c>
      <c r="N23" s="335">
        <v>0</v>
      </c>
      <c r="O23" s="335">
        <f t="shared" si="0"/>
        <v>1.25</v>
      </c>
      <c r="P23" s="40">
        <f t="shared" si="1"/>
        <v>15</v>
      </c>
    </row>
    <row r="24" spans="1:16">
      <c r="A24" t="s">
        <v>558</v>
      </c>
      <c r="C24" s="335">
        <v>424</v>
      </c>
      <c r="D24" s="335">
        <v>424</v>
      </c>
      <c r="E24" s="335">
        <v>424</v>
      </c>
      <c r="F24" s="335">
        <v>424</v>
      </c>
      <c r="G24" s="335">
        <v>429</v>
      </c>
      <c r="H24" s="335">
        <v>427</v>
      </c>
      <c r="I24" s="335">
        <v>426</v>
      </c>
      <c r="J24" s="335">
        <v>256</v>
      </c>
      <c r="K24" s="335">
        <v>606</v>
      </c>
      <c r="L24" s="335">
        <v>383</v>
      </c>
      <c r="M24" s="335">
        <v>474</v>
      </c>
      <c r="N24" s="335">
        <v>429</v>
      </c>
      <c r="O24" s="335">
        <f t="shared" si="0"/>
        <v>427.16666666666669</v>
      </c>
      <c r="P24" s="40">
        <f t="shared" si="1"/>
        <v>5126</v>
      </c>
    </row>
    <row r="25" spans="1:16">
      <c r="A25" t="s">
        <v>559</v>
      </c>
      <c r="C25" s="335">
        <v>10</v>
      </c>
      <c r="D25" s="335">
        <v>11</v>
      </c>
      <c r="E25" s="335">
        <v>11</v>
      </c>
      <c r="F25" s="335">
        <v>11</v>
      </c>
      <c r="G25" s="335">
        <v>11</v>
      </c>
      <c r="H25" s="335">
        <v>11</v>
      </c>
      <c r="I25" s="335">
        <v>11</v>
      </c>
      <c r="J25" s="335">
        <v>6</v>
      </c>
      <c r="K25" s="335">
        <v>16</v>
      </c>
      <c r="L25" s="335">
        <v>10</v>
      </c>
      <c r="M25" s="335">
        <v>12</v>
      </c>
      <c r="N25" s="335">
        <v>11</v>
      </c>
      <c r="O25" s="335">
        <f t="shared" si="0"/>
        <v>10.916666666666666</v>
      </c>
      <c r="P25" s="40">
        <f t="shared" si="1"/>
        <v>131</v>
      </c>
    </row>
    <row r="26" spans="1:16">
      <c r="A26" t="s">
        <v>560</v>
      </c>
      <c r="C26" s="335">
        <v>8</v>
      </c>
      <c r="D26" s="335">
        <v>8</v>
      </c>
      <c r="E26" s="335">
        <v>8</v>
      </c>
      <c r="F26" s="335">
        <v>8</v>
      </c>
      <c r="G26" s="335">
        <v>8</v>
      </c>
      <c r="H26" s="335">
        <v>8</v>
      </c>
      <c r="I26" s="335">
        <v>8</v>
      </c>
      <c r="J26" s="335">
        <v>8</v>
      </c>
      <c r="K26" s="335">
        <v>8</v>
      </c>
      <c r="L26" s="335">
        <v>8</v>
      </c>
      <c r="M26" s="335">
        <v>8</v>
      </c>
      <c r="N26" s="335">
        <v>8</v>
      </c>
      <c r="O26" s="335">
        <f t="shared" si="0"/>
        <v>8</v>
      </c>
      <c r="P26" s="40">
        <f t="shared" si="1"/>
        <v>96</v>
      </c>
    </row>
    <row r="27" spans="1:16">
      <c r="A27" t="s">
        <v>561</v>
      </c>
      <c r="C27" s="335">
        <v>51</v>
      </c>
      <c r="D27" s="335">
        <v>51</v>
      </c>
      <c r="E27" s="335">
        <v>51</v>
      </c>
      <c r="F27" s="335">
        <v>51</v>
      </c>
      <c r="G27" s="335">
        <v>51</v>
      </c>
      <c r="H27" s="335">
        <v>51</v>
      </c>
      <c r="I27" s="335">
        <v>51</v>
      </c>
      <c r="J27" s="335">
        <v>47</v>
      </c>
      <c r="K27" s="335">
        <v>56</v>
      </c>
      <c r="L27" s="335">
        <v>49</v>
      </c>
      <c r="M27" s="335">
        <v>55</v>
      </c>
      <c r="N27" s="335">
        <v>52</v>
      </c>
      <c r="O27" s="335">
        <f t="shared" si="0"/>
        <v>51.333333333333336</v>
      </c>
      <c r="P27" s="40">
        <f t="shared" si="1"/>
        <v>616</v>
      </c>
    </row>
    <row r="28" spans="1:16">
      <c r="A28" t="s">
        <v>562</v>
      </c>
      <c r="C28" s="335">
        <v>0</v>
      </c>
      <c r="D28" s="335">
        <v>0</v>
      </c>
      <c r="E28" s="335">
        <v>0</v>
      </c>
      <c r="F28" s="335">
        <v>0</v>
      </c>
      <c r="G28" s="335">
        <v>0</v>
      </c>
      <c r="H28" s="335">
        <v>0</v>
      </c>
      <c r="I28" s="335">
        <v>0</v>
      </c>
      <c r="J28" s="335">
        <v>0</v>
      </c>
      <c r="K28" s="335">
        <v>0</v>
      </c>
      <c r="L28" s="335">
        <v>0</v>
      </c>
      <c r="M28" s="335">
        <v>0</v>
      </c>
      <c r="N28" s="335">
        <v>0</v>
      </c>
      <c r="O28" s="335">
        <f t="shared" si="0"/>
        <v>0</v>
      </c>
      <c r="P28" s="40">
        <f t="shared" si="1"/>
        <v>0</v>
      </c>
    </row>
    <row r="29" spans="1:16">
      <c r="A29" t="s">
        <v>563</v>
      </c>
      <c r="C29" s="335">
        <v>0</v>
      </c>
      <c r="D29" s="335">
        <v>0</v>
      </c>
      <c r="E29" s="335">
        <v>0</v>
      </c>
      <c r="F29" s="335">
        <v>0</v>
      </c>
      <c r="G29" s="335">
        <v>0</v>
      </c>
      <c r="H29" s="335">
        <v>0</v>
      </c>
      <c r="I29" s="335">
        <v>0</v>
      </c>
      <c r="J29" s="335">
        <v>0</v>
      </c>
      <c r="K29" s="335">
        <v>0</v>
      </c>
      <c r="L29" s="335">
        <v>0</v>
      </c>
      <c r="M29" s="335">
        <v>0</v>
      </c>
      <c r="N29" s="335">
        <v>0</v>
      </c>
      <c r="O29" s="335">
        <f t="shared" si="0"/>
        <v>0</v>
      </c>
      <c r="P29" s="40">
        <f t="shared" si="1"/>
        <v>0</v>
      </c>
    </row>
    <row r="30" spans="1:16">
      <c r="A30" t="s">
        <v>564</v>
      </c>
      <c r="C30" s="335">
        <v>0</v>
      </c>
      <c r="D30" s="335">
        <v>0</v>
      </c>
      <c r="E30" s="335">
        <v>0</v>
      </c>
      <c r="F30" s="335">
        <v>0</v>
      </c>
      <c r="G30" s="335">
        <v>0</v>
      </c>
      <c r="H30" s="335">
        <v>0</v>
      </c>
      <c r="I30" s="335">
        <v>0</v>
      </c>
      <c r="J30" s="335">
        <v>0</v>
      </c>
      <c r="K30" s="335">
        <v>0</v>
      </c>
      <c r="L30" s="335">
        <v>0</v>
      </c>
      <c r="M30" s="335">
        <v>0</v>
      </c>
      <c r="N30" s="335">
        <v>0</v>
      </c>
      <c r="O30" s="335">
        <f t="shared" si="0"/>
        <v>0</v>
      </c>
      <c r="P30" s="40">
        <f t="shared" si="1"/>
        <v>0</v>
      </c>
    </row>
    <row r="31" spans="1:16">
      <c r="A31" t="s">
        <v>565</v>
      </c>
      <c r="C31" s="335">
        <v>0</v>
      </c>
      <c r="D31" s="335">
        <v>0</v>
      </c>
      <c r="E31" s="335">
        <v>0</v>
      </c>
      <c r="F31" s="335">
        <v>0</v>
      </c>
      <c r="G31" s="335">
        <v>0</v>
      </c>
      <c r="H31" s="335">
        <v>0</v>
      </c>
      <c r="I31" s="335">
        <v>0</v>
      </c>
      <c r="J31" s="335">
        <v>0</v>
      </c>
      <c r="K31" s="335">
        <v>0</v>
      </c>
      <c r="L31" s="335">
        <v>0</v>
      </c>
      <c r="M31" s="335">
        <v>0</v>
      </c>
      <c r="N31" s="335">
        <v>0</v>
      </c>
      <c r="O31" s="335">
        <f t="shared" si="0"/>
        <v>0</v>
      </c>
      <c r="P31" s="40">
        <f t="shared" si="1"/>
        <v>0</v>
      </c>
    </row>
    <row r="32" spans="1:16">
      <c r="A32" t="s">
        <v>566</v>
      </c>
      <c r="C32" s="335">
        <v>0</v>
      </c>
      <c r="D32" s="335">
        <v>0</v>
      </c>
      <c r="E32" s="335">
        <v>0</v>
      </c>
      <c r="F32" s="335">
        <v>0</v>
      </c>
      <c r="G32" s="335">
        <v>0</v>
      </c>
      <c r="H32" s="335">
        <v>0</v>
      </c>
      <c r="I32" s="335">
        <v>0</v>
      </c>
      <c r="J32" s="335">
        <v>0</v>
      </c>
      <c r="K32" s="335">
        <v>0</v>
      </c>
      <c r="L32" s="335">
        <v>0</v>
      </c>
      <c r="M32" s="335">
        <v>0</v>
      </c>
      <c r="N32" s="335">
        <v>0</v>
      </c>
      <c r="O32" s="335">
        <f t="shared" si="0"/>
        <v>0</v>
      </c>
      <c r="P32" s="40">
        <f t="shared" si="1"/>
        <v>0</v>
      </c>
    </row>
    <row r="33" spans="1:16">
      <c r="A33" t="s">
        <v>567</v>
      </c>
      <c r="C33" s="335">
        <v>0</v>
      </c>
      <c r="D33" s="335">
        <v>0</v>
      </c>
      <c r="E33" s="335">
        <v>0</v>
      </c>
      <c r="F33" s="335">
        <v>0</v>
      </c>
      <c r="G33" s="335">
        <v>0</v>
      </c>
      <c r="H33" s="335">
        <v>0</v>
      </c>
      <c r="I33" s="335">
        <v>0</v>
      </c>
      <c r="J33" s="335">
        <v>0</v>
      </c>
      <c r="K33" s="335">
        <v>0</v>
      </c>
      <c r="L33" s="335">
        <v>0</v>
      </c>
      <c r="M33" s="335">
        <v>0</v>
      </c>
      <c r="N33" s="335">
        <v>0</v>
      </c>
      <c r="O33" s="335">
        <f t="shared" si="0"/>
        <v>0</v>
      </c>
      <c r="P33" s="40">
        <f t="shared" si="1"/>
        <v>0</v>
      </c>
    </row>
    <row r="34" spans="1:16">
      <c r="A34" t="s">
        <v>568</v>
      </c>
      <c r="C34" s="335">
        <v>0</v>
      </c>
      <c r="D34" s="335">
        <v>0</v>
      </c>
      <c r="E34" s="335">
        <v>0</v>
      </c>
      <c r="F34" s="335">
        <v>0</v>
      </c>
      <c r="G34" s="335">
        <v>0</v>
      </c>
      <c r="H34" s="335">
        <v>0</v>
      </c>
      <c r="I34" s="335">
        <v>0</v>
      </c>
      <c r="J34" s="335">
        <v>0</v>
      </c>
      <c r="K34" s="335">
        <v>0</v>
      </c>
      <c r="L34" s="335">
        <v>0</v>
      </c>
      <c r="M34" s="335">
        <v>0</v>
      </c>
      <c r="N34" s="335">
        <v>0</v>
      </c>
      <c r="O34" s="335">
        <f t="shared" si="0"/>
        <v>0</v>
      </c>
      <c r="P34" s="40">
        <f t="shared" si="1"/>
        <v>0</v>
      </c>
    </row>
    <row r="35" spans="1:16">
      <c r="A35" t="s">
        <v>430</v>
      </c>
      <c r="C35" s="335">
        <f>SUM(C10:C34)</f>
        <v>265313</v>
      </c>
      <c r="D35" s="335">
        <f t="shared" ref="D35:N35" si="6">SUM(D10:D34)</f>
        <v>266453</v>
      </c>
      <c r="E35" s="335">
        <f t="shared" si="6"/>
        <v>266503</v>
      </c>
      <c r="F35" s="335">
        <f t="shared" si="6"/>
        <v>267142</v>
      </c>
      <c r="G35" s="335">
        <f t="shared" si="6"/>
        <v>267329</v>
      </c>
      <c r="H35" s="335">
        <f t="shared" si="6"/>
        <v>267416</v>
      </c>
      <c r="I35" s="335">
        <f t="shared" si="6"/>
        <v>267448</v>
      </c>
      <c r="J35" s="335">
        <f t="shared" si="6"/>
        <v>267747</v>
      </c>
      <c r="K35" s="335">
        <f t="shared" si="6"/>
        <v>269612</v>
      </c>
      <c r="L35" s="335">
        <f t="shared" si="6"/>
        <v>269753</v>
      </c>
      <c r="M35" s="335">
        <f t="shared" si="6"/>
        <v>268873</v>
      </c>
      <c r="N35" s="335">
        <f t="shared" si="6"/>
        <v>268794</v>
      </c>
      <c r="O35" s="335"/>
      <c r="P35" s="335">
        <f>SUM(P10:P34)</f>
        <v>3212383</v>
      </c>
    </row>
    <row r="38" spans="1:16" ht="13">
      <c r="A38" t="s">
        <v>596</v>
      </c>
      <c r="B38" s="77"/>
      <c r="D38" s="438"/>
      <c r="E38" s="438"/>
      <c r="F38" s="335"/>
      <c r="G38" s="438"/>
      <c r="H38" s="438"/>
      <c r="I38" s="438"/>
      <c r="J38" s="438"/>
      <c r="K38" s="438"/>
      <c r="L38" s="438"/>
      <c r="M38" s="335"/>
      <c r="N38" s="335"/>
      <c r="O38" s="439" t="s">
        <v>570</v>
      </c>
      <c r="P38" s="438" t="s">
        <v>64</v>
      </c>
    </row>
    <row r="39" spans="1:16">
      <c r="B39" s="245" t="s">
        <v>569</v>
      </c>
      <c r="C39" s="440">
        <f>C10+C11</f>
        <v>226281</v>
      </c>
      <c r="D39" s="440">
        <f t="shared" ref="D39:N39" si="7">D10+D11</f>
        <v>227405</v>
      </c>
      <c r="E39" s="440">
        <f t="shared" si="7"/>
        <v>227331</v>
      </c>
      <c r="F39" s="440">
        <f t="shared" si="7"/>
        <v>227745</v>
      </c>
      <c r="G39" s="440">
        <f t="shared" si="7"/>
        <v>228126</v>
      </c>
      <c r="H39" s="440">
        <f t="shared" si="7"/>
        <v>228468</v>
      </c>
      <c r="I39" s="440">
        <f t="shared" si="7"/>
        <v>228134</v>
      </c>
      <c r="J39" s="440">
        <f t="shared" si="7"/>
        <v>227625</v>
      </c>
      <c r="K39" s="440">
        <f t="shared" si="7"/>
        <v>229409</v>
      </c>
      <c r="L39" s="440">
        <f t="shared" si="7"/>
        <v>229068</v>
      </c>
      <c r="M39" s="440">
        <f t="shared" si="7"/>
        <v>229744</v>
      </c>
      <c r="N39" s="440">
        <f t="shared" si="7"/>
        <v>228836</v>
      </c>
      <c r="O39" s="438">
        <f t="shared" ref="O39:O47" si="8">AVERAGE(C39:N39)</f>
        <v>228181</v>
      </c>
      <c r="P39" s="335">
        <f t="shared" ref="P39:P48" si="9">SUM(C39:N39)</f>
        <v>2738172</v>
      </c>
    </row>
    <row r="40" spans="1:16">
      <c r="B40" s="245" t="s">
        <v>436</v>
      </c>
      <c r="C40" s="440">
        <f>C12+C13</f>
        <v>34290</v>
      </c>
      <c r="D40" s="440">
        <f t="shared" ref="D40:N40" si="10">D12+D13</f>
        <v>34318</v>
      </c>
      <c r="E40" s="440">
        <f t="shared" si="10"/>
        <v>34402</v>
      </c>
      <c r="F40" s="440">
        <f t="shared" si="10"/>
        <v>34604</v>
      </c>
      <c r="G40" s="440">
        <f t="shared" si="10"/>
        <v>34461</v>
      </c>
      <c r="H40" s="440">
        <f t="shared" si="10"/>
        <v>34176</v>
      </c>
      <c r="I40" s="440">
        <f t="shared" si="10"/>
        <v>34577</v>
      </c>
      <c r="J40" s="440">
        <f t="shared" si="10"/>
        <v>35523</v>
      </c>
      <c r="K40" s="440">
        <f t="shared" si="10"/>
        <v>35157</v>
      </c>
      <c r="L40" s="440">
        <f t="shared" si="10"/>
        <v>35907</v>
      </c>
      <c r="M40" s="440">
        <f t="shared" si="10"/>
        <v>34191</v>
      </c>
      <c r="N40" s="440">
        <f t="shared" si="10"/>
        <v>35131</v>
      </c>
      <c r="O40" s="438">
        <f t="shared" si="8"/>
        <v>34728.083333333336</v>
      </c>
      <c r="P40" s="335">
        <f t="shared" si="9"/>
        <v>416737</v>
      </c>
    </row>
    <row r="41" spans="1:16">
      <c r="B41" s="245">
        <v>13</v>
      </c>
      <c r="C41" s="440">
        <f>C14</f>
        <v>8</v>
      </c>
      <c r="D41" s="440">
        <f t="shared" ref="D41:N41" si="11">D14</f>
        <v>8</v>
      </c>
      <c r="E41" s="440">
        <f t="shared" si="11"/>
        <v>11</v>
      </c>
      <c r="F41" s="440">
        <f t="shared" si="11"/>
        <v>11</v>
      </c>
      <c r="G41" s="440">
        <f t="shared" si="11"/>
        <v>11</v>
      </c>
      <c r="H41" s="440">
        <f t="shared" si="11"/>
        <v>12</v>
      </c>
      <c r="I41" s="440">
        <f t="shared" si="11"/>
        <v>13</v>
      </c>
      <c r="J41" s="440">
        <f t="shared" si="11"/>
        <v>12</v>
      </c>
      <c r="K41" s="440">
        <f t="shared" si="11"/>
        <v>14</v>
      </c>
      <c r="L41" s="440">
        <f t="shared" si="11"/>
        <v>13</v>
      </c>
      <c r="M41" s="440">
        <f t="shared" si="11"/>
        <v>20</v>
      </c>
      <c r="N41" s="440">
        <f t="shared" si="11"/>
        <v>19</v>
      </c>
      <c r="O41" s="438">
        <f t="shared" si="8"/>
        <v>12.666666666666666</v>
      </c>
      <c r="P41" s="335">
        <f t="shared" si="9"/>
        <v>152</v>
      </c>
    </row>
    <row r="42" spans="1:16">
      <c r="B42" s="245" t="s">
        <v>437</v>
      </c>
      <c r="C42" s="440">
        <f>C15+C16</f>
        <v>1699</v>
      </c>
      <c r="D42" s="440">
        <f t="shared" ref="D42:N42" si="12">D15+D16</f>
        <v>1694</v>
      </c>
      <c r="E42" s="440">
        <f t="shared" si="12"/>
        <v>1705</v>
      </c>
      <c r="F42" s="440">
        <f t="shared" si="12"/>
        <v>1711</v>
      </c>
      <c r="G42" s="440">
        <f t="shared" si="12"/>
        <v>1664</v>
      </c>
      <c r="H42" s="440">
        <f t="shared" si="12"/>
        <v>1661</v>
      </c>
      <c r="I42" s="440">
        <f t="shared" si="12"/>
        <v>1701</v>
      </c>
      <c r="J42" s="440">
        <f t="shared" si="12"/>
        <v>1712</v>
      </c>
      <c r="K42" s="440">
        <f t="shared" si="12"/>
        <v>1723</v>
      </c>
      <c r="L42" s="440">
        <f t="shared" si="12"/>
        <v>1768</v>
      </c>
      <c r="M42" s="440">
        <f t="shared" si="12"/>
        <v>1666</v>
      </c>
      <c r="N42" s="440">
        <f t="shared" si="12"/>
        <v>1706</v>
      </c>
      <c r="O42" s="438">
        <f t="shared" si="8"/>
        <v>1700.8333333333333</v>
      </c>
      <c r="P42" s="335">
        <f t="shared" si="9"/>
        <v>20410</v>
      </c>
    </row>
    <row r="43" spans="1:16">
      <c r="B43" s="245">
        <v>23</v>
      </c>
      <c r="C43" s="440">
        <f>C17</f>
        <v>3</v>
      </c>
      <c r="D43" s="440">
        <f t="shared" ref="D43:N43" si="13">D17</f>
        <v>4</v>
      </c>
      <c r="E43" s="440">
        <f t="shared" si="13"/>
        <v>3</v>
      </c>
      <c r="F43" s="440">
        <f t="shared" si="13"/>
        <v>3</v>
      </c>
      <c r="G43" s="440">
        <f t="shared" si="13"/>
        <v>3</v>
      </c>
      <c r="H43" s="440">
        <f t="shared" si="13"/>
        <v>2</v>
      </c>
      <c r="I43" s="440">
        <f t="shared" si="13"/>
        <v>4</v>
      </c>
      <c r="J43" s="440">
        <f t="shared" si="13"/>
        <v>0</v>
      </c>
      <c r="K43" s="440">
        <f t="shared" si="13"/>
        <v>6</v>
      </c>
      <c r="L43" s="440">
        <f t="shared" si="13"/>
        <v>2</v>
      </c>
      <c r="M43" s="440">
        <f t="shared" si="13"/>
        <v>4</v>
      </c>
      <c r="N43" s="440">
        <f t="shared" si="13"/>
        <v>3</v>
      </c>
      <c r="O43" s="438">
        <f t="shared" si="8"/>
        <v>3.0833333333333335</v>
      </c>
      <c r="P43" s="335">
        <f t="shared" si="9"/>
        <v>37</v>
      </c>
    </row>
    <row r="44" spans="1:16">
      <c r="B44" s="245" t="s">
        <v>359</v>
      </c>
      <c r="C44" s="440">
        <f>C18</f>
        <v>21</v>
      </c>
      <c r="D44" s="440">
        <f t="shared" ref="D44:N44" si="14">D18</f>
        <v>21</v>
      </c>
      <c r="E44" s="440">
        <f t="shared" si="14"/>
        <v>21</v>
      </c>
      <c r="F44" s="440">
        <f t="shared" si="14"/>
        <v>21</v>
      </c>
      <c r="G44" s="440">
        <f t="shared" si="14"/>
        <v>21</v>
      </c>
      <c r="H44" s="440">
        <f t="shared" si="14"/>
        <v>21</v>
      </c>
      <c r="I44" s="440">
        <f t="shared" si="14"/>
        <v>40</v>
      </c>
      <c r="J44" s="440">
        <f t="shared" si="14"/>
        <v>2</v>
      </c>
      <c r="K44" s="440">
        <f t="shared" si="14"/>
        <v>21</v>
      </c>
      <c r="L44" s="440">
        <f t="shared" si="14"/>
        <v>21</v>
      </c>
      <c r="M44" s="440">
        <f t="shared" si="14"/>
        <v>21</v>
      </c>
      <c r="N44" s="440">
        <f t="shared" si="14"/>
        <v>21</v>
      </c>
      <c r="O44" s="438">
        <f t="shared" si="8"/>
        <v>21</v>
      </c>
      <c r="P44" s="335">
        <f t="shared" si="9"/>
        <v>252</v>
      </c>
    </row>
    <row r="45" spans="1:16">
      <c r="B45" s="245" t="s">
        <v>756</v>
      </c>
      <c r="C45" s="440">
        <f>C19</f>
        <v>1</v>
      </c>
      <c r="D45" s="440">
        <f t="shared" ref="D45:N45" si="15">D19</f>
        <v>1</v>
      </c>
      <c r="E45" s="440">
        <f t="shared" si="15"/>
        <v>1</v>
      </c>
      <c r="F45" s="440">
        <f t="shared" si="15"/>
        <v>1</v>
      </c>
      <c r="G45" s="440">
        <f t="shared" si="15"/>
        <v>1</v>
      </c>
      <c r="H45" s="440">
        <f t="shared" si="15"/>
        <v>1</v>
      </c>
      <c r="I45" s="440">
        <f t="shared" si="15"/>
        <v>1</v>
      </c>
      <c r="J45" s="440">
        <f t="shared" si="15"/>
        <v>1</v>
      </c>
      <c r="K45" s="440">
        <f t="shared" si="15"/>
        <v>1</v>
      </c>
      <c r="L45" s="440">
        <f t="shared" si="15"/>
        <v>1</v>
      </c>
      <c r="M45" s="440">
        <f t="shared" si="15"/>
        <v>1</v>
      </c>
      <c r="N45" s="440">
        <f t="shared" si="15"/>
        <v>1</v>
      </c>
      <c r="O45" s="438">
        <f t="shared" si="8"/>
        <v>1</v>
      </c>
      <c r="P45" s="335">
        <f t="shared" si="9"/>
        <v>12</v>
      </c>
    </row>
    <row r="46" spans="1:16">
      <c r="B46" s="245" t="s">
        <v>438</v>
      </c>
      <c r="C46" s="440">
        <f>C20+C21+C22</f>
        <v>2514</v>
      </c>
      <c r="D46" s="440">
        <f t="shared" ref="D46:N46" si="16">D20+D21+D22</f>
        <v>2505</v>
      </c>
      <c r="E46" s="440">
        <f t="shared" si="16"/>
        <v>2532</v>
      </c>
      <c r="F46" s="440">
        <f t="shared" si="16"/>
        <v>2549</v>
      </c>
      <c r="G46" s="440">
        <f t="shared" si="16"/>
        <v>2540</v>
      </c>
      <c r="H46" s="440">
        <f t="shared" si="16"/>
        <v>2577</v>
      </c>
      <c r="I46" s="440">
        <f t="shared" si="16"/>
        <v>2483</v>
      </c>
      <c r="J46" s="440">
        <f t="shared" si="16"/>
        <v>2555</v>
      </c>
      <c r="K46" s="440">
        <f t="shared" si="16"/>
        <v>2595</v>
      </c>
      <c r="L46" s="440">
        <f t="shared" si="16"/>
        <v>2523</v>
      </c>
      <c r="M46" s="440">
        <f t="shared" si="16"/>
        <v>2677</v>
      </c>
      <c r="N46" s="440">
        <f t="shared" si="16"/>
        <v>2577</v>
      </c>
      <c r="O46" s="438">
        <f t="shared" si="8"/>
        <v>2552.25</v>
      </c>
      <c r="P46" s="335">
        <f t="shared" si="9"/>
        <v>30627</v>
      </c>
    </row>
    <row r="47" spans="1:16">
      <c r="B47" s="245" t="s">
        <v>439</v>
      </c>
      <c r="C47" s="440">
        <f>SUM(C23:C29)</f>
        <v>496</v>
      </c>
      <c r="D47" s="440">
        <f t="shared" ref="D47:N47" si="17">SUM(D23:D29)</f>
        <v>497</v>
      </c>
      <c r="E47" s="440">
        <f t="shared" si="17"/>
        <v>497</v>
      </c>
      <c r="F47" s="440">
        <f t="shared" si="17"/>
        <v>497</v>
      </c>
      <c r="G47" s="440">
        <f t="shared" si="17"/>
        <v>502</v>
      </c>
      <c r="H47" s="440">
        <f t="shared" si="17"/>
        <v>498</v>
      </c>
      <c r="I47" s="440">
        <f t="shared" si="17"/>
        <v>495</v>
      </c>
      <c r="J47" s="440">
        <f t="shared" si="17"/>
        <v>317</v>
      </c>
      <c r="K47" s="440">
        <f t="shared" si="17"/>
        <v>686</v>
      </c>
      <c r="L47" s="440">
        <f t="shared" si="17"/>
        <v>450</v>
      </c>
      <c r="M47" s="440">
        <f t="shared" si="17"/>
        <v>549</v>
      </c>
      <c r="N47" s="440">
        <f t="shared" si="17"/>
        <v>500</v>
      </c>
      <c r="O47" s="438">
        <f t="shared" si="8"/>
        <v>498.66666666666669</v>
      </c>
      <c r="P47" s="335">
        <f t="shared" si="9"/>
        <v>5984</v>
      </c>
    </row>
    <row r="48" spans="1:16">
      <c r="B48" s="245" t="s">
        <v>64</v>
      </c>
      <c r="C48" s="440">
        <f>SUM(C39:C47)</f>
        <v>265313</v>
      </c>
      <c r="D48" s="438">
        <f t="shared" ref="D48:O48" si="18">SUM(D39:D47)</f>
        <v>266453</v>
      </c>
      <c r="E48" s="438">
        <f t="shared" si="18"/>
        <v>266503</v>
      </c>
      <c r="F48" s="438">
        <f t="shared" si="18"/>
        <v>267142</v>
      </c>
      <c r="G48" s="438">
        <f t="shared" si="18"/>
        <v>267329</v>
      </c>
      <c r="H48" s="438">
        <f t="shared" si="18"/>
        <v>267416</v>
      </c>
      <c r="I48" s="438">
        <f t="shared" si="18"/>
        <v>267448</v>
      </c>
      <c r="J48" s="438">
        <f t="shared" si="18"/>
        <v>267747</v>
      </c>
      <c r="K48" s="438">
        <f t="shared" si="18"/>
        <v>269612</v>
      </c>
      <c r="L48" s="438">
        <f t="shared" si="18"/>
        <v>269753</v>
      </c>
      <c r="M48" s="438">
        <f t="shared" si="18"/>
        <v>268873</v>
      </c>
      <c r="N48" s="438">
        <f t="shared" si="18"/>
        <v>268794</v>
      </c>
      <c r="O48" s="438">
        <f t="shared" si="18"/>
        <v>267698.58333333331</v>
      </c>
      <c r="P48" s="335">
        <f t="shared" si="9"/>
        <v>3212383</v>
      </c>
    </row>
    <row r="50" spans="1:16">
      <c r="C50" s="40">
        <f>C35-C48</f>
        <v>0</v>
      </c>
      <c r="D50" s="40">
        <f t="shared" ref="D50:N50" si="19">D35-D48</f>
        <v>0</v>
      </c>
      <c r="E50" s="40">
        <f t="shared" si="19"/>
        <v>0</v>
      </c>
      <c r="F50" s="40">
        <f t="shared" si="19"/>
        <v>0</v>
      </c>
      <c r="G50" s="40">
        <f t="shared" si="19"/>
        <v>0</v>
      </c>
      <c r="H50" s="40">
        <f t="shared" si="19"/>
        <v>0</v>
      </c>
      <c r="I50" s="40">
        <f t="shared" si="19"/>
        <v>0</v>
      </c>
      <c r="J50" s="40">
        <f t="shared" si="19"/>
        <v>0</v>
      </c>
      <c r="K50" s="40">
        <f t="shared" si="19"/>
        <v>0</v>
      </c>
      <c r="L50" s="40">
        <f t="shared" si="19"/>
        <v>0</v>
      </c>
      <c r="M50" s="40">
        <f t="shared" si="19"/>
        <v>0</v>
      </c>
      <c r="N50" s="40">
        <f t="shared" si="19"/>
        <v>0</v>
      </c>
      <c r="O50" s="40"/>
      <c r="P50" s="40">
        <f>P35-P48</f>
        <v>0</v>
      </c>
    </row>
    <row r="53" spans="1:16">
      <c r="A53" s="41" t="s">
        <v>804</v>
      </c>
    </row>
    <row r="55" spans="1:16">
      <c r="A55" t="s">
        <v>427</v>
      </c>
    </row>
    <row r="57" spans="1:16">
      <c r="D57" t="s">
        <v>192</v>
      </c>
    </row>
    <row r="58" spans="1:16">
      <c r="C58" t="s">
        <v>428</v>
      </c>
      <c r="D58" t="s">
        <v>792</v>
      </c>
      <c r="E58" t="s">
        <v>793</v>
      </c>
      <c r="F58" t="s">
        <v>794</v>
      </c>
      <c r="G58" t="s">
        <v>795</v>
      </c>
      <c r="H58" t="s">
        <v>796</v>
      </c>
      <c r="I58" t="s">
        <v>797</v>
      </c>
      <c r="J58" t="s">
        <v>798</v>
      </c>
      <c r="K58" t="s">
        <v>799</v>
      </c>
      <c r="L58" t="s">
        <v>800</v>
      </c>
      <c r="M58" t="s">
        <v>801</v>
      </c>
      <c r="N58" t="s">
        <v>802</v>
      </c>
      <c r="O58" t="s">
        <v>803</v>
      </c>
      <c r="P58" t="s">
        <v>431</v>
      </c>
    </row>
    <row r="59" spans="1:16">
      <c r="A59" t="s">
        <v>353</v>
      </c>
      <c r="B59" t="s">
        <v>571</v>
      </c>
    </row>
    <row r="60" spans="1:16">
      <c r="A60" t="s">
        <v>546</v>
      </c>
      <c r="B60" t="s">
        <v>573</v>
      </c>
      <c r="D60" s="335">
        <v>0</v>
      </c>
      <c r="E60" s="335">
        <v>0</v>
      </c>
      <c r="F60" s="335">
        <v>0</v>
      </c>
      <c r="G60" s="335">
        <v>0</v>
      </c>
      <c r="H60" s="335">
        <v>0</v>
      </c>
      <c r="I60" s="335">
        <v>0</v>
      </c>
      <c r="J60" s="335">
        <v>0</v>
      </c>
      <c r="K60" s="335">
        <v>0</v>
      </c>
      <c r="L60" s="335">
        <v>0</v>
      </c>
      <c r="M60" s="335">
        <v>0</v>
      </c>
      <c r="N60" s="335">
        <v>0</v>
      </c>
      <c r="O60" s="335">
        <v>0</v>
      </c>
      <c r="P60" s="335">
        <v>0</v>
      </c>
    </row>
    <row r="61" spans="1:16">
      <c r="B61" t="s">
        <v>574</v>
      </c>
      <c r="D61" s="335">
        <v>132932678.41673</v>
      </c>
      <c r="E61" s="335">
        <v>148559607.52684999</v>
      </c>
      <c r="F61" s="335">
        <v>141761426.70717001</v>
      </c>
      <c r="G61" s="335">
        <v>124004541.12118</v>
      </c>
      <c r="H61" s="335">
        <v>140178353.75525001</v>
      </c>
      <c r="I61" s="335">
        <v>158143293.20471999</v>
      </c>
      <c r="J61" s="335">
        <v>159647469.98063001</v>
      </c>
      <c r="K61" s="335">
        <v>134162822.0161</v>
      </c>
      <c r="L61" s="335">
        <v>167773864.12246001</v>
      </c>
      <c r="M61" s="335">
        <v>132901684.73149</v>
      </c>
      <c r="N61" s="335">
        <v>140558908.73076999</v>
      </c>
      <c r="O61" s="335">
        <v>131177805.42809001</v>
      </c>
      <c r="P61" s="335">
        <f>SUM(D61:O61)</f>
        <v>1711802455.7414398</v>
      </c>
    </row>
    <row r="62" spans="1:16">
      <c r="B62" t="s">
        <v>575</v>
      </c>
      <c r="D62" s="335">
        <v>34067985.820249997</v>
      </c>
      <c r="E62" s="335">
        <v>59532981.162150003</v>
      </c>
      <c r="F62" s="335">
        <v>45415210.938830003</v>
      </c>
      <c r="G62" s="335">
        <v>21690242.837820001</v>
      </c>
      <c r="H62" s="335">
        <v>40709925.912749998</v>
      </c>
      <c r="I62" s="335">
        <v>73708118.820820004</v>
      </c>
      <c r="J62" s="335">
        <v>76868350.344980001</v>
      </c>
      <c r="K62" s="335">
        <v>56031082.06391</v>
      </c>
      <c r="L62" s="335">
        <v>64590763.784529999</v>
      </c>
      <c r="M62" s="335">
        <v>41333312.205509998</v>
      </c>
      <c r="N62" s="335">
        <v>30382368.138239998</v>
      </c>
      <c r="O62" s="335">
        <v>30472355.521899998</v>
      </c>
      <c r="P62" s="335">
        <f t="shared" ref="P62:P72" si="20">SUM(D62:O62)</f>
        <v>574802697.5516901</v>
      </c>
    </row>
    <row r="63" spans="1:16">
      <c r="B63" t="s">
        <v>576</v>
      </c>
      <c r="D63" s="335">
        <v>10813177.737</v>
      </c>
      <c r="E63" s="335">
        <v>26698803.787</v>
      </c>
      <c r="F63" s="335">
        <v>17475548.124000002</v>
      </c>
      <c r="G63" s="335">
        <v>5549375.1560000004</v>
      </c>
      <c r="H63" s="335">
        <v>20667565.544</v>
      </c>
      <c r="I63" s="335">
        <v>73488083.412110001</v>
      </c>
      <c r="J63" s="335">
        <v>80061567.437020004</v>
      </c>
      <c r="K63" s="335">
        <v>48379224.681979999</v>
      </c>
      <c r="L63" s="335">
        <v>48676507.211999997</v>
      </c>
      <c r="M63" s="335">
        <v>21883085.846000001</v>
      </c>
      <c r="N63" s="335">
        <v>9027998.0639999993</v>
      </c>
      <c r="O63" s="335">
        <v>8735278.9539999999</v>
      </c>
      <c r="P63" s="335">
        <f t="shared" si="20"/>
        <v>371456215.95511007</v>
      </c>
    </row>
    <row r="64" spans="1:16">
      <c r="B64" t="s">
        <v>572</v>
      </c>
      <c r="D64" s="335">
        <v>0</v>
      </c>
      <c r="E64" s="335">
        <v>0</v>
      </c>
      <c r="F64" s="335">
        <v>0</v>
      </c>
      <c r="G64" s="335">
        <v>0</v>
      </c>
      <c r="H64" s="335">
        <v>0</v>
      </c>
      <c r="I64" s="335">
        <v>0</v>
      </c>
      <c r="J64" s="335">
        <v>0</v>
      </c>
      <c r="K64" s="335">
        <v>0</v>
      </c>
      <c r="L64" s="335">
        <v>0</v>
      </c>
      <c r="M64" s="335">
        <v>0</v>
      </c>
      <c r="N64" s="335">
        <v>0</v>
      </c>
      <c r="O64" s="335">
        <v>0</v>
      </c>
      <c r="P64" s="335">
        <f>SUM(D64:O64)</f>
        <v>0</v>
      </c>
    </row>
    <row r="65" spans="1:16">
      <c r="B65" t="s">
        <v>577</v>
      </c>
      <c r="D65" s="335">
        <v>0</v>
      </c>
      <c r="E65" s="335">
        <v>0</v>
      </c>
      <c r="F65" s="335">
        <v>0</v>
      </c>
      <c r="G65" s="335">
        <v>0</v>
      </c>
      <c r="H65" s="335">
        <v>0</v>
      </c>
      <c r="I65" s="335">
        <v>0</v>
      </c>
      <c r="J65" s="335">
        <v>0</v>
      </c>
      <c r="K65" s="335">
        <v>0</v>
      </c>
      <c r="L65" s="335">
        <v>0</v>
      </c>
      <c r="M65" s="335">
        <v>0</v>
      </c>
      <c r="N65" s="335">
        <v>0</v>
      </c>
      <c r="O65" s="335">
        <v>0</v>
      </c>
      <c r="P65" s="335">
        <f>SUM(D65:O65)</f>
        <v>0</v>
      </c>
    </row>
    <row r="66" spans="1:16">
      <c r="B66" t="s">
        <v>651</v>
      </c>
      <c r="D66" s="335">
        <v>0</v>
      </c>
      <c r="E66" s="335">
        <v>0</v>
      </c>
      <c r="F66" s="335">
        <v>0</v>
      </c>
      <c r="G66" s="335">
        <v>0</v>
      </c>
      <c r="H66" s="335">
        <v>0</v>
      </c>
      <c r="I66" s="335">
        <v>0</v>
      </c>
      <c r="J66" s="335">
        <v>0</v>
      </c>
      <c r="K66" s="335">
        <v>0</v>
      </c>
      <c r="L66" s="335">
        <v>0</v>
      </c>
      <c r="M66" s="335">
        <v>0</v>
      </c>
      <c r="N66" s="335">
        <v>0</v>
      </c>
      <c r="O66" s="335">
        <v>0</v>
      </c>
      <c r="P66" s="335">
        <f>SUM(D66:O66)</f>
        <v>0</v>
      </c>
    </row>
    <row r="67" spans="1:16">
      <c r="B67" t="s">
        <v>622</v>
      </c>
      <c r="D67" s="335">
        <v>0</v>
      </c>
      <c r="E67" s="335">
        <v>0</v>
      </c>
      <c r="F67" s="335">
        <v>0</v>
      </c>
      <c r="G67" s="335">
        <v>0</v>
      </c>
      <c r="H67" s="335">
        <v>0</v>
      </c>
      <c r="I67" s="335">
        <v>0</v>
      </c>
      <c r="J67" s="335">
        <v>0</v>
      </c>
      <c r="K67" s="335">
        <v>0</v>
      </c>
      <c r="L67" s="335">
        <v>0</v>
      </c>
      <c r="M67" s="335">
        <v>0</v>
      </c>
      <c r="N67" s="335">
        <v>0</v>
      </c>
      <c r="O67" s="335">
        <v>0</v>
      </c>
      <c r="P67" s="335">
        <f t="shared" si="20"/>
        <v>0</v>
      </c>
    </row>
    <row r="68" spans="1:16">
      <c r="B68" t="s">
        <v>578</v>
      </c>
      <c r="D68" s="335">
        <v>0</v>
      </c>
      <c r="E68" s="335">
        <v>0</v>
      </c>
      <c r="F68" s="335">
        <v>0</v>
      </c>
      <c r="G68" s="335">
        <v>0</v>
      </c>
      <c r="H68" s="335">
        <v>0</v>
      </c>
      <c r="I68" s="335">
        <v>0</v>
      </c>
      <c r="J68" s="335">
        <v>0</v>
      </c>
      <c r="K68" s="335">
        <v>0</v>
      </c>
      <c r="L68" s="335">
        <v>0</v>
      </c>
      <c r="M68" s="335">
        <v>-5529.68</v>
      </c>
      <c r="N68" s="335">
        <v>0</v>
      </c>
      <c r="O68" s="335">
        <v>0</v>
      </c>
      <c r="P68" s="335">
        <f t="shared" si="20"/>
        <v>-5529.68</v>
      </c>
    </row>
    <row r="69" spans="1:16">
      <c r="B69" t="s">
        <v>579</v>
      </c>
      <c r="D69" s="335">
        <v>0</v>
      </c>
      <c r="E69" s="335">
        <v>0</v>
      </c>
      <c r="F69" s="335">
        <v>0</v>
      </c>
      <c r="G69" s="335">
        <v>0</v>
      </c>
      <c r="H69" s="335">
        <v>0</v>
      </c>
      <c r="I69" s="335">
        <v>0</v>
      </c>
      <c r="J69" s="335">
        <v>0</v>
      </c>
      <c r="K69" s="335">
        <v>0</v>
      </c>
      <c r="L69" s="335">
        <v>0</v>
      </c>
      <c r="M69" s="335">
        <v>0</v>
      </c>
      <c r="N69" s="335">
        <v>0</v>
      </c>
      <c r="O69" s="335">
        <v>0</v>
      </c>
      <c r="P69" s="335">
        <f t="shared" si="20"/>
        <v>0</v>
      </c>
    </row>
    <row r="70" spans="1:16">
      <c r="B70" t="s">
        <v>580</v>
      </c>
      <c r="D70" s="335">
        <v>0</v>
      </c>
      <c r="E70" s="335">
        <v>0</v>
      </c>
      <c r="F70" s="335">
        <v>0</v>
      </c>
      <c r="G70" s="335">
        <v>0</v>
      </c>
      <c r="H70" s="335">
        <v>0</v>
      </c>
      <c r="I70" s="335">
        <v>0</v>
      </c>
      <c r="J70" s="335">
        <v>0</v>
      </c>
      <c r="K70" s="335">
        <v>0</v>
      </c>
      <c r="L70" s="335">
        <v>0</v>
      </c>
      <c r="M70" s="335">
        <v>0</v>
      </c>
      <c r="N70" s="335">
        <v>0</v>
      </c>
      <c r="O70" s="335">
        <v>0</v>
      </c>
      <c r="P70" s="335">
        <f t="shared" si="20"/>
        <v>0</v>
      </c>
    </row>
    <row r="71" spans="1:16">
      <c r="B71" t="s">
        <v>581</v>
      </c>
      <c r="D71" s="335">
        <v>0</v>
      </c>
      <c r="E71" s="335">
        <v>0</v>
      </c>
      <c r="F71" s="335">
        <v>0</v>
      </c>
      <c r="G71" s="335">
        <v>0</v>
      </c>
      <c r="H71" s="335">
        <v>0</v>
      </c>
      <c r="I71" s="335">
        <v>0</v>
      </c>
      <c r="J71" s="335">
        <v>0</v>
      </c>
      <c r="K71" s="335">
        <v>0</v>
      </c>
      <c r="L71" s="335">
        <v>0</v>
      </c>
      <c r="M71" s="335">
        <v>0</v>
      </c>
      <c r="N71" s="335">
        <v>0</v>
      </c>
      <c r="O71" s="335">
        <v>0</v>
      </c>
      <c r="P71" s="335">
        <f t="shared" si="20"/>
        <v>0</v>
      </c>
    </row>
    <row r="72" spans="1:16">
      <c r="B72" t="s">
        <v>582</v>
      </c>
      <c r="D72" s="335"/>
      <c r="E72" s="335"/>
      <c r="F72" s="335"/>
      <c r="G72" s="335"/>
      <c r="H72" s="335">
        <v>0</v>
      </c>
      <c r="I72" s="335">
        <v>0</v>
      </c>
      <c r="J72" s="335">
        <v>0</v>
      </c>
      <c r="K72" s="335">
        <v>0</v>
      </c>
      <c r="L72" s="335">
        <v>0</v>
      </c>
      <c r="M72" s="335">
        <v>0</v>
      </c>
      <c r="N72" s="335">
        <v>0</v>
      </c>
      <c r="O72" s="335">
        <v>0</v>
      </c>
      <c r="P72" s="335">
        <f t="shared" si="20"/>
        <v>0</v>
      </c>
    </row>
    <row r="73" spans="1:16">
      <c r="B73" t="s">
        <v>652</v>
      </c>
      <c r="D73" s="335"/>
      <c r="E73" s="335"/>
      <c r="F73" s="335"/>
      <c r="G73" s="335"/>
      <c r="H73" s="335"/>
      <c r="I73" s="335"/>
      <c r="J73" s="335"/>
      <c r="K73" s="335"/>
      <c r="L73" s="335"/>
      <c r="M73" s="335"/>
      <c r="N73" s="335">
        <v>0</v>
      </c>
      <c r="O73" s="335">
        <v>0</v>
      </c>
      <c r="P73" s="335">
        <v>0</v>
      </c>
    </row>
    <row r="74" spans="1:16">
      <c r="B74" t="s">
        <v>64</v>
      </c>
      <c r="D74" s="335">
        <f>SUM(D60:D73)</f>
        <v>177813841.97397998</v>
      </c>
      <c r="E74" s="335">
        <f t="shared" ref="E74:P74" si="21">SUM(E60:E73)</f>
        <v>234791392.47599998</v>
      </c>
      <c r="F74" s="335">
        <f t="shared" si="21"/>
        <v>204652185.77000004</v>
      </c>
      <c r="G74" s="335">
        <f t="shared" si="21"/>
        <v>151244159.11499998</v>
      </c>
      <c r="H74" s="335">
        <f t="shared" si="21"/>
        <v>201555845.21200001</v>
      </c>
      <c r="I74" s="335">
        <f t="shared" si="21"/>
        <v>305339495.43764997</v>
      </c>
      <c r="J74" s="335">
        <f t="shared" si="21"/>
        <v>316577387.76262999</v>
      </c>
      <c r="K74" s="335">
        <f t="shared" si="21"/>
        <v>238573128.76199001</v>
      </c>
      <c r="L74" s="335">
        <f t="shared" si="21"/>
        <v>281041135.11899</v>
      </c>
      <c r="M74" s="335">
        <f>SUM(M60:M73)</f>
        <v>196112553.10299999</v>
      </c>
      <c r="N74" s="335">
        <f t="shared" si="21"/>
        <v>179969274.93301001</v>
      </c>
      <c r="O74" s="335">
        <f t="shared" si="21"/>
        <v>170385439.90399</v>
      </c>
      <c r="P74" s="335">
        <f t="shared" si="21"/>
        <v>2658055839.5682402</v>
      </c>
    </row>
    <row r="75" spans="1:16">
      <c r="A75" t="s">
        <v>547</v>
      </c>
      <c r="B75" t="s">
        <v>573</v>
      </c>
      <c r="D75" s="335">
        <v>0</v>
      </c>
      <c r="E75" s="335">
        <v>0</v>
      </c>
      <c r="F75" s="335">
        <v>0</v>
      </c>
      <c r="G75" s="335">
        <v>0</v>
      </c>
      <c r="H75" s="335">
        <v>0</v>
      </c>
      <c r="I75" s="335">
        <v>0</v>
      </c>
      <c r="J75" s="335">
        <v>0</v>
      </c>
      <c r="K75" s="335">
        <v>0</v>
      </c>
      <c r="L75" s="335">
        <v>0</v>
      </c>
      <c r="M75" s="335">
        <v>0</v>
      </c>
      <c r="N75" s="335">
        <v>0</v>
      </c>
      <c r="O75" s="335">
        <v>0</v>
      </c>
      <c r="P75" s="335">
        <v>0</v>
      </c>
    </row>
    <row r="76" spans="1:16">
      <c r="B76" t="s">
        <v>574</v>
      </c>
      <c r="D76" s="335">
        <v>470992.05966999999</v>
      </c>
      <c r="E76" s="335">
        <v>522779.43699000002</v>
      </c>
      <c r="F76" s="335">
        <v>494318.77299999999</v>
      </c>
      <c r="G76" s="335">
        <v>467745.50566999998</v>
      </c>
      <c r="H76" s="335">
        <v>563440.30533</v>
      </c>
      <c r="I76" s="335">
        <v>628440.69099999999</v>
      </c>
      <c r="J76" s="335">
        <v>652144.62433000002</v>
      </c>
      <c r="K76" s="335">
        <v>588407.72267000005</v>
      </c>
      <c r="L76" s="335">
        <v>710585.53032999998</v>
      </c>
      <c r="M76" s="335">
        <v>608442.70533000003</v>
      </c>
      <c r="N76" s="335">
        <v>603801.46267000004</v>
      </c>
      <c r="O76" s="335">
        <v>520485.10333999997</v>
      </c>
      <c r="P76" s="335">
        <f>SUM(D76:O76)</f>
        <v>6831583.9203300001</v>
      </c>
    </row>
    <row r="77" spans="1:16">
      <c r="B77" t="s">
        <v>575</v>
      </c>
      <c r="D77" s="335">
        <v>97070.63033</v>
      </c>
      <c r="E77" s="335">
        <v>157993.10900999999</v>
      </c>
      <c r="F77" s="335">
        <v>132312.20699999999</v>
      </c>
      <c r="G77" s="335">
        <v>83964.234330000007</v>
      </c>
      <c r="H77" s="335">
        <v>232810.93567000001</v>
      </c>
      <c r="I77" s="335">
        <v>397840.52299999999</v>
      </c>
      <c r="J77" s="335">
        <v>425271.81770000001</v>
      </c>
      <c r="K77" s="335">
        <v>353168.46032999997</v>
      </c>
      <c r="L77" s="335">
        <v>408006.93066999997</v>
      </c>
      <c r="M77" s="335">
        <v>291603.23067000002</v>
      </c>
      <c r="N77" s="335">
        <v>167411.74233000001</v>
      </c>
      <c r="O77" s="335">
        <v>110322.60166</v>
      </c>
      <c r="P77" s="335">
        <f t="shared" ref="P77:P88" si="22">SUM(D77:O77)</f>
        <v>2857776.4227</v>
      </c>
    </row>
    <row r="78" spans="1:16">
      <c r="B78" t="s">
        <v>576</v>
      </c>
      <c r="D78" s="335">
        <v>29254.404999999999</v>
      </c>
      <c r="E78" s="335">
        <v>67447.990999999995</v>
      </c>
      <c r="F78" s="335">
        <v>54291.819000000003</v>
      </c>
      <c r="G78" s="335">
        <v>20295.702000000001</v>
      </c>
      <c r="H78" s="335">
        <v>160458.821</v>
      </c>
      <c r="I78" s="335">
        <v>562239.26399999997</v>
      </c>
      <c r="J78" s="335">
        <v>607518.01801</v>
      </c>
      <c r="K78" s="335">
        <v>431408.97399999999</v>
      </c>
      <c r="L78" s="335">
        <v>419724.92700000003</v>
      </c>
      <c r="M78" s="335">
        <v>201203.986</v>
      </c>
      <c r="N78" s="335">
        <v>49830.601999999999</v>
      </c>
      <c r="O78" s="335">
        <v>35868.072</v>
      </c>
      <c r="P78" s="335">
        <f t="shared" si="22"/>
        <v>2639542.5810100003</v>
      </c>
    </row>
    <row r="79" spans="1:16">
      <c r="B79" t="s">
        <v>572</v>
      </c>
      <c r="D79" s="335">
        <v>0</v>
      </c>
      <c r="E79" s="335">
        <v>0</v>
      </c>
      <c r="F79" s="335">
        <v>0</v>
      </c>
      <c r="G79" s="335">
        <v>0</v>
      </c>
      <c r="H79" s="335">
        <v>0</v>
      </c>
      <c r="I79" s="335">
        <v>0</v>
      </c>
      <c r="J79" s="335">
        <v>0</v>
      </c>
      <c r="K79" s="335">
        <v>0</v>
      </c>
      <c r="L79" s="335">
        <v>0</v>
      </c>
      <c r="M79" s="335">
        <v>0</v>
      </c>
      <c r="N79" s="335">
        <v>0</v>
      </c>
      <c r="O79" s="335">
        <v>0</v>
      </c>
      <c r="P79" s="335">
        <f t="shared" si="22"/>
        <v>0</v>
      </c>
    </row>
    <row r="80" spans="1:16">
      <c r="B80" t="s">
        <v>577</v>
      </c>
      <c r="D80" s="335">
        <v>0</v>
      </c>
      <c r="E80" s="335">
        <v>0</v>
      </c>
      <c r="F80" s="335">
        <v>0</v>
      </c>
      <c r="G80" s="335">
        <v>0</v>
      </c>
      <c r="H80" s="335">
        <v>0</v>
      </c>
      <c r="I80" s="335">
        <v>0</v>
      </c>
      <c r="J80" s="335">
        <v>0</v>
      </c>
      <c r="K80" s="335">
        <v>0</v>
      </c>
      <c r="L80" s="335">
        <v>0</v>
      </c>
      <c r="M80" s="335">
        <v>0</v>
      </c>
      <c r="N80" s="335">
        <v>0</v>
      </c>
      <c r="O80" s="335">
        <v>0</v>
      </c>
      <c r="P80" s="335">
        <f t="shared" si="22"/>
        <v>0</v>
      </c>
    </row>
    <row r="81" spans="1:16">
      <c r="B81" t="s">
        <v>622</v>
      </c>
      <c r="D81" s="335">
        <v>0</v>
      </c>
      <c r="E81" s="335">
        <v>0</v>
      </c>
      <c r="F81" s="335">
        <v>0</v>
      </c>
      <c r="G81" s="335">
        <v>0</v>
      </c>
      <c r="H81" s="335">
        <v>0</v>
      </c>
      <c r="I81" s="335">
        <v>0</v>
      </c>
      <c r="J81" s="335">
        <v>0</v>
      </c>
      <c r="K81" s="335">
        <v>0</v>
      </c>
      <c r="L81" s="335">
        <v>0</v>
      </c>
      <c r="M81" s="335">
        <v>0</v>
      </c>
      <c r="N81" s="335">
        <v>0</v>
      </c>
      <c r="O81" s="335">
        <v>0</v>
      </c>
      <c r="P81" s="335">
        <f t="shared" si="22"/>
        <v>0</v>
      </c>
    </row>
    <row r="82" spans="1:16">
      <c r="B82" t="s">
        <v>583</v>
      </c>
      <c r="D82" s="335">
        <v>0</v>
      </c>
      <c r="E82" s="335">
        <v>0</v>
      </c>
      <c r="F82" s="335">
        <v>0</v>
      </c>
      <c r="G82" s="335">
        <v>0</v>
      </c>
      <c r="H82" s="335">
        <v>0</v>
      </c>
      <c r="I82" s="335">
        <v>0</v>
      </c>
      <c r="J82" s="335">
        <v>0</v>
      </c>
      <c r="K82" s="335">
        <v>0</v>
      </c>
      <c r="L82" s="335">
        <v>0</v>
      </c>
      <c r="M82" s="335">
        <v>0</v>
      </c>
      <c r="N82" s="335">
        <v>0</v>
      </c>
      <c r="O82" s="335">
        <v>0</v>
      </c>
      <c r="P82" s="335">
        <f t="shared" si="22"/>
        <v>0</v>
      </c>
    </row>
    <row r="83" spans="1:16">
      <c r="B83" t="s">
        <v>578</v>
      </c>
      <c r="D83" s="335">
        <v>0</v>
      </c>
      <c r="E83" s="335">
        <v>0</v>
      </c>
      <c r="F83" s="335">
        <v>0</v>
      </c>
      <c r="G83" s="335">
        <v>0</v>
      </c>
      <c r="H83" s="335">
        <v>0</v>
      </c>
      <c r="I83" s="335">
        <v>0</v>
      </c>
      <c r="J83" s="335">
        <v>0</v>
      </c>
      <c r="K83" s="335">
        <v>0</v>
      </c>
      <c r="L83" s="335">
        <v>0</v>
      </c>
      <c r="M83" s="335">
        <v>0</v>
      </c>
      <c r="N83" s="335">
        <v>0</v>
      </c>
      <c r="O83" s="335">
        <v>0</v>
      </c>
      <c r="P83" s="335">
        <f t="shared" si="22"/>
        <v>0</v>
      </c>
    </row>
    <row r="84" spans="1:16">
      <c r="B84" t="s">
        <v>579</v>
      </c>
      <c r="D84" s="335">
        <v>0</v>
      </c>
      <c r="E84" s="335">
        <v>0</v>
      </c>
      <c r="F84" s="335">
        <v>0</v>
      </c>
      <c r="G84" s="335">
        <v>0</v>
      </c>
      <c r="H84" s="335">
        <v>0</v>
      </c>
      <c r="I84" s="335">
        <v>0</v>
      </c>
      <c r="J84" s="335">
        <v>0</v>
      </c>
      <c r="K84" s="335">
        <v>0</v>
      </c>
      <c r="L84" s="335">
        <v>0</v>
      </c>
      <c r="M84" s="335">
        <v>0</v>
      </c>
      <c r="N84" s="335">
        <v>0</v>
      </c>
      <c r="O84" s="335">
        <v>0</v>
      </c>
      <c r="P84" s="335">
        <f t="shared" si="22"/>
        <v>0</v>
      </c>
    </row>
    <row r="85" spans="1:16">
      <c r="B85" t="s">
        <v>580</v>
      </c>
      <c r="D85" s="335">
        <v>0</v>
      </c>
      <c r="E85" s="335">
        <v>0</v>
      </c>
      <c r="F85" s="335">
        <v>0</v>
      </c>
      <c r="G85" s="335">
        <v>0</v>
      </c>
      <c r="H85" s="335">
        <v>0</v>
      </c>
      <c r="I85" s="335">
        <v>0</v>
      </c>
      <c r="J85" s="335">
        <v>0</v>
      </c>
      <c r="K85" s="335">
        <v>0</v>
      </c>
      <c r="L85" s="335">
        <v>0</v>
      </c>
      <c r="M85" s="335">
        <v>0</v>
      </c>
      <c r="N85" s="335">
        <v>0</v>
      </c>
      <c r="O85" s="335">
        <v>0</v>
      </c>
      <c r="P85" s="335">
        <f t="shared" si="22"/>
        <v>0</v>
      </c>
    </row>
    <row r="86" spans="1:16">
      <c r="B86" t="s">
        <v>581</v>
      </c>
      <c r="D86" s="335">
        <v>0</v>
      </c>
      <c r="E86" s="335">
        <v>0</v>
      </c>
      <c r="F86" s="335">
        <v>0</v>
      </c>
      <c r="G86" s="335">
        <v>0</v>
      </c>
      <c r="H86" s="335">
        <v>0</v>
      </c>
      <c r="I86" s="335">
        <v>0</v>
      </c>
      <c r="J86" s="335">
        <v>0</v>
      </c>
      <c r="K86" s="335">
        <v>0</v>
      </c>
      <c r="L86" s="335">
        <v>0</v>
      </c>
      <c r="M86" s="335">
        <v>0</v>
      </c>
      <c r="N86" s="335">
        <v>0</v>
      </c>
      <c r="O86" s="335">
        <v>0</v>
      </c>
      <c r="P86" s="335">
        <f t="shared" si="22"/>
        <v>0</v>
      </c>
    </row>
    <row r="87" spans="1:16">
      <c r="B87" t="s">
        <v>582</v>
      </c>
      <c r="D87" s="335">
        <v>0</v>
      </c>
      <c r="E87" s="335">
        <v>0</v>
      </c>
      <c r="F87" s="335">
        <v>0</v>
      </c>
      <c r="G87" s="335">
        <v>0</v>
      </c>
      <c r="H87" s="335">
        <v>0</v>
      </c>
      <c r="I87" s="335">
        <v>0</v>
      </c>
      <c r="J87" s="335">
        <v>0</v>
      </c>
      <c r="K87" s="335">
        <v>0</v>
      </c>
      <c r="L87" s="335">
        <v>0</v>
      </c>
      <c r="M87" s="335">
        <v>0</v>
      </c>
      <c r="N87" s="335">
        <v>0</v>
      </c>
      <c r="O87" s="335">
        <v>0</v>
      </c>
      <c r="P87" s="335">
        <f t="shared" si="22"/>
        <v>0</v>
      </c>
    </row>
    <row r="88" spans="1:16">
      <c r="B88" t="s">
        <v>651</v>
      </c>
      <c r="D88" s="335"/>
      <c r="E88" s="335"/>
      <c r="F88" s="335"/>
      <c r="G88" s="335"/>
      <c r="H88" s="335">
        <v>0</v>
      </c>
      <c r="I88" s="335">
        <v>0</v>
      </c>
      <c r="J88" s="335">
        <v>0</v>
      </c>
      <c r="K88" s="335">
        <v>0</v>
      </c>
      <c r="L88" s="335">
        <v>0</v>
      </c>
      <c r="M88" s="335">
        <v>0</v>
      </c>
      <c r="N88" s="335">
        <v>0</v>
      </c>
      <c r="O88" s="335">
        <v>0</v>
      </c>
      <c r="P88" s="335">
        <f t="shared" si="22"/>
        <v>0</v>
      </c>
    </row>
    <row r="89" spans="1:16">
      <c r="B89" t="s">
        <v>64</v>
      </c>
      <c r="D89" s="335">
        <f>SUM(D75:D88)</f>
        <v>597317.09499999997</v>
      </c>
      <c r="E89" s="335">
        <f t="shared" ref="E89:P89" si="23">SUM(E75:E88)</f>
        <v>748220.53700000001</v>
      </c>
      <c r="F89" s="335">
        <f t="shared" si="23"/>
        <v>680922.799</v>
      </c>
      <c r="G89" s="335">
        <f t="shared" si="23"/>
        <v>572005.44200000004</v>
      </c>
      <c r="H89" s="335">
        <f t="shared" si="23"/>
        <v>956710.06200000003</v>
      </c>
      <c r="I89" s="335">
        <f t="shared" si="23"/>
        <v>1588520.4779999999</v>
      </c>
      <c r="J89" s="335">
        <f t="shared" si="23"/>
        <v>1684934.46004</v>
      </c>
      <c r="K89" s="335">
        <f t="shared" si="23"/>
        <v>1372985.1569999999</v>
      </c>
      <c r="L89" s="335">
        <f t="shared" si="23"/>
        <v>1538317.3879999998</v>
      </c>
      <c r="M89" s="335">
        <f t="shared" si="23"/>
        <v>1101249.922</v>
      </c>
      <c r="N89" s="335">
        <f t="shared" si="23"/>
        <v>821043.80700000003</v>
      </c>
      <c r="O89" s="335">
        <f t="shared" si="23"/>
        <v>666675.777</v>
      </c>
      <c r="P89" s="335">
        <f t="shared" si="23"/>
        <v>12328902.924040001</v>
      </c>
    </row>
    <row r="90" spans="1:16">
      <c r="A90" t="s">
        <v>548</v>
      </c>
      <c r="B90" t="s">
        <v>584</v>
      </c>
      <c r="D90" s="335">
        <v>0</v>
      </c>
      <c r="E90" s="335">
        <v>0</v>
      </c>
      <c r="F90" s="335">
        <v>0</v>
      </c>
      <c r="G90" s="335">
        <v>0</v>
      </c>
      <c r="H90" s="335">
        <v>0</v>
      </c>
      <c r="I90" s="335">
        <v>0</v>
      </c>
      <c r="J90" s="335">
        <v>0</v>
      </c>
      <c r="K90" s="335">
        <v>0</v>
      </c>
      <c r="L90" s="335">
        <v>0</v>
      </c>
      <c r="M90" s="335">
        <v>0</v>
      </c>
      <c r="N90" s="335">
        <v>0</v>
      </c>
      <c r="O90" s="335">
        <v>0</v>
      </c>
      <c r="P90" s="335">
        <f t="shared" ref="P90:P93" si="24">SUM(D90:O90)</f>
        <v>0</v>
      </c>
    </row>
    <row r="91" spans="1:16">
      <c r="B91" t="s">
        <v>573</v>
      </c>
      <c r="D91" s="335">
        <v>0</v>
      </c>
      <c r="E91" s="335">
        <v>0</v>
      </c>
      <c r="F91" s="335">
        <v>0</v>
      </c>
      <c r="G91" s="335">
        <v>0</v>
      </c>
      <c r="H91" s="335">
        <v>0</v>
      </c>
      <c r="I91" s="335">
        <v>0</v>
      </c>
      <c r="J91" s="335">
        <v>0</v>
      </c>
      <c r="K91" s="335">
        <v>0</v>
      </c>
      <c r="L91" s="335">
        <v>0</v>
      </c>
      <c r="M91" s="335">
        <v>0</v>
      </c>
      <c r="N91" s="335">
        <v>0</v>
      </c>
      <c r="O91" s="335">
        <v>0</v>
      </c>
      <c r="P91" s="335">
        <f t="shared" si="24"/>
        <v>0</v>
      </c>
    </row>
    <row r="92" spans="1:16">
      <c r="B92" t="s">
        <v>585</v>
      </c>
      <c r="D92" s="335">
        <v>0</v>
      </c>
      <c r="E92" s="335">
        <v>0</v>
      </c>
      <c r="F92" s="335">
        <v>0</v>
      </c>
      <c r="G92" s="335">
        <v>0</v>
      </c>
      <c r="H92" s="335">
        <v>0</v>
      </c>
      <c r="I92" s="335">
        <v>0</v>
      </c>
      <c r="J92" s="335">
        <v>0</v>
      </c>
      <c r="K92" s="335">
        <v>0</v>
      </c>
      <c r="L92" s="335">
        <v>0</v>
      </c>
      <c r="M92" s="335">
        <v>0</v>
      </c>
      <c r="N92" s="335">
        <v>0</v>
      </c>
      <c r="O92" s="335">
        <v>0</v>
      </c>
      <c r="P92" s="335">
        <f t="shared" si="24"/>
        <v>0</v>
      </c>
    </row>
    <row r="93" spans="1:16">
      <c r="B93" t="s">
        <v>586</v>
      </c>
      <c r="D93" s="335">
        <v>0</v>
      </c>
      <c r="E93" s="335">
        <v>0</v>
      </c>
      <c r="F93" s="335">
        <v>0</v>
      </c>
      <c r="G93" s="335">
        <v>0</v>
      </c>
      <c r="H93" s="335">
        <v>0</v>
      </c>
      <c r="I93" s="335">
        <v>0</v>
      </c>
      <c r="J93" s="335">
        <v>0</v>
      </c>
      <c r="K93" s="335">
        <v>0</v>
      </c>
      <c r="L93" s="335">
        <v>0</v>
      </c>
      <c r="M93" s="335">
        <v>0</v>
      </c>
      <c r="N93" s="335">
        <v>0</v>
      </c>
      <c r="O93" s="335">
        <v>0</v>
      </c>
      <c r="P93" s="335">
        <f t="shared" si="24"/>
        <v>0</v>
      </c>
    </row>
    <row r="94" spans="1:16">
      <c r="B94" t="s">
        <v>574</v>
      </c>
      <c r="D94" s="335">
        <v>31133856.694019999</v>
      </c>
      <c r="E94" s="335">
        <v>34580002.385310002</v>
      </c>
      <c r="F94" s="335">
        <v>33388254.757040001</v>
      </c>
      <c r="G94" s="335">
        <v>30163090.740290001</v>
      </c>
      <c r="H94" s="335">
        <v>31172162.65495</v>
      </c>
      <c r="I94" s="335">
        <v>37884281.866910003</v>
      </c>
      <c r="J94" s="335">
        <v>38932274.29941</v>
      </c>
      <c r="K94" s="335">
        <v>31244245.17639</v>
      </c>
      <c r="L94" s="335">
        <v>40923998.34832</v>
      </c>
      <c r="M94" s="335">
        <v>31360160.217319999</v>
      </c>
      <c r="N94" s="335">
        <v>33724856.107320003</v>
      </c>
      <c r="O94" s="335">
        <v>30683647.097309999</v>
      </c>
      <c r="P94" s="335">
        <f>SUM(D94:O94)</f>
        <v>405190830.34459007</v>
      </c>
    </row>
    <row r="95" spans="1:16">
      <c r="B95" t="s">
        <v>575</v>
      </c>
      <c r="D95" s="335">
        <v>16822466.237980001</v>
      </c>
      <c r="E95" s="335">
        <v>23476616.792690001</v>
      </c>
      <c r="F95" s="335">
        <v>20311767.96596</v>
      </c>
      <c r="G95" s="335">
        <v>14583101.94671</v>
      </c>
      <c r="H95" s="335">
        <v>15079815.920050001</v>
      </c>
      <c r="I95" s="335">
        <v>23515797.77434</v>
      </c>
      <c r="J95" s="335">
        <v>25401130.96122</v>
      </c>
      <c r="K95" s="335">
        <v>17900166.795639999</v>
      </c>
      <c r="L95" s="335">
        <v>22386334.80968</v>
      </c>
      <c r="M95" s="335">
        <v>14508816.586680001</v>
      </c>
      <c r="N95" s="335">
        <v>15419547.62968</v>
      </c>
      <c r="O95" s="335">
        <v>15708174.471689999</v>
      </c>
      <c r="P95" s="335">
        <f t="shared" ref="P95:P103" si="25">SUM(D95:O95)</f>
        <v>225113737.89232001</v>
      </c>
    </row>
    <row r="96" spans="1:16">
      <c r="B96" t="s">
        <v>572</v>
      </c>
      <c r="D96" s="335">
        <v>0</v>
      </c>
      <c r="E96" s="335">
        <v>0</v>
      </c>
      <c r="F96" s="335">
        <v>0</v>
      </c>
      <c r="G96" s="335">
        <v>0</v>
      </c>
      <c r="H96" s="335">
        <v>0</v>
      </c>
      <c r="I96" s="335">
        <v>18000</v>
      </c>
      <c r="J96" s="335">
        <v>0</v>
      </c>
      <c r="K96" s="335">
        <v>0</v>
      </c>
      <c r="L96" s="335">
        <v>0</v>
      </c>
      <c r="M96" s="335">
        <v>0</v>
      </c>
      <c r="N96" s="335">
        <v>0</v>
      </c>
      <c r="O96" s="335">
        <v>0</v>
      </c>
      <c r="P96" s="335">
        <f t="shared" si="25"/>
        <v>18000</v>
      </c>
    </row>
    <row r="97" spans="1:16">
      <c r="B97" t="s">
        <v>622</v>
      </c>
      <c r="D97" s="335">
        <v>0</v>
      </c>
      <c r="E97" s="335">
        <v>0</v>
      </c>
      <c r="F97" s="335">
        <v>0</v>
      </c>
      <c r="G97" s="335">
        <v>0</v>
      </c>
      <c r="H97" s="335">
        <v>0</v>
      </c>
      <c r="I97" s="335">
        <v>0</v>
      </c>
      <c r="J97" s="335">
        <v>0</v>
      </c>
      <c r="K97" s="335">
        <v>0</v>
      </c>
      <c r="L97" s="335">
        <v>0</v>
      </c>
      <c r="M97" s="335">
        <v>0</v>
      </c>
      <c r="N97" s="335">
        <v>0</v>
      </c>
      <c r="O97" s="335">
        <v>0</v>
      </c>
      <c r="P97" s="335">
        <f t="shared" si="25"/>
        <v>0</v>
      </c>
    </row>
    <row r="98" spans="1:16">
      <c r="B98" t="s">
        <v>578</v>
      </c>
      <c r="D98" s="335">
        <v>0</v>
      </c>
      <c r="E98" s="335">
        <v>0</v>
      </c>
      <c r="F98" s="335">
        <v>0</v>
      </c>
      <c r="G98" s="335">
        <v>0</v>
      </c>
      <c r="H98" s="335">
        <v>0</v>
      </c>
      <c r="I98" s="335">
        <v>0</v>
      </c>
      <c r="J98" s="335">
        <v>0</v>
      </c>
      <c r="K98" s="335">
        <v>0</v>
      </c>
      <c r="L98" s="335">
        <v>0</v>
      </c>
      <c r="M98" s="335">
        <v>0</v>
      </c>
      <c r="N98" s="335">
        <v>0</v>
      </c>
      <c r="O98" s="335">
        <v>0</v>
      </c>
      <c r="P98" s="335">
        <f t="shared" si="25"/>
        <v>0</v>
      </c>
    </row>
    <row r="99" spans="1:16">
      <c r="B99" t="s">
        <v>579</v>
      </c>
      <c r="D99" s="335">
        <v>0</v>
      </c>
      <c r="E99" s="335">
        <v>0</v>
      </c>
      <c r="F99" s="335">
        <v>0</v>
      </c>
      <c r="G99" s="335">
        <v>0</v>
      </c>
      <c r="H99" s="335">
        <v>0</v>
      </c>
      <c r="I99" s="335">
        <v>0</v>
      </c>
      <c r="J99" s="335">
        <v>0</v>
      </c>
      <c r="K99" s="335">
        <v>0</v>
      </c>
      <c r="L99" s="335">
        <v>0</v>
      </c>
      <c r="M99" s="335">
        <v>0</v>
      </c>
      <c r="N99" s="335">
        <v>0</v>
      </c>
      <c r="O99" s="335">
        <v>0</v>
      </c>
      <c r="P99" s="335">
        <f t="shared" si="25"/>
        <v>0</v>
      </c>
    </row>
    <row r="100" spans="1:16">
      <c r="B100" t="s">
        <v>580</v>
      </c>
      <c r="D100" s="335">
        <v>0</v>
      </c>
      <c r="E100" s="335">
        <v>0</v>
      </c>
      <c r="F100" s="335">
        <v>0</v>
      </c>
      <c r="G100" s="335">
        <v>0</v>
      </c>
      <c r="H100" s="335">
        <v>0</v>
      </c>
      <c r="I100" s="335">
        <v>0</v>
      </c>
      <c r="J100" s="335">
        <v>0</v>
      </c>
      <c r="K100" s="335">
        <v>0</v>
      </c>
      <c r="L100" s="335">
        <v>0</v>
      </c>
      <c r="M100" s="335">
        <v>0</v>
      </c>
      <c r="N100" s="335">
        <v>0</v>
      </c>
      <c r="O100" s="335">
        <v>0</v>
      </c>
      <c r="P100" s="335">
        <f t="shared" si="25"/>
        <v>0</v>
      </c>
    </row>
    <row r="101" spans="1:16">
      <c r="B101" t="s">
        <v>581</v>
      </c>
      <c r="D101" s="335">
        <v>0</v>
      </c>
      <c r="E101" s="335">
        <v>0</v>
      </c>
      <c r="F101" s="335">
        <v>0</v>
      </c>
      <c r="G101" s="335">
        <v>0</v>
      </c>
      <c r="H101" s="335">
        <v>0</v>
      </c>
      <c r="I101" s="335">
        <v>0</v>
      </c>
      <c r="J101" s="335">
        <v>0</v>
      </c>
      <c r="K101" s="335">
        <v>0</v>
      </c>
      <c r="L101" s="335">
        <v>0</v>
      </c>
      <c r="M101" s="335">
        <v>0</v>
      </c>
      <c r="N101" s="335">
        <v>0</v>
      </c>
      <c r="O101" s="335">
        <v>0</v>
      </c>
      <c r="P101" s="335">
        <f t="shared" si="25"/>
        <v>0</v>
      </c>
    </row>
    <row r="102" spans="1:16">
      <c r="B102" t="s">
        <v>582</v>
      </c>
      <c r="D102" s="335">
        <v>0</v>
      </c>
      <c r="E102" s="335">
        <v>0</v>
      </c>
      <c r="F102" s="335">
        <v>0</v>
      </c>
      <c r="G102" s="335">
        <v>0</v>
      </c>
      <c r="H102" s="335">
        <v>0</v>
      </c>
      <c r="I102" s="335">
        <v>0</v>
      </c>
      <c r="J102" s="335">
        <v>0</v>
      </c>
      <c r="K102" s="335">
        <v>0</v>
      </c>
      <c r="L102" s="335">
        <v>0</v>
      </c>
      <c r="M102" s="335">
        <v>0</v>
      </c>
      <c r="N102" s="335">
        <v>0</v>
      </c>
      <c r="O102" s="335">
        <v>0</v>
      </c>
      <c r="P102" s="335">
        <f t="shared" si="25"/>
        <v>0</v>
      </c>
    </row>
    <row r="103" spans="1:16">
      <c r="B103" t="s">
        <v>651</v>
      </c>
      <c r="D103" s="335"/>
      <c r="E103" s="335"/>
      <c r="F103" s="335"/>
      <c r="G103" s="335"/>
      <c r="H103" s="335">
        <v>0</v>
      </c>
      <c r="I103" s="335">
        <v>0</v>
      </c>
      <c r="J103" s="335">
        <v>0</v>
      </c>
      <c r="K103" s="335">
        <v>0</v>
      </c>
      <c r="L103" s="335">
        <v>0</v>
      </c>
      <c r="M103" s="335">
        <v>0</v>
      </c>
      <c r="N103" s="335">
        <v>0</v>
      </c>
      <c r="O103" s="335">
        <v>0</v>
      </c>
      <c r="P103" s="335">
        <f t="shared" si="25"/>
        <v>0</v>
      </c>
    </row>
    <row r="104" spans="1:16">
      <c r="B104" t="s">
        <v>64</v>
      </c>
      <c r="D104" s="335">
        <f>SUM(D90:D103)</f>
        <v>47956322.931999996</v>
      </c>
      <c r="E104" s="335">
        <f t="shared" ref="E104:O104" si="26">SUM(E90:E103)</f>
        <v>58056619.178000003</v>
      </c>
      <c r="F104" s="335">
        <f t="shared" si="26"/>
        <v>53700022.723000005</v>
      </c>
      <c r="G104" s="335">
        <f t="shared" si="26"/>
        <v>44746192.686999999</v>
      </c>
      <c r="H104" s="335">
        <f t="shared" si="26"/>
        <v>46251978.575000003</v>
      </c>
      <c r="I104" s="335">
        <f t="shared" si="26"/>
        <v>61418079.641249999</v>
      </c>
      <c r="J104" s="335">
        <f t="shared" si="26"/>
        <v>64333405.260629997</v>
      </c>
      <c r="K104" s="335">
        <f t="shared" si="26"/>
        <v>49144411.972029999</v>
      </c>
      <c r="L104" s="335">
        <f t="shared" si="26"/>
        <v>63310333.158</v>
      </c>
      <c r="M104" s="335">
        <f t="shared" si="26"/>
        <v>45868976.803999998</v>
      </c>
      <c r="N104" s="335">
        <f t="shared" si="26"/>
        <v>49144403.737000003</v>
      </c>
      <c r="O104" s="335">
        <f t="shared" si="26"/>
        <v>46391821.568999998</v>
      </c>
      <c r="P104" s="335">
        <f>SUM(P90:P103)</f>
        <v>630322568.2369101</v>
      </c>
    </row>
    <row r="105" spans="1:16">
      <c r="A105" t="s">
        <v>549</v>
      </c>
      <c r="B105" t="s">
        <v>584</v>
      </c>
      <c r="D105" s="335">
        <v>0</v>
      </c>
      <c r="E105" s="335">
        <v>0</v>
      </c>
      <c r="F105" s="335">
        <v>0</v>
      </c>
      <c r="G105" s="335">
        <v>0</v>
      </c>
      <c r="H105" s="335">
        <v>0</v>
      </c>
      <c r="I105" s="335">
        <v>0</v>
      </c>
      <c r="J105" s="335">
        <v>0</v>
      </c>
      <c r="K105" s="335">
        <v>0</v>
      </c>
      <c r="L105" s="335">
        <v>0</v>
      </c>
      <c r="M105" s="335">
        <v>0</v>
      </c>
      <c r="N105" s="335">
        <v>0</v>
      </c>
      <c r="O105" s="335">
        <v>0</v>
      </c>
      <c r="P105" s="335">
        <f t="shared" ref="P105:P107" si="27">SUM(D105:O105)</f>
        <v>0</v>
      </c>
    </row>
    <row r="106" spans="1:16">
      <c r="B106" t="s">
        <v>573</v>
      </c>
      <c r="D106" s="335">
        <v>0</v>
      </c>
      <c r="E106" s="335">
        <v>0</v>
      </c>
      <c r="F106" s="335">
        <v>0</v>
      </c>
      <c r="G106" s="335">
        <v>0</v>
      </c>
      <c r="H106" s="335">
        <v>0</v>
      </c>
      <c r="I106" s="335">
        <v>0</v>
      </c>
      <c r="J106" s="335">
        <v>0</v>
      </c>
      <c r="K106" s="335">
        <v>0</v>
      </c>
      <c r="L106" s="335">
        <v>0</v>
      </c>
      <c r="M106" s="335">
        <v>0</v>
      </c>
      <c r="N106" s="335">
        <v>0</v>
      </c>
      <c r="O106" s="335">
        <v>0</v>
      </c>
      <c r="P106" s="335">
        <f t="shared" si="27"/>
        <v>0</v>
      </c>
    </row>
    <row r="107" spans="1:16">
      <c r="B107" t="s">
        <v>586</v>
      </c>
      <c r="D107" s="335">
        <v>0</v>
      </c>
      <c r="E107" s="335">
        <v>0</v>
      </c>
      <c r="F107" s="335">
        <v>0</v>
      </c>
      <c r="G107" s="335">
        <v>0</v>
      </c>
      <c r="H107" s="335">
        <v>0</v>
      </c>
      <c r="I107" s="335">
        <v>0</v>
      </c>
      <c r="J107" s="335">
        <v>0</v>
      </c>
      <c r="K107" s="335">
        <v>0</v>
      </c>
      <c r="L107" s="335">
        <v>0</v>
      </c>
      <c r="M107" s="335">
        <v>0</v>
      </c>
      <c r="N107" s="335">
        <v>0</v>
      </c>
      <c r="O107" s="335">
        <v>0</v>
      </c>
      <c r="P107" s="335">
        <f t="shared" si="27"/>
        <v>0</v>
      </c>
    </row>
    <row r="108" spans="1:16">
      <c r="B108" t="s">
        <v>574</v>
      </c>
      <c r="D108" s="335">
        <v>3643634.307</v>
      </c>
      <c r="E108" s="335">
        <v>4132478.2373299999</v>
      </c>
      <c r="F108" s="335">
        <v>3942469.5196699998</v>
      </c>
      <c r="G108" s="335">
        <v>3604875.5983299999</v>
      </c>
      <c r="H108" s="335">
        <v>4549549.87</v>
      </c>
      <c r="I108" s="335">
        <v>7235204.1567299999</v>
      </c>
      <c r="J108" s="335">
        <v>7660964.1321799997</v>
      </c>
      <c r="K108" s="335">
        <v>6093455.9603800001</v>
      </c>
      <c r="L108" s="335">
        <v>7077212.0423299996</v>
      </c>
      <c r="M108" s="335">
        <v>4986191.0913300002</v>
      </c>
      <c r="N108" s="335">
        <v>4665922.6276700003</v>
      </c>
      <c r="O108" s="335">
        <v>3578162.3953399998</v>
      </c>
      <c r="P108" s="335">
        <f>SUM(D108:O108)</f>
        <v>61170119.93829</v>
      </c>
    </row>
    <row r="109" spans="1:16">
      <c r="B109" t="s">
        <v>575</v>
      </c>
      <c r="D109" s="335">
        <v>477857.18800000002</v>
      </c>
      <c r="E109" s="335">
        <v>716612.52766999998</v>
      </c>
      <c r="F109" s="335">
        <v>649256.03532999998</v>
      </c>
      <c r="G109" s="335">
        <v>447304.47467000003</v>
      </c>
      <c r="H109" s="335">
        <v>656755.853</v>
      </c>
      <c r="I109" s="335">
        <v>1245056.4923400001</v>
      </c>
      <c r="J109" s="335">
        <v>1440891.7516699999</v>
      </c>
      <c r="K109" s="335">
        <v>936291.91666999995</v>
      </c>
      <c r="L109" s="335">
        <v>1119900.83467</v>
      </c>
      <c r="M109" s="335">
        <v>630569.97767000005</v>
      </c>
      <c r="N109" s="335">
        <v>532661.52933000005</v>
      </c>
      <c r="O109" s="335">
        <v>407177.93466000003</v>
      </c>
      <c r="P109" s="335">
        <f t="shared" ref="P109:P118" si="28">SUM(D109:O109)</f>
        <v>9260336.5156800002</v>
      </c>
    </row>
    <row r="110" spans="1:16">
      <c r="B110" t="s">
        <v>572</v>
      </c>
      <c r="D110" s="335">
        <v>0</v>
      </c>
      <c r="E110" s="335">
        <v>0</v>
      </c>
      <c r="F110" s="335">
        <v>0</v>
      </c>
      <c r="G110" s="335">
        <v>0</v>
      </c>
      <c r="H110" s="335">
        <v>0</v>
      </c>
      <c r="I110" s="335">
        <v>0</v>
      </c>
      <c r="J110" s="335">
        <v>0</v>
      </c>
      <c r="K110" s="335">
        <v>0</v>
      </c>
      <c r="L110" s="335">
        <v>0</v>
      </c>
      <c r="M110" s="335">
        <v>0</v>
      </c>
      <c r="N110" s="335">
        <v>0</v>
      </c>
      <c r="O110" s="335">
        <v>0</v>
      </c>
      <c r="P110" s="335">
        <f t="shared" si="28"/>
        <v>0</v>
      </c>
    </row>
    <row r="111" spans="1:16">
      <c r="B111" t="s">
        <v>577</v>
      </c>
      <c r="D111" s="335">
        <v>0</v>
      </c>
      <c r="E111" s="335">
        <v>0</v>
      </c>
      <c r="F111" s="335">
        <v>0</v>
      </c>
      <c r="G111" s="335">
        <v>0</v>
      </c>
      <c r="H111" s="335">
        <v>0</v>
      </c>
      <c r="I111" s="335">
        <v>0</v>
      </c>
      <c r="J111" s="335">
        <v>0</v>
      </c>
      <c r="K111" s="335">
        <v>0</v>
      </c>
      <c r="L111" s="335">
        <v>0</v>
      </c>
      <c r="M111" s="335">
        <v>0</v>
      </c>
      <c r="N111" s="335">
        <v>0</v>
      </c>
      <c r="O111" s="335">
        <v>0</v>
      </c>
      <c r="P111" s="335">
        <f t="shared" si="28"/>
        <v>0</v>
      </c>
    </row>
    <row r="112" spans="1:16">
      <c r="B112" t="s">
        <v>622</v>
      </c>
      <c r="D112" s="335">
        <v>0</v>
      </c>
      <c r="E112" s="335">
        <v>0</v>
      </c>
      <c r="F112" s="335">
        <v>0</v>
      </c>
      <c r="G112" s="335">
        <v>0</v>
      </c>
      <c r="H112" s="335">
        <v>0</v>
      </c>
      <c r="I112" s="335">
        <v>0</v>
      </c>
      <c r="J112" s="335">
        <v>0</v>
      </c>
      <c r="K112" s="335">
        <v>0</v>
      </c>
      <c r="L112" s="335">
        <v>0</v>
      </c>
      <c r="M112" s="335">
        <v>0</v>
      </c>
      <c r="N112" s="335">
        <v>0</v>
      </c>
      <c r="O112" s="335">
        <v>0</v>
      </c>
      <c r="P112" s="335">
        <f t="shared" si="28"/>
        <v>0</v>
      </c>
    </row>
    <row r="113" spans="1:17">
      <c r="B113" t="s">
        <v>578</v>
      </c>
      <c r="D113" s="335">
        <v>0</v>
      </c>
      <c r="E113" s="335">
        <v>0</v>
      </c>
      <c r="F113" s="335">
        <v>0</v>
      </c>
      <c r="G113" s="335">
        <v>0</v>
      </c>
      <c r="H113" s="335">
        <v>0</v>
      </c>
      <c r="I113" s="335">
        <v>0</v>
      </c>
      <c r="J113" s="335">
        <v>0</v>
      </c>
      <c r="K113" s="335">
        <v>0</v>
      </c>
      <c r="L113" s="335">
        <v>0</v>
      </c>
      <c r="M113" s="335">
        <v>0</v>
      </c>
      <c r="N113" s="335">
        <v>0</v>
      </c>
      <c r="O113" s="335">
        <v>0</v>
      </c>
      <c r="P113" s="335">
        <f t="shared" si="28"/>
        <v>0</v>
      </c>
    </row>
    <row r="114" spans="1:17">
      <c r="B114" t="s">
        <v>579</v>
      </c>
      <c r="D114" s="335">
        <v>0</v>
      </c>
      <c r="E114" s="335">
        <v>0</v>
      </c>
      <c r="F114" s="335">
        <v>0</v>
      </c>
      <c r="G114" s="335">
        <v>0</v>
      </c>
      <c r="H114" s="335">
        <v>0</v>
      </c>
      <c r="I114" s="335">
        <v>0</v>
      </c>
      <c r="J114" s="335">
        <v>0</v>
      </c>
      <c r="K114" s="335">
        <v>0</v>
      </c>
      <c r="L114" s="335">
        <v>0</v>
      </c>
      <c r="M114" s="335">
        <v>0</v>
      </c>
      <c r="N114" s="335">
        <v>0</v>
      </c>
      <c r="O114" s="335">
        <v>0</v>
      </c>
      <c r="P114" s="335">
        <f t="shared" si="28"/>
        <v>0</v>
      </c>
    </row>
    <row r="115" spans="1:17">
      <c r="B115" t="s">
        <v>580</v>
      </c>
      <c r="D115" s="335">
        <v>0</v>
      </c>
      <c r="E115" s="335">
        <v>0</v>
      </c>
      <c r="F115" s="335">
        <v>0</v>
      </c>
      <c r="G115" s="335">
        <v>0</v>
      </c>
      <c r="H115" s="335">
        <v>0</v>
      </c>
      <c r="I115" s="335">
        <v>0</v>
      </c>
      <c r="J115" s="335">
        <v>0</v>
      </c>
      <c r="K115" s="335">
        <v>0</v>
      </c>
      <c r="L115" s="335">
        <v>0</v>
      </c>
      <c r="M115" s="335">
        <v>0</v>
      </c>
      <c r="N115" s="335">
        <v>0</v>
      </c>
      <c r="O115" s="335">
        <v>0</v>
      </c>
      <c r="P115" s="335">
        <f t="shared" si="28"/>
        <v>0</v>
      </c>
    </row>
    <row r="116" spans="1:17">
      <c r="B116" t="s">
        <v>581</v>
      </c>
      <c r="D116" s="335">
        <v>0</v>
      </c>
      <c r="E116" s="335">
        <v>0</v>
      </c>
      <c r="F116" s="335">
        <v>0</v>
      </c>
      <c r="G116" s="335">
        <v>0</v>
      </c>
      <c r="H116" s="335">
        <v>0</v>
      </c>
      <c r="I116" s="335">
        <v>0</v>
      </c>
      <c r="J116" s="335">
        <v>0</v>
      </c>
      <c r="K116" s="335">
        <v>0</v>
      </c>
      <c r="L116" s="335">
        <v>0</v>
      </c>
      <c r="M116" s="335">
        <v>0</v>
      </c>
      <c r="N116" s="335">
        <v>0</v>
      </c>
      <c r="O116" s="335">
        <v>0</v>
      </c>
      <c r="P116" s="335">
        <f t="shared" si="28"/>
        <v>0</v>
      </c>
    </row>
    <row r="117" spans="1:17">
      <c r="B117" t="s">
        <v>582</v>
      </c>
      <c r="D117" s="335">
        <v>0</v>
      </c>
      <c r="E117" s="335">
        <v>0</v>
      </c>
      <c r="F117" s="335">
        <v>0</v>
      </c>
      <c r="G117" s="335">
        <v>0</v>
      </c>
      <c r="H117" s="335">
        <v>0</v>
      </c>
      <c r="I117" s="335">
        <v>0</v>
      </c>
      <c r="J117" s="335">
        <v>0</v>
      </c>
      <c r="K117" s="335">
        <v>0</v>
      </c>
      <c r="L117" s="335">
        <v>0</v>
      </c>
      <c r="M117" s="335">
        <v>0</v>
      </c>
      <c r="N117" s="335">
        <v>0</v>
      </c>
      <c r="O117" s="335">
        <v>0</v>
      </c>
      <c r="P117" s="335">
        <f t="shared" si="28"/>
        <v>0</v>
      </c>
    </row>
    <row r="118" spans="1:17">
      <c r="B118" t="s">
        <v>651</v>
      </c>
      <c r="D118" s="335"/>
      <c r="E118" s="335"/>
      <c r="F118" s="335"/>
      <c r="G118" s="335"/>
      <c r="H118" s="335">
        <v>0</v>
      </c>
      <c r="I118" s="335">
        <v>0</v>
      </c>
      <c r="J118" s="335">
        <v>0</v>
      </c>
      <c r="K118" s="335">
        <v>0</v>
      </c>
      <c r="L118" s="335">
        <v>0</v>
      </c>
      <c r="M118" s="335">
        <v>0</v>
      </c>
      <c r="N118" s="335">
        <v>0</v>
      </c>
      <c r="O118" s="335">
        <v>0</v>
      </c>
      <c r="P118" s="335">
        <f t="shared" si="28"/>
        <v>0</v>
      </c>
    </row>
    <row r="119" spans="1:17">
      <c r="B119" t="s">
        <v>64</v>
      </c>
      <c r="D119" s="335">
        <f>SUM(D105:D118)</f>
        <v>4121491.4950000001</v>
      </c>
      <c r="E119" s="335">
        <f t="shared" ref="E119:O119" si="29">SUM(E105:E118)</f>
        <v>4849090.7649999997</v>
      </c>
      <c r="F119" s="335">
        <f t="shared" si="29"/>
        <v>4591725.5549999997</v>
      </c>
      <c r="G119" s="335">
        <f t="shared" si="29"/>
        <v>4052180.0729999999</v>
      </c>
      <c r="H119" s="335">
        <f t="shared" si="29"/>
        <v>5206305.7230000002</v>
      </c>
      <c r="I119" s="335">
        <f t="shared" si="29"/>
        <v>8480260.6490700003</v>
      </c>
      <c r="J119" s="335">
        <f t="shared" si="29"/>
        <v>9101855.8838499989</v>
      </c>
      <c r="K119" s="335">
        <f t="shared" si="29"/>
        <v>7029747.8770500002</v>
      </c>
      <c r="L119" s="335">
        <f t="shared" si="29"/>
        <v>8197112.8769999994</v>
      </c>
      <c r="M119" s="335">
        <f t="shared" si="29"/>
        <v>5616761.0690000001</v>
      </c>
      <c r="N119" s="335">
        <f t="shared" si="29"/>
        <v>5198584.1570000006</v>
      </c>
      <c r="O119" s="335">
        <f t="shared" si="29"/>
        <v>3985340.33</v>
      </c>
      <c r="P119" s="335">
        <f>SUM(P105:P118)</f>
        <v>70430456.45397</v>
      </c>
    </row>
    <row r="120" spans="1:17">
      <c r="A120">
        <v>13</v>
      </c>
      <c r="B120" t="s">
        <v>584</v>
      </c>
      <c r="D120" s="335">
        <v>0</v>
      </c>
      <c r="E120" s="335">
        <v>0</v>
      </c>
      <c r="F120" s="335">
        <v>0</v>
      </c>
      <c r="G120" s="335">
        <v>0</v>
      </c>
      <c r="H120" s="335">
        <v>0</v>
      </c>
      <c r="I120" s="335">
        <v>0</v>
      </c>
      <c r="J120" s="335">
        <v>0</v>
      </c>
      <c r="K120" s="335">
        <v>0</v>
      </c>
      <c r="L120" s="335">
        <v>0</v>
      </c>
      <c r="M120" s="335">
        <v>0</v>
      </c>
      <c r="N120" s="335">
        <v>0</v>
      </c>
      <c r="O120" s="335">
        <v>0</v>
      </c>
      <c r="P120" s="335">
        <f t="shared" ref="P120:P122" si="30">SUM(D120:O120)</f>
        <v>0</v>
      </c>
      <c r="Q120" s="441"/>
    </row>
    <row r="121" spans="1:17">
      <c r="B121" t="s">
        <v>573</v>
      </c>
      <c r="D121" s="335">
        <v>0</v>
      </c>
      <c r="E121" s="335">
        <v>0</v>
      </c>
      <c r="F121" s="335">
        <v>0</v>
      </c>
      <c r="G121" s="335">
        <v>0</v>
      </c>
      <c r="H121" s="335">
        <v>0</v>
      </c>
      <c r="I121" s="335">
        <v>0</v>
      </c>
      <c r="J121" s="335">
        <v>0</v>
      </c>
      <c r="K121" s="335">
        <v>0</v>
      </c>
      <c r="L121" s="335">
        <v>0</v>
      </c>
      <c r="M121" s="335">
        <v>0</v>
      </c>
      <c r="N121" s="335">
        <v>0</v>
      </c>
      <c r="O121" s="335">
        <v>0</v>
      </c>
      <c r="P121" s="335">
        <f t="shared" si="30"/>
        <v>0</v>
      </c>
      <c r="Q121" s="441"/>
    </row>
    <row r="122" spans="1:17">
      <c r="B122" t="s">
        <v>586</v>
      </c>
      <c r="D122" s="335">
        <v>0</v>
      </c>
      <c r="E122" s="335">
        <v>0</v>
      </c>
      <c r="F122" s="335">
        <v>0</v>
      </c>
      <c r="G122" s="335">
        <v>0</v>
      </c>
      <c r="H122" s="335">
        <v>0</v>
      </c>
      <c r="I122" s="335">
        <v>0</v>
      </c>
      <c r="J122" s="335">
        <v>0</v>
      </c>
      <c r="K122" s="335">
        <v>0</v>
      </c>
      <c r="L122" s="335">
        <v>0</v>
      </c>
      <c r="M122" s="335">
        <v>0</v>
      </c>
      <c r="N122" s="335">
        <v>0</v>
      </c>
      <c r="O122" s="335">
        <v>0</v>
      </c>
      <c r="P122" s="335">
        <f t="shared" si="30"/>
        <v>0</v>
      </c>
    </row>
    <row r="123" spans="1:17">
      <c r="B123" t="s">
        <v>574</v>
      </c>
      <c r="D123" s="335">
        <v>24591.119999999999</v>
      </c>
      <c r="E123" s="335">
        <v>28632.75</v>
      </c>
      <c r="F123" s="335">
        <v>31423.89</v>
      </c>
      <c r="G123" s="335">
        <v>34138.83</v>
      </c>
      <c r="H123" s="335">
        <v>25962.47</v>
      </c>
      <c r="I123" s="335">
        <v>22047.439999999999</v>
      </c>
      <c r="J123" s="335">
        <v>24113.73</v>
      </c>
      <c r="K123" s="335">
        <v>20235.900000000001</v>
      </c>
      <c r="L123" s="335">
        <v>28153.02</v>
      </c>
      <c r="M123" s="335">
        <v>34788.879999999997</v>
      </c>
      <c r="N123" s="335">
        <v>43286.62</v>
      </c>
      <c r="O123" s="335">
        <v>53242.720000000001</v>
      </c>
      <c r="P123" s="335">
        <f>SUM(D123:O123)</f>
        <v>370617.37</v>
      </c>
    </row>
    <row r="124" spans="1:17">
      <c r="B124" t="s">
        <v>575</v>
      </c>
      <c r="D124" s="335">
        <v>0</v>
      </c>
      <c r="E124" s="335">
        <v>0</v>
      </c>
      <c r="F124" s="335">
        <v>0</v>
      </c>
      <c r="G124" s="335">
        <v>0</v>
      </c>
      <c r="H124" s="335">
        <v>0</v>
      </c>
      <c r="I124" s="335">
        <v>0</v>
      </c>
      <c r="J124" s="335">
        <v>0</v>
      </c>
      <c r="K124" s="335">
        <v>0</v>
      </c>
      <c r="L124" s="335">
        <v>0</v>
      </c>
      <c r="M124" s="335">
        <v>0</v>
      </c>
      <c r="N124" s="335">
        <v>0</v>
      </c>
      <c r="O124" s="335">
        <v>0</v>
      </c>
      <c r="P124" s="335">
        <f t="shared" ref="P124:P133" si="31">SUM(D124:O124)</f>
        <v>0</v>
      </c>
    </row>
    <row r="125" spans="1:17">
      <c r="B125" t="s">
        <v>572</v>
      </c>
      <c r="D125" s="335">
        <v>0</v>
      </c>
      <c r="E125" s="335">
        <v>-503</v>
      </c>
      <c r="F125" s="335">
        <v>291</v>
      </c>
      <c r="G125" s="335">
        <v>211</v>
      </c>
      <c r="H125" s="335">
        <v>0</v>
      </c>
      <c r="I125" s="335">
        <v>0</v>
      </c>
      <c r="J125" s="335">
        <v>0</v>
      </c>
      <c r="K125" s="335">
        <v>0</v>
      </c>
      <c r="L125" s="335">
        <v>0</v>
      </c>
      <c r="M125" s="335">
        <v>0</v>
      </c>
      <c r="N125" s="335">
        <v>0</v>
      </c>
      <c r="O125" s="335">
        <v>0</v>
      </c>
      <c r="P125" s="335">
        <f t="shared" si="31"/>
        <v>-1</v>
      </c>
    </row>
    <row r="126" spans="1:17">
      <c r="B126" t="s">
        <v>577</v>
      </c>
      <c r="D126" s="335">
        <v>0</v>
      </c>
      <c r="E126" s="335">
        <v>0</v>
      </c>
      <c r="F126" s="335">
        <v>0</v>
      </c>
      <c r="G126" s="335">
        <v>0</v>
      </c>
      <c r="H126" s="335">
        <v>0</v>
      </c>
      <c r="I126" s="335">
        <v>0</v>
      </c>
      <c r="J126" s="335">
        <v>0</v>
      </c>
      <c r="K126" s="335">
        <v>0</v>
      </c>
      <c r="L126" s="335">
        <v>0</v>
      </c>
      <c r="M126" s="335">
        <v>0</v>
      </c>
      <c r="N126" s="335">
        <v>0</v>
      </c>
      <c r="O126" s="335">
        <v>0</v>
      </c>
      <c r="P126" s="335">
        <f t="shared" si="31"/>
        <v>0</v>
      </c>
    </row>
    <row r="127" spans="1:17">
      <c r="B127" t="s">
        <v>622</v>
      </c>
      <c r="D127" s="335">
        <v>0</v>
      </c>
      <c r="E127" s="335">
        <v>0</v>
      </c>
      <c r="F127" s="335">
        <v>0</v>
      </c>
      <c r="G127" s="335">
        <v>0</v>
      </c>
      <c r="H127" s="335">
        <v>0</v>
      </c>
      <c r="I127" s="335">
        <v>0</v>
      </c>
      <c r="J127" s="335">
        <v>0</v>
      </c>
      <c r="K127" s="335">
        <v>0</v>
      </c>
      <c r="L127" s="335">
        <v>0</v>
      </c>
      <c r="M127" s="335">
        <v>0</v>
      </c>
      <c r="N127" s="335">
        <v>0</v>
      </c>
      <c r="O127" s="335">
        <v>0</v>
      </c>
      <c r="P127" s="335">
        <f t="shared" si="31"/>
        <v>0</v>
      </c>
    </row>
    <row r="128" spans="1:17">
      <c r="B128" t="s">
        <v>578</v>
      </c>
      <c r="D128" s="335">
        <v>0</v>
      </c>
      <c r="E128" s="335">
        <v>0</v>
      </c>
      <c r="F128" s="335">
        <v>0</v>
      </c>
      <c r="G128" s="335">
        <v>0</v>
      </c>
      <c r="H128" s="335">
        <v>0</v>
      </c>
      <c r="I128" s="335">
        <v>0</v>
      </c>
      <c r="J128" s="335">
        <v>0</v>
      </c>
      <c r="K128" s="335">
        <v>0</v>
      </c>
      <c r="L128" s="335">
        <v>0</v>
      </c>
      <c r="M128" s="335">
        <v>0</v>
      </c>
      <c r="N128" s="335">
        <v>0</v>
      </c>
      <c r="O128" s="335">
        <v>0</v>
      </c>
      <c r="P128" s="335">
        <f t="shared" si="31"/>
        <v>0</v>
      </c>
    </row>
    <row r="129" spans="1:16">
      <c r="B129" t="s">
        <v>579</v>
      </c>
      <c r="D129" s="335">
        <v>0</v>
      </c>
      <c r="E129" s="335">
        <v>0</v>
      </c>
      <c r="F129" s="335">
        <v>0</v>
      </c>
      <c r="G129" s="335">
        <v>0</v>
      </c>
      <c r="H129" s="335">
        <v>0</v>
      </c>
      <c r="I129" s="335">
        <v>0</v>
      </c>
      <c r="J129" s="335">
        <v>0</v>
      </c>
      <c r="K129" s="335">
        <v>0</v>
      </c>
      <c r="L129" s="335">
        <v>0</v>
      </c>
      <c r="M129" s="335">
        <v>0</v>
      </c>
      <c r="N129" s="335">
        <v>0</v>
      </c>
      <c r="O129" s="335">
        <v>0</v>
      </c>
      <c r="P129" s="335">
        <f t="shared" si="31"/>
        <v>0</v>
      </c>
    </row>
    <row r="130" spans="1:16">
      <c r="B130" t="s">
        <v>580</v>
      </c>
      <c r="D130" s="335">
        <v>0</v>
      </c>
      <c r="E130" s="335">
        <v>0</v>
      </c>
      <c r="F130" s="335">
        <v>0</v>
      </c>
      <c r="G130" s="335">
        <v>0</v>
      </c>
      <c r="H130" s="335">
        <v>0</v>
      </c>
      <c r="I130" s="335">
        <v>0</v>
      </c>
      <c r="J130" s="335">
        <v>0</v>
      </c>
      <c r="K130" s="335">
        <v>0</v>
      </c>
      <c r="L130" s="335">
        <v>0</v>
      </c>
      <c r="M130" s="335">
        <v>0</v>
      </c>
      <c r="N130" s="335">
        <v>0</v>
      </c>
      <c r="O130" s="335">
        <v>0</v>
      </c>
      <c r="P130" s="335">
        <f t="shared" si="31"/>
        <v>0</v>
      </c>
    </row>
    <row r="131" spans="1:16">
      <c r="B131" t="s">
        <v>581</v>
      </c>
      <c r="D131" s="335">
        <v>0</v>
      </c>
      <c r="E131" s="335">
        <v>0</v>
      </c>
      <c r="F131" s="335">
        <v>0</v>
      </c>
      <c r="G131" s="335">
        <v>0</v>
      </c>
      <c r="H131" s="335">
        <v>0</v>
      </c>
      <c r="I131" s="335">
        <v>0</v>
      </c>
      <c r="J131" s="335">
        <v>0</v>
      </c>
      <c r="K131" s="335">
        <v>0</v>
      </c>
      <c r="L131" s="335">
        <v>0</v>
      </c>
      <c r="M131" s="335">
        <v>0</v>
      </c>
      <c r="N131" s="335">
        <v>0</v>
      </c>
      <c r="O131" s="335">
        <v>0</v>
      </c>
      <c r="P131" s="335">
        <f t="shared" si="31"/>
        <v>0</v>
      </c>
    </row>
    <row r="132" spans="1:16">
      <c r="B132" t="s">
        <v>582</v>
      </c>
      <c r="D132" s="335">
        <v>0</v>
      </c>
      <c r="E132" s="335">
        <v>0</v>
      </c>
      <c r="F132" s="335">
        <v>0</v>
      </c>
      <c r="G132" s="335">
        <v>0</v>
      </c>
      <c r="H132" s="335">
        <v>0</v>
      </c>
      <c r="I132" s="335">
        <v>0</v>
      </c>
      <c r="J132" s="335">
        <v>0</v>
      </c>
      <c r="K132" s="335">
        <v>0</v>
      </c>
      <c r="L132" s="335">
        <v>0</v>
      </c>
      <c r="M132" s="335">
        <v>0</v>
      </c>
      <c r="N132" s="335">
        <v>0</v>
      </c>
      <c r="O132" s="335">
        <v>0</v>
      </c>
      <c r="P132" s="335">
        <f t="shared" si="31"/>
        <v>0</v>
      </c>
    </row>
    <row r="133" spans="1:16">
      <c r="B133" t="s">
        <v>651</v>
      </c>
      <c r="D133" s="335"/>
      <c r="E133" s="335"/>
      <c r="F133" s="335"/>
      <c r="G133" s="335"/>
      <c r="H133" s="335">
        <v>0</v>
      </c>
      <c r="I133" s="335">
        <v>0</v>
      </c>
      <c r="J133" s="335">
        <v>0</v>
      </c>
      <c r="K133" s="335">
        <v>0</v>
      </c>
      <c r="L133" s="335">
        <v>0</v>
      </c>
      <c r="M133" s="335">
        <v>0</v>
      </c>
      <c r="N133" s="335">
        <v>0</v>
      </c>
      <c r="O133" s="335">
        <v>0</v>
      </c>
      <c r="P133" s="335">
        <f t="shared" si="31"/>
        <v>0</v>
      </c>
    </row>
    <row r="134" spans="1:16">
      <c r="B134" t="s">
        <v>64</v>
      </c>
      <c r="D134" s="335">
        <f>SUM(D120:D133)</f>
        <v>24591.119999999999</v>
      </c>
      <c r="E134" s="335">
        <f t="shared" ref="E134:O134" si="32">SUM(E120:E133)</f>
        <v>28129.75</v>
      </c>
      <c r="F134" s="335">
        <f t="shared" si="32"/>
        <v>31714.89</v>
      </c>
      <c r="G134" s="335">
        <f t="shared" si="32"/>
        <v>34349.83</v>
      </c>
      <c r="H134" s="335">
        <f t="shared" si="32"/>
        <v>25962.47</v>
      </c>
      <c r="I134" s="335">
        <f t="shared" si="32"/>
        <v>22047.439999999999</v>
      </c>
      <c r="J134" s="335">
        <f t="shared" si="32"/>
        <v>24113.73</v>
      </c>
      <c r="K134" s="335">
        <f t="shared" si="32"/>
        <v>20235.900000000001</v>
      </c>
      <c r="L134" s="335">
        <f t="shared" si="32"/>
        <v>28153.02</v>
      </c>
      <c r="M134" s="335">
        <f t="shared" si="32"/>
        <v>34788.879999999997</v>
      </c>
      <c r="N134" s="335">
        <f t="shared" si="32"/>
        <v>43286.62</v>
      </c>
      <c r="O134" s="335">
        <f t="shared" si="32"/>
        <v>53242.720000000001</v>
      </c>
      <c r="P134" s="335">
        <f>SUM(P120:P133)</f>
        <v>370616.37</v>
      </c>
    </row>
    <row r="135" spans="1:16">
      <c r="A135" t="s">
        <v>551</v>
      </c>
      <c r="B135" t="s">
        <v>573</v>
      </c>
      <c r="D135" s="335">
        <v>0</v>
      </c>
      <c r="E135" s="335">
        <v>0</v>
      </c>
      <c r="F135" s="335">
        <v>0</v>
      </c>
      <c r="G135" s="335">
        <v>0</v>
      </c>
      <c r="H135" s="335">
        <v>0</v>
      </c>
      <c r="I135" s="335">
        <v>0</v>
      </c>
      <c r="J135" s="335">
        <v>0</v>
      </c>
      <c r="K135" s="335">
        <v>0</v>
      </c>
      <c r="L135" s="335">
        <v>0</v>
      </c>
      <c r="M135" s="335">
        <v>0</v>
      </c>
      <c r="N135" s="335">
        <v>0</v>
      </c>
      <c r="O135" s="335">
        <v>0</v>
      </c>
      <c r="P135" s="335">
        <f t="shared" ref="P135:P137" si="33">SUM(D135:O135)</f>
        <v>0</v>
      </c>
    </row>
    <row r="136" spans="1:16">
      <c r="B136" t="s">
        <v>585</v>
      </c>
      <c r="D136" s="335">
        <v>0</v>
      </c>
      <c r="E136" s="335">
        <v>0</v>
      </c>
      <c r="F136" s="335">
        <v>0</v>
      </c>
      <c r="G136" s="335">
        <v>0</v>
      </c>
      <c r="H136" s="335">
        <v>0</v>
      </c>
      <c r="I136" s="335">
        <v>0</v>
      </c>
      <c r="J136" s="335">
        <v>0</v>
      </c>
      <c r="K136" s="335">
        <v>0</v>
      </c>
      <c r="L136" s="335">
        <v>0</v>
      </c>
      <c r="M136" s="335">
        <v>0</v>
      </c>
      <c r="N136" s="335">
        <v>0</v>
      </c>
      <c r="O136" s="335">
        <v>0</v>
      </c>
      <c r="P136" s="335">
        <f t="shared" si="33"/>
        <v>0</v>
      </c>
    </row>
    <row r="137" spans="1:16">
      <c r="B137" t="s">
        <v>586</v>
      </c>
      <c r="D137" s="335">
        <v>0</v>
      </c>
      <c r="E137" s="335">
        <v>0</v>
      </c>
      <c r="F137" s="335">
        <v>0</v>
      </c>
      <c r="G137" s="335">
        <v>0</v>
      </c>
      <c r="H137" s="335">
        <v>0</v>
      </c>
      <c r="I137" s="335">
        <v>0</v>
      </c>
      <c r="J137" s="335">
        <v>0</v>
      </c>
      <c r="K137" s="335">
        <v>0</v>
      </c>
      <c r="L137" s="335">
        <v>0</v>
      </c>
      <c r="M137" s="335">
        <v>0</v>
      </c>
      <c r="N137" s="335">
        <v>0</v>
      </c>
      <c r="O137" s="335">
        <v>0</v>
      </c>
      <c r="P137" s="335">
        <f t="shared" si="33"/>
        <v>0</v>
      </c>
    </row>
    <row r="138" spans="1:16">
      <c r="B138" t="s">
        <v>574</v>
      </c>
      <c r="D138" s="335">
        <v>94034890.673999995</v>
      </c>
      <c r="E138" s="335">
        <v>103477569.352</v>
      </c>
      <c r="F138" s="335">
        <v>99544840.254999995</v>
      </c>
      <c r="G138" s="335">
        <v>92488693.644999996</v>
      </c>
      <c r="H138" s="335">
        <v>90136312.475999996</v>
      </c>
      <c r="I138" s="335">
        <v>103076325.53200001</v>
      </c>
      <c r="J138" s="335">
        <v>104418152.99135</v>
      </c>
      <c r="K138" s="335">
        <v>77240791.408329993</v>
      </c>
      <c r="L138" s="335">
        <v>111604179.82466</v>
      </c>
      <c r="M138" s="335">
        <v>83450095.218999997</v>
      </c>
      <c r="N138" s="335">
        <v>96432346.870000005</v>
      </c>
      <c r="O138" s="335">
        <v>92836688.415000007</v>
      </c>
      <c r="P138" s="335">
        <f>SUM(D138:O138)</f>
        <v>1148740886.6623399</v>
      </c>
    </row>
    <row r="139" spans="1:16">
      <c r="B139" t="s">
        <v>575</v>
      </c>
      <c r="D139" s="335">
        <v>12627026.499</v>
      </c>
      <c r="E139" s="335">
        <v>17276666.181000002</v>
      </c>
      <c r="F139" s="335">
        <v>14987825.739</v>
      </c>
      <c r="G139" s="335">
        <v>11052568.51</v>
      </c>
      <c r="H139" s="335">
        <v>9646407.1439999994</v>
      </c>
      <c r="I139" s="335">
        <v>14158754.790999999</v>
      </c>
      <c r="J139" s="335">
        <v>12637641.853669999</v>
      </c>
      <c r="K139" s="335">
        <v>8474367.7976699993</v>
      </c>
      <c r="L139" s="335">
        <v>12520349.32834</v>
      </c>
      <c r="M139" s="335">
        <v>8232346.5130000003</v>
      </c>
      <c r="N139" s="335">
        <v>10618475.960000001</v>
      </c>
      <c r="O139" s="335">
        <v>11754363.051999999</v>
      </c>
      <c r="P139" s="335">
        <f t="shared" ref="P139:P148" si="34">SUM(D139:O139)</f>
        <v>143986793.36867997</v>
      </c>
    </row>
    <row r="140" spans="1:16">
      <c r="B140" t="s">
        <v>572</v>
      </c>
      <c r="D140" s="335">
        <v>0</v>
      </c>
      <c r="E140" s="335">
        <v>0</v>
      </c>
      <c r="F140" s="335">
        <v>0</v>
      </c>
      <c r="G140" s="335">
        <v>0</v>
      </c>
      <c r="H140" s="335">
        <v>0</v>
      </c>
      <c r="I140" s="335">
        <v>0</v>
      </c>
      <c r="J140" s="335">
        <v>0</v>
      </c>
      <c r="K140" s="335">
        <v>0</v>
      </c>
      <c r="L140" s="335">
        <v>0</v>
      </c>
      <c r="M140" s="335">
        <v>0</v>
      </c>
      <c r="N140" s="335">
        <v>0</v>
      </c>
      <c r="O140" s="335">
        <v>0</v>
      </c>
      <c r="P140" s="335">
        <f t="shared" si="34"/>
        <v>0</v>
      </c>
    </row>
    <row r="141" spans="1:16">
      <c r="B141" t="s">
        <v>587</v>
      </c>
      <c r="D141" s="335">
        <v>0</v>
      </c>
      <c r="E141" s="335">
        <v>0</v>
      </c>
      <c r="F141" s="335">
        <v>0</v>
      </c>
      <c r="G141" s="335">
        <v>0</v>
      </c>
      <c r="H141" s="335">
        <v>0</v>
      </c>
      <c r="I141" s="335">
        <v>0</v>
      </c>
      <c r="J141" s="335">
        <v>0</v>
      </c>
      <c r="K141" s="335">
        <v>0</v>
      </c>
      <c r="L141" s="335">
        <v>0</v>
      </c>
      <c r="M141" s="335">
        <v>0</v>
      </c>
      <c r="N141" s="335">
        <v>0</v>
      </c>
      <c r="O141" s="335">
        <v>0</v>
      </c>
      <c r="P141" s="335">
        <f t="shared" si="34"/>
        <v>0</v>
      </c>
    </row>
    <row r="142" spans="1:16">
      <c r="B142" t="s">
        <v>622</v>
      </c>
      <c r="D142" s="335">
        <v>0</v>
      </c>
      <c r="E142" s="335">
        <v>0</v>
      </c>
      <c r="F142" s="335">
        <v>0</v>
      </c>
      <c r="G142" s="335">
        <v>0</v>
      </c>
      <c r="H142" s="335">
        <v>0</v>
      </c>
      <c r="I142" s="335">
        <v>0</v>
      </c>
      <c r="J142" s="335">
        <v>0</v>
      </c>
      <c r="K142" s="335">
        <v>0</v>
      </c>
      <c r="L142" s="335">
        <v>0</v>
      </c>
      <c r="M142" s="335">
        <v>0</v>
      </c>
      <c r="N142" s="335">
        <v>0</v>
      </c>
      <c r="O142" s="335">
        <v>0</v>
      </c>
      <c r="P142" s="335">
        <f t="shared" si="34"/>
        <v>0</v>
      </c>
    </row>
    <row r="143" spans="1:16">
      <c r="B143" t="s">
        <v>578</v>
      </c>
      <c r="D143" s="335">
        <v>0</v>
      </c>
      <c r="E143" s="335">
        <v>0</v>
      </c>
      <c r="F143" s="335">
        <v>0</v>
      </c>
      <c r="G143" s="335">
        <v>0</v>
      </c>
      <c r="H143" s="335">
        <v>0</v>
      </c>
      <c r="I143" s="335">
        <v>0</v>
      </c>
      <c r="J143" s="335">
        <v>0</v>
      </c>
      <c r="K143" s="335">
        <v>0</v>
      </c>
      <c r="L143" s="335">
        <v>0</v>
      </c>
      <c r="M143" s="335">
        <v>0</v>
      </c>
      <c r="N143" s="335">
        <v>0</v>
      </c>
      <c r="O143" s="335">
        <v>0</v>
      </c>
      <c r="P143" s="335">
        <f t="shared" si="34"/>
        <v>0</v>
      </c>
    </row>
    <row r="144" spans="1:16">
      <c r="B144" t="s">
        <v>579</v>
      </c>
      <c r="D144" s="335">
        <v>0</v>
      </c>
      <c r="E144" s="335">
        <v>0</v>
      </c>
      <c r="F144" s="335">
        <v>0</v>
      </c>
      <c r="G144" s="335">
        <v>0</v>
      </c>
      <c r="H144" s="335">
        <v>0</v>
      </c>
      <c r="I144" s="335">
        <v>0</v>
      </c>
      <c r="J144" s="335">
        <v>0</v>
      </c>
      <c r="K144" s="335">
        <v>0</v>
      </c>
      <c r="L144" s="335">
        <v>0</v>
      </c>
      <c r="M144" s="335">
        <v>0</v>
      </c>
      <c r="N144" s="335">
        <v>0</v>
      </c>
      <c r="O144" s="335">
        <v>0</v>
      </c>
      <c r="P144" s="335">
        <f t="shared" si="34"/>
        <v>0</v>
      </c>
    </row>
    <row r="145" spans="1:16">
      <c r="B145" t="s">
        <v>580</v>
      </c>
      <c r="D145" s="335">
        <v>0</v>
      </c>
      <c r="E145" s="335">
        <v>0</v>
      </c>
      <c r="F145" s="335">
        <v>0</v>
      </c>
      <c r="G145" s="335">
        <v>0</v>
      </c>
      <c r="H145" s="335">
        <v>0</v>
      </c>
      <c r="I145" s="335">
        <v>0</v>
      </c>
      <c r="J145" s="335">
        <v>0</v>
      </c>
      <c r="K145" s="335">
        <v>0</v>
      </c>
      <c r="L145" s="335">
        <v>0</v>
      </c>
      <c r="M145" s="335">
        <v>0</v>
      </c>
      <c r="N145" s="335">
        <v>0</v>
      </c>
      <c r="O145" s="335">
        <v>0</v>
      </c>
      <c r="P145" s="335">
        <f t="shared" si="34"/>
        <v>0</v>
      </c>
    </row>
    <row r="146" spans="1:16">
      <c r="B146" t="s">
        <v>581</v>
      </c>
      <c r="D146" s="335">
        <v>0</v>
      </c>
      <c r="E146" s="335">
        <v>0</v>
      </c>
      <c r="F146" s="335">
        <v>0</v>
      </c>
      <c r="G146" s="335">
        <v>0</v>
      </c>
      <c r="H146" s="335">
        <v>0</v>
      </c>
      <c r="I146" s="335">
        <v>0</v>
      </c>
      <c r="J146" s="335">
        <v>0</v>
      </c>
      <c r="K146" s="335">
        <v>0</v>
      </c>
      <c r="L146" s="335">
        <v>0</v>
      </c>
      <c r="M146" s="335">
        <v>0</v>
      </c>
      <c r="N146" s="335">
        <v>0</v>
      </c>
      <c r="O146" s="335">
        <v>0</v>
      </c>
      <c r="P146" s="335">
        <f t="shared" si="34"/>
        <v>0</v>
      </c>
    </row>
    <row r="147" spans="1:16">
      <c r="B147" t="s">
        <v>582</v>
      </c>
      <c r="D147" s="335">
        <v>0</v>
      </c>
      <c r="E147" s="335">
        <v>0</v>
      </c>
      <c r="F147" s="335">
        <v>0</v>
      </c>
      <c r="G147" s="335">
        <v>0</v>
      </c>
      <c r="H147" s="335">
        <v>0</v>
      </c>
      <c r="I147" s="335">
        <v>0</v>
      </c>
      <c r="J147" s="335">
        <v>0</v>
      </c>
      <c r="K147" s="335">
        <v>0</v>
      </c>
      <c r="L147" s="335">
        <v>0</v>
      </c>
      <c r="M147" s="335">
        <v>0</v>
      </c>
      <c r="N147" s="335">
        <v>0</v>
      </c>
      <c r="O147" s="335">
        <v>0</v>
      </c>
      <c r="P147" s="335">
        <f t="shared" si="34"/>
        <v>0</v>
      </c>
    </row>
    <row r="148" spans="1:16">
      <c r="B148" t="s">
        <v>651</v>
      </c>
      <c r="D148" s="335"/>
      <c r="E148" s="335"/>
      <c r="F148" s="335"/>
      <c r="G148" s="335"/>
      <c r="H148" s="335">
        <v>0</v>
      </c>
      <c r="I148" s="335">
        <v>0</v>
      </c>
      <c r="J148" s="335">
        <v>0</v>
      </c>
      <c r="K148" s="335">
        <v>0</v>
      </c>
      <c r="L148" s="335">
        <v>0</v>
      </c>
      <c r="M148" s="335">
        <v>0</v>
      </c>
      <c r="N148" s="335">
        <v>0</v>
      </c>
      <c r="O148" s="335">
        <v>0</v>
      </c>
      <c r="P148" s="335">
        <f t="shared" si="34"/>
        <v>0</v>
      </c>
    </row>
    <row r="149" spans="1:16">
      <c r="B149" t="s">
        <v>64</v>
      </c>
      <c r="D149" s="335">
        <f>SUM(D135:D148)</f>
        <v>106661917.17299999</v>
      </c>
      <c r="E149" s="335">
        <f t="shared" ref="E149:O149" si="35">SUM(E135:E148)</f>
        <v>120754235.53299999</v>
      </c>
      <c r="F149" s="335">
        <f t="shared" si="35"/>
        <v>114532665.99399999</v>
      </c>
      <c r="G149" s="335">
        <f t="shared" si="35"/>
        <v>103541262.155</v>
      </c>
      <c r="H149" s="335">
        <f t="shared" si="35"/>
        <v>99782719.61999999</v>
      </c>
      <c r="I149" s="335">
        <f t="shared" si="35"/>
        <v>117235080.323</v>
      </c>
      <c r="J149" s="335">
        <f t="shared" si="35"/>
        <v>117055794.84502</v>
      </c>
      <c r="K149" s="335">
        <f t="shared" si="35"/>
        <v>85715159.206</v>
      </c>
      <c r="L149" s="335">
        <f t="shared" si="35"/>
        <v>124124529.153</v>
      </c>
      <c r="M149" s="335">
        <f t="shared" si="35"/>
        <v>91682441.731999993</v>
      </c>
      <c r="N149" s="335">
        <f t="shared" si="35"/>
        <v>107050822.83000001</v>
      </c>
      <c r="O149" s="335">
        <f t="shared" si="35"/>
        <v>104591051.46700001</v>
      </c>
      <c r="P149" s="335">
        <f>SUM(P135:P148)</f>
        <v>1292727680.0310199</v>
      </c>
    </row>
    <row r="150" spans="1:16">
      <c r="A150" t="s">
        <v>552</v>
      </c>
      <c r="B150" t="s">
        <v>573</v>
      </c>
      <c r="D150" s="335">
        <v>0</v>
      </c>
      <c r="E150" s="335">
        <v>0</v>
      </c>
      <c r="F150" s="335">
        <v>0</v>
      </c>
      <c r="G150" s="335">
        <v>0</v>
      </c>
      <c r="H150" s="335">
        <v>0</v>
      </c>
      <c r="I150" s="335">
        <v>0</v>
      </c>
      <c r="J150" s="335">
        <v>0</v>
      </c>
      <c r="K150" s="335">
        <v>0</v>
      </c>
      <c r="L150" s="335">
        <v>0</v>
      </c>
      <c r="M150" s="335">
        <v>0</v>
      </c>
      <c r="N150" s="335">
        <v>0</v>
      </c>
      <c r="O150" s="335">
        <v>0</v>
      </c>
      <c r="P150" s="335">
        <v>0</v>
      </c>
    </row>
    <row r="151" spans="1:16">
      <c r="B151" t="s">
        <v>586</v>
      </c>
      <c r="D151" s="335">
        <v>0</v>
      </c>
      <c r="E151" s="335">
        <v>0</v>
      </c>
      <c r="F151" s="335">
        <v>0</v>
      </c>
      <c r="G151" s="335">
        <v>0</v>
      </c>
      <c r="H151" s="335">
        <v>0</v>
      </c>
      <c r="I151" s="335">
        <v>0</v>
      </c>
      <c r="J151" s="335">
        <v>0</v>
      </c>
      <c r="K151" s="335">
        <v>0</v>
      </c>
      <c r="L151" s="335">
        <v>0</v>
      </c>
      <c r="M151" s="335">
        <v>0</v>
      </c>
      <c r="N151" s="335">
        <v>0</v>
      </c>
      <c r="O151" s="335">
        <v>0</v>
      </c>
      <c r="P151" s="335">
        <v>0</v>
      </c>
    </row>
    <row r="152" spans="1:16">
      <c r="B152" t="s">
        <v>574</v>
      </c>
      <c r="D152" s="335">
        <v>2134799.3199999998</v>
      </c>
      <c r="E152" s="335">
        <v>2616608.16</v>
      </c>
      <c r="F152" s="335">
        <v>2496626.6</v>
      </c>
      <c r="G152" s="335">
        <v>2080405.16</v>
      </c>
      <c r="H152" s="335">
        <v>2147597.84</v>
      </c>
      <c r="I152" s="335">
        <v>3697305.3</v>
      </c>
      <c r="J152" s="335">
        <v>3815974.56</v>
      </c>
      <c r="K152" s="335">
        <v>3176820.78</v>
      </c>
      <c r="L152" s="335">
        <v>3242051.54</v>
      </c>
      <c r="M152" s="335">
        <v>2602097.42</v>
      </c>
      <c r="N152" s="335">
        <v>2405498.06</v>
      </c>
      <c r="O152" s="335">
        <v>2116917.42</v>
      </c>
      <c r="P152" s="335">
        <f>SUM(D152:O152)</f>
        <v>32532702.159999996</v>
      </c>
    </row>
    <row r="153" spans="1:16">
      <c r="B153" t="s">
        <v>575</v>
      </c>
      <c r="D153" s="335">
        <v>0</v>
      </c>
      <c r="E153" s="335">
        <v>0</v>
      </c>
      <c r="F153" s="335">
        <v>20546</v>
      </c>
      <c r="G153" s="335">
        <v>0</v>
      </c>
      <c r="H153" s="335">
        <v>0</v>
      </c>
      <c r="I153" s="335">
        <v>3139.28</v>
      </c>
      <c r="J153" s="335">
        <v>56046.32</v>
      </c>
      <c r="K153" s="335">
        <v>55229.84</v>
      </c>
      <c r="L153" s="335">
        <v>0</v>
      </c>
      <c r="M153" s="335">
        <v>0</v>
      </c>
      <c r="N153" s="335">
        <v>0</v>
      </c>
      <c r="O153" s="335">
        <v>0</v>
      </c>
      <c r="P153" s="335">
        <f>SUM(D153:O153)</f>
        <v>134961.44</v>
      </c>
    </row>
    <row r="154" spans="1:16">
      <c r="B154" t="s">
        <v>572</v>
      </c>
      <c r="D154" s="335">
        <v>0</v>
      </c>
      <c r="E154" s="335">
        <v>0</v>
      </c>
      <c r="F154" s="335">
        <v>0</v>
      </c>
      <c r="G154" s="335">
        <v>0</v>
      </c>
      <c r="H154" s="335">
        <v>0</v>
      </c>
      <c r="I154" s="335">
        <v>0</v>
      </c>
      <c r="J154" s="335">
        <v>0</v>
      </c>
      <c r="K154" s="335">
        <v>0</v>
      </c>
      <c r="L154" s="335">
        <v>0</v>
      </c>
      <c r="M154" s="335">
        <v>0</v>
      </c>
      <c r="N154" s="335">
        <v>0</v>
      </c>
      <c r="O154" s="335">
        <v>0</v>
      </c>
      <c r="P154" s="335">
        <v>0</v>
      </c>
    </row>
    <row r="155" spans="1:16">
      <c r="B155" t="s">
        <v>577</v>
      </c>
      <c r="D155" s="335">
        <v>0</v>
      </c>
      <c r="E155" s="335">
        <v>0</v>
      </c>
      <c r="F155" s="335">
        <v>0</v>
      </c>
      <c r="G155" s="335">
        <v>0</v>
      </c>
      <c r="H155" s="335">
        <v>0</v>
      </c>
      <c r="I155" s="335">
        <v>0</v>
      </c>
      <c r="J155" s="335">
        <v>0</v>
      </c>
      <c r="K155" s="335">
        <v>0</v>
      </c>
      <c r="L155" s="335">
        <v>0</v>
      </c>
      <c r="M155" s="335">
        <v>0</v>
      </c>
      <c r="N155" s="335">
        <v>0</v>
      </c>
      <c r="O155" s="335">
        <v>0</v>
      </c>
      <c r="P155" s="335">
        <v>0</v>
      </c>
    </row>
    <row r="156" spans="1:16">
      <c r="B156" t="s">
        <v>622</v>
      </c>
      <c r="D156" s="335">
        <v>0</v>
      </c>
      <c r="E156" s="335">
        <v>0</v>
      </c>
      <c r="F156" s="335">
        <v>0</v>
      </c>
      <c r="G156" s="335">
        <v>0</v>
      </c>
      <c r="H156" s="335">
        <v>0</v>
      </c>
      <c r="I156" s="335">
        <v>0</v>
      </c>
      <c r="J156" s="335">
        <v>0</v>
      </c>
      <c r="K156" s="335">
        <v>0</v>
      </c>
      <c r="L156" s="335">
        <v>0</v>
      </c>
      <c r="M156" s="335">
        <v>0</v>
      </c>
      <c r="N156" s="335">
        <v>0</v>
      </c>
      <c r="O156" s="335">
        <v>0</v>
      </c>
      <c r="P156" s="335">
        <v>0</v>
      </c>
    </row>
    <row r="157" spans="1:16">
      <c r="B157" t="s">
        <v>578</v>
      </c>
      <c r="D157" s="335">
        <v>0</v>
      </c>
      <c r="E157" s="335">
        <v>0</v>
      </c>
      <c r="F157" s="335">
        <v>0</v>
      </c>
      <c r="G157" s="335">
        <v>0</v>
      </c>
      <c r="H157" s="335">
        <v>0</v>
      </c>
      <c r="I157" s="335">
        <v>0</v>
      </c>
      <c r="J157" s="335">
        <v>0</v>
      </c>
      <c r="K157" s="335">
        <v>0</v>
      </c>
      <c r="L157" s="335">
        <v>0</v>
      </c>
      <c r="M157" s="335">
        <v>0</v>
      </c>
      <c r="N157" s="335">
        <v>0</v>
      </c>
      <c r="O157" s="335">
        <v>0</v>
      </c>
      <c r="P157" s="335">
        <v>0</v>
      </c>
    </row>
    <row r="158" spans="1:16">
      <c r="B158" t="s">
        <v>579</v>
      </c>
      <c r="D158" s="335">
        <v>0</v>
      </c>
      <c r="E158" s="335">
        <v>0</v>
      </c>
      <c r="F158" s="335">
        <v>0</v>
      </c>
      <c r="G158" s="335">
        <v>0</v>
      </c>
      <c r="H158" s="335">
        <v>0</v>
      </c>
      <c r="I158" s="335">
        <v>0</v>
      </c>
      <c r="J158" s="335">
        <v>0</v>
      </c>
      <c r="K158" s="335">
        <v>0</v>
      </c>
      <c r="L158" s="335">
        <v>0</v>
      </c>
      <c r="M158" s="335">
        <v>0</v>
      </c>
      <c r="N158" s="335">
        <v>0</v>
      </c>
      <c r="O158" s="335">
        <v>0</v>
      </c>
      <c r="P158" s="335">
        <v>0</v>
      </c>
    </row>
    <row r="159" spans="1:16">
      <c r="B159" t="s">
        <v>580</v>
      </c>
      <c r="D159" s="335">
        <v>0</v>
      </c>
      <c r="E159" s="335">
        <v>0</v>
      </c>
      <c r="F159" s="335">
        <v>0</v>
      </c>
      <c r="G159" s="335">
        <v>0</v>
      </c>
      <c r="H159" s="335">
        <v>0</v>
      </c>
      <c r="I159" s="335">
        <v>0</v>
      </c>
      <c r="J159" s="335">
        <v>0</v>
      </c>
      <c r="K159" s="335">
        <v>0</v>
      </c>
      <c r="L159" s="335">
        <v>0</v>
      </c>
      <c r="M159" s="335">
        <v>0</v>
      </c>
      <c r="N159" s="335">
        <v>0</v>
      </c>
      <c r="O159" s="335">
        <v>0</v>
      </c>
      <c r="P159" s="335">
        <v>0</v>
      </c>
    </row>
    <row r="160" spans="1:16">
      <c r="B160" t="s">
        <v>581</v>
      </c>
      <c r="D160" s="335">
        <v>0</v>
      </c>
      <c r="E160" s="335">
        <v>0</v>
      </c>
      <c r="F160" s="335">
        <v>0</v>
      </c>
      <c r="G160" s="335">
        <v>0</v>
      </c>
      <c r="H160" s="335">
        <v>0</v>
      </c>
      <c r="I160" s="335">
        <v>0</v>
      </c>
      <c r="J160" s="335">
        <v>0</v>
      </c>
      <c r="K160" s="335">
        <v>0</v>
      </c>
      <c r="L160" s="335">
        <v>0</v>
      </c>
      <c r="M160" s="335">
        <v>0</v>
      </c>
      <c r="N160" s="335">
        <v>0</v>
      </c>
      <c r="O160" s="335">
        <v>0</v>
      </c>
      <c r="P160" s="335">
        <v>0</v>
      </c>
    </row>
    <row r="161" spans="1:17">
      <c r="B161" t="s">
        <v>582</v>
      </c>
      <c r="D161" s="335">
        <v>0</v>
      </c>
      <c r="E161" s="335">
        <v>0</v>
      </c>
      <c r="F161" s="335">
        <v>0</v>
      </c>
      <c r="G161" s="335">
        <v>0</v>
      </c>
      <c r="H161" s="335">
        <v>0</v>
      </c>
      <c r="I161" s="335">
        <v>0</v>
      </c>
      <c r="J161" s="335">
        <v>0</v>
      </c>
      <c r="K161" s="335">
        <v>0</v>
      </c>
      <c r="L161" s="335">
        <v>0</v>
      </c>
      <c r="M161" s="335">
        <v>0</v>
      </c>
      <c r="N161" s="335">
        <v>0</v>
      </c>
      <c r="O161" s="335">
        <v>0</v>
      </c>
      <c r="P161" s="335">
        <v>0</v>
      </c>
    </row>
    <row r="162" spans="1:17">
      <c r="B162" t="s">
        <v>585</v>
      </c>
      <c r="D162" s="335"/>
      <c r="E162" s="335"/>
      <c r="F162" s="335"/>
      <c r="G162" s="335"/>
      <c r="H162" s="335">
        <v>0</v>
      </c>
      <c r="I162" s="335">
        <v>0</v>
      </c>
      <c r="J162" s="335">
        <v>0</v>
      </c>
      <c r="K162" s="335">
        <v>0</v>
      </c>
      <c r="L162" s="335">
        <v>0</v>
      </c>
      <c r="M162" s="335">
        <v>0</v>
      </c>
      <c r="N162" s="335">
        <v>0</v>
      </c>
      <c r="O162" s="335">
        <v>0</v>
      </c>
      <c r="P162" s="335">
        <v>0</v>
      </c>
    </row>
    <row r="163" spans="1:17">
      <c r="B163" t="s">
        <v>651</v>
      </c>
      <c r="D163" s="335"/>
      <c r="E163" s="335"/>
      <c r="F163" s="335"/>
      <c r="G163" s="335"/>
      <c r="H163" s="335">
        <v>0</v>
      </c>
      <c r="I163" s="335">
        <v>0</v>
      </c>
      <c r="J163" s="335">
        <v>0</v>
      </c>
      <c r="K163" s="335">
        <v>0</v>
      </c>
      <c r="L163" s="335">
        <v>0</v>
      </c>
      <c r="M163" s="335">
        <v>0</v>
      </c>
      <c r="N163" s="335">
        <v>0</v>
      </c>
      <c r="O163" s="335">
        <v>0</v>
      </c>
      <c r="P163" s="335">
        <v>0</v>
      </c>
    </row>
    <row r="164" spans="1:17">
      <c r="B164" t="s">
        <v>64</v>
      </c>
      <c r="D164" s="335">
        <f>SUM(D150:D163)</f>
        <v>2134799.3199999998</v>
      </c>
      <c r="E164" s="335">
        <f t="shared" ref="E164:O164" si="36">SUM(E150:E163)</f>
        <v>2616608.16</v>
      </c>
      <c r="F164" s="335">
        <f t="shared" si="36"/>
        <v>2517172.6</v>
      </c>
      <c r="G164" s="335">
        <f t="shared" si="36"/>
        <v>2080405.16</v>
      </c>
      <c r="H164" s="335">
        <f t="shared" si="36"/>
        <v>2147597.84</v>
      </c>
      <c r="I164" s="335">
        <f t="shared" si="36"/>
        <v>3700444.5799999996</v>
      </c>
      <c r="J164" s="335">
        <f t="shared" si="36"/>
        <v>3872020.88</v>
      </c>
      <c r="K164" s="335">
        <f t="shared" si="36"/>
        <v>3232050.6199999996</v>
      </c>
      <c r="L164" s="335">
        <f t="shared" si="36"/>
        <v>3242051.54</v>
      </c>
      <c r="M164" s="335">
        <f t="shared" si="36"/>
        <v>2602097.42</v>
      </c>
      <c r="N164" s="335">
        <f t="shared" si="36"/>
        <v>2405498.06</v>
      </c>
      <c r="O164" s="335">
        <f t="shared" si="36"/>
        <v>2116917.42</v>
      </c>
      <c r="P164" s="335">
        <f>SUM(P150:P163)</f>
        <v>32667663.599999998</v>
      </c>
    </row>
    <row r="165" spans="1:17">
      <c r="A165">
        <v>23</v>
      </c>
      <c r="B165" t="s">
        <v>573</v>
      </c>
      <c r="D165" s="335">
        <v>0</v>
      </c>
      <c r="E165" s="335">
        <v>0</v>
      </c>
      <c r="F165" s="335">
        <v>0</v>
      </c>
      <c r="G165" s="335">
        <v>0</v>
      </c>
      <c r="H165" s="335">
        <v>0</v>
      </c>
      <c r="I165" s="335">
        <v>0</v>
      </c>
      <c r="J165" s="335">
        <v>0</v>
      </c>
      <c r="K165" s="335">
        <v>0</v>
      </c>
      <c r="L165" s="335">
        <v>0</v>
      </c>
      <c r="M165" s="335">
        <v>0</v>
      </c>
      <c r="N165" s="335">
        <v>0</v>
      </c>
      <c r="O165" s="335">
        <v>0</v>
      </c>
      <c r="P165" s="335">
        <v>0</v>
      </c>
      <c r="Q165" s="441"/>
    </row>
    <row r="166" spans="1:17">
      <c r="B166" t="s">
        <v>586</v>
      </c>
      <c r="D166" s="335">
        <v>0</v>
      </c>
      <c r="E166" s="335">
        <v>0</v>
      </c>
      <c r="F166" s="335">
        <v>0</v>
      </c>
      <c r="G166" s="335">
        <v>0</v>
      </c>
      <c r="H166" s="335">
        <v>0</v>
      </c>
      <c r="I166" s="335">
        <v>0</v>
      </c>
      <c r="J166" s="335">
        <v>0</v>
      </c>
      <c r="K166" s="335">
        <v>0</v>
      </c>
      <c r="L166" s="335">
        <v>0</v>
      </c>
      <c r="M166" s="335">
        <v>0</v>
      </c>
      <c r="N166" s="335">
        <v>0</v>
      </c>
      <c r="O166" s="335">
        <v>0</v>
      </c>
      <c r="P166" s="335">
        <v>0</v>
      </c>
      <c r="Q166" s="441"/>
    </row>
    <row r="167" spans="1:17">
      <c r="B167" t="s">
        <v>574</v>
      </c>
      <c r="D167" s="335">
        <v>23864.6</v>
      </c>
      <c r="E167" s="335">
        <v>19275.009999999998</v>
      </c>
      <c r="F167" s="335">
        <v>12887.93</v>
      </c>
      <c r="G167" s="335">
        <v>17128.64</v>
      </c>
      <c r="H167" s="335">
        <v>26353.360000000001</v>
      </c>
      <c r="I167" s="335">
        <v>18179.060000000001</v>
      </c>
      <c r="J167" s="335">
        <v>53826.03</v>
      </c>
      <c r="K167" s="335">
        <v>0</v>
      </c>
      <c r="L167" s="335">
        <v>141125.35999999999</v>
      </c>
      <c r="M167" s="335">
        <v>21888.12</v>
      </c>
      <c r="N167" s="335">
        <v>78707.48</v>
      </c>
      <c r="O167" s="335">
        <v>38407.839999999997</v>
      </c>
      <c r="P167" s="335">
        <f>SUM(D167:O167)</f>
        <v>451643.42999999993</v>
      </c>
    </row>
    <row r="168" spans="1:17">
      <c r="B168" t="s">
        <v>575</v>
      </c>
      <c r="D168" s="335">
        <v>0</v>
      </c>
      <c r="E168" s="335">
        <v>0</v>
      </c>
      <c r="F168" s="335">
        <v>0</v>
      </c>
      <c r="G168" s="335">
        <v>0</v>
      </c>
      <c r="H168" s="335">
        <v>0</v>
      </c>
      <c r="I168" s="335">
        <v>0</v>
      </c>
      <c r="J168" s="335">
        <v>0</v>
      </c>
      <c r="K168" s="335">
        <v>0</v>
      </c>
      <c r="L168" s="335">
        <v>0</v>
      </c>
      <c r="M168" s="335">
        <v>0</v>
      </c>
      <c r="N168" s="335">
        <v>0</v>
      </c>
      <c r="O168" s="335">
        <v>0</v>
      </c>
      <c r="P168" s="335">
        <f t="shared" ref="P168:P171" si="37">SUM(D168:O168)</f>
        <v>0</v>
      </c>
    </row>
    <row r="169" spans="1:17">
      <c r="B169" t="s">
        <v>572</v>
      </c>
      <c r="D169" s="335">
        <v>0</v>
      </c>
      <c r="E169" s="335">
        <v>-2</v>
      </c>
      <c r="F169" s="335">
        <v>0</v>
      </c>
      <c r="G169" s="335">
        <v>0</v>
      </c>
      <c r="H169" s="335">
        <v>0</v>
      </c>
      <c r="I169" s="335">
        <v>0</v>
      </c>
      <c r="J169" s="335">
        <v>0</v>
      </c>
      <c r="K169" s="335">
        <v>0</v>
      </c>
      <c r="L169" s="335">
        <v>0</v>
      </c>
      <c r="M169" s="335">
        <v>0</v>
      </c>
      <c r="N169" s="335">
        <v>0</v>
      </c>
      <c r="O169" s="335">
        <v>0</v>
      </c>
      <c r="P169" s="335">
        <f t="shared" si="37"/>
        <v>-2</v>
      </c>
    </row>
    <row r="170" spans="1:17">
      <c r="B170" t="s">
        <v>577</v>
      </c>
      <c r="D170" s="335">
        <v>0</v>
      </c>
      <c r="E170" s="335">
        <v>0</v>
      </c>
      <c r="F170" s="335">
        <v>0</v>
      </c>
      <c r="G170" s="335">
        <v>0</v>
      </c>
      <c r="H170" s="335">
        <v>0</v>
      </c>
      <c r="I170" s="335">
        <v>0</v>
      </c>
      <c r="J170" s="335">
        <v>0</v>
      </c>
      <c r="K170" s="335">
        <v>0</v>
      </c>
      <c r="L170" s="335">
        <v>0</v>
      </c>
      <c r="M170" s="335">
        <v>0</v>
      </c>
      <c r="N170" s="335">
        <v>0</v>
      </c>
      <c r="O170" s="335">
        <v>0</v>
      </c>
      <c r="P170" s="335">
        <f t="shared" si="37"/>
        <v>0</v>
      </c>
    </row>
    <row r="171" spans="1:17">
      <c r="B171" t="s">
        <v>622</v>
      </c>
      <c r="D171" s="335">
        <v>0</v>
      </c>
      <c r="E171" s="335">
        <v>0</v>
      </c>
      <c r="F171" s="335">
        <v>0</v>
      </c>
      <c r="G171" s="335">
        <v>0</v>
      </c>
      <c r="H171" s="335">
        <v>0</v>
      </c>
      <c r="I171" s="335">
        <v>0</v>
      </c>
      <c r="J171" s="335">
        <v>0</v>
      </c>
      <c r="K171" s="335">
        <v>0</v>
      </c>
      <c r="L171" s="335">
        <v>0</v>
      </c>
      <c r="M171" s="335">
        <v>0</v>
      </c>
      <c r="N171" s="335">
        <v>0</v>
      </c>
      <c r="O171" s="335">
        <v>0</v>
      </c>
      <c r="P171" s="335">
        <f t="shared" si="37"/>
        <v>0</v>
      </c>
    </row>
    <row r="172" spans="1:17">
      <c r="B172" t="s">
        <v>578</v>
      </c>
      <c r="D172" s="335">
        <v>0</v>
      </c>
      <c r="E172" s="335">
        <v>0</v>
      </c>
      <c r="F172" s="335">
        <v>0</v>
      </c>
      <c r="G172" s="335">
        <v>0</v>
      </c>
      <c r="H172" s="335">
        <v>0</v>
      </c>
      <c r="I172" s="335">
        <v>0</v>
      </c>
      <c r="J172" s="335">
        <v>0</v>
      </c>
      <c r="K172" s="335">
        <v>0</v>
      </c>
      <c r="L172" s="335">
        <v>0</v>
      </c>
      <c r="M172" s="335">
        <v>0</v>
      </c>
      <c r="N172" s="335">
        <v>0</v>
      </c>
      <c r="O172" s="335">
        <v>0</v>
      </c>
      <c r="P172" s="335">
        <v>0</v>
      </c>
    </row>
    <row r="173" spans="1:17">
      <c r="B173" t="s">
        <v>579</v>
      </c>
      <c r="D173" s="335">
        <v>0</v>
      </c>
      <c r="E173" s="335">
        <v>0</v>
      </c>
      <c r="F173" s="335">
        <v>0</v>
      </c>
      <c r="G173" s="335">
        <v>0</v>
      </c>
      <c r="H173" s="335">
        <v>0</v>
      </c>
      <c r="I173" s="335">
        <v>0</v>
      </c>
      <c r="J173" s="335">
        <v>0</v>
      </c>
      <c r="K173" s="335">
        <v>0</v>
      </c>
      <c r="L173" s="335">
        <v>0</v>
      </c>
      <c r="M173" s="335">
        <v>0</v>
      </c>
      <c r="N173" s="335">
        <v>0</v>
      </c>
      <c r="O173" s="335">
        <v>0</v>
      </c>
      <c r="P173" s="335">
        <v>0</v>
      </c>
    </row>
    <row r="174" spans="1:17">
      <c r="B174" t="s">
        <v>580</v>
      </c>
      <c r="D174" s="335">
        <v>0</v>
      </c>
      <c r="E174" s="335">
        <v>0</v>
      </c>
      <c r="F174" s="335">
        <v>0</v>
      </c>
      <c r="G174" s="335">
        <v>0</v>
      </c>
      <c r="H174" s="335">
        <v>0</v>
      </c>
      <c r="I174" s="335">
        <v>0</v>
      </c>
      <c r="J174" s="335">
        <v>0</v>
      </c>
      <c r="K174" s="335">
        <v>0</v>
      </c>
      <c r="L174" s="335">
        <v>0</v>
      </c>
      <c r="M174" s="335">
        <v>0</v>
      </c>
      <c r="N174" s="335">
        <v>0</v>
      </c>
      <c r="O174" s="335">
        <v>0</v>
      </c>
      <c r="P174" s="335">
        <v>0</v>
      </c>
    </row>
    <row r="175" spans="1:17">
      <c r="B175" t="s">
        <v>581</v>
      </c>
      <c r="D175" s="335">
        <v>0</v>
      </c>
      <c r="E175" s="335">
        <v>0</v>
      </c>
      <c r="F175" s="335">
        <v>0</v>
      </c>
      <c r="G175" s="335">
        <v>0</v>
      </c>
      <c r="H175" s="335">
        <v>0</v>
      </c>
      <c r="I175" s="335">
        <v>0</v>
      </c>
      <c r="J175" s="335">
        <v>0</v>
      </c>
      <c r="K175" s="335">
        <v>0</v>
      </c>
      <c r="L175" s="335">
        <v>0</v>
      </c>
      <c r="M175" s="335">
        <v>0</v>
      </c>
      <c r="N175" s="335">
        <v>0</v>
      </c>
      <c r="O175" s="335">
        <v>0</v>
      </c>
      <c r="P175" s="335">
        <v>0</v>
      </c>
    </row>
    <row r="176" spans="1:17">
      <c r="B176" t="s">
        <v>582</v>
      </c>
      <c r="D176" s="335">
        <v>0</v>
      </c>
      <c r="E176" s="335">
        <v>0</v>
      </c>
      <c r="F176" s="335">
        <v>0</v>
      </c>
      <c r="G176" s="335">
        <v>0</v>
      </c>
      <c r="H176" s="335">
        <v>0</v>
      </c>
      <c r="I176" s="335">
        <v>0</v>
      </c>
      <c r="J176" s="335">
        <v>0</v>
      </c>
      <c r="K176" s="335">
        <v>0</v>
      </c>
      <c r="L176" s="335">
        <v>0</v>
      </c>
      <c r="M176" s="335">
        <v>0</v>
      </c>
      <c r="N176" s="335">
        <v>0</v>
      </c>
      <c r="O176" s="335">
        <v>0</v>
      </c>
      <c r="P176" s="335">
        <v>0</v>
      </c>
    </row>
    <row r="177" spans="1:16">
      <c r="B177" t="s">
        <v>585</v>
      </c>
      <c r="D177" s="335"/>
      <c r="E177" s="335"/>
      <c r="F177" s="335"/>
      <c r="G177" s="335"/>
      <c r="H177" s="335">
        <v>0</v>
      </c>
      <c r="I177" s="335">
        <v>0</v>
      </c>
      <c r="J177" s="335">
        <v>0</v>
      </c>
      <c r="K177" s="335">
        <v>0</v>
      </c>
      <c r="L177" s="335">
        <v>0</v>
      </c>
      <c r="M177" s="335">
        <v>0</v>
      </c>
      <c r="N177" s="335">
        <v>0</v>
      </c>
      <c r="O177" s="335">
        <v>0</v>
      </c>
      <c r="P177" s="335">
        <v>0</v>
      </c>
    </row>
    <row r="178" spans="1:16">
      <c r="B178" t="s">
        <v>651</v>
      </c>
      <c r="D178" s="335"/>
      <c r="E178" s="335"/>
      <c r="F178" s="335"/>
      <c r="G178" s="335"/>
      <c r="H178" s="335">
        <v>0</v>
      </c>
      <c r="I178" s="335">
        <v>0</v>
      </c>
      <c r="J178" s="335">
        <v>0</v>
      </c>
      <c r="K178" s="335">
        <v>0</v>
      </c>
      <c r="L178" s="335">
        <v>0</v>
      </c>
      <c r="M178" s="335">
        <v>0</v>
      </c>
      <c r="N178" s="335">
        <v>0</v>
      </c>
      <c r="O178" s="335">
        <v>0</v>
      </c>
      <c r="P178" s="335">
        <v>0</v>
      </c>
    </row>
    <row r="179" spans="1:16">
      <c r="B179" t="s">
        <v>64</v>
      </c>
      <c r="D179" s="335">
        <f>SUM(D165:D178)</f>
        <v>23864.6</v>
      </c>
      <c r="E179" s="335">
        <f>SUM(E165:E178)</f>
        <v>19273.009999999998</v>
      </c>
      <c r="F179" s="335">
        <f t="shared" ref="F179:O179" si="38">SUM(F165:F178)</f>
        <v>12887.93</v>
      </c>
      <c r="G179" s="335">
        <f t="shared" si="38"/>
        <v>17128.64</v>
      </c>
      <c r="H179" s="335">
        <f t="shared" si="38"/>
        <v>26353.360000000001</v>
      </c>
      <c r="I179" s="335">
        <f t="shared" si="38"/>
        <v>18179.060000000001</v>
      </c>
      <c r="J179" s="335">
        <f t="shared" si="38"/>
        <v>53826.03</v>
      </c>
      <c r="K179" s="335">
        <f t="shared" si="38"/>
        <v>0</v>
      </c>
      <c r="L179" s="335">
        <f t="shared" si="38"/>
        <v>141125.35999999999</v>
      </c>
      <c r="M179" s="335">
        <f t="shared" si="38"/>
        <v>21888.12</v>
      </c>
      <c r="N179" s="335">
        <f t="shared" si="38"/>
        <v>78707.48</v>
      </c>
      <c r="O179" s="335">
        <f t="shared" si="38"/>
        <v>38407.839999999997</v>
      </c>
      <c r="P179" s="335">
        <f>SUM(P165:P178)</f>
        <v>451641.42999999993</v>
      </c>
    </row>
    <row r="180" spans="1:16">
      <c r="A180" t="s">
        <v>553</v>
      </c>
      <c r="B180" t="s">
        <v>573</v>
      </c>
      <c r="D180" s="335">
        <v>0</v>
      </c>
      <c r="E180" s="335">
        <v>0</v>
      </c>
      <c r="F180" s="335">
        <v>0</v>
      </c>
      <c r="G180" s="335">
        <v>0</v>
      </c>
      <c r="H180" s="335">
        <v>0</v>
      </c>
      <c r="I180" s="335">
        <v>0</v>
      </c>
      <c r="J180" s="335">
        <v>0</v>
      </c>
      <c r="K180" s="335">
        <v>0</v>
      </c>
      <c r="L180" s="335">
        <v>0</v>
      </c>
      <c r="M180" s="335">
        <v>0</v>
      </c>
      <c r="N180" s="335">
        <v>0</v>
      </c>
      <c r="O180" s="335">
        <v>0</v>
      </c>
      <c r="P180" s="335">
        <f t="shared" ref="P180:P181" si="39">SUM(D180:O180)</f>
        <v>0</v>
      </c>
    </row>
    <row r="181" spans="1:16">
      <c r="B181" t="s">
        <v>586</v>
      </c>
      <c r="D181" s="335">
        <v>0</v>
      </c>
      <c r="E181" s="335">
        <v>0</v>
      </c>
      <c r="F181" s="335">
        <v>0</v>
      </c>
      <c r="G181" s="335">
        <v>0</v>
      </c>
      <c r="H181" s="335">
        <v>0</v>
      </c>
      <c r="I181" s="335">
        <v>0</v>
      </c>
      <c r="J181" s="335">
        <v>0</v>
      </c>
      <c r="K181" s="335">
        <v>0</v>
      </c>
      <c r="L181" s="335">
        <v>0</v>
      </c>
      <c r="M181" s="335">
        <v>0</v>
      </c>
      <c r="N181" s="335">
        <v>0</v>
      </c>
      <c r="O181" s="335">
        <v>0</v>
      </c>
      <c r="P181" s="335">
        <f t="shared" si="39"/>
        <v>0</v>
      </c>
    </row>
    <row r="182" spans="1:16">
      <c r="B182" t="s">
        <v>574</v>
      </c>
      <c r="D182" s="335">
        <v>10500000</v>
      </c>
      <c r="E182" s="335">
        <v>10500000</v>
      </c>
      <c r="F182" s="335">
        <v>10500000</v>
      </c>
      <c r="G182" s="335">
        <v>10500000</v>
      </c>
      <c r="H182" s="335">
        <v>10500000</v>
      </c>
      <c r="I182" s="335">
        <v>10500000</v>
      </c>
      <c r="J182" s="335">
        <v>20000000</v>
      </c>
      <c r="K182" s="335">
        <v>1000000</v>
      </c>
      <c r="L182" s="335">
        <v>10500000</v>
      </c>
      <c r="M182" s="335">
        <v>10500000</v>
      </c>
      <c r="N182" s="335">
        <v>10500000</v>
      </c>
      <c r="O182" s="335">
        <v>10500000</v>
      </c>
      <c r="P182" s="335">
        <f>SUM(D182:O182)</f>
        <v>126000000</v>
      </c>
    </row>
    <row r="183" spans="1:16">
      <c r="B183" t="s">
        <v>575</v>
      </c>
      <c r="D183" s="335">
        <v>40226635.329999998</v>
      </c>
      <c r="E183" s="335">
        <v>41537423.18</v>
      </c>
      <c r="F183" s="335">
        <v>45331526.659999996</v>
      </c>
      <c r="G183" s="335">
        <v>40955427.758000001</v>
      </c>
      <c r="H183" s="335">
        <v>40601443.200000003</v>
      </c>
      <c r="I183" s="335">
        <v>39622447.941</v>
      </c>
      <c r="J183" s="335">
        <v>75278067.829999998</v>
      </c>
      <c r="K183" s="335">
        <v>4771303.55</v>
      </c>
      <c r="L183" s="335">
        <v>37916910.579999998</v>
      </c>
      <c r="M183" s="335">
        <v>40995162.306999996</v>
      </c>
      <c r="N183" s="335">
        <v>38477519.840000004</v>
      </c>
      <c r="O183" s="335">
        <v>38742778.82</v>
      </c>
      <c r="P183" s="335">
        <f t="shared" ref="P183:P193" si="40">SUM(D183:O183)</f>
        <v>484456646.99599987</v>
      </c>
    </row>
    <row r="184" spans="1:16">
      <c r="B184" t="s">
        <v>576</v>
      </c>
      <c r="D184" s="335">
        <v>538660.1</v>
      </c>
      <c r="E184" s="335">
        <v>0</v>
      </c>
      <c r="F184" s="335">
        <v>2261138.2000000002</v>
      </c>
      <c r="G184" s="335">
        <v>2188160.4</v>
      </c>
      <c r="H184" s="335">
        <v>1816944.1</v>
      </c>
      <c r="I184" s="335">
        <v>661612.30000000005</v>
      </c>
      <c r="J184" s="335">
        <v>2258167.7000000002</v>
      </c>
      <c r="K184" s="335">
        <v>0</v>
      </c>
      <c r="L184" s="335">
        <v>1336605.5</v>
      </c>
      <c r="M184" s="335">
        <v>1273936.601</v>
      </c>
      <c r="N184" s="335">
        <v>1351281</v>
      </c>
      <c r="O184" s="335">
        <v>2152636.7999999998</v>
      </c>
      <c r="P184" s="335">
        <f t="shared" si="40"/>
        <v>15839142.701000001</v>
      </c>
    </row>
    <row r="185" spans="1:16">
      <c r="B185" t="s">
        <v>572</v>
      </c>
      <c r="D185" s="335">
        <v>0</v>
      </c>
      <c r="E185" s="335">
        <v>0</v>
      </c>
      <c r="F185" s="335">
        <v>0</v>
      </c>
      <c r="G185" s="335">
        <v>0</v>
      </c>
      <c r="H185" s="335">
        <v>0</v>
      </c>
      <c r="I185" s="335">
        <v>0</v>
      </c>
      <c r="J185" s="335">
        <v>0</v>
      </c>
      <c r="K185" s="335">
        <v>0</v>
      </c>
      <c r="L185" s="335">
        <v>0</v>
      </c>
      <c r="M185" s="335">
        <v>0</v>
      </c>
      <c r="N185" s="335">
        <v>0</v>
      </c>
      <c r="O185" s="335">
        <v>0</v>
      </c>
      <c r="P185" s="335">
        <f t="shared" si="40"/>
        <v>0</v>
      </c>
    </row>
    <row r="186" spans="1:16">
      <c r="B186" t="s">
        <v>587</v>
      </c>
      <c r="D186" s="335">
        <v>0</v>
      </c>
      <c r="E186" s="335">
        <v>0</v>
      </c>
      <c r="F186" s="335">
        <v>0</v>
      </c>
      <c r="G186" s="335">
        <v>0</v>
      </c>
      <c r="H186" s="335">
        <v>0</v>
      </c>
      <c r="I186" s="335">
        <v>0</v>
      </c>
      <c r="J186" s="335">
        <v>0</v>
      </c>
      <c r="K186" s="335">
        <v>0</v>
      </c>
      <c r="L186" s="335">
        <v>0</v>
      </c>
      <c r="M186" s="335">
        <v>0</v>
      </c>
      <c r="N186" s="335">
        <v>0</v>
      </c>
      <c r="O186" s="335">
        <v>0</v>
      </c>
      <c r="P186" s="335">
        <f t="shared" si="40"/>
        <v>0</v>
      </c>
    </row>
    <row r="187" spans="1:16">
      <c r="B187" t="s">
        <v>622</v>
      </c>
      <c r="D187" s="335">
        <v>0</v>
      </c>
      <c r="E187" s="335">
        <v>0</v>
      </c>
      <c r="F187" s="335">
        <v>0</v>
      </c>
      <c r="G187" s="335">
        <v>0</v>
      </c>
      <c r="H187" s="335">
        <v>0</v>
      </c>
      <c r="I187" s="335">
        <v>0</v>
      </c>
      <c r="J187" s="335">
        <v>0</v>
      </c>
      <c r="K187" s="335">
        <v>0</v>
      </c>
      <c r="L187" s="335">
        <v>0</v>
      </c>
      <c r="M187" s="335">
        <v>0</v>
      </c>
      <c r="N187" s="335">
        <v>0</v>
      </c>
      <c r="O187" s="335">
        <v>0</v>
      </c>
      <c r="P187" s="335">
        <f t="shared" si="40"/>
        <v>0</v>
      </c>
    </row>
    <row r="188" spans="1:16">
      <c r="B188" t="s">
        <v>578</v>
      </c>
      <c r="D188" s="335">
        <v>0</v>
      </c>
      <c r="E188" s="335">
        <v>0</v>
      </c>
      <c r="F188" s="335">
        <v>0</v>
      </c>
      <c r="G188" s="335">
        <v>0</v>
      </c>
      <c r="H188" s="335">
        <v>0</v>
      </c>
      <c r="I188" s="335">
        <v>0</v>
      </c>
      <c r="J188" s="335">
        <v>0</v>
      </c>
      <c r="K188" s="335">
        <v>0</v>
      </c>
      <c r="L188" s="335">
        <v>0</v>
      </c>
      <c r="M188" s="335">
        <v>0</v>
      </c>
      <c r="N188" s="335">
        <v>0</v>
      </c>
      <c r="O188" s="335">
        <v>0</v>
      </c>
      <c r="P188" s="335">
        <f t="shared" si="40"/>
        <v>0</v>
      </c>
    </row>
    <row r="189" spans="1:16">
      <c r="B189" t="s">
        <v>579</v>
      </c>
      <c r="D189" s="335">
        <v>0</v>
      </c>
      <c r="E189" s="335">
        <v>0</v>
      </c>
      <c r="F189" s="335">
        <v>0</v>
      </c>
      <c r="G189" s="335">
        <v>0</v>
      </c>
      <c r="H189" s="335">
        <v>0</v>
      </c>
      <c r="I189" s="335">
        <v>0</v>
      </c>
      <c r="J189" s="335">
        <v>0</v>
      </c>
      <c r="K189" s="335">
        <v>0</v>
      </c>
      <c r="L189" s="335">
        <v>0</v>
      </c>
      <c r="M189" s="335">
        <v>0</v>
      </c>
      <c r="N189" s="335">
        <v>0</v>
      </c>
      <c r="O189" s="335">
        <v>0</v>
      </c>
      <c r="P189" s="335">
        <f t="shared" si="40"/>
        <v>0</v>
      </c>
    </row>
    <row r="190" spans="1:16">
      <c r="B190" t="s">
        <v>580</v>
      </c>
      <c r="D190" s="335">
        <v>0</v>
      </c>
      <c r="E190" s="335">
        <v>0</v>
      </c>
      <c r="F190" s="335">
        <v>0</v>
      </c>
      <c r="G190" s="335">
        <v>0</v>
      </c>
      <c r="H190" s="335">
        <v>0</v>
      </c>
      <c r="I190" s="335">
        <v>0</v>
      </c>
      <c r="J190" s="335">
        <v>0</v>
      </c>
      <c r="K190" s="335">
        <v>0</v>
      </c>
      <c r="L190" s="335">
        <v>0</v>
      </c>
      <c r="M190" s="335">
        <v>0</v>
      </c>
      <c r="N190" s="335">
        <v>0</v>
      </c>
      <c r="O190" s="335">
        <v>0</v>
      </c>
      <c r="P190" s="335">
        <f t="shared" si="40"/>
        <v>0</v>
      </c>
    </row>
    <row r="191" spans="1:16">
      <c r="B191" t="s">
        <v>581</v>
      </c>
      <c r="D191" s="335">
        <v>0</v>
      </c>
      <c r="E191" s="335">
        <v>0</v>
      </c>
      <c r="F191" s="335">
        <v>0</v>
      </c>
      <c r="G191" s="335">
        <v>0</v>
      </c>
      <c r="H191" s="335">
        <v>0</v>
      </c>
      <c r="I191" s="335">
        <v>0</v>
      </c>
      <c r="J191" s="335">
        <v>0</v>
      </c>
      <c r="K191" s="335">
        <v>0</v>
      </c>
      <c r="L191" s="335">
        <v>0</v>
      </c>
      <c r="M191" s="335">
        <v>0</v>
      </c>
      <c r="N191" s="335">
        <v>0</v>
      </c>
      <c r="O191" s="335">
        <v>0</v>
      </c>
      <c r="P191" s="335">
        <f t="shared" si="40"/>
        <v>0</v>
      </c>
    </row>
    <row r="192" spans="1:16">
      <c r="B192" t="s">
        <v>582</v>
      </c>
      <c r="D192" s="335">
        <v>0</v>
      </c>
      <c r="E192" s="335">
        <v>0</v>
      </c>
      <c r="F192" s="335">
        <v>0</v>
      </c>
      <c r="G192" s="335">
        <v>0</v>
      </c>
      <c r="H192" s="335">
        <v>0</v>
      </c>
      <c r="I192" s="335">
        <v>0</v>
      </c>
      <c r="J192" s="335">
        <v>0</v>
      </c>
      <c r="K192" s="335">
        <v>0</v>
      </c>
      <c r="L192" s="335">
        <v>0</v>
      </c>
      <c r="M192" s="335">
        <v>0</v>
      </c>
      <c r="N192" s="335">
        <v>0</v>
      </c>
      <c r="O192" s="335">
        <v>0</v>
      </c>
      <c r="P192" s="335">
        <f t="shared" si="40"/>
        <v>0</v>
      </c>
    </row>
    <row r="193" spans="1:16">
      <c r="B193" t="s">
        <v>651</v>
      </c>
      <c r="D193" s="335"/>
      <c r="E193" s="335"/>
      <c r="F193" s="335"/>
      <c r="G193" s="335"/>
      <c r="H193" s="335"/>
      <c r="I193" s="335">
        <v>0</v>
      </c>
      <c r="J193" s="335">
        <v>0</v>
      </c>
      <c r="K193" s="335">
        <v>0</v>
      </c>
      <c r="L193" s="335">
        <v>0</v>
      </c>
      <c r="M193" s="335">
        <v>0</v>
      </c>
      <c r="N193" s="335">
        <v>0</v>
      </c>
      <c r="O193" s="335">
        <v>0</v>
      </c>
      <c r="P193" s="335">
        <f t="shared" si="40"/>
        <v>0</v>
      </c>
    </row>
    <row r="194" spans="1:16">
      <c r="B194" t="s">
        <v>64</v>
      </c>
      <c r="D194" s="335">
        <f>SUM(D180:D193)</f>
        <v>51265295.43</v>
      </c>
      <c r="E194" s="335">
        <f t="shared" ref="E194:O194" si="41">SUM(E180:E193)</f>
        <v>52037423.18</v>
      </c>
      <c r="F194" s="335">
        <f t="shared" si="41"/>
        <v>58092664.859999999</v>
      </c>
      <c r="G194" s="335">
        <f t="shared" si="41"/>
        <v>53643588.158</v>
      </c>
      <c r="H194" s="335">
        <f t="shared" si="41"/>
        <v>52918387.300000004</v>
      </c>
      <c r="I194" s="335">
        <f t="shared" si="41"/>
        <v>50784060.240999997</v>
      </c>
      <c r="J194" s="335">
        <f t="shared" si="41"/>
        <v>97536235.530000001</v>
      </c>
      <c r="K194" s="335">
        <f t="shared" si="41"/>
        <v>5771303.5499999998</v>
      </c>
      <c r="L194" s="335">
        <f t="shared" si="41"/>
        <v>49753516.079999998</v>
      </c>
      <c r="M194" s="335">
        <f t="shared" si="41"/>
        <v>52769098.908</v>
      </c>
      <c r="N194" s="335">
        <f t="shared" si="41"/>
        <v>50328800.840000004</v>
      </c>
      <c r="O194" s="335">
        <f t="shared" si="41"/>
        <v>51395415.619999997</v>
      </c>
      <c r="P194" s="335">
        <f>SUM(P180:P193)</f>
        <v>626295789.69699979</v>
      </c>
    </row>
    <row r="195" spans="1:16">
      <c r="A195" t="s">
        <v>761</v>
      </c>
      <c r="B195" t="s">
        <v>573</v>
      </c>
      <c r="D195" s="335">
        <v>0</v>
      </c>
      <c r="E195" s="335">
        <v>0</v>
      </c>
      <c r="F195" s="335">
        <v>0</v>
      </c>
      <c r="G195" s="335">
        <v>0</v>
      </c>
      <c r="H195" s="335">
        <v>0</v>
      </c>
      <c r="I195" s="335">
        <v>0</v>
      </c>
      <c r="J195" s="335">
        <v>0</v>
      </c>
      <c r="K195" s="335">
        <v>0</v>
      </c>
      <c r="L195" s="335">
        <v>0</v>
      </c>
      <c r="M195" s="335">
        <v>0</v>
      </c>
      <c r="N195" s="335">
        <v>0</v>
      </c>
      <c r="O195" s="335">
        <v>0</v>
      </c>
      <c r="P195" s="335">
        <f t="shared" ref="P195:P196" si="42">SUM(D195:O195)</f>
        <v>0</v>
      </c>
    </row>
    <row r="196" spans="1:16">
      <c r="B196" t="s">
        <v>586</v>
      </c>
      <c r="D196" s="335">
        <v>0</v>
      </c>
      <c r="E196" s="335">
        <v>0</v>
      </c>
      <c r="F196" s="335">
        <v>0</v>
      </c>
      <c r="G196" s="335">
        <v>0</v>
      </c>
      <c r="H196" s="335">
        <v>0</v>
      </c>
      <c r="I196" s="335">
        <v>0</v>
      </c>
      <c r="J196" s="335">
        <v>0</v>
      </c>
      <c r="K196" s="335">
        <v>0</v>
      </c>
      <c r="L196" s="335">
        <v>0</v>
      </c>
      <c r="M196" s="335">
        <v>0</v>
      </c>
      <c r="N196" s="335">
        <v>0</v>
      </c>
      <c r="O196" s="335">
        <v>0</v>
      </c>
      <c r="P196" s="335">
        <f t="shared" si="42"/>
        <v>0</v>
      </c>
    </row>
    <row r="197" spans="1:16">
      <c r="B197" t="s">
        <v>574</v>
      </c>
      <c r="D197" s="335">
        <v>500000</v>
      </c>
      <c r="E197" s="335">
        <v>500000</v>
      </c>
      <c r="F197" s="335">
        <v>500000</v>
      </c>
      <c r="G197" s="335">
        <v>500000</v>
      </c>
      <c r="H197" s="335">
        <v>500000</v>
      </c>
      <c r="I197" s="335">
        <v>500000</v>
      </c>
      <c r="J197" s="335">
        <v>500000</v>
      </c>
      <c r="K197" s="335">
        <v>500000</v>
      </c>
      <c r="L197" s="335">
        <v>500000</v>
      </c>
      <c r="M197" s="335">
        <v>500000</v>
      </c>
      <c r="N197" s="335">
        <v>500000</v>
      </c>
      <c r="O197" s="335">
        <v>500000</v>
      </c>
      <c r="P197" s="335">
        <f>SUM(D197:O197)</f>
        <v>6000000</v>
      </c>
    </row>
    <row r="198" spans="1:16">
      <c r="B198" t="s">
        <v>575</v>
      </c>
      <c r="D198" s="335">
        <v>5500000</v>
      </c>
      <c r="E198" s="335">
        <v>5500000</v>
      </c>
      <c r="F198" s="335">
        <v>5500000</v>
      </c>
      <c r="G198" s="335">
        <v>5500000</v>
      </c>
      <c r="H198" s="335">
        <v>5500000</v>
      </c>
      <c r="I198" s="335">
        <v>5500000</v>
      </c>
      <c r="J198" s="335">
        <v>5500000</v>
      </c>
      <c r="K198" s="335">
        <v>5500000</v>
      </c>
      <c r="L198" s="335">
        <v>5500000</v>
      </c>
      <c r="M198" s="335">
        <v>5500000</v>
      </c>
      <c r="N198" s="335">
        <v>5500000</v>
      </c>
      <c r="O198" s="335">
        <v>5500000</v>
      </c>
      <c r="P198" s="335">
        <f t="shared" ref="P198:P208" si="43">SUM(D198:O198)</f>
        <v>66000000</v>
      </c>
    </row>
    <row r="199" spans="1:16">
      <c r="B199" t="s">
        <v>576</v>
      </c>
      <c r="D199" s="335">
        <v>30269180</v>
      </c>
      <c r="E199" s="335">
        <v>31568812</v>
      </c>
      <c r="F199" s="335">
        <v>33286006</v>
      </c>
      <c r="G199" s="335">
        <v>30341294</v>
      </c>
      <c r="H199" s="335">
        <v>31705990</v>
      </c>
      <c r="I199" s="335">
        <v>32401122</v>
      </c>
      <c r="J199" s="335">
        <v>31639530</v>
      </c>
      <c r="K199" s="335">
        <v>29055858</v>
      </c>
      <c r="L199" s="335">
        <v>30143840</v>
      </c>
      <c r="M199" s="335">
        <v>24120374</v>
      </c>
      <c r="N199" s="335">
        <v>25359532</v>
      </c>
      <c r="O199" s="335">
        <v>27105658</v>
      </c>
      <c r="P199" s="335">
        <f t="shared" si="43"/>
        <v>356997196</v>
      </c>
    </row>
    <row r="200" spans="1:16">
      <c r="B200" t="s">
        <v>572</v>
      </c>
      <c r="D200" s="335">
        <v>0</v>
      </c>
      <c r="E200" s="335">
        <v>0</v>
      </c>
      <c r="F200" s="335">
        <v>0</v>
      </c>
      <c r="G200" s="335">
        <v>0</v>
      </c>
      <c r="H200" s="335">
        <v>0</v>
      </c>
      <c r="I200" s="335">
        <v>0</v>
      </c>
      <c r="J200" s="335">
        <v>0</v>
      </c>
      <c r="K200" s="335">
        <v>0</v>
      </c>
      <c r="L200" s="335">
        <v>0</v>
      </c>
      <c r="M200" s="335">
        <v>0</v>
      </c>
      <c r="N200" s="335">
        <v>0</v>
      </c>
      <c r="O200" s="335">
        <v>0</v>
      </c>
      <c r="P200" s="335">
        <f t="shared" si="43"/>
        <v>0</v>
      </c>
    </row>
    <row r="201" spans="1:16">
      <c r="B201" t="s">
        <v>587</v>
      </c>
      <c r="D201" s="335">
        <v>0</v>
      </c>
      <c r="E201" s="335">
        <v>0</v>
      </c>
      <c r="F201" s="335">
        <v>0</v>
      </c>
      <c r="G201" s="335">
        <v>0</v>
      </c>
      <c r="H201" s="335">
        <v>0</v>
      </c>
      <c r="I201" s="335">
        <v>0</v>
      </c>
      <c r="J201" s="335">
        <v>0</v>
      </c>
      <c r="K201" s="335">
        <v>0</v>
      </c>
      <c r="L201" s="335">
        <v>0</v>
      </c>
      <c r="M201" s="335">
        <v>0</v>
      </c>
      <c r="N201" s="335">
        <v>0</v>
      </c>
      <c r="O201" s="335">
        <v>0</v>
      </c>
      <c r="P201" s="335">
        <f t="shared" si="43"/>
        <v>0</v>
      </c>
    </row>
    <row r="202" spans="1:16">
      <c r="B202" t="s">
        <v>622</v>
      </c>
      <c r="D202" s="335">
        <v>0</v>
      </c>
      <c r="E202" s="335">
        <v>0</v>
      </c>
      <c r="F202" s="335">
        <v>0</v>
      </c>
      <c r="G202" s="335">
        <v>0</v>
      </c>
      <c r="H202" s="335">
        <v>0</v>
      </c>
      <c r="I202" s="335">
        <v>0</v>
      </c>
      <c r="J202" s="335">
        <v>0</v>
      </c>
      <c r="K202" s="335">
        <v>0</v>
      </c>
      <c r="L202" s="335">
        <v>0</v>
      </c>
      <c r="M202" s="335">
        <v>0</v>
      </c>
      <c r="N202" s="335">
        <v>0</v>
      </c>
      <c r="O202" s="335">
        <v>0</v>
      </c>
      <c r="P202" s="335">
        <f t="shared" si="43"/>
        <v>0</v>
      </c>
    </row>
    <row r="203" spans="1:16">
      <c r="B203" t="s">
        <v>578</v>
      </c>
      <c r="D203" s="335">
        <v>0</v>
      </c>
      <c r="E203" s="335">
        <v>0</v>
      </c>
      <c r="F203" s="335">
        <v>0</v>
      </c>
      <c r="G203" s="335">
        <v>0</v>
      </c>
      <c r="H203" s="335">
        <v>0</v>
      </c>
      <c r="I203" s="335">
        <v>0</v>
      </c>
      <c r="J203" s="335">
        <v>0</v>
      </c>
      <c r="K203" s="335">
        <v>0</v>
      </c>
      <c r="L203" s="335">
        <v>0</v>
      </c>
      <c r="M203" s="335">
        <v>0</v>
      </c>
      <c r="N203" s="335">
        <v>0</v>
      </c>
      <c r="O203" s="335">
        <v>0</v>
      </c>
      <c r="P203" s="335">
        <f t="shared" si="43"/>
        <v>0</v>
      </c>
    </row>
    <row r="204" spans="1:16">
      <c r="B204" t="s">
        <v>579</v>
      </c>
      <c r="D204" s="335">
        <v>0</v>
      </c>
      <c r="E204" s="335">
        <v>0</v>
      </c>
      <c r="F204" s="335">
        <v>0</v>
      </c>
      <c r="G204" s="335">
        <v>0</v>
      </c>
      <c r="H204" s="335">
        <v>0</v>
      </c>
      <c r="I204" s="335">
        <v>0</v>
      </c>
      <c r="J204" s="335">
        <v>0</v>
      </c>
      <c r="K204" s="335">
        <v>0</v>
      </c>
      <c r="L204" s="335">
        <v>0</v>
      </c>
      <c r="M204" s="335">
        <v>0</v>
      </c>
      <c r="N204" s="335">
        <v>0</v>
      </c>
      <c r="O204" s="335">
        <v>0</v>
      </c>
      <c r="P204" s="335">
        <f t="shared" si="43"/>
        <v>0</v>
      </c>
    </row>
    <row r="205" spans="1:16">
      <c r="B205" t="s">
        <v>580</v>
      </c>
      <c r="D205" s="335">
        <v>0</v>
      </c>
      <c r="E205" s="335">
        <v>0</v>
      </c>
      <c r="F205" s="335">
        <v>0</v>
      </c>
      <c r="G205" s="335">
        <v>0</v>
      </c>
      <c r="H205" s="335">
        <v>0</v>
      </c>
      <c r="I205" s="335">
        <v>0</v>
      </c>
      <c r="J205" s="335">
        <v>0</v>
      </c>
      <c r="K205" s="335">
        <v>0</v>
      </c>
      <c r="L205" s="335">
        <v>0</v>
      </c>
      <c r="M205" s="335">
        <v>0</v>
      </c>
      <c r="N205" s="335">
        <v>0</v>
      </c>
      <c r="O205" s="335">
        <v>0</v>
      </c>
      <c r="P205" s="335">
        <f t="shared" si="43"/>
        <v>0</v>
      </c>
    </row>
    <row r="206" spans="1:16">
      <c r="B206" t="s">
        <v>581</v>
      </c>
      <c r="D206" s="335">
        <v>0</v>
      </c>
      <c r="E206" s="335">
        <v>0</v>
      </c>
      <c r="F206" s="335">
        <v>0</v>
      </c>
      <c r="G206" s="335">
        <v>0</v>
      </c>
      <c r="H206" s="335">
        <v>0</v>
      </c>
      <c r="I206" s="335">
        <v>0</v>
      </c>
      <c r="J206" s="335">
        <v>0</v>
      </c>
      <c r="K206" s="335">
        <v>0</v>
      </c>
      <c r="L206" s="335">
        <v>0</v>
      </c>
      <c r="M206" s="335">
        <v>0</v>
      </c>
      <c r="N206" s="335">
        <v>0</v>
      </c>
      <c r="O206" s="335">
        <v>0</v>
      </c>
      <c r="P206" s="335">
        <f t="shared" si="43"/>
        <v>0</v>
      </c>
    </row>
    <row r="207" spans="1:16">
      <c r="B207" t="s">
        <v>582</v>
      </c>
      <c r="D207" s="335">
        <v>0</v>
      </c>
      <c r="E207" s="335">
        <v>0</v>
      </c>
      <c r="F207" s="335">
        <v>0</v>
      </c>
      <c r="G207" s="335">
        <v>0</v>
      </c>
      <c r="H207" s="335">
        <v>0</v>
      </c>
      <c r="I207" s="335">
        <v>0</v>
      </c>
      <c r="J207" s="335">
        <v>0</v>
      </c>
      <c r="K207" s="335">
        <v>0</v>
      </c>
      <c r="L207" s="335">
        <v>0</v>
      </c>
      <c r="M207" s="335">
        <v>0</v>
      </c>
      <c r="N207" s="335">
        <v>0</v>
      </c>
      <c r="O207" s="335">
        <v>0</v>
      </c>
      <c r="P207" s="335">
        <f t="shared" si="43"/>
        <v>0</v>
      </c>
    </row>
    <row r="208" spans="1:16">
      <c r="B208" t="s">
        <v>651</v>
      </c>
      <c r="D208" s="335"/>
      <c r="E208" s="335"/>
      <c r="F208" s="335"/>
      <c r="G208" s="335"/>
      <c r="H208" s="335"/>
      <c r="I208" s="335">
        <v>0</v>
      </c>
      <c r="J208" s="335">
        <v>0</v>
      </c>
      <c r="K208" s="335">
        <v>0</v>
      </c>
      <c r="L208" s="335">
        <v>0</v>
      </c>
      <c r="M208" s="335">
        <v>0</v>
      </c>
      <c r="N208" s="335">
        <v>0</v>
      </c>
      <c r="O208" s="335">
        <v>0</v>
      </c>
      <c r="P208" s="335">
        <f t="shared" si="43"/>
        <v>0</v>
      </c>
    </row>
    <row r="209" spans="1:16">
      <c r="B209" t="s">
        <v>64</v>
      </c>
      <c r="D209" s="335">
        <f>SUM(D195:D208)</f>
        <v>36269180</v>
      </c>
      <c r="E209" s="335">
        <f t="shared" ref="E209:O209" si="44">SUM(E195:E208)</f>
        <v>37568812</v>
      </c>
      <c r="F209" s="335">
        <f t="shared" si="44"/>
        <v>39286006</v>
      </c>
      <c r="G209" s="335">
        <f t="shared" si="44"/>
        <v>36341294</v>
      </c>
      <c r="H209" s="335">
        <f t="shared" si="44"/>
        <v>37705990</v>
      </c>
      <c r="I209" s="335">
        <f t="shared" si="44"/>
        <v>38401122</v>
      </c>
      <c r="J209" s="335">
        <f t="shared" si="44"/>
        <v>37639530</v>
      </c>
      <c r="K209" s="335">
        <f t="shared" si="44"/>
        <v>35055858</v>
      </c>
      <c r="L209" s="335">
        <f t="shared" si="44"/>
        <v>36143840</v>
      </c>
      <c r="M209" s="335">
        <f t="shared" si="44"/>
        <v>30120374</v>
      </c>
      <c r="N209" s="335">
        <f t="shared" si="44"/>
        <v>31359532</v>
      </c>
      <c r="O209" s="335">
        <f t="shared" si="44"/>
        <v>33105658</v>
      </c>
      <c r="P209" s="335">
        <f>SUM(P195:P208)</f>
        <v>428997196</v>
      </c>
    </row>
    <row r="210" spans="1:16">
      <c r="A210" t="s">
        <v>554</v>
      </c>
      <c r="B210" t="s">
        <v>573</v>
      </c>
      <c r="D210" s="335">
        <v>0</v>
      </c>
      <c r="E210" s="335">
        <v>0</v>
      </c>
      <c r="F210" s="335">
        <v>0</v>
      </c>
      <c r="G210" s="335">
        <v>0</v>
      </c>
      <c r="H210" s="335">
        <v>0</v>
      </c>
      <c r="I210" s="335">
        <v>0</v>
      </c>
      <c r="J210" s="335">
        <v>0</v>
      </c>
      <c r="K210" s="335">
        <v>0</v>
      </c>
      <c r="L210" s="335">
        <v>0</v>
      </c>
      <c r="M210" s="335">
        <v>0</v>
      </c>
      <c r="N210" s="335">
        <v>0</v>
      </c>
      <c r="O210" s="335">
        <v>0</v>
      </c>
      <c r="P210" s="335">
        <f t="shared" ref="P210:P211" si="45">SUM(D210:O210)</f>
        <v>0</v>
      </c>
    </row>
    <row r="211" spans="1:16">
      <c r="B211" t="s">
        <v>585</v>
      </c>
      <c r="D211" s="335">
        <v>0</v>
      </c>
      <c r="E211" s="335">
        <v>0</v>
      </c>
      <c r="F211" s="335">
        <v>0</v>
      </c>
      <c r="G211" s="335">
        <v>0</v>
      </c>
      <c r="H211" s="335">
        <v>0</v>
      </c>
      <c r="I211" s="335">
        <v>0</v>
      </c>
      <c r="J211" s="335">
        <v>0</v>
      </c>
      <c r="K211" s="335">
        <v>0</v>
      </c>
      <c r="L211" s="335">
        <v>0</v>
      </c>
      <c r="M211" s="335">
        <v>0</v>
      </c>
      <c r="N211" s="335">
        <v>0</v>
      </c>
      <c r="O211" s="335">
        <v>0</v>
      </c>
      <c r="P211" s="335">
        <f t="shared" si="45"/>
        <v>0</v>
      </c>
    </row>
    <row r="212" spans="1:16">
      <c r="B212" t="s">
        <v>574</v>
      </c>
      <c r="D212" s="335">
        <v>5751806.8470000001</v>
      </c>
      <c r="E212" s="335">
        <v>5851891.676</v>
      </c>
      <c r="F212" s="335">
        <v>6199855.0650000004</v>
      </c>
      <c r="G212" s="335">
        <v>3368431.1839999999</v>
      </c>
      <c r="H212" s="335">
        <v>724557.46200000006</v>
      </c>
      <c r="I212" s="335">
        <v>18899.151999999998</v>
      </c>
      <c r="J212" s="335">
        <v>15746.31</v>
      </c>
      <c r="K212" s="335">
        <v>11822.290999999999</v>
      </c>
      <c r="L212" s="335">
        <v>11107.718999999999</v>
      </c>
      <c r="M212" s="335">
        <v>980022.82700000005</v>
      </c>
      <c r="N212" s="335">
        <v>3247500.335</v>
      </c>
      <c r="O212" s="335">
        <v>5905579.9649999999</v>
      </c>
      <c r="P212" s="335">
        <f>SUM(D212:O212)</f>
        <v>32087220.833000001</v>
      </c>
    </row>
    <row r="213" spans="1:16">
      <c r="B213" t="s">
        <v>572</v>
      </c>
      <c r="D213" s="335">
        <v>0</v>
      </c>
      <c r="E213" s="335">
        <v>0</v>
      </c>
      <c r="F213" s="335">
        <v>0</v>
      </c>
      <c r="G213" s="335">
        <v>0</v>
      </c>
      <c r="H213" s="335">
        <v>0</v>
      </c>
      <c r="I213" s="335">
        <v>0</v>
      </c>
      <c r="J213" s="335">
        <v>0</v>
      </c>
      <c r="K213" s="335">
        <v>0</v>
      </c>
      <c r="L213" s="335">
        <v>0</v>
      </c>
      <c r="M213" s="335">
        <v>0</v>
      </c>
      <c r="N213" s="335">
        <v>0</v>
      </c>
      <c r="O213" s="335">
        <v>0</v>
      </c>
      <c r="P213" s="335">
        <f t="shared" ref="P213:P220" si="46">SUM(D213:O213)</f>
        <v>0</v>
      </c>
    </row>
    <row r="214" spans="1:16">
      <c r="B214" t="s">
        <v>622</v>
      </c>
      <c r="D214" s="335">
        <v>0</v>
      </c>
      <c r="E214" s="335">
        <v>0</v>
      </c>
      <c r="F214" s="335">
        <v>0</v>
      </c>
      <c r="G214" s="335">
        <v>0</v>
      </c>
      <c r="H214" s="335">
        <v>0</v>
      </c>
      <c r="I214" s="335">
        <v>0</v>
      </c>
      <c r="J214" s="335">
        <v>0</v>
      </c>
      <c r="K214" s="335">
        <v>0</v>
      </c>
      <c r="L214" s="335">
        <v>0</v>
      </c>
      <c r="M214" s="335">
        <v>0</v>
      </c>
      <c r="N214" s="335">
        <v>0</v>
      </c>
      <c r="O214" s="335">
        <v>0</v>
      </c>
      <c r="P214" s="335">
        <f t="shared" si="46"/>
        <v>0</v>
      </c>
    </row>
    <row r="215" spans="1:16">
      <c r="B215" t="s">
        <v>578</v>
      </c>
      <c r="D215" s="335">
        <v>0</v>
      </c>
      <c r="E215" s="335">
        <v>0</v>
      </c>
      <c r="F215" s="335">
        <v>0</v>
      </c>
      <c r="G215" s="335">
        <v>0</v>
      </c>
      <c r="H215" s="335">
        <v>0</v>
      </c>
      <c r="I215" s="335">
        <v>0</v>
      </c>
      <c r="J215" s="335">
        <v>0</v>
      </c>
      <c r="K215" s="335">
        <v>0</v>
      </c>
      <c r="L215" s="335">
        <v>0</v>
      </c>
      <c r="M215" s="335">
        <v>0</v>
      </c>
      <c r="N215" s="335">
        <v>0</v>
      </c>
      <c r="O215" s="335">
        <v>0</v>
      </c>
      <c r="P215" s="335">
        <f t="shared" si="46"/>
        <v>0</v>
      </c>
    </row>
    <row r="216" spans="1:16">
      <c r="B216" t="s">
        <v>579</v>
      </c>
      <c r="D216" s="335">
        <v>0</v>
      </c>
      <c r="E216" s="335">
        <v>0</v>
      </c>
      <c r="F216" s="335">
        <v>0</v>
      </c>
      <c r="G216" s="335">
        <v>0</v>
      </c>
      <c r="H216" s="335">
        <v>0</v>
      </c>
      <c r="I216" s="335">
        <v>0</v>
      </c>
      <c r="J216" s="335">
        <v>0</v>
      </c>
      <c r="K216" s="335">
        <v>0</v>
      </c>
      <c r="L216" s="335">
        <v>0</v>
      </c>
      <c r="M216" s="335">
        <v>0</v>
      </c>
      <c r="N216" s="335">
        <v>0</v>
      </c>
      <c r="O216" s="335">
        <v>0</v>
      </c>
      <c r="P216" s="335">
        <f t="shared" si="46"/>
        <v>0</v>
      </c>
    </row>
    <row r="217" spans="1:16">
      <c r="B217" t="s">
        <v>580</v>
      </c>
      <c r="D217" s="335">
        <v>0</v>
      </c>
      <c r="E217" s="335">
        <v>0</v>
      </c>
      <c r="F217" s="335">
        <v>0</v>
      </c>
      <c r="G217" s="335">
        <v>0</v>
      </c>
      <c r="H217" s="335">
        <v>0</v>
      </c>
      <c r="I217" s="335">
        <v>0</v>
      </c>
      <c r="J217" s="335">
        <v>0</v>
      </c>
      <c r="K217" s="335">
        <v>0</v>
      </c>
      <c r="L217" s="335">
        <v>0</v>
      </c>
      <c r="M217" s="335">
        <v>0</v>
      </c>
      <c r="N217" s="335">
        <v>0</v>
      </c>
      <c r="O217" s="335">
        <v>0</v>
      </c>
      <c r="P217" s="335">
        <f t="shared" si="46"/>
        <v>0</v>
      </c>
    </row>
    <row r="218" spans="1:16">
      <c r="B218" t="s">
        <v>581</v>
      </c>
      <c r="D218" s="335">
        <v>0</v>
      </c>
      <c r="E218" s="335">
        <v>0</v>
      </c>
      <c r="F218" s="335">
        <v>0</v>
      </c>
      <c r="G218" s="335">
        <v>0</v>
      </c>
      <c r="H218" s="335">
        <v>0</v>
      </c>
      <c r="I218" s="335">
        <v>0</v>
      </c>
      <c r="J218" s="335">
        <v>0</v>
      </c>
      <c r="K218" s="335">
        <v>0</v>
      </c>
      <c r="L218" s="335">
        <v>0</v>
      </c>
      <c r="M218" s="335">
        <v>0</v>
      </c>
      <c r="N218" s="335">
        <v>0</v>
      </c>
      <c r="O218" s="335">
        <v>0</v>
      </c>
      <c r="P218" s="335">
        <f t="shared" si="46"/>
        <v>0</v>
      </c>
    </row>
    <row r="219" spans="1:16">
      <c r="B219" t="s">
        <v>582</v>
      </c>
      <c r="D219" s="335">
        <v>0</v>
      </c>
      <c r="E219" s="335">
        <v>0</v>
      </c>
      <c r="F219" s="335">
        <v>0</v>
      </c>
      <c r="G219" s="335">
        <v>0</v>
      </c>
      <c r="H219" s="335">
        <v>0</v>
      </c>
      <c r="I219" s="335">
        <v>0</v>
      </c>
      <c r="J219" s="335">
        <v>0</v>
      </c>
      <c r="K219" s="335">
        <v>0</v>
      </c>
      <c r="L219" s="335">
        <v>0</v>
      </c>
      <c r="M219" s="335">
        <v>0</v>
      </c>
      <c r="N219" s="335">
        <v>0</v>
      </c>
      <c r="O219" s="335">
        <v>0</v>
      </c>
      <c r="P219" s="335">
        <f t="shared" si="46"/>
        <v>0</v>
      </c>
    </row>
    <row r="220" spans="1:16">
      <c r="B220" t="s">
        <v>651</v>
      </c>
      <c r="D220" s="335"/>
      <c r="E220" s="335"/>
      <c r="F220" s="335"/>
      <c r="G220" s="335"/>
      <c r="H220" s="335">
        <v>0</v>
      </c>
      <c r="I220" s="335">
        <v>0</v>
      </c>
      <c r="J220" s="335">
        <v>0</v>
      </c>
      <c r="K220" s="335">
        <v>0</v>
      </c>
      <c r="L220" s="335">
        <v>0</v>
      </c>
      <c r="M220" s="335">
        <v>0</v>
      </c>
      <c r="N220" s="335">
        <v>0</v>
      </c>
      <c r="O220" s="335">
        <v>0</v>
      </c>
      <c r="P220" s="335">
        <f t="shared" si="46"/>
        <v>0</v>
      </c>
    </row>
    <row r="221" spans="1:16">
      <c r="B221" t="s">
        <v>64</v>
      </c>
      <c r="D221" s="335">
        <f>SUM(D210:D220)</f>
        <v>5751806.8470000001</v>
      </c>
      <c r="E221" s="335">
        <f t="shared" ref="E221:O221" si="47">SUM(E210:E220)</f>
        <v>5851891.676</v>
      </c>
      <c r="F221" s="335">
        <f t="shared" si="47"/>
        <v>6199855.0650000004</v>
      </c>
      <c r="G221" s="335">
        <f t="shared" si="47"/>
        <v>3368431.1839999999</v>
      </c>
      <c r="H221" s="335">
        <f t="shared" si="47"/>
        <v>724557.46200000006</v>
      </c>
      <c r="I221" s="335">
        <f t="shared" si="47"/>
        <v>18899.151999999998</v>
      </c>
      <c r="J221" s="335">
        <f t="shared" si="47"/>
        <v>15746.31</v>
      </c>
      <c r="K221" s="335">
        <f t="shared" si="47"/>
        <v>11822.290999999999</v>
      </c>
      <c r="L221" s="335">
        <f t="shared" si="47"/>
        <v>11107.718999999999</v>
      </c>
      <c r="M221" s="335">
        <f t="shared" si="47"/>
        <v>980022.82700000005</v>
      </c>
      <c r="N221" s="335">
        <f t="shared" si="47"/>
        <v>3247500.335</v>
      </c>
      <c r="O221" s="335">
        <f t="shared" si="47"/>
        <v>5905579.9649999999</v>
      </c>
      <c r="P221" s="335">
        <f>SUM(P210:P220)</f>
        <v>32087220.833000001</v>
      </c>
    </row>
    <row r="222" spans="1:16">
      <c r="A222" t="s">
        <v>555</v>
      </c>
      <c r="B222" t="s">
        <v>573</v>
      </c>
      <c r="D222" s="335">
        <v>0</v>
      </c>
      <c r="E222" s="335">
        <v>0</v>
      </c>
      <c r="F222" s="335">
        <v>0</v>
      </c>
      <c r="G222" s="335">
        <v>0</v>
      </c>
      <c r="H222" s="335">
        <v>0</v>
      </c>
      <c r="I222" s="335">
        <v>0</v>
      </c>
      <c r="J222" s="335">
        <v>0</v>
      </c>
      <c r="K222" s="335">
        <v>0</v>
      </c>
      <c r="L222" s="335">
        <v>0</v>
      </c>
      <c r="M222" s="335">
        <v>0</v>
      </c>
      <c r="N222" s="335">
        <v>0</v>
      </c>
      <c r="O222" s="335">
        <v>0</v>
      </c>
      <c r="P222" s="335">
        <f t="shared" ref="P222:P223" si="48">SUM(D222:O222)</f>
        <v>0</v>
      </c>
    </row>
    <row r="223" spans="1:16">
      <c r="B223" t="s">
        <v>585</v>
      </c>
      <c r="D223" s="335">
        <v>0</v>
      </c>
      <c r="E223" s="335">
        <v>0</v>
      </c>
      <c r="F223" s="335">
        <v>0</v>
      </c>
      <c r="G223" s="335">
        <v>0</v>
      </c>
      <c r="H223" s="335">
        <v>0</v>
      </c>
      <c r="I223" s="335">
        <v>0</v>
      </c>
      <c r="J223" s="335">
        <v>0</v>
      </c>
      <c r="K223" s="335">
        <v>0</v>
      </c>
      <c r="L223" s="335">
        <v>0</v>
      </c>
      <c r="M223" s="335">
        <v>0</v>
      </c>
      <c r="N223" s="335">
        <v>0</v>
      </c>
      <c r="O223" s="335">
        <v>0</v>
      </c>
      <c r="P223" s="335">
        <f t="shared" si="48"/>
        <v>0</v>
      </c>
    </row>
    <row r="224" spans="1:16">
      <c r="B224" t="s">
        <v>574</v>
      </c>
      <c r="D224" s="335">
        <v>3939093.9316699998</v>
      </c>
      <c r="E224" s="335">
        <v>3758265.5180000002</v>
      </c>
      <c r="F224" s="335">
        <v>4328424.3271700004</v>
      </c>
      <c r="G224" s="335">
        <v>2575503.5581499999</v>
      </c>
      <c r="H224" s="335">
        <v>2291029.2623299998</v>
      </c>
      <c r="I224" s="335">
        <v>1901285.8908500001</v>
      </c>
      <c r="J224" s="335">
        <v>1715872.5842899999</v>
      </c>
      <c r="K224" s="335">
        <v>1233506.3535</v>
      </c>
      <c r="L224" s="335">
        <v>1928789.7294999999</v>
      </c>
      <c r="M224" s="335">
        <v>1758653.9735000001</v>
      </c>
      <c r="N224" s="335">
        <v>3299842.8331599999</v>
      </c>
      <c r="O224" s="335">
        <v>4066272.7455000002</v>
      </c>
      <c r="P224" s="335">
        <f>SUM(D224:O224)</f>
        <v>32796540.707620002</v>
      </c>
    </row>
    <row r="225" spans="1:16">
      <c r="B225" t="s">
        <v>575</v>
      </c>
      <c r="D225" s="335">
        <v>1261849.673</v>
      </c>
      <c r="E225" s="335">
        <v>1342206.459</v>
      </c>
      <c r="F225" s="335">
        <v>1357248.40433</v>
      </c>
      <c r="G225" s="335">
        <v>964055.67604000005</v>
      </c>
      <c r="H225" s="335">
        <v>454578.76332999999</v>
      </c>
      <c r="I225" s="335">
        <v>483674.91833999997</v>
      </c>
      <c r="J225" s="335">
        <v>483122.08317</v>
      </c>
      <c r="K225" s="335">
        <v>348205.49167000002</v>
      </c>
      <c r="L225" s="335">
        <v>546583.57700000005</v>
      </c>
      <c r="M225" s="335">
        <v>382454.07549999998</v>
      </c>
      <c r="N225" s="335">
        <v>956565.70166999998</v>
      </c>
      <c r="O225" s="335">
        <v>1313530.8666699999</v>
      </c>
      <c r="P225" s="335">
        <f t="shared" ref="P225:P234" si="49">SUM(D225:O225)</f>
        <v>9894075.6897200011</v>
      </c>
    </row>
    <row r="226" spans="1:16">
      <c r="B226" t="s">
        <v>576</v>
      </c>
      <c r="D226" s="335">
        <v>7250170.7593299998</v>
      </c>
      <c r="E226" s="335">
        <v>10745499.838</v>
      </c>
      <c r="F226" s="335">
        <v>12499052.634500001</v>
      </c>
      <c r="G226" s="335">
        <v>8499501.3598100003</v>
      </c>
      <c r="H226" s="335">
        <v>2509992.8583399998</v>
      </c>
      <c r="I226" s="335">
        <v>2600944.0948200002</v>
      </c>
      <c r="J226" s="335">
        <v>2369945.89964</v>
      </c>
      <c r="K226" s="335">
        <v>1803645.01483</v>
      </c>
      <c r="L226" s="335">
        <v>2417412.3344999999</v>
      </c>
      <c r="M226" s="335">
        <v>1585683.314</v>
      </c>
      <c r="N226" s="335">
        <v>3753125.09717</v>
      </c>
      <c r="O226" s="335">
        <v>7577762.9798299996</v>
      </c>
      <c r="P226" s="335">
        <f t="shared" si="49"/>
        <v>63612736.18477001</v>
      </c>
    </row>
    <row r="227" spans="1:16">
      <c r="B227" t="s">
        <v>572</v>
      </c>
      <c r="D227" s="335">
        <v>0</v>
      </c>
      <c r="E227" s="335">
        <v>0</v>
      </c>
      <c r="F227" s="335">
        <v>0</v>
      </c>
      <c r="G227" s="335">
        <v>0</v>
      </c>
      <c r="H227" s="335">
        <v>0</v>
      </c>
      <c r="I227" s="335">
        <v>0</v>
      </c>
      <c r="J227" s="335">
        <v>0</v>
      </c>
      <c r="K227" s="335">
        <v>0</v>
      </c>
      <c r="L227" s="335">
        <v>0</v>
      </c>
      <c r="M227" s="335">
        <v>0</v>
      </c>
      <c r="N227" s="335">
        <v>0</v>
      </c>
      <c r="O227" s="335">
        <v>0</v>
      </c>
      <c r="P227" s="335">
        <f t="shared" si="49"/>
        <v>0</v>
      </c>
    </row>
    <row r="228" spans="1:16">
      <c r="B228" t="s">
        <v>622</v>
      </c>
      <c r="D228" s="335">
        <v>0</v>
      </c>
      <c r="E228" s="335">
        <v>0</v>
      </c>
      <c r="F228" s="335">
        <v>0</v>
      </c>
      <c r="G228" s="335">
        <v>0</v>
      </c>
      <c r="H228" s="335">
        <v>0</v>
      </c>
      <c r="I228" s="335">
        <v>0</v>
      </c>
      <c r="J228" s="335">
        <v>0</v>
      </c>
      <c r="K228" s="335">
        <v>0</v>
      </c>
      <c r="L228" s="335">
        <v>0</v>
      </c>
      <c r="M228" s="335">
        <v>0</v>
      </c>
      <c r="N228" s="335">
        <v>0</v>
      </c>
      <c r="O228" s="335">
        <v>0</v>
      </c>
      <c r="P228" s="335">
        <f t="shared" si="49"/>
        <v>0</v>
      </c>
    </row>
    <row r="229" spans="1:16">
      <c r="B229" t="s">
        <v>578</v>
      </c>
      <c r="D229" s="335">
        <v>0</v>
      </c>
      <c r="E229" s="335">
        <v>0</v>
      </c>
      <c r="F229" s="335">
        <v>0</v>
      </c>
      <c r="G229" s="335">
        <v>0</v>
      </c>
      <c r="H229" s="335">
        <v>0</v>
      </c>
      <c r="I229" s="335">
        <v>0</v>
      </c>
      <c r="J229" s="335">
        <v>0</v>
      </c>
      <c r="K229" s="335">
        <v>0</v>
      </c>
      <c r="L229" s="335">
        <v>0</v>
      </c>
      <c r="M229" s="335">
        <v>0</v>
      </c>
      <c r="N229" s="335">
        <v>0</v>
      </c>
      <c r="O229" s="335">
        <v>0</v>
      </c>
      <c r="P229" s="335">
        <f t="shared" si="49"/>
        <v>0</v>
      </c>
    </row>
    <row r="230" spans="1:16">
      <c r="B230" t="s">
        <v>579</v>
      </c>
      <c r="D230" s="335">
        <v>0</v>
      </c>
      <c r="E230" s="335">
        <v>0</v>
      </c>
      <c r="F230" s="335">
        <v>0</v>
      </c>
      <c r="G230" s="335">
        <v>0</v>
      </c>
      <c r="H230" s="335">
        <v>0</v>
      </c>
      <c r="I230" s="335">
        <v>0</v>
      </c>
      <c r="J230" s="335">
        <v>0</v>
      </c>
      <c r="K230" s="335">
        <v>0</v>
      </c>
      <c r="L230" s="335">
        <v>0</v>
      </c>
      <c r="M230" s="335">
        <v>0</v>
      </c>
      <c r="N230" s="335">
        <v>0</v>
      </c>
      <c r="O230" s="335">
        <v>0</v>
      </c>
      <c r="P230" s="335">
        <f t="shared" si="49"/>
        <v>0</v>
      </c>
    </row>
    <row r="231" spans="1:16">
      <c r="B231" t="s">
        <v>580</v>
      </c>
      <c r="D231" s="335">
        <v>0</v>
      </c>
      <c r="E231" s="335">
        <v>0</v>
      </c>
      <c r="F231" s="335">
        <v>0</v>
      </c>
      <c r="G231" s="335">
        <v>0</v>
      </c>
      <c r="H231" s="335">
        <v>0</v>
      </c>
      <c r="I231" s="335">
        <v>0</v>
      </c>
      <c r="J231" s="335">
        <v>0</v>
      </c>
      <c r="K231" s="335">
        <v>0</v>
      </c>
      <c r="L231" s="335">
        <v>0</v>
      </c>
      <c r="M231" s="335">
        <v>0</v>
      </c>
      <c r="N231" s="335">
        <v>0</v>
      </c>
      <c r="O231" s="335">
        <v>0</v>
      </c>
      <c r="P231" s="335">
        <f t="shared" si="49"/>
        <v>0</v>
      </c>
    </row>
    <row r="232" spans="1:16">
      <c r="B232" t="s">
        <v>581</v>
      </c>
      <c r="D232" s="335">
        <v>0</v>
      </c>
      <c r="E232" s="335">
        <v>0</v>
      </c>
      <c r="F232" s="335">
        <v>0</v>
      </c>
      <c r="G232" s="335">
        <v>0</v>
      </c>
      <c r="H232" s="335">
        <v>0</v>
      </c>
      <c r="I232" s="335">
        <v>0</v>
      </c>
      <c r="J232" s="335">
        <v>0</v>
      </c>
      <c r="K232" s="335">
        <v>0</v>
      </c>
      <c r="L232" s="335">
        <v>0</v>
      </c>
      <c r="M232" s="335">
        <v>0</v>
      </c>
      <c r="N232" s="335">
        <v>0</v>
      </c>
      <c r="O232" s="335">
        <v>0</v>
      </c>
      <c r="P232" s="335">
        <f t="shared" si="49"/>
        <v>0</v>
      </c>
    </row>
    <row r="233" spans="1:16">
      <c r="B233" t="s">
        <v>582</v>
      </c>
      <c r="D233" s="335">
        <v>0</v>
      </c>
      <c r="E233" s="335">
        <v>0</v>
      </c>
      <c r="F233" s="335">
        <v>0</v>
      </c>
      <c r="G233" s="335">
        <v>0</v>
      </c>
      <c r="H233" s="335">
        <v>0</v>
      </c>
      <c r="I233" s="335">
        <v>0</v>
      </c>
      <c r="J233" s="335">
        <v>0</v>
      </c>
      <c r="K233" s="335">
        <v>0</v>
      </c>
      <c r="L233" s="335">
        <v>0</v>
      </c>
      <c r="M233" s="335">
        <v>0</v>
      </c>
      <c r="N233" s="335">
        <v>0</v>
      </c>
      <c r="O233" s="335">
        <v>0</v>
      </c>
      <c r="P233" s="335">
        <f t="shared" si="49"/>
        <v>0</v>
      </c>
    </row>
    <row r="234" spans="1:16">
      <c r="B234" t="s">
        <v>651</v>
      </c>
      <c r="D234" s="335"/>
      <c r="E234" s="335"/>
      <c r="F234" s="335"/>
      <c r="G234" s="335"/>
      <c r="H234" s="335">
        <v>0</v>
      </c>
      <c r="I234" s="335">
        <v>0</v>
      </c>
      <c r="J234" s="335">
        <v>0</v>
      </c>
      <c r="K234" s="335">
        <v>0</v>
      </c>
      <c r="L234" s="335">
        <v>0</v>
      </c>
      <c r="M234" s="335">
        <v>0</v>
      </c>
      <c r="N234" s="335">
        <v>0</v>
      </c>
      <c r="O234" s="335">
        <v>0</v>
      </c>
      <c r="P234" s="335">
        <f t="shared" si="49"/>
        <v>0</v>
      </c>
    </row>
    <row r="235" spans="1:16">
      <c r="B235" t="s">
        <v>64</v>
      </c>
      <c r="D235" s="335">
        <f>SUM(D222:D234)</f>
        <v>12451114.364</v>
      </c>
      <c r="E235" s="335">
        <f t="shared" ref="E235:P235" si="50">SUM(E222:E234)</f>
        <v>15845971.814999999</v>
      </c>
      <c r="F235" s="335">
        <f t="shared" si="50"/>
        <v>18184725.366</v>
      </c>
      <c r="G235" s="335">
        <f t="shared" si="50"/>
        <v>12039060.594000001</v>
      </c>
      <c r="H235" s="335">
        <f t="shared" si="50"/>
        <v>5255600.8839999996</v>
      </c>
      <c r="I235" s="335">
        <f t="shared" si="50"/>
        <v>4985904.9040099997</v>
      </c>
      <c r="J235" s="335">
        <f t="shared" si="50"/>
        <v>4568940.5670999996</v>
      </c>
      <c r="K235" s="335">
        <f t="shared" si="50"/>
        <v>3385356.8600000003</v>
      </c>
      <c r="L235" s="335">
        <f t="shared" si="50"/>
        <v>4892785.6409999998</v>
      </c>
      <c r="M235" s="335">
        <f t="shared" si="50"/>
        <v>3726791.3629999999</v>
      </c>
      <c r="N235" s="335">
        <f t="shared" si="50"/>
        <v>8009533.6320000002</v>
      </c>
      <c r="O235" s="335">
        <f t="shared" si="50"/>
        <v>12957566.592</v>
      </c>
      <c r="P235" s="335">
        <f t="shared" si="50"/>
        <v>106303352.58211002</v>
      </c>
    </row>
    <row r="236" spans="1:16">
      <c r="A236" t="s">
        <v>556</v>
      </c>
      <c r="B236" t="s">
        <v>573</v>
      </c>
      <c r="D236" s="335">
        <v>0</v>
      </c>
      <c r="E236" s="335">
        <v>0</v>
      </c>
      <c r="F236" s="335">
        <v>0</v>
      </c>
      <c r="G236" s="335">
        <v>0</v>
      </c>
      <c r="H236" s="335">
        <v>0</v>
      </c>
      <c r="I236" s="335">
        <v>0</v>
      </c>
      <c r="J236" s="335">
        <v>0</v>
      </c>
      <c r="K236" s="335">
        <v>0</v>
      </c>
      <c r="L236" s="335">
        <v>0</v>
      </c>
      <c r="M236" s="335">
        <v>0</v>
      </c>
      <c r="N236" s="335">
        <v>0</v>
      </c>
      <c r="O236" s="335">
        <v>0</v>
      </c>
      <c r="P236" s="335">
        <f>SUM(D236:O236)</f>
        <v>0</v>
      </c>
    </row>
    <row r="237" spans="1:16">
      <c r="B237" t="s">
        <v>574</v>
      </c>
      <c r="D237" s="335">
        <v>376255.16733999999</v>
      </c>
      <c r="E237" s="335">
        <v>492501.511</v>
      </c>
      <c r="F237" s="335">
        <v>448670.40500999999</v>
      </c>
      <c r="G237" s="335">
        <v>293469.39233</v>
      </c>
      <c r="H237" s="335">
        <v>197970.40117</v>
      </c>
      <c r="I237" s="335">
        <v>152659.54736</v>
      </c>
      <c r="J237" s="335">
        <v>159416.93523999999</v>
      </c>
      <c r="K237" s="335">
        <v>136034.10884</v>
      </c>
      <c r="L237" s="335">
        <v>154348.52050000001</v>
      </c>
      <c r="M237" s="335">
        <v>167971.01834000001</v>
      </c>
      <c r="N237" s="335">
        <v>281491.26299999998</v>
      </c>
      <c r="O237" s="335">
        <v>376022.47583000001</v>
      </c>
      <c r="P237" s="335">
        <f>SUM(D237:O237)</f>
        <v>3236810.7459599995</v>
      </c>
    </row>
    <row r="238" spans="1:16">
      <c r="B238" t="s">
        <v>575</v>
      </c>
      <c r="D238" s="335">
        <v>203268.63466000001</v>
      </c>
      <c r="E238" s="335">
        <v>328843.48700000002</v>
      </c>
      <c r="F238" s="335">
        <v>280899.72999000002</v>
      </c>
      <c r="G238" s="335">
        <v>136704.15466999999</v>
      </c>
      <c r="H238" s="335">
        <v>78746.129329999996</v>
      </c>
      <c r="I238" s="335">
        <v>101079.48066</v>
      </c>
      <c r="J238" s="335">
        <v>104190.03934</v>
      </c>
      <c r="K238" s="335">
        <v>84905.709659999993</v>
      </c>
      <c r="L238" s="335">
        <v>96492.59</v>
      </c>
      <c r="M238" s="335">
        <v>79455.691659999997</v>
      </c>
      <c r="N238" s="335">
        <v>132993.886</v>
      </c>
      <c r="O238" s="335">
        <v>204502.98316999999</v>
      </c>
      <c r="P238" s="335">
        <f t="shared" ref="P238:P248" si="51">SUM(D238:O238)</f>
        <v>1832082.5161399997</v>
      </c>
    </row>
    <row r="239" spans="1:16">
      <c r="B239" t="s">
        <v>576</v>
      </c>
      <c r="D239" s="335">
        <v>454012.98300000001</v>
      </c>
      <c r="E239" s="335">
        <v>1006991.24</v>
      </c>
      <c r="F239" s="335">
        <v>677460.34600000002</v>
      </c>
      <c r="G239" s="335">
        <v>227976.11900000001</v>
      </c>
      <c r="H239" s="335">
        <v>124872.7595</v>
      </c>
      <c r="I239" s="335">
        <v>164915.30898999999</v>
      </c>
      <c r="J239" s="335">
        <v>194778.03649</v>
      </c>
      <c r="K239" s="335">
        <v>156843.53150000001</v>
      </c>
      <c r="L239" s="335">
        <v>164421.50450000001</v>
      </c>
      <c r="M239" s="335">
        <v>159509.103</v>
      </c>
      <c r="N239" s="335">
        <v>252912.592</v>
      </c>
      <c r="O239" s="335">
        <v>437305.26</v>
      </c>
      <c r="P239" s="335">
        <f t="shared" si="51"/>
        <v>4021998.7839799998</v>
      </c>
    </row>
    <row r="240" spans="1:16">
      <c r="B240" t="s">
        <v>572</v>
      </c>
      <c r="D240" s="335">
        <v>0</v>
      </c>
      <c r="E240" s="335">
        <v>0</v>
      </c>
      <c r="F240" s="335">
        <v>0</v>
      </c>
      <c r="G240" s="335">
        <v>0</v>
      </c>
      <c r="H240" s="335">
        <v>0</v>
      </c>
      <c r="I240" s="335">
        <v>0</v>
      </c>
      <c r="J240" s="335">
        <v>0</v>
      </c>
      <c r="K240" s="335">
        <v>0</v>
      </c>
      <c r="L240" s="335">
        <v>0</v>
      </c>
      <c r="M240" s="335">
        <v>0</v>
      </c>
      <c r="N240" s="335">
        <v>0</v>
      </c>
      <c r="O240" s="335">
        <v>0</v>
      </c>
      <c r="P240" s="335">
        <f t="shared" si="51"/>
        <v>0</v>
      </c>
    </row>
    <row r="241" spans="1:16">
      <c r="B241" t="s">
        <v>577</v>
      </c>
      <c r="D241" s="335">
        <v>0</v>
      </c>
      <c r="E241" s="335">
        <v>0</v>
      </c>
      <c r="F241" s="335">
        <v>0</v>
      </c>
      <c r="G241" s="335">
        <v>0</v>
      </c>
      <c r="H241" s="335">
        <v>0</v>
      </c>
      <c r="I241" s="335">
        <v>0</v>
      </c>
      <c r="J241" s="335">
        <v>0</v>
      </c>
      <c r="K241" s="335">
        <v>0</v>
      </c>
      <c r="L241" s="335">
        <v>0</v>
      </c>
      <c r="M241" s="335">
        <v>0</v>
      </c>
      <c r="N241" s="335">
        <v>0</v>
      </c>
      <c r="O241" s="335">
        <v>0</v>
      </c>
      <c r="P241" s="335">
        <f t="shared" si="51"/>
        <v>0</v>
      </c>
    </row>
    <row r="242" spans="1:16">
      <c r="B242" t="s">
        <v>622</v>
      </c>
      <c r="D242" s="335">
        <v>0</v>
      </c>
      <c r="E242" s="335">
        <v>0</v>
      </c>
      <c r="F242" s="335">
        <v>0</v>
      </c>
      <c r="G242" s="335">
        <v>0</v>
      </c>
      <c r="H242" s="335">
        <v>0</v>
      </c>
      <c r="I242" s="335">
        <v>0</v>
      </c>
      <c r="J242" s="335">
        <v>0</v>
      </c>
      <c r="K242" s="335">
        <v>0</v>
      </c>
      <c r="L242" s="335">
        <v>0</v>
      </c>
      <c r="M242" s="335">
        <v>0</v>
      </c>
      <c r="N242" s="335">
        <v>0</v>
      </c>
      <c r="O242" s="335">
        <v>0</v>
      </c>
      <c r="P242" s="335">
        <f t="shared" si="51"/>
        <v>0</v>
      </c>
    </row>
    <row r="243" spans="1:16">
      <c r="B243" t="s">
        <v>578</v>
      </c>
      <c r="D243" s="335">
        <v>0</v>
      </c>
      <c r="E243" s="335">
        <v>0</v>
      </c>
      <c r="F243" s="335">
        <v>0</v>
      </c>
      <c r="G243" s="335">
        <v>0</v>
      </c>
      <c r="H243" s="335">
        <v>0</v>
      </c>
      <c r="I243" s="335">
        <v>0</v>
      </c>
      <c r="J243" s="335">
        <v>0</v>
      </c>
      <c r="K243" s="335">
        <v>0</v>
      </c>
      <c r="L243" s="335">
        <v>0</v>
      </c>
      <c r="M243" s="335">
        <v>0</v>
      </c>
      <c r="N243" s="335">
        <v>0</v>
      </c>
      <c r="O243" s="335">
        <v>0</v>
      </c>
      <c r="P243" s="335">
        <f t="shared" si="51"/>
        <v>0</v>
      </c>
    </row>
    <row r="244" spans="1:16">
      <c r="B244" t="s">
        <v>579</v>
      </c>
      <c r="D244" s="335">
        <v>0</v>
      </c>
      <c r="E244" s="335">
        <v>0</v>
      </c>
      <c r="F244" s="335">
        <v>0</v>
      </c>
      <c r="G244" s="335">
        <v>0</v>
      </c>
      <c r="H244" s="335">
        <v>0</v>
      </c>
      <c r="I244" s="335">
        <v>0</v>
      </c>
      <c r="J244" s="335">
        <v>0</v>
      </c>
      <c r="K244" s="335">
        <v>0</v>
      </c>
      <c r="L244" s="335">
        <v>0</v>
      </c>
      <c r="M244" s="335">
        <v>0</v>
      </c>
      <c r="N244" s="335">
        <v>0</v>
      </c>
      <c r="O244" s="335">
        <v>0</v>
      </c>
      <c r="P244" s="335">
        <f t="shared" si="51"/>
        <v>0</v>
      </c>
    </row>
    <row r="245" spans="1:16">
      <c r="B245" t="s">
        <v>580</v>
      </c>
      <c r="D245" s="335">
        <v>0</v>
      </c>
      <c r="E245" s="335">
        <v>0</v>
      </c>
      <c r="F245" s="335">
        <v>0</v>
      </c>
      <c r="G245" s="335">
        <v>0</v>
      </c>
      <c r="H245" s="335">
        <v>0</v>
      </c>
      <c r="I245" s="335">
        <v>0</v>
      </c>
      <c r="J245" s="335">
        <v>0</v>
      </c>
      <c r="K245" s="335">
        <v>0</v>
      </c>
      <c r="L245" s="335">
        <v>0</v>
      </c>
      <c r="M245" s="335">
        <v>0</v>
      </c>
      <c r="N245" s="335">
        <v>0</v>
      </c>
      <c r="O245" s="335">
        <v>0</v>
      </c>
      <c r="P245" s="335">
        <f t="shared" si="51"/>
        <v>0</v>
      </c>
    </row>
    <row r="246" spans="1:16">
      <c r="B246" t="s">
        <v>581</v>
      </c>
      <c r="D246" s="335">
        <v>0</v>
      </c>
      <c r="E246" s="335">
        <v>0</v>
      </c>
      <c r="F246" s="335">
        <v>0</v>
      </c>
      <c r="G246" s="335">
        <v>0</v>
      </c>
      <c r="H246" s="335">
        <v>0</v>
      </c>
      <c r="I246" s="335">
        <v>0</v>
      </c>
      <c r="J246" s="335">
        <v>0</v>
      </c>
      <c r="K246" s="335">
        <v>0</v>
      </c>
      <c r="L246" s="335">
        <v>0</v>
      </c>
      <c r="M246" s="335">
        <v>0</v>
      </c>
      <c r="N246" s="335">
        <v>0</v>
      </c>
      <c r="O246" s="335">
        <v>0</v>
      </c>
      <c r="P246" s="335">
        <f t="shared" si="51"/>
        <v>0</v>
      </c>
    </row>
    <row r="247" spans="1:16">
      <c r="B247" t="s">
        <v>582</v>
      </c>
      <c r="D247" s="335">
        <v>0</v>
      </c>
      <c r="E247" s="335">
        <v>0</v>
      </c>
      <c r="F247" s="335">
        <v>0</v>
      </c>
      <c r="G247" s="335">
        <v>0</v>
      </c>
      <c r="H247" s="335">
        <v>0</v>
      </c>
      <c r="I247" s="335">
        <v>0</v>
      </c>
      <c r="J247" s="335">
        <v>0</v>
      </c>
      <c r="K247" s="335">
        <v>0</v>
      </c>
      <c r="L247" s="335">
        <v>0</v>
      </c>
      <c r="M247" s="335">
        <v>0</v>
      </c>
      <c r="N247" s="335">
        <v>0</v>
      </c>
      <c r="O247" s="335">
        <v>0</v>
      </c>
      <c r="P247" s="335">
        <f t="shared" si="51"/>
        <v>0</v>
      </c>
    </row>
    <row r="248" spans="1:16">
      <c r="B248" t="s">
        <v>651</v>
      </c>
      <c r="D248" s="335"/>
      <c r="E248" s="335"/>
      <c r="F248" s="335"/>
      <c r="G248" s="335"/>
      <c r="H248" s="335">
        <v>0</v>
      </c>
      <c r="I248" s="335">
        <v>0</v>
      </c>
      <c r="J248" s="335">
        <v>0</v>
      </c>
      <c r="K248" s="335">
        <v>0</v>
      </c>
      <c r="L248" s="335">
        <v>0</v>
      </c>
      <c r="M248" s="335">
        <v>0</v>
      </c>
      <c r="N248" s="335">
        <v>0</v>
      </c>
      <c r="O248" s="335">
        <v>0</v>
      </c>
      <c r="P248" s="335">
        <f t="shared" si="51"/>
        <v>0</v>
      </c>
    </row>
    <row r="249" spans="1:16">
      <c r="B249" t="s">
        <v>64</v>
      </c>
      <c r="D249" s="335">
        <f>SUM(D236:D248)</f>
        <v>1033536.785</v>
      </c>
      <c r="E249" s="335">
        <f>SUM(E236:E248)</f>
        <v>1828336.2379999999</v>
      </c>
      <c r="F249" s="335">
        <f t="shared" ref="F249:P249" si="52">SUM(F236:F248)</f>
        <v>1407030.4810000001</v>
      </c>
      <c r="G249" s="335">
        <f t="shared" si="52"/>
        <v>658149.66599999997</v>
      </c>
      <c r="H249" s="335">
        <f t="shared" si="52"/>
        <v>401589.29</v>
      </c>
      <c r="I249" s="335">
        <f t="shared" si="52"/>
        <v>418654.33701000002</v>
      </c>
      <c r="J249" s="335">
        <f t="shared" si="52"/>
        <v>458385.01107000001</v>
      </c>
      <c r="K249" s="335">
        <f t="shared" si="52"/>
        <v>377783.35</v>
      </c>
      <c r="L249" s="335">
        <f t="shared" si="52"/>
        <v>415262.61499999999</v>
      </c>
      <c r="M249" s="335">
        <f t="shared" si="52"/>
        <v>406935.81300000002</v>
      </c>
      <c r="N249" s="335">
        <f t="shared" si="52"/>
        <v>667397.74099999992</v>
      </c>
      <c r="O249" s="335">
        <f t="shared" si="52"/>
        <v>1017830.719</v>
      </c>
      <c r="P249" s="335">
        <f t="shared" si="52"/>
        <v>9090892.0460799988</v>
      </c>
    </row>
    <row r="250" spans="1:16">
      <c r="A250" t="s">
        <v>557</v>
      </c>
      <c r="B250" t="s">
        <v>588</v>
      </c>
      <c r="D250" s="335">
        <v>0</v>
      </c>
      <c r="E250" s="335">
        <v>0</v>
      </c>
      <c r="F250" s="335">
        <v>0</v>
      </c>
      <c r="G250" s="335">
        <v>0</v>
      </c>
      <c r="H250" s="335">
        <v>0</v>
      </c>
      <c r="I250" s="335">
        <v>0</v>
      </c>
      <c r="J250" s="335">
        <v>0</v>
      </c>
      <c r="K250" s="335">
        <v>0</v>
      </c>
      <c r="L250" s="335">
        <v>0</v>
      </c>
      <c r="M250" s="335">
        <v>0</v>
      </c>
      <c r="N250" s="335">
        <v>0</v>
      </c>
      <c r="O250" s="335">
        <v>0</v>
      </c>
      <c r="P250" s="335">
        <f>SUM(D250:O250)</f>
        <v>0</v>
      </c>
    </row>
    <row r="251" spans="1:16">
      <c r="B251" t="s">
        <v>572</v>
      </c>
      <c r="D251" s="335">
        <v>1189.4659999999999</v>
      </c>
      <c r="E251" s="335">
        <v>1223.933</v>
      </c>
      <c r="F251" s="335">
        <v>1172</v>
      </c>
      <c r="G251" s="335">
        <v>1159.133</v>
      </c>
      <c r="H251" s="335">
        <v>1254.2660000000001</v>
      </c>
      <c r="I251" s="335">
        <v>288.2</v>
      </c>
      <c r="J251" s="335">
        <v>109.2</v>
      </c>
      <c r="K251" s="335">
        <v>0</v>
      </c>
      <c r="L251" s="335">
        <v>0</v>
      </c>
      <c r="M251" s="335">
        <v>0</v>
      </c>
      <c r="N251" s="335">
        <v>0</v>
      </c>
      <c r="O251" s="335">
        <v>0</v>
      </c>
      <c r="P251" s="335">
        <f>SUM(D251:O251)</f>
        <v>6396.1980000000003</v>
      </c>
    </row>
    <row r="252" spans="1:16">
      <c r="B252" t="s">
        <v>578</v>
      </c>
      <c r="D252" s="335">
        <v>0</v>
      </c>
      <c r="E252" s="335">
        <v>0</v>
      </c>
      <c r="F252" s="335">
        <v>0</v>
      </c>
      <c r="G252" s="335">
        <v>0</v>
      </c>
      <c r="H252" s="335">
        <v>0</v>
      </c>
      <c r="I252" s="335">
        <v>0</v>
      </c>
      <c r="J252" s="335">
        <v>0</v>
      </c>
      <c r="K252" s="335">
        <v>0</v>
      </c>
      <c r="L252" s="335">
        <v>0</v>
      </c>
      <c r="M252" s="335">
        <v>0</v>
      </c>
      <c r="N252" s="335">
        <v>0</v>
      </c>
      <c r="O252" s="335">
        <v>0</v>
      </c>
      <c r="P252" s="335">
        <f t="shared" ref="P252:P257" si="53">SUM(D252:O252)</f>
        <v>0</v>
      </c>
    </row>
    <row r="253" spans="1:16">
      <c r="B253" t="s">
        <v>579</v>
      </c>
      <c r="D253" s="335">
        <v>0</v>
      </c>
      <c r="E253" s="335">
        <v>0</v>
      </c>
      <c r="F253" s="335">
        <v>0</v>
      </c>
      <c r="G253" s="335">
        <v>0</v>
      </c>
      <c r="H253" s="335">
        <v>0</v>
      </c>
      <c r="I253" s="335">
        <v>0</v>
      </c>
      <c r="J253" s="335">
        <v>0</v>
      </c>
      <c r="K253" s="335">
        <v>0</v>
      </c>
      <c r="L253" s="335">
        <v>0</v>
      </c>
      <c r="M253" s="335">
        <v>0</v>
      </c>
      <c r="N253" s="335">
        <v>0</v>
      </c>
      <c r="O253" s="335">
        <v>0</v>
      </c>
      <c r="P253" s="335">
        <f t="shared" si="53"/>
        <v>0</v>
      </c>
    </row>
    <row r="254" spans="1:16">
      <c r="B254" t="s">
        <v>580</v>
      </c>
      <c r="D254" s="335">
        <v>0</v>
      </c>
      <c r="E254" s="335">
        <v>0</v>
      </c>
      <c r="F254" s="335">
        <v>0</v>
      </c>
      <c r="G254" s="335">
        <v>0</v>
      </c>
      <c r="H254" s="335">
        <v>0</v>
      </c>
      <c r="I254" s="335">
        <v>0</v>
      </c>
      <c r="J254" s="335">
        <v>0</v>
      </c>
      <c r="K254" s="335">
        <v>0</v>
      </c>
      <c r="L254" s="335">
        <v>0</v>
      </c>
      <c r="M254" s="335">
        <v>0</v>
      </c>
      <c r="N254" s="335">
        <v>0</v>
      </c>
      <c r="O254" s="335">
        <v>0</v>
      </c>
      <c r="P254" s="335">
        <f t="shared" si="53"/>
        <v>0</v>
      </c>
    </row>
    <row r="255" spans="1:16">
      <c r="B255" t="s">
        <v>581</v>
      </c>
      <c r="D255" s="335">
        <v>0</v>
      </c>
      <c r="E255" s="335">
        <v>0</v>
      </c>
      <c r="F255" s="335">
        <v>0</v>
      </c>
      <c r="G255" s="335">
        <v>0</v>
      </c>
      <c r="H255" s="335">
        <v>0</v>
      </c>
      <c r="I255" s="335">
        <v>0</v>
      </c>
      <c r="J255" s="335">
        <v>0</v>
      </c>
      <c r="K255" s="335">
        <v>0</v>
      </c>
      <c r="L255" s="335">
        <v>0</v>
      </c>
      <c r="M255" s="335">
        <v>0</v>
      </c>
      <c r="N255" s="335">
        <v>0</v>
      </c>
      <c r="O255" s="335">
        <v>0</v>
      </c>
      <c r="P255" s="335">
        <f t="shared" si="53"/>
        <v>0</v>
      </c>
    </row>
    <row r="256" spans="1:16">
      <c r="B256" t="s">
        <v>582</v>
      </c>
      <c r="D256" s="335">
        <v>0</v>
      </c>
      <c r="E256" s="335">
        <v>0</v>
      </c>
      <c r="F256" s="335">
        <v>0</v>
      </c>
      <c r="G256" s="335">
        <v>0</v>
      </c>
      <c r="H256" s="335">
        <v>0</v>
      </c>
      <c r="I256" s="335">
        <v>0</v>
      </c>
      <c r="J256" s="335">
        <v>0</v>
      </c>
      <c r="K256" s="335">
        <v>0</v>
      </c>
      <c r="L256" s="335">
        <v>0</v>
      </c>
      <c r="M256" s="335">
        <v>0</v>
      </c>
      <c r="N256" s="335">
        <v>0</v>
      </c>
      <c r="O256" s="335">
        <v>0</v>
      </c>
      <c r="P256" s="335">
        <f t="shared" si="53"/>
        <v>0</v>
      </c>
    </row>
    <row r="257" spans="1:16">
      <c r="B257" t="s">
        <v>651</v>
      </c>
      <c r="D257" s="335"/>
      <c r="E257" s="335"/>
      <c r="F257" s="335"/>
      <c r="G257" s="335"/>
      <c r="H257" s="335">
        <v>0</v>
      </c>
      <c r="I257" s="335">
        <v>0</v>
      </c>
      <c r="J257" s="335">
        <v>0</v>
      </c>
      <c r="K257" s="335">
        <v>0</v>
      </c>
      <c r="L257" s="335">
        <v>0</v>
      </c>
      <c r="M257" s="335">
        <v>0</v>
      </c>
      <c r="N257" s="335">
        <v>0</v>
      </c>
      <c r="O257" s="335">
        <v>0</v>
      </c>
      <c r="P257" s="335">
        <f t="shared" si="53"/>
        <v>0</v>
      </c>
    </row>
    <row r="258" spans="1:16">
      <c r="B258" t="s">
        <v>64</v>
      </c>
      <c r="D258" s="335">
        <f>SUM(D250:D257)</f>
        <v>1189.4659999999999</v>
      </c>
      <c r="E258" s="335">
        <f t="shared" ref="E258:O258" si="54">SUM(E250:E257)</f>
        <v>1223.933</v>
      </c>
      <c r="F258" s="335">
        <f t="shared" si="54"/>
        <v>1172</v>
      </c>
      <c r="G258" s="335">
        <f t="shared" si="54"/>
        <v>1159.133</v>
      </c>
      <c r="H258" s="335">
        <f t="shared" si="54"/>
        <v>1254.2660000000001</v>
      </c>
      <c r="I258" s="335">
        <f t="shared" si="54"/>
        <v>288.2</v>
      </c>
      <c r="J258" s="335">
        <f t="shared" si="54"/>
        <v>109.2</v>
      </c>
      <c r="K258" s="335">
        <f t="shared" si="54"/>
        <v>0</v>
      </c>
      <c r="L258" s="335">
        <f t="shared" si="54"/>
        <v>0</v>
      </c>
      <c r="M258" s="335">
        <f t="shared" si="54"/>
        <v>0</v>
      </c>
      <c r="N258" s="335">
        <f t="shared" si="54"/>
        <v>0</v>
      </c>
      <c r="O258" s="335">
        <f t="shared" si="54"/>
        <v>0</v>
      </c>
      <c r="P258" s="335">
        <f>SUM(P250:P257)</f>
        <v>6396.1980000000003</v>
      </c>
    </row>
    <row r="259" spans="1:16">
      <c r="A259" t="s">
        <v>558</v>
      </c>
      <c r="B259" t="s">
        <v>588</v>
      </c>
      <c r="D259" s="335">
        <v>0</v>
      </c>
      <c r="E259" s="335">
        <v>0</v>
      </c>
      <c r="F259" s="335">
        <v>0</v>
      </c>
      <c r="G259" s="335">
        <v>0</v>
      </c>
      <c r="H259" s="335">
        <v>0</v>
      </c>
      <c r="I259" s="335">
        <v>0</v>
      </c>
      <c r="J259" s="335">
        <v>0</v>
      </c>
      <c r="K259" s="335">
        <v>0</v>
      </c>
      <c r="L259" s="335">
        <v>0</v>
      </c>
      <c r="M259" s="335">
        <v>0</v>
      </c>
      <c r="N259" s="335">
        <v>0</v>
      </c>
      <c r="O259" s="335">
        <v>0</v>
      </c>
      <c r="P259" s="335">
        <f>SUM(D259:O259)</f>
        <v>0</v>
      </c>
    </row>
    <row r="260" spans="1:16">
      <c r="B260" t="s">
        <v>572</v>
      </c>
      <c r="D260" s="335">
        <v>353725.73187000002</v>
      </c>
      <c r="E260" s="335">
        <v>761133.37100000004</v>
      </c>
      <c r="F260" s="335">
        <v>731214.17099999997</v>
      </c>
      <c r="G260" s="335">
        <v>722320.04099999997</v>
      </c>
      <c r="H260" s="335">
        <v>747928.40300000005</v>
      </c>
      <c r="I260" s="335">
        <v>746627.14599999995</v>
      </c>
      <c r="J260" s="335">
        <v>778306.34100000001</v>
      </c>
      <c r="K260" s="335">
        <v>565437.23499999999</v>
      </c>
      <c r="L260" s="335">
        <v>850499.63600000006</v>
      </c>
      <c r="M260" s="335">
        <v>653338.28899999999</v>
      </c>
      <c r="N260" s="335">
        <v>780461.68400000001</v>
      </c>
      <c r="O260" s="335">
        <v>721390.36899999995</v>
      </c>
      <c r="P260" s="335">
        <f t="shared" ref="P260:P266" si="55">SUM(D260:O260)</f>
        <v>8412382.41787</v>
      </c>
    </row>
    <row r="261" spans="1:16">
      <c r="B261" t="s">
        <v>578</v>
      </c>
      <c r="D261" s="335">
        <v>0</v>
      </c>
      <c r="E261" s="335">
        <v>0</v>
      </c>
      <c r="F261" s="335">
        <v>0</v>
      </c>
      <c r="G261" s="335">
        <v>0</v>
      </c>
      <c r="H261" s="335">
        <v>0</v>
      </c>
      <c r="I261" s="335">
        <v>0</v>
      </c>
      <c r="J261" s="335">
        <v>0</v>
      </c>
      <c r="K261" s="335">
        <v>0</v>
      </c>
      <c r="L261" s="335">
        <v>0</v>
      </c>
      <c r="M261" s="335">
        <v>0</v>
      </c>
      <c r="N261" s="335">
        <v>0</v>
      </c>
      <c r="O261" s="335">
        <v>0</v>
      </c>
      <c r="P261" s="335">
        <f t="shared" si="55"/>
        <v>0</v>
      </c>
    </row>
    <row r="262" spans="1:16">
      <c r="B262" t="s">
        <v>579</v>
      </c>
      <c r="D262" s="335">
        <v>0</v>
      </c>
      <c r="E262" s="335">
        <v>0</v>
      </c>
      <c r="F262" s="335">
        <v>0</v>
      </c>
      <c r="G262" s="335">
        <v>0</v>
      </c>
      <c r="H262" s="335">
        <v>0</v>
      </c>
      <c r="I262" s="335">
        <v>0</v>
      </c>
      <c r="J262" s="335">
        <v>0</v>
      </c>
      <c r="K262" s="335">
        <v>0</v>
      </c>
      <c r="L262" s="335">
        <v>0</v>
      </c>
      <c r="M262" s="335">
        <v>0</v>
      </c>
      <c r="N262" s="335">
        <v>0</v>
      </c>
      <c r="O262" s="335">
        <v>0</v>
      </c>
      <c r="P262" s="335">
        <f t="shared" si="55"/>
        <v>0</v>
      </c>
    </row>
    <row r="263" spans="1:16">
      <c r="B263" t="s">
        <v>580</v>
      </c>
      <c r="D263" s="335">
        <v>0</v>
      </c>
      <c r="E263" s="335">
        <v>0</v>
      </c>
      <c r="F263" s="335">
        <v>0</v>
      </c>
      <c r="G263" s="335">
        <v>0</v>
      </c>
      <c r="H263" s="335">
        <v>0</v>
      </c>
      <c r="I263" s="335">
        <v>0</v>
      </c>
      <c r="J263" s="335">
        <v>0</v>
      </c>
      <c r="K263" s="335">
        <v>0</v>
      </c>
      <c r="L263" s="335">
        <v>0</v>
      </c>
      <c r="M263" s="335">
        <v>0</v>
      </c>
      <c r="N263" s="335">
        <v>0</v>
      </c>
      <c r="O263" s="335">
        <v>0</v>
      </c>
      <c r="P263" s="335">
        <f t="shared" si="55"/>
        <v>0</v>
      </c>
    </row>
    <row r="264" spans="1:16">
      <c r="B264" t="s">
        <v>581</v>
      </c>
      <c r="D264" s="335">
        <v>0</v>
      </c>
      <c r="E264" s="335">
        <v>0</v>
      </c>
      <c r="F264" s="335">
        <v>0</v>
      </c>
      <c r="G264" s="335">
        <v>0</v>
      </c>
      <c r="H264" s="335">
        <v>0</v>
      </c>
      <c r="I264" s="335">
        <v>0</v>
      </c>
      <c r="J264" s="335">
        <v>0</v>
      </c>
      <c r="K264" s="335">
        <v>0</v>
      </c>
      <c r="L264" s="335">
        <v>0</v>
      </c>
      <c r="M264" s="335">
        <v>0</v>
      </c>
      <c r="N264" s="335">
        <v>0</v>
      </c>
      <c r="O264" s="335">
        <v>0</v>
      </c>
      <c r="P264" s="335">
        <f t="shared" si="55"/>
        <v>0</v>
      </c>
    </row>
    <row r="265" spans="1:16">
      <c r="B265" t="s">
        <v>582</v>
      </c>
      <c r="D265" s="335">
        <v>0</v>
      </c>
      <c r="E265" s="335">
        <v>0</v>
      </c>
      <c r="F265" s="335">
        <v>0</v>
      </c>
      <c r="G265" s="335">
        <v>0</v>
      </c>
      <c r="H265" s="335">
        <v>0</v>
      </c>
      <c r="I265" s="335">
        <v>0</v>
      </c>
      <c r="J265" s="335">
        <v>0</v>
      </c>
      <c r="K265" s="335">
        <v>0</v>
      </c>
      <c r="L265" s="335">
        <v>0</v>
      </c>
      <c r="M265" s="335">
        <v>0</v>
      </c>
      <c r="N265" s="335">
        <v>0</v>
      </c>
      <c r="O265" s="335">
        <v>0</v>
      </c>
      <c r="P265" s="335">
        <f t="shared" si="55"/>
        <v>0</v>
      </c>
    </row>
    <row r="266" spans="1:16">
      <c r="B266" t="s">
        <v>651</v>
      </c>
      <c r="D266" s="335"/>
      <c r="E266" s="335"/>
      <c r="F266" s="335"/>
      <c r="G266" s="335"/>
      <c r="H266" s="335">
        <v>0</v>
      </c>
      <c r="I266" s="335">
        <v>0</v>
      </c>
      <c r="J266" s="335">
        <v>0</v>
      </c>
      <c r="K266" s="335">
        <v>0</v>
      </c>
      <c r="L266" s="335">
        <v>0</v>
      </c>
      <c r="M266" s="335">
        <v>0</v>
      </c>
      <c r="N266" s="335">
        <v>0</v>
      </c>
      <c r="O266" s="335">
        <v>0</v>
      </c>
      <c r="P266" s="335">
        <f t="shared" si="55"/>
        <v>0</v>
      </c>
    </row>
    <row r="267" spans="1:16">
      <c r="B267" t="s">
        <v>64</v>
      </c>
      <c r="D267" s="335">
        <f>SUM(D259:D266)</f>
        <v>353725.73187000002</v>
      </c>
      <c r="E267" s="335">
        <f t="shared" ref="E267:P267" si="56">SUM(E259:E266)</f>
        <v>761133.37100000004</v>
      </c>
      <c r="F267" s="335">
        <f t="shared" si="56"/>
        <v>731214.17099999997</v>
      </c>
      <c r="G267" s="335">
        <f t="shared" si="56"/>
        <v>722320.04099999997</v>
      </c>
      <c r="H267" s="335">
        <f t="shared" si="56"/>
        <v>747928.40300000005</v>
      </c>
      <c r="I267" s="335">
        <f t="shared" si="56"/>
        <v>746627.14599999995</v>
      </c>
      <c r="J267" s="335">
        <f t="shared" si="56"/>
        <v>778306.34100000001</v>
      </c>
      <c r="K267" s="335">
        <f t="shared" si="56"/>
        <v>565437.23499999999</v>
      </c>
      <c r="L267" s="335">
        <f t="shared" si="56"/>
        <v>850499.63600000006</v>
      </c>
      <c r="M267" s="335">
        <f t="shared" si="56"/>
        <v>653338.28899999999</v>
      </c>
      <c r="N267" s="335">
        <f t="shared" si="56"/>
        <v>780461.68400000001</v>
      </c>
      <c r="O267" s="335">
        <f t="shared" si="56"/>
        <v>721390.36899999995</v>
      </c>
      <c r="P267" s="335">
        <f t="shared" si="56"/>
        <v>8412382.41787</v>
      </c>
    </row>
    <row r="268" spans="1:16">
      <c r="A268" t="s">
        <v>559</v>
      </c>
      <c r="B268" t="s">
        <v>588</v>
      </c>
      <c r="D268" s="335">
        <v>0</v>
      </c>
      <c r="E268" s="335">
        <v>0</v>
      </c>
      <c r="F268" s="335">
        <v>0</v>
      </c>
      <c r="G268" s="335">
        <v>0</v>
      </c>
      <c r="H268" s="335">
        <v>0</v>
      </c>
      <c r="I268" s="335">
        <v>0</v>
      </c>
      <c r="J268" s="335">
        <v>0</v>
      </c>
      <c r="K268" s="335">
        <v>0</v>
      </c>
      <c r="L268" s="335">
        <v>0</v>
      </c>
      <c r="M268" s="335">
        <v>0</v>
      </c>
      <c r="N268" s="335">
        <v>0</v>
      </c>
      <c r="O268" s="335">
        <v>0</v>
      </c>
      <c r="P268" s="335">
        <f>SUM(D268:O268)</f>
        <v>0</v>
      </c>
    </row>
    <row r="269" spans="1:16">
      <c r="B269" t="s">
        <v>572</v>
      </c>
      <c r="D269" s="335">
        <v>12507.498</v>
      </c>
      <c r="E269" s="335">
        <v>12370.031000000001</v>
      </c>
      <c r="F269" s="335">
        <v>12083.999</v>
      </c>
      <c r="G269" s="335">
        <v>12261.398999999999</v>
      </c>
      <c r="H269" s="335">
        <v>12270.465</v>
      </c>
      <c r="I269" s="335">
        <v>12468.833000000001</v>
      </c>
      <c r="J269" s="335">
        <v>14213.466</v>
      </c>
      <c r="K269" s="335">
        <v>7145.9319999999998</v>
      </c>
      <c r="L269" s="335">
        <v>15932.499</v>
      </c>
      <c r="M269" s="335">
        <v>10939.365</v>
      </c>
      <c r="N269" s="335">
        <v>12694.397999999999</v>
      </c>
      <c r="O269" s="335">
        <v>11950.031999999999</v>
      </c>
      <c r="P269" s="335">
        <f>SUM(D269:O269)</f>
        <v>146837.91700000002</v>
      </c>
    </row>
    <row r="270" spans="1:16">
      <c r="B270" t="s">
        <v>578</v>
      </c>
      <c r="D270" s="335">
        <v>0</v>
      </c>
      <c r="E270" s="335">
        <v>0</v>
      </c>
      <c r="F270" s="335">
        <v>0</v>
      </c>
      <c r="G270" s="335">
        <v>0</v>
      </c>
      <c r="H270" s="335">
        <v>0</v>
      </c>
      <c r="I270" s="335">
        <v>0</v>
      </c>
      <c r="J270" s="335">
        <v>0</v>
      </c>
      <c r="K270" s="335">
        <v>0</v>
      </c>
      <c r="L270" s="335">
        <v>0</v>
      </c>
      <c r="M270" s="335">
        <v>0</v>
      </c>
      <c r="N270" s="335">
        <v>0</v>
      </c>
      <c r="O270" s="335">
        <v>0</v>
      </c>
      <c r="P270" s="335">
        <f t="shared" ref="P270:P275" si="57">SUM(D270:O270)</f>
        <v>0</v>
      </c>
    </row>
    <row r="271" spans="1:16">
      <c r="B271" t="s">
        <v>579</v>
      </c>
      <c r="D271" s="335">
        <v>0</v>
      </c>
      <c r="E271" s="335">
        <v>0</v>
      </c>
      <c r="F271" s="335">
        <v>0</v>
      </c>
      <c r="G271" s="335">
        <v>0</v>
      </c>
      <c r="H271" s="335">
        <v>0</v>
      </c>
      <c r="I271" s="335">
        <v>0</v>
      </c>
      <c r="J271" s="335">
        <v>0</v>
      </c>
      <c r="K271" s="335">
        <v>0</v>
      </c>
      <c r="L271" s="335">
        <v>0</v>
      </c>
      <c r="M271" s="335">
        <v>0</v>
      </c>
      <c r="N271" s="335">
        <v>0</v>
      </c>
      <c r="O271" s="335">
        <v>0</v>
      </c>
      <c r="P271" s="335">
        <f t="shared" si="57"/>
        <v>0</v>
      </c>
    </row>
    <row r="272" spans="1:16">
      <c r="B272" t="s">
        <v>580</v>
      </c>
      <c r="D272" s="335">
        <v>0</v>
      </c>
      <c r="E272" s="335">
        <v>0</v>
      </c>
      <c r="F272" s="335">
        <v>0</v>
      </c>
      <c r="G272" s="335">
        <v>0</v>
      </c>
      <c r="H272" s="335">
        <v>0</v>
      </c>
      <c r="I272" s="335">
        <v>0</v>
      </c>
      <c r="J272" s="335">
        <v>0</v>
      </c>
      <c r="K272" s="335">
        <v>0</v>
      </c>
      <c r="L272" s="335">
        <v>0</v>
      </c>
      <c r="M272" s="335">
        <v>0</v>
      </c>
      <c r="N272" s="335">
        <v>0</v>
      </c>
      <c r="O272" s="335">
        <v>0</v>
      </c>
      <c r="P272" s="335">
        <f t="shared" si="57"/>
        <v>0</v>
      </c>
    </row>
    <row r="273" spans="1:16">
      <c r="B273" t="s">
        <v>581</v>
      </c>
      <c r="D273" s="335">
        <v>0</v>
      </c>
      <c r="E273" s="335">
        <v>0</v>
      </c>
      <c r="F273" s="335">
        <v>0</v>
      </c>
      <c r="G273" s="335">
        <v>0</v>
      </c>
      <c r="H273" s="335">
        <v>0</v>
      </c>
      <c r="I273" s="335">
        <v>0</v>
      </c>
      <c r="J273" s="335">
        <v>0</v>
      </c>
      <c r="K273" s="335">
        <v>0</v>
      </c>
      <c r="L273" s="335">
        <v>0</v>
      </c>
      <c r="M273" s="335">
        <v>0</v>
      </c>
      <c r="N273" s="335">
        <v>0</v>
      </c>
      <c r="O273" s="335">
        <v>0</v>
      </c>
      <c r="P273" s="335">
        <f t="shared" si="57"/>
        <v>0</v>
      </c>
    </row>
    <row r="274" spans="1:16">
      <c r="B274" t="s">
        <v>582</v>
      </c>
      <c r="D274" s="335">
        <v>0</v>
      </c>
      <c r="E274" s="335">
        <v>0</v>
      </c>
      <c r="F274" s="335">
        <v>0</v>
      </c>
      <c r="G274" s="335">
        <v>0</v>
      </c>
      <c r="H274" s="335">
        <v>0</v>
      </c>
      <c r="I274" s="335">
        <v>0</v>
      </c>
      <c r="J274" s="335">
        <v>0</v>
      </c>
      <c r="K274" s="335">
        <v>0</v>
      </c>
      <c r="L274" s="335">
        <v>0</v>
      </c>
      <c r="M274" s="335">
        <v>0</v>
      </c>
      <c r="N274" s="335">
        <v>0</v>
      </c>
      <c r="O274" s="335">
        <v>0</v>
      </c>
      <c r="P274" s="335">
        <f t="shared" si="57"/>
        <v>0</v>
      </c>
    </row>
    <row r="275" spans="1:16">
      <c r="B275" t="s">
        <v>651</v>
      </c>
      <c r="D275" s="335"/>
      <c r="E275" s="335"/>
      <c r="F275" s="335"/>
      <c r="G275" s="335"/>
      <c r="H275" s="335">
        <v>0</v>
      </c>
      <c r="I275" s="335">
        <v>0</v>
      </c>
      <c r="J275" s="335">
        <v>0</v>
      </c>
      <c r="K275" s="335">
        <v>0</v>
      </c>
      <c r="L275" s="335">
        <v>0</v>
      </c>
      <c r="M275" s="335">
        <v>0</v>
      </c>
      <c r="N275" s="335">
        <v>0</v>
      </c>
      <c r="O275" s="335">
        <v>0</v>
      </c>
      <c r="P275" s="335">
        <f t="shared" si="57"/>
        <v>0</v>
      </c>
    </row>
    <row r="276" spans="1:16">
      <c r="B276" t="s">
        <v>64</v>
      </c>
      <c r="D276" s="335">
        <f>SUM(D268:D275)</f>
        <v>12507.498</v>
      </c>
      <c r="E276" s="335">
        <f t="shared" ref="E276:P276" si="58">SUM(E268:E275)</f>
        <v>12370.031000000001</v>
      </c>
      <c r="F276" s="335">
        <f t="shared" si="58"/>
        <v>12083.999</v>
      </c>
      <c r="G276" s="335">
        <f t="shared" si="58"/>
        <v>12261.398999999999</v>
      </c>
      <c r="H276" s="335">
        <f t="shared" si="58"/>
        <v>12270.465</v>
      </c>
      <c r="I276" s="335">
        <f t="shared" si="58"/>
        <v>12468.833000000001</v>
      </c>
      <c r="J276" s="335">
        <f t="shared" si="58"/>
        <v>14213.466</v>
      </c>
      <c r="K276" s="335">
        <f t="shared" si="58"/>
        <v>7145.9319999999998</v>
      </c>
      <c r="L276" s="335">
        <f t="shared" si="58"/>
        <v>15932.499</v>
      </c>
      <c r="M276" s="335">
        <f t="shared" si="58"/>
        <v>10939.365</v>
      </c>
      <c r="N276" s="335">
        <f t="shared" si="58"/>
        <v>12694.397999999999</v>
      </c>
      <c r="O276" s="335">
        <f t="shared" si="58"/>
        <v>11950.031999999999</v>
      </c>
      <c r="P276" s="335">
        <f t="shared" si="58"/>
        <v>146837.91700000002</v>
      </c>
    </row>
    <row r="277" spans="1:16">
      <c r="A277" t="s">
        <v>560</v>
      </c>
      <c r="B277" t="s">
        <v>588</v>
      </c>
      <c r="D277" s="335">
        <v>0</v>
      </c>
      <c r="E277" s="335">
        <v>0</v>
      </c>
      <c r="F277" s="335">
        <v>0</v>
      </c>
      <c r="G277" s="335">
        <v>0</v>
      </c>
      <c r="H277" s="335">
        <v>0</v>
      </c>
      <c r="I277" s="335">
        <v>0</v>
      </c>
      <c r="J277" s="335">
        <v>0</v>
      </c>
      <c r="K277" s="335">
        <v>0</v>
      </c>
      <c r="L277" s="335">
        <v>0</v>
      </c>
      <c r="M277" s="335">
        <v>0</v>
      </c>
      <c r="N277" s="335">
        <v>0</v>
      </c>
      <c r="O277" s="335">
        <v>0</v>
      </c>
      <c r="P277" s="335">
        <f>SUM(D277:O277)</f>
        <v>0</v>
      </c>
    </row>
    <row r="278" spans="1:16">
      <c r="B278" t="s">
        <v>572</v>
      </c>
      <c r="D278" s="335">
        <v>36521.133999999998</v>
      </c>
      <c r="E278" s="335">
        <v>33297.167000000001</v>
      </c>
      <c r="F278" s="335">
        <v>34403.334000000003</v>
      </c>
      <c r="G278" s="335">
        <v>36400.101000000002</v>
      </c>
      <c r="H278" s="335">
        <v>33179.400999999998</v>
      </c>
      <c r="I278" s="335">
        <v>37237.201000000001</v>
      </c>
      <c r="J278" s="335">
        <v>35436.834000000003</v>
      </c>
      <c r="K278" s="335">
        <v>35741.366999999998</v>
      </c>
      <c r="L278" s="335">
        <v>32497.934000000001</v>
      </c>
      <c r="M278" s="335">
        <v>32332.600999999999</v>
      </c>
      <c r="N278" s="335">
        <v>32404.001</v>
      </c>
      <c r="O278" s="335">
        <v>35418.733999999997</v>
      </c>
      <c r="P278" s="335">
        <f>SUM(D278:O278)</f>
        <v>414869.80900000001</v>
      </c>
    </row>
    <row r="279" spans="1:16">
      <c r="B279" t="s">
        <v>578</v>
      </c>
      <c r="D279" s="335">
        <v>0</v>
      </c>
      <c r="E279" s="335">
        <v>0</v>
      </c>
      <c r="F279" s="335">
        <v>0</v>
      </c>
      <c r="G279" s="335">
        <v>0</v>
      </c>
      <c r="H279" s="335">
        <v>0</v>
      </c>
      <c r="I279" s="335">
        <v>0</v>
      </c>
      <c r="J279" s="335">
        <v>0</v>
      </c>
      <c r="K279" s="335">
        <v>0</v>
      </c>
      <c r="L279" s="335">
        <v>0</v>
      </c>
      <c r="M279" s="335">
        <v>0</v>
      </c>
      <c r="N279" s="335">
        <v>0</v>
      </c>
      <c r="O279" s="335">
        <v>0</v>
      </c>
      <c r="P279" s="335">
        <f t="shared" ref="P279:P284" si="59">SUM(D279:O279)</f>
        <v>0</v>
      </c>
    </row>
    <row r="280" spans="1:16">
      <c r="B280" t="s">
        <v>579</v>
      </c>
      <c r="D280" s="335">
        <v>0</v>
      </c>
      <c r="E280" s="335">
        <v>0</v>
      </c>
      <c r="F280" s="335">
        <v>0</v>
      </c>
      <c r="G280" s="335">
        <v>0</v>
      </c>
      <c r="H280" s="335">
        <v>0</v>
      </c>
      <c r="I280" s="335">
        <v>0</v>
      </c>
      <c r="J280" s="335">
        <v>0</v>
      </c>
      <c r="K280" s="335">
        <v>0</v>
      </c>
      <c r="L280" s="335">
        <v>0</v>
      </c>
      <c r="M280" s="335">
        <v>0</v>
      </c>
      <c r="N280" s="335">
        <v>0</v>
      </c>
      <c r="O280" s="335">
        <v>0</v>
      </c>
      <c r="P280" s="335">
        <f t="shared" si="59"/>
        <v>0</v>
      </c>
    </row>
    <row r="281" spans="1:16">
      <c r="B281" t="s">
        <v>580</v>
      </c>
      <c r="D281" s="335">
        <v>0</v>
      </c>
      <c r="E281" s="335">
        <v>0</v>
      </c>
      <c r="F281" s="335">
        <v>0</v>
      </c>
      <c r="G281" s="335">
        <v>0</v>
      </c>
      <c r="H281" s="335">
        <v>0</v>
      </c>
      <c r="I281" s="335">
        <v>0</v>
      </c>
      <c r="J281" s="335">
        <v>0</v>
      </c>
      <c r="K281" s="335">
        <v>0</v>
      </c>
      <c r="L281" s="335">
        <v>0</v>
      </c>
      <c r="M281" s="335">
        <v>0</v>
      </c>
      <c r="N281" s="335">
        <v>0</v>
      </c>
      <c r="O281" s="335">
        <v>0</v>
      </c>
      <c r="P281" s="335">
        <f t="shared" si="59"/>
        <v>0</v>
      </c>
    </row>
    <row r="282" spans="1:16">
      <c r="B282" t="s">
        <v>581</v>
      </c>
      <c r="D282" s="335">
        <v>0</v>
      </c>
      <c r="E282" s="335">
        <v>0</v>
      </c>
      <c r="F282" s="335">
        <v>0</v>
      </c>
      <c r="G282" s="335">
        <v>0</v>
      </c>
      <c r="H282" s="335">
        <v>0</v>
      </c>
      <c r="I282" s="335">
        <v>0</v>
      </c>
      <c r="J282" s="335">
        <v>0</v>
      </c>
      <c r="K282" s="335">
        <v>0</v>
      </c>
      <c r="L282" s="335">
        <v>0</v>
      </c>
      <c r="M282" s="335">
        <v>0</v>
      </c>
      <c r="N282" s="335">
        <v>0</v>
      </c>
      <c r="O282" s="335">
        <v>0</v>
      </c>
      <c r="P282" s="335">
        <f t="shared" si="59"/>
        <v>0</v>
      </c>
    </row>
    <row r="283" spans="1:16">
      <c r="B283" t="s">
        <v>582</v>
      </c>
      <c r="D283" s="335">
        <v>0</v>
      </c>
      <c r="E283" s="335">
        <v>0</v>
      </c>
      <c r="F283" s="335">
        <v>0</v>
      </c>
      <c r="G283" s="335">
        <v>0</v>
      </c>
      <c r="H283" s="335">
        <v>0</v>
      </c>
      <c r="I283" s="335">
        <v>0</v>
      </c>
      <c r="J283" s="335">
        <v>0</v>
      </c>
      <c r="K283" s="335">
        <v>0</v>
      </c>
      <c r="L283" s="335">
        <v>0</v>
      </c>
      <c r="M283" s="335">
        <v>0</v>
      </c>
      <c r="N283" s="335">
        <v>0</v>
      </c>
      <c r="O283" s="335">
        <v>0</v>
      </c>
      <c r="P283" s="335">
        <f t="shared" si="59"/>
        <v>0</v>
      </c>
    </row>
    <row r="284" spans="1:16">
      <c r="B284" t="s">
        <v>651</v>
      </c>
      <c r="D284" s="335"/>
      <c r="E284" s="335"/>
      <c r="F284" s="335"/>
      <c r="G284" s="335"/>
      <c r="H284" s="335">
        <v>0</v>
      </c>
      <c r="I284" s="335">
        <v>0</v>
      </c>
      <c r="J284" s="335">
        <v>0</v>
      </c>
      <c r="K284" s="335">
        <v>0</v>
      </c>
      <c r="L284" s="335">
        <v>0</v>
      </c>
      <c r="M284" s="335">
        <v>0</v>
      </c>
      <c r="N284" s="335">
        <v>0</v>
      </c>
      <c r="O284" s="335">
        <v>0</v>
      </c>
      <c r="P284" s="335">
        <f t="shared" si="59"/>
        <v>0</v>
      </c>
    </row>
    <row r="285" spans="1:16">
      <c r="B285" t="s">
        <v>64</v>
      </c>
      <c r="D285" s="335">
        <f>SUM(D277:D284)</f>
        <v>36521.133999999998</v>
      </c>
      <c r="E285" s="335">
        <f t="shared" ref="E285:O285" si="60">SUM(E277:E284)</f>
        <v>33297.167000000001</v>
      </c>
      <c r="F285" s="335">
        <f t="shared" si="60"/>
        <v>34403.334000000003</v>
      </c>
      <c r="G285" s="335">
        <f t="shared" si="60"/>
        <v>36400.101000000002</v>
      </c>
      <c r="H285" s="335">
        <f t="shared" si="60"/>
        <v>33179.400999999998</v>
      </c>
      <c r="I285" s="335">
        <f t="shared" si="60"/>
        <v>37237.201000000001</v>
      </c>
      <c r="J285" s="335">
        <f t="shared" si="60"/>
        <v>35436.834000000003</v>
      </c>
      <c r="K285" s="335">
        <f t="shared" si="60"/>
        <v>35741.366999999998</v>
      </c>
      <c r="L285" s="335">
        <f t="shared" si="60"/>
        <v>32497.934000000001</v>
      </c>
      <c r="M285" s="335">
        <f t="shared" si="60"/>
        <v>32332.600999999999</v>
      </c>
      <c r="N285" s="335">
        <f t="shared" si="60"/>
        <v>32404.001</v>
      </c>
      <c r="O285" s="335">
        <f t="shared" si="60"/>
        <v>35418.733999999997</v>
      </c>
      <c r="P285" s="335">
        <f>SUM(P277:P284)</f>
        <v>414869.80900000001</v>
      </c>
    </row>
    <row r="286" spans="1:16">
      <c r="A286" t="s">
        <v>561</v>
      </c>
      <c r="B286" t="s">
        <v>588</v>
      </c>
      <c r="D286" s="335">
        <v>0</v>
      </c>
      <c r="E286" s="335">
        <v>0</v>
      </c>
      <c r="F286" s="335">
        <v>0</v>
      </c>
      <c r="G286" s="335">
        <v>0</v>
      </c>
      <c r="H286" s="335">
        <v>0</v>
      </c>
      <c r="I286" s="335">
        <v>0</v>
      </c>
      <c r="J286" s="335">
        <v>0</v>
      </c>
      <c r="K286" s="335">
        <v>0</v>
      </c>
      <c r="L286" s="335">
        <v>0</v>
      </c>
      <c r="M286" s="335">
        <v>0</v>
      </c>
      <c r="N286" s="335">
        <v>0</v>
      </c>
      <c r="O286" s="335">
        <v>0</v>
      </c>
      <c r="P286" s="335">
        <f>SUM(D286:O286)</f>
        <v>0</v>
      </c>
    </row>
    <row r="287" spans="1:16">
      <c r="B287" t="s">
        <v>572</v>
      </c>
      <c r="D287" s="335">
        <v>67164.77</v>
      </c>
      <c r="E287" s="335">
        <v>67566.168999999994</v>
      </c>
      <c r="F287" s="335">
        <v>66156.634000000005</v>
      </c>
      <c r="G287" s="335">
        <v>66410.5</v>
      </c>
      <c r="H287" s="335">
        <v>65021.133000000002</v>
      </c>
      <c r="I287" s="335">
        <v>70605.3</v>
      </c>
      <c r="J287" s="335">
        <v>70515.566999999995</v>
      </c>
      <c r="K287" s="335">
        <v>60385.432999999997</v>
      </c>
      <c r="L287" s="335">
        <v>68837.534</v>
      </c>
      <c r="M287" s="335">
        <v>60483.665000000001</v>
      </c>
      <c r="N287" s="335">
        <v>69459.769</v>
      </c>
      <c r="O287" s="335">
        <v>67090.900999999998</v>
      </c>
      <c r="P287" s="335">
        <f>SUM(D287:O287)</f>
        <v>799697.37499999988</v>
      </c>
    </row>
    <row r="288" spans="1:16">
      <c r="B288" t="s">
        <v>578</v>
      </c>
      <c r="D288" s="335">
        <v>0</v>
      </c>
      <c r="E288" s="335">
        <v>0</v>
      </c>
      <c r="F288" s="335">
        <v>0</v>
      </c>
      <c r="G288" s="335">
        <v>0</v>
      </c>
      <c r="H288" s="335">
        <v>0</v>
      </c>
      <c r="I288" s="335">
        <v>0</v>
      </c>
      <c r="J288" s="335">
        <v>0</v>
      </c>
      <c r="K288" s="335">
        <v>0</v>
      </c>
      <c r="L288" s="335">
        <v>0</v>
      </c>
      <c r="M288" s="335">
        <v>0</v>
      </c>
      <c r="N288" s="335">
        <v>0</v>
      </c>
      <c r="O288" s="335">
        <v>0</v>
      </c>
      <c r="P288" s="335">
        <f t="shared" ref="P288:P293" si="61">SUM(D288:O288)</f>
        <v>0</v>
      </c>
    </row>
    <row r="289" spans="1:16">
      <c r="B289" t="s">
        <v>579</v>
      </c>
      <c r="D289" s="335">
        <v>0</v>
      </c>
      <c r="E289" s="335">
        <v>0</v>
      </c>
      <c r="F289" s="335">
        <v>0</v>
      </c>
      <c r="G289" s="335">
        <v>0</v>
      </c>
      <c r="H289" s="335">
        <v>0</v>
      </c>
      <c r="I289" s="335">
        <v>0</v>
      </c>
      <c r="J289" s="335">
        <v>0</v>
      </c>
      <c r="K289" s="335">
        <v>0</v>
      </c>
      <c r="L289" s="335">
        <v>0</v>
      </c>
      <c r="M289" s="335">
        <v>0</v>
      </c>
      <c r="N289" s="335">
        <v>0</v>
      </c>
      <c r="O289" s="335">
        <v>0</v>
      </c>
      <c r="P289" s="335">
        <f t="shared" si="61"/>
        <v>0</v>
      </c>
    </row>
    <row r="290" spans="1:16">
      <c r="B290" t="s">
        <v>580</v>
      </c>
      <c r="D290" s="335">
        <v>0</v>
      </c>
      <c r="E290" s="335">
        <v>0</v>
      </c>
      <c r="F290" s="335">
        <v>0</v>
      </c>
      <c r="G290" s="335">
        <v>0</v>
      </c>
      <c r="H290" s="335">
        <v>0</v>
      </c>
      <c r="I290" s="335">
        <v>0</v>
      </c>
      <c r="J290" s="335">
        <v>0</v>
      </c>
      <c r="K290" s="335">
        <v>0</v>
      </c>
      <c r="L290" s="335">
        <v>0</v>
      </c>
      <c r="M290" s="335">
        <v>0</v>
      </c>
      <c r="N290" s="335">
        <v>0</v>
      </c>
      <c r="O290" s="335">
        <v>0</v>
      </c>
      <c r="P290" s="335">
        <f t="shared" si="61"/>
        <v>0</v>
      </c>
    </row>
    <row r="291" spans="1:16">
      <c r="B291" t="s">
        <v>581</v>
      </c>
      <c r="D291" s="335">
        <v>0</v>
      </c>
      <c r="E291" s="335">
        <v>0</v>
      </c>
      <c r="F291" s="335">
        <v>0</v>
      </c>
      <c r="G291" s="335">
        <v>0</v>
      </c>
      <c r="H291" s="335">
        <v>0</v>
      </c>
      <c r="I291" s="335">
        <v>0</v>
      </c>
      <c r="J291" s="335">
        <v>0</v>
      </c>
      <c r="K291" s="335">
        <v>0</v>
      </c>
      <c r="L291" s="335">
        <v>0</v>
      </c>
      <c r="M291" s="335">
        <v>0</v>
      </c>
      <c r="N291" s="335">
        <v>0</v>
      </c>
      <c r="O291" s="335">
        <v>0</v>
      </c>
      <c r="P291" s="335">
        <f t="shared" si="61"/>
        <v>0</v>
      </c>
    </row>
    <row r="292" spans="1:16">
      <c r="B292" t="s">
        <v>582</v>
      </c>
      <c r="D292" s="335">
        <v>0</v>
      </c>
      <c r="E292" s="335">
        <v>0</v>
      </c>
      <c r="F292" s="335">
        <v>0</v>
      </c>
      <c r="G292" s="335">
        <v>0</v>
      </c>
      <c r="H292" s="335">
        <v>0</v>
      </c>
      <c r="I292" s="335">
        <v>0</v>
      </c>
      <c r="J292" s="335">
        <v>0</v>
      </c>
      <c r="K292" s="335">
        <v>0</v>
      </c>
      <c r="L292" s="335">
        <v>0</v>
      </c>
      <c r="M292" s="335">
        <v>0</v>
      </c>
      <c r="N292" s="335">
        <v>0</v>
      </c>
      <c r="O292" s="335">
        <v>0</v>
      </c>
      <c r="P292" s="335">
        <f t="shared" si="61"/>
        <v>0</v>
      </c>
    </row>
    <row r="293" spans="1:16">
      <c r="B293" t="s">
        <v>651</v>
      </c>
      <c r="D293" s="335"/>
      <c r="E293" s="335"/>
      <c r="F293" s="335"/>
      <c r="G293" s="335"/>
      <c r="H293" s="335">
        <v>0</v>
      </c>
      <c r="I293" s="335">
        <v>0</v>
      </c>
      <c r="J293" s="335">
        <v>0</v>
      </c>
      <c r="K293" s="335">
        <v>0</v>
      </c>
      <c r="L293" s="335">
        <v>0</v>
      </c>
      <c r="M293" s="335">
        <v>0</v>
      </c>
      <c r="N293" s="335">
        <v>0</v>
      </c>
      <c r="O293" s="335">
        <v>0</v>
      </c>
      <c r="P293" s="335">
        <f t="shared" si="61"/>
        <v>0</v>
      </c>
    </row>
    <row r="294" spans="1:16">
      <c r="B294" t="s">
        <v>64</v>
      </c>
      <c r="D294" s="335">
        <f>SUM(D286:D293)</f>
        <v>67164.77</v>
      </c>
      <c r="E294" s="335">
        <f t="shared" ref="E294:O294" si="62">SUM(E286:E293)</f>
        <v>67566.168999999994</v>
      </c>
      <c r="F294" s="335">
        <f t="shared" si="62"/>
        <v>66156.634000000005</v>
      </c>
      <c r="G294" s="335">
        <f t="shared" si="62"/>
        <v>66410.5</v>
      </c>
      <c r="H294" s="335">
        <f t="shared" si="62"/>
        <v>65021.133000000002</v>
      </c>
      <c r="I294" s="335">
        <f t="shared" si="62"/>
        <v>70605.3</v>
      </c>
      <c r="J294" s="335">
        <f t="shared" si="62"/>
        <v>70515.566999999995</v>
      </c>
      <c r="K294" s="335">
        <f t="shared" si="62"/>
        <v>60385.432999999997</v>
      </c>
      <c r="L294" s="335">
        <f t="shared" si="62"/>
        <v>68837.534</v>
      </c>
      <c r="M294" s="335">
        <f t="shared" si="62"/>
        <v>60483.665000000001</v>
      </c>
      <c r="N294" s="335">
        <f t="shared" si="62"/>
        <v>69459.769</v>
      </c>
      <c r="O294" s="335">
        <f t="shared" si="62"/>
        <v>67090.900999999998</v>
      </c>
      <c r="P294" s="335">
        <f>SUM(P286:P293)</f>
        <v>799697.37499999988</v>
      </c>
    </row>
    <row r="295" spans="1:16">
      <c r="A295" t="s">
        <v>562</v>
      </c>
      <c r="B295" t="s">
        <v>588</v>
      </c>
      <c r="D295" s="335">
        <v>0</v>
      </c>
      <c r="E295" s="335">
        <v>0</v>
      </c>
      <c r="F295" s="335">
        <v>0</v>
      </c>
      <c r="G295" s="335">
        <v>0</v>
      </c>
      <c r="H295" s="335">
        <v>0</v>
      </c>
      <c r="I295" s="335">
        <v>0</v>
      </c>
      <c r="J295" s="335">
        <v>0</v>
      </c>
      <c r="K295" s="335">
        <v>0</v>
      </c>
      <c r="L295" s="335">
        <v>0</v>
      </c>
      <c r="M295" s="335">
        <v>0</v>
      </c>
      <c r="N295" s="335">
        <v>0</v>
      </c>
      <c r="O295" s="335">
        <v>0</v>
      </c>
      <c r="P295" s="335">
        <f>SUM(D295:O295)</f>
        <v>0</v>
      </c>
    </row>
    <row r="296" spans="1:16">
      <c r="B296" t="s">
        <v>572</v>
      </c>
      <c r="D296" s="335">
        <v>348294.70146000001</v>
      </c>
      <c r="E296" s="335">
        <v>348378.37747000001</v>
      </c>
      <c r="F296" s="335">
        <v>354557.06011999998</v>
      </c>
      <c r="G296" s="335">
        <v>328506.57347</v>
      </c>
      <c r="H296" s="335">
        <v>345912.76400000002</v>
      </c>
      <c r="I296" s="335">
        <v>333589.87540999998</v>
      </c>
      <c r="J296" s="335">
        <v>363370.62699999998</v>
      </c>
      <c r="K296" s="335">
        <v>296351.391</v>
      </c>
      <c r="L296" s="335">
        <v>371545.20600000001</v>
      </c>
      <c r="M296" s="335">
        <v>322177.728</v>
      </c>
      <c r="N296" s="335">
        <v>350692.23499999999</v>
      </c>
      <c r="O296" s="335">
        <v>342349.462</v>
      </c>
      <c r="P296" s="335">
        <f>SUM(D296:O296)</f>
        <v>4105726.0009299992</v>
      </c>
    </row>
    <row r="297" spans="1:16">
      <c r="B297" t="s">
        <v>578</v>
      </c>
      <c r="D297" s="335">
        <v>0</v>
      </c>
      <c r="E297" s="335">
        <v>0</v>
      </c>
      <c r="F297" s="335">
        <v>0</v>
      </c>
      <c r="G297" s="335">
        <v>0</v>
      </c>
      <c r="H297" s="335">
        <v>0</v>
      </c>
      <c r="I297" s="335">
        <v>0</v>
      </c>
      <c r="J297" s="335">
        <v>0</v>
      </c>
      <c r="K297" s="335">
        <v>0</v>
      </c>
      <c r="L297" s="335">
        <v>0</v>
      </c>
      <c r="M297" s="335">
        <v>0</v>
      </c>
      <c r="N297" s="335">
        <v>0</v>
      </c>
      <c r="O297" s="335">
        <v>0</v>
      </c>
      <c r="P297" s="335">
        <f t="shared" ref="P297:P302" si="63">SUM(D297:O297)</f>
        <v>0</v>
      </c>
    </row>
    <row r="298" spans="1:16">
      <c r="B298" t="s">
        <v>579</v>
      </c>
      <c r="D298" s="335">
        <v>0</v>
      </c>
      <c r="E298" s="335">
        <v>0</v>
      </c>
      <c r="F298" s="335">
        <v>0</v>
      </c>
      <c r="G298" s="335">
        <v>0</v>
      </c>
      <c r="H298" s="335">
        <v>0</v>
      </c>
      <c r="I298" s="335">
        <v>0</v>
      </c>
      <c r="J298" s="335">
        <v>0</v>
      </c>
      <c r="K298" s="335">
        <v>0</v>
      </c>
      <c r="L298" s="335">
        <v>0</v>
      </c>
      <c r="M298" s="335">
        <v>0</v>
      </c>
      <c r="N298" s="335">
        <v>0</v>
      </c>
      <c r="O298" s="335">
        <v>0</v>
      </c>
      <c r="P298" s="335">
        <f t="shared" si="63"/>
        <v>0</v>
      </c>
    </row>
    <row r="299" spans="1:16">
      <c r="B299" t="s">
        <v>580</v>
      </c>
      <c r="D299" s="335">
        <v>0</v>
      </c>
      <c r="E299" s="335">
        <v>0</v>
      </c>
      <c r="F299" s="335">
        <v>0</v>
      </c>
      <c r="G299" s="335">
        <v>0</v>
      </c>
      <c r="H299" s="335">
        <v>0</v>
      </c>
      <c r="I299" s="335">
        <v>0</v>
      </c>
      <c r="J299" s="335">
        <v>0</v>
      </c>
      <c r="K299" s="335">
        <v>0</v>
      </c>
      <c r="L299" s="335">
        <v>0</v>
      </c>
      <c r="M299" s="335">
        <v>0</v>
      </c>
      <c r="N299" s="335">
        <v>0</v>
      </c>
      <c r="O299" s="335">
        <v>0</v>
      </c>
      <c r="P299" s="335">
        <f t="shared" si="63"/>
        <v>0</v>
      </c>
    </row>
    <row r="300" spans="1:16">
      <c r="B300" t="s">
        <v>581</v>
      </c>
      <c r="D300" s="335">
        <v>0</v>
      </c>
      <c r="E300" s="335">
        <v>0</v>
      </c>
      <c r="F300" s="335">
        <v>0</v>
      </c>
      <c r="G300" s="335">
        <v>0</v>
      </c>
      <c r="H300" s="335">
        <v>0</v>
      </c>
      <c r="I300" s="335">
        <v>0</v>
      </c>
      <c r="J300" s="335">
        <v>0</v>
      </c>
      <c r="K300" s="335">
        <v>0</v>
      </c>
      <c r="L300" s="335">
        <v>0</v>
      </c>
      <c r="M300" s="335">
        <v>0</v>
      </c>
      <c r="N300" s="335">
        <v>0</v>
      </c>
      <c r="O300" s="335">
        <v>0</v>
      </c>
      <c r="P300" s="335">
        <f t="shared" si="63"/>
        <v>0</v>
      </c>
    </row>
    <row r="301" spans="1:16">
      <c r="B301" t="s">
        <v>582</v>
      </c>
      <c r="D301" s="335">
        <v>0</v>
      </c>
      <c r="E301" s="335">
        <v>0</v>
      </c>
      <c r="F301" s="335">
        <v>0</v>
      </c>
      <c r="G301" s="335">
        <v>0</v>
      </c>
      <c r="H301" s="335">
        <v>0</v>
      </c>
      <c r="I301" s="335">
        <v>0</v>
      </c>
      <c r="J301" s="335">
        <v>0</v>
      </c>
      <c r="K301" s="335">
        <v>0</v>
      </c>
      <c r="L301" s="335">
        <v>0</v>
      </c>
      <c r="M301" s="335">
        <v>0</v>
      </c>
      <c r="N301" s="335">
        <v>0</v>
      </c>
      <c r="O301" s="335">
        <v>0</v>
      </c>
      <c r="P301" s="335">
        <f t="shared" si="63"/>
        <v>0</v>
      </c>
    </row>
    <row r="302" spans="1:16">
      <c r="B302" t="s">
        <v>651</v>
      </c>
      <c r="D302" s="335"/>
      <c r="E302" s="335"/>
      <c r="F302" s="335"/>
      <c r="G302" s="335"/>
      <c r="H302" s="335">
        <v>0</v>
      </c>
      <c r="I302" s="335">
        <v>0</v>
      </c>
      <c r="J302" s="335">
        <v>0</v>
      </c>
      <c r="K302" s="335">
        <v>0</v>
      </c>
      <c r="L302" s="335">
        <v>0</v>
      </c>
      <c r="M302" s="335">
        <v>0</v>
      </c>
      <c r="N302" s="335">
        <v>0</v>
      </c>
      <c r="O302" s="335">
        <v>0</v>
      </c>
      <c r="P302" s="335">
        <f t="shared" si="63"/>
        <v>0</v>
      </c>
    </row>
    <row r="303" spans="1:16">
      <c r="B303" t="s">
        <v>64</v>
      </c>
      <c r="D303" s="335">
        <f>SUM(D295:D302)</f>
        <v>348294.70146000001</v>
      </c>
      <c r="E303" s="335">
        <f t="shared" ref="E303:O303" si="64">SUM(E295:E302)</f>
        <v>348378.37747000001</v>
      </c>
      <c r="F303" s="335">
        <f t="shared" si="64"/>
        <v>354557.06011999998</v>
      </c>
      <c r="G303" s="335">
        <f t="shared" si="64"/>
        <v>328506.57347</v>
      </c>
      <c r="H303" s="335">
        <f t="shared" si="64"/>
        <v>345912.76400000002</v>
      </c>
      <c r="I303" s="335">
        <f t="shared" si="64"/>
        <v>333589.87540999998</v>
      </c>
      <c r="J303" s="335">
        <f t="shared" si="64"/>
        <v>363370.62699999998</v>
      </c>
      <c r="K303" s="335">
        <f t="shared" si="64"/>
        <v>296351.391</v>
      </c>
      <c r="L303" s="335">
        <f t="shared" si="64"/>
        <v>371545.20600000001</v>
      </c>
      <c r="M303" s="335">
        <f t="shared" si="64"/>
        <v>322177.728</v>
      </c>
      <c r="N303" s="335">
        <f t="shared" si="64"/>
        <v>350692.23499999999</v>
      </c>
      <c r="O303" s="335">
        <f t="shared" si="64"/>
        <v>342349.462</v>
      </c>
      <c r="P303" s="335">
        <f>SUM(P295:P302)</f>
        <v>4105726.0009299992</v>
      </c>
    </row>
    <row r="304" spans="1:16">
      <c r="A304" t="s">
        <v>563</v>
      </c>
      <c r="B304" t="s">
        <v>588</v>
      </c>
      <c r="D304" s="335">
        <v>0</v>
      </c>
      <c r="E304" s="335">
        <v>0</v>
      </c>
      <c r="F304" s="335">
        <v>0</v>
      </c>
      <c r="G304" s="335">
        <v>0</v>
      </c>
      <c r="H304" s="335">
        <v>0</v>
      </c>
      <c r="I304" s="335">
        <v>0</v>
      </c>
      <c r="J304" s="335">
        <v>0</v>
      </c>
      <c r="K304" s="335">
        <v>0</v>
      </c>
      <c r="L304" s="335">
        <v>0</v>
      </c>
      <c r="M304" s="335">
        <v>0</v>
      </c>
      <c r="N304" s="335">
        <v>0</v>
      </c>
      <c r="O304" s="335">
        <v>0</v>
      </c>
      <c r="P304" s="335">
        <f>SUM(D304:O304)</f>
        <v>0</v>
      </c>
    </row>
    <row r="305" spans="1:16">
      <c r="B305" t="s">
        <v>572</v>
      </c>
      <c r="D305" s="335">
        <v>184848.82</v>
      </c>
      <c r="E305" s="335">
        <v>185095.11600000001</v>
      </c>
      <c r="F305" s="335">
        <v>185363.09172999999</v>
      </c>
      <c r="G305" s="335">
        <v>172823.60028000001</v>
      </c>
      <c r="H305" s="335">
        <v>179952.70699999999</v>
      </c>
      <c r="I305" s="335">
        <v>189738.114</v>
      </c>
      <c r="J305" s="335">
        <v>195295.39600000001</v>
      </c>
      <c r="K305" s="335">
        <v>153939.71799999999</v>
      </c>
      <c r="L305" s="335">
        <v>174975.56200000001</v>
      </c>
      <c r="M305" s="335">
        <v>162876.144</v>
      </c>
      <c r="N305" s="335">
        <v>185660.15599999999</v>
      </c>
      <c r="O305" s="335">
        <v>172942.01500000001</v>
      </c>
      <c r="P305" s="335">
        <f>SUM(D305:O305)</f>
        <v>2143510.44001</v>
      </c>
    </row>
    <row r="306" spans="1:16">
      <c r="B306" t="s">
        <v>577</v>
      </c>
      <c r="D306" s="335">
        <v>0</v>
      </c>
      <c r="E306" s="335">
        <v>0</v>
      </c>
      <c r="F306" s="335">
        <v>0</v>
      </c>
      <c r="G306" s="335">
        <v>0</v>
      </c>
      <c r="H306" s="335">
        <v>0</v>
      </c>
      <c r="I306" s="335">
        <v>0</v>
      </c>
      <c r="J306" s="335">
        <v>0</v>
      </c>
      <c r="K306" s="335">
        <v>0</v>
      </c>
      <c r="L306" s="335">
        <v>0</v>
      </c>
      <c r="M306" s="335">
        <v>0</v>
      </c>
      <c r="N306" s="335">
        <v>0</v>
      </c>
      <c r="O306" s="335">
        <v>0</v>
      </c>
      <c r="P306" s="335">
        <f t="shared" ref="P306:P312" si="65">SUM(D306:O306)</f>
        <v>0</v>
      </c>
    </row>
    <row r="307" spans="1:16">
      <c r="B307" t="s">
        <v>578</v>
      </c>
      <c r="D307" s="335">
        <v>0</v>
      </c>
      <c r="E307" s="335">
        <v>0</v>
      </c>
      <c r="F307" s="335">
        <v>0</v>
      </c>
      <c r="G307" s="335">
        <v>0</v>
      </c>
      <c r="H307" s="335">
        <v>0</v>
      </c>
      <c r="I307" s="335">
        <v>0</v>
      </c>
      <c r="J307" s="335">
        <v>0</v>
      </c>
      <c r="K307" s="335">
        <v>0</v>
      </c>
      <c r="L307" s="335">
        <v>0</v>
      </c>
      <c r="M307" s="335">
        <v>0</v>
      </c>
      <c r="N307" s="335">
        <v>0</v>
      </c>
      <c r="O307" s="335">
        <v>0</v>
      </c>
      <c r="P307" s="335">
        <f t="shared" si="65"/>
        <v>0</v>
      </c>
    </row>
    <row r="308" spans="1:16">
      <c r="B308" t="s">
        <v>579</v>
      </c>
      <c r="D308" s="335">
        <v>0</v>
      </c>
      <c r="E308" s="335">
        <v>0</v>
      </c>
      <c r="F308" s="335">
        <v>0</v>
      </c>
      <c r="G308" s="335">
        <v>0</v>
      </c>
      <c r="H308" s="335">
        <v>0</v>
      </c>
      <c r="I308" s="335">
        <v>0</v>
      </c>
      <c r="J308" s="335">
        <v>0</v>
      </c>
      <c r="K308" s="335">
        <v>0</v>
      </c>
      <c r="L308" s="335">
        <v>0</v>
      </c>
      <c r="M308" s="335">
        <v>0</v>
      </c>
      <c r="N308" s="335">
        <v>0</v>
      </c>
      <c r="O308" s="335">
        <v>0</v>
      </c>
      <c r="P308" s="335">
        <f t="shared" si="65"/>
        <v>0</v>
      </c>
    </row>
    <row r="309" spans="1:16">
      <c r="B309" t="s">
        <v>580</v>
      </c>
      <c r="D309" s="335">
        <v>0</v>
      </c>
      <c r="E309" s="335">
        <v>0</v>
      </c>
      <c r="F309" s="335">
        <v>0</v>
      </c>
      <c r="G309" s="335">
        <v>0</v>
      </c>
      <c r="H309" s="335">
        <v>0</v>
      </c>
      <c r="I309" s="335">
        <v>0</v>
      </c>
      <c r="J309" s="335">
        <v>0</v>
      </c>
      <c r="K309" s="335">
        <v>0</v>
      </c>
      <c r="L309" s="335">
        <v>0</v>
      </c>
      <c r="M309" s="335">
        <v>0</v>
      </c>
      <c r="N309" s="335">
        <v>0</v>
      </c>
      <c r="O309" s="335">
        <v>0</v>
      </c>
      <c r="P309" s="335">
        <f t="shared" si="65"/>
        <v>0</v>
      </c>
    </row>
    <row r="310" spans="1:16">
      <c r="B310" t="s">
        <v>581</v>
      </c>
      <c r="D310" s="335">
        <v>0</v>
      </c>
      <c r="E310" s="335">
        <v>0</v>
      </c>
      <c r="F310" s="335">
        <v>0</v>
      </c>
      <c r="G310" s="335">
        <v>0</v>
      </c>
      <c r="H310" s="335">
        <v>0</v>
      </c>
      <c r="I310" s="335">
        <v>0</v>
      </c>
      <c r="J310" s="335">
        <v>0</v>
      </c>
      <c r="K310" s="335">
        <v>0</v>
      </c>
      <c r="L310" s="335">
        <v>0</v>
      </c>
      <c r="M310" s="335">
        <v>0</v>
      </c>
      <c r="N310" s="335">
        <v>0</v>
      </c>
      <c r="O310" s="335">
        <v>0</v>
      </c>
      <c r="P310" s="335">
        <f t="shared" si="65"/>
        <v>0</v>
      </c>
    </row>
    <row r="311" spans="1:16">
      <c r="B311" t="s">
        <v>582</v>
      </c>
      <c r="D311" s="335">
        <v>0</v>
      </c>
      <c r="E311" s="335">
        <v>0</v>
      </c>
      <c r="F311" s="335">
        <v>0</v>
      </c>
      <c r="G311" s="335">
        <v>0</v>
      </c>
      <c r="H311" s="335">
        <v>0</v>
      </c>
      <c r="I311" s="335">
        <v>0</v>
      </c>
      <c r="J311" s="335">
        <v>0</v>
      </c>
      <c r="K311" s="335">
        <v>0</v>
      </c>
      <c r="L311" s="335">
        <v>0</v>
      </c>
      <c r="M311" s="335">
        <v>0</v>
      </c>
      <c r="N311" s="335">
        <v>0</v>
      </c>
      <c r="O311" s="335">
        <v>0</v>
      </c>
      <c r="P311" s="335">
        <f t="shared" si="65"/>
        <v>0</v>
      </c>
    </row>
    <row r="312" spans="1:16">
      <c r="B312" t="s">
        <v>651</v>
      </c>
      <c r="D312" s="335"/>
      <c r="E312" s="335"/>
      <c r="F312" s="335"/>
      <c r="G312" s="335"/>
      <c r="H312" s="335">
        <v>0</v>
      </c>
      <c r="I312" s="335">
        <v>0</v>
      </c>
      <c r="J312" s="335">
        <v>0</v>
      </c>
      <c r="K312" s="335">
        <v>0</v>
      </c>
      <c r="L312" s="335">
        <v>0</v>
      </c>
      <c r="M312" s="335">
        <v>0</v>
      </c>
      <c r="N312" s="335">
        <v>0</v>
      </c>
      <c r="O312" s="335">
        <v>0</v>
      </c>
      <c r="P312" s="335">
        <f t="shared" si="65"/>
        <v>0</v>
      </c>
    </row>
    <row r="313" spans="1:16">
      <c r="B313" t="s">
        <v>64</v>
      </c>
      <c r="D313" s="335">
        <f>SUM(D304:D312)</f>
        <v>184848.82</v>
      </c>
      <c r="E313" s="335">
        <f t="shared" ref="E313:O313" si="66">SUM(E304:E312)</f>
        <v>185095.11600000001</v>
      </c>
      <c r="F313" s="335">
        <f t="shared" si="66"/>
        <v>185363.09172999999</v>
      </c>
      <c r="G313" s="335">
        <f t="shared" si="66"/>
        <v>172823.60028000001</v>
      </c>
      <c r="H313" s="335">
        <f t="shared" si="66"/>
        <v>179952.70699999999</v>
      </c>
      <c r="I313" s="335">
        <f t="shared" si="66"/>
        <v>189738.114</v>
      </c>
      <c r="J313" s="335">
        <f t="shared" si="66"/>
        <v>195295.39600000001</v>
      </c>
      <c r="K313" s="335">
        <f t="shared" si="66"/>
        <v>153939.71799999999</v>
      </c>
      <c r="L313" s="335">
        <f t="shared" si="66"/>
        <v>174975.56200000001</v>
      </c>
      <c r="M313" s="335">
        <f t="shared" si="66"/>
        <v>162876.144</v>
      </c>
      <c r="N313" s="335">
        <f t="shared" si="66"/>
        <v>185660.15599999999</v>
      </c>
      <c r="O313" s="335">
        <f t="shared" si="66"/>
        <v>172942.01500000001</v>
      </c>
      <c r="P313" s="335">
        <f>SUM(P304:P312)</f>
        <v>2143510.44001</v>
      </c>
    </row>
    <row r="314" spans="1:16">
      <c r="A314" t="s">
        <v>564</v>
      </c>
      <c r="B314" t="s">
        <v>589</v>
      </c>
      <c r="D314" s="335">
        <v>0</v>
      </c>
      <c r="E314" s="335">
        <v>0</v>
      </c>
      <c r="F314" s="335">
        <v>0</v>
      </c>
      <c r="G314" s="335">
        <v>0</v>
      </c>
      <c r="H314" s="335">
        <v>0</v>
      </c>
      <c r="I314" s="335">
        <v>0</v>
      </c>
      <c r="J314" s="335">
        <v>0</v>
      </c>
      <c r="K314" s="335">
        <v>0</v>
      </c>
      <c r="L314" s="335">
        <v>0</v>
      </c>
      <c r="M314" s="335">
        <v>0</v>
      </c>
      <c r="N314" s="335">
        <v>0</v>
      </c>
      <c r="O314" s="335">
        <v>0</v>
      </c>
      <c r="P314" s="335">
        <v>0</v>
      </c>
    </row>
    <row r="315" spans="1:16">
      <c r="B315" t="s">
        <v>572</v>
      </c>
      <c r="D315" s="335"/>
      <c r="E315" s="335"/>
      <c r="F315" s="335">
        <v>0</v>
      </c>
      <c r="G315" s="335">
        <v>0</v>
      </c>
      <c r="H315" s="335">
        <v>0</v>
      </c>
      <c r="I315" s="335">
        <v>0</v>
      </c>
      <c r="J315" s="335">
        <v>0</v>
      </c>
      <c r="K315" s="335">
        <v>0</v>
      </c>
      <c r="L315" s="335">
        <v>0</v>
      </c>
      <c r="M315" s="335">
        <v>0</v>
      </c>
      <c r="N315" s="335">
        <v>0</v>
      </c>
      <c r="O315" s="335">
        <v>0</v>
      </c>
      <c r="P315" s="335">
        <v>0</v>
      </c>
    </row>
    <row r="316" spans="1:16">
      <c r="B316" t="s">
        <v>64</v>
      </c>
      <c r="D316" s="335">
        <v>0</v>
      </c>
      <c r="E316" s="335">
        <v>0</v>
      </c>
      <c r="F316" s="335">
        <v>0</v>
      </c>
      <c r="G316" s="335">
        <v>0</v>
      </c>
      <c r="H316" s="335">
        <v>0</v>
      </c>
      <c r="I316" s="335">
        <v>0</v>
      </c>
      <c r="J316" s="335">
        <v>0</v>
      </c>
      <c r="K316" s="335">
        <v>0</v>
      </c>
      <c r="L316" s="335">
        <v>0</v>
      </c>
      <c r="M316" s="335">
        <v>0</v>
      </c>
      <c r="N316" s="335">
        <v>0</v>
      </c>
      <c r="O316" s="335">
        <v>0</v>
      </c>
      <c r="P316" s="335">
        <v>0</v>
      </c>
    </row>
    <row r="317" spans="1:16">
      <c r="A317" t="s">
        <v>565</v>
      </c>
      <c r="B317" t="s">
        <v>589</v>
      </c>
      <c r="D317" s="335">
        <v>0</v>
      </c>
      <c r="E317" s="335">
        <v>0</v>
      </c>
      <c r="F317" s="335">
        <v>0</v>
      </c>
      <c r="G317" s="335">
        <v>0</v>
      </c>
      <c r="H317" s="335">
        <v>0</v>
      </c>
      <c r="I317" s="335">
        <v>0</v>
      </c>
      <c r="J317" s="335">
        <v>0</v>
      </c>
      <c r="K317" s="335">
        <v>0</v>
      </c>
      <c r="L317" s="335">
        <v>0</v>
      </c>
      <c r="M317" s="335">
        <v>0</v>
      </c>
      <c r="N317" s="335">
        <v>0</v>
      </c>
      <c r="O317" s="335">
        <v>0</v>
      </c>
      <c r="P317" s="335">
        <v>0</v>
      </c>
    </row>
    <row r="318" spans="1:16">
      <c r="B318" t="s">
        <v>64</v>
      </c>
      <c r="D318" s="335">
        <v>0</v>
      </c>
      <c r="E318" s="335">
        <v>0</v>
      </c>
      <c r="F318" s="335">
        <v>0</v>
      </c>
      <c r="G318" s="335">
        <v>0</v>
      </c>
      <c r="H318" s="335">
        <v>0</v>
      </c>
      <c r="I318" s="335">
        <v>0</v>
      </c>
      <c r="J318" s="335">
        <v>0</v>
      </c>
      <c r="K318" s="335">
        <v>0</v>
      </c>
      <c r="L318" s="335">
        <v>0</v>
      </c>
      <c r="M318" s="335">
        <v>0</v>
      </c>
      <c r="N318" s="335">
        <v>0</v>
      </c>
      <c r="O318" s="335">
        <v>0</v>
      </c>
      <c r="P318" s="335">
        <v>0</v>
      </c>
    </row>
    <row r="319" spans="1:16">
      <c r="A319" t="s">
        <v>566</v>
      </c>
      <c r="B319" t="s">
        <v>572</v>
      </c>
      <c r="D319" s="335">
        <v>0</v>
      </c>
      <c r="E319" s="335">
        <v>0</v>
      </c>
      <c r="F319" s="335">
        <v>0</v>
      </c>
      <c r="G319" s="335">
        <v>0</v>
      </c>
      <c r="H319" s="335">
        <v>0</v>
      </c>
      <c r="I319" s="335">
        <v>0</v>
      </c>
      <c r="J319" s="335">
        <v>0</v>
      </c>
      <c r="K319" s="335">
        <v>0</v>
      </c>
      <c r="L319" s="335">
        <v>0</v>
      </c>
      <c r="M319" s="335">
        <v>0</v>
      </c>
      <c r="N319" s="335">
        <v>0</v>
      </c>
      <c r="O319" s="335">
        <v>0</v>
      </c>
      <c r="P319" s="335">
        <v>0</v>
      </c>
    </row>
    <row r="320" spans="1:16">
      <c r="B320" t="s">
        <v>64</v>
      </c>
      <c r="D320" s="335">
        <v>0</v>
      </c>
      <c r="E320" s="335">
        <v>0</v>
      </c>
      <c r="F320" s="335">
        <v>0</v>
      </c>
      <c r="G320" s="335">
        <v>0</v>
      </c>
      <c r="H320" s="335">
        <v>0</v>
      </c>
      <c r="I320" s="335">
        <v>0</v>
      </c>
      <c r="J320" s="335">
        <v>0</v>
      </c>
      <c r="K320" s="335">
        <v>0</v>
      </c>
      <c r="L320" s="335">
        <v>0</v>
      </c>
      <c r="M320" s="335">
        <v>0</v>
      </c>
      <c r="N320" s="335">
        <v>0</v>
      </c>
      <c r="O320" s="335">
        <v>0</v>
      </c>
      <c r="P320" s="335">
        <v>0</v>
      </c>
    </row>
    <row r="321" spans="1:16">
      <c r="A321" t="s">
        <v>567</v>
      </c>
      <c r="B321" t="s">
        <v>572</v>
      </c>
      <c r="D321" s="335">
        <v>0</v>
      </c>
      <c r="E321" s="335">
        <v>0</v>
      </c>
      <c r="F321" s="335">
        <v>0</v>
      </c>
      <c r="G321" s="335">
        <v>0</v>
      </c>
      <c r="H321" s="335">
        <v>0</v>
      </c>
      <c r="I321" s="335">
        <v>0</v>
      </c>
      <c r="J321" s="335">
        <v>0</v>
      </c>
      <c r="K321" s="335">
        <v>0</v>
      </c>
      <c r="L321" s="335">
        <v>0</v>
      </c>
      <c r="M321" s="335">
        <v>0</v>
      </c>
      <c r="N321" s="335">
        <v>0</v>
      </c>
      <c r="O321" s="335">
        <v>0</v>
      </c>
      <c r="P321" s="335">
        <v>0</v>
      </c>
    </row>
    <row r="322" spans="1:16">
      <c r="B322" t="s">
        <v>64</v>
      </c>
      <c r="D322" s="335">
        <v>0</v>
      </c>
      <c r="E322" s="335">
        <v>0</v>
      </c>
      <c r="F322" s="335">
        <v>0</v>
      </c>
      <c r="G322" s="335">
        <v>0</v>
      </c>
      <c r="H322" s="335">
        <v>0</v>
      </c>
      <c r="I322" s="335">
        <v>0</v>
      </c>
      <c r="J322" s="335">
        <v>0</v>
      </c>
      <c r="K322" s="335">
        <v>0</v>
      </c>
      <c r="L322" s="335">
        <v>0</v>
      </c>
      <c r="M322" s="335">
        <v>0</v>
      </c>
      <c r="N322" s="335">
        <v>0</v>
      </c>
      <c r="O322" s="335">
        <v>0</v>
      </c>
      <c r="P322" s="335">
        <v>0</v>
      </c>
    </row>
    <row r="323" spans="1:16">
      <c r="A323" t="s">
        <v>568</v>
      </c>
      <c r="B323" t="s">
        <v>590</v>
      </c>
      <c r="D323" s="335">
        <v>0</v>
      </c>
      <c r="E323" s="335">
        <v>0</v>
      </c>
      <c r="F323" s="335">
        <v>0</v>
      </c>
      <c r="G323" s="335">
        <v>0</v>
      </c>
      <c r="H323" s="335">
        <v>0</v>
      </c>
      <c r="I323" s="335">
        <v>0</v>
      </c>
      <c r="J323" s="335">
        <v>0</v>
      </c>
      <c r="K323" s="335">
        <v>0</v>
      </c>
      <c r="L323" s="335">
        <v>0</v>
      </c>
      <c r="M323" s="335">
        <v>0</v>
      </c>
      <c r="N323" s="335">
        <v>0</v>
      </c>
      <c r="O323" s="335">
        <v>0</v>
      </c>
      <c r="P323" s="335">
        <v>0</v>
      </c>
    </row>
    <row r="324" spans="1:16">
      <c r="B324" t="s">
        <v>591</v>
      </c>
      <c r="D324" s="335">
        <v>0</v>
      </c>
      <c r="E324" s="335">
        <v>0</v>
      </c>
      <c r="F324" s="335">
        <v>0</v>
      </c>
      <c r="G324" s="335">
        <v>0</v>
      </c>
      <c r="H324" s="335">
        <v>0</v>
      </c>
      <c r="I324" s="335">
        <v>0</v>
      </c>
      <c r="J324" s="335">
        <v>0</v>
      </c>
      <c r="K324" s="335">
        <v>0</v>
      </c>
      <c r="L324" s="335">
        <v>0</v>
      </c>
      <c r="M324" s="335">
        <v>0</v>
      </c>
      <c r="N324" s="335">
        <v>0</v>
      </c>
      <c r="O324" s="335">
        <v>0</v>
      </c>
      <c r="P324" s="335">
        <v>0</v>
      </c>
    </row>
    <row r="325" spans="1:16">
      <c r="B325" t="s">
        <v>64</v>
      </c>
      <c r="D325" s="335">
        <v>0</v>
      </c>
      <c r="E325" s="335">
        <v>0</v>
      </c>
      <c r="F325" s="335">
        <v>0</v>
      </c>
      <c r="G325" s="335">
        <v>0</v>
      </c>
      <c r="H325" s="335">
        <v>0</v>
      </c>
      <c r="I325" s="335">
        <v>0</v>
      </c>
      <c r="J325" s="335">
        <v>0</v>
      </c>
      <c r="K325" s="335">
        <v>0</v>
      </c>
      <c r="L325" s="335">
        <v>0</v>
      </c>
      <c r="M325" s="335">
        <v>0</v>
      </c>
      <c r="N325" s="335">
        <v>0</v>
      </c>
      <c r="O325" s="335">
        <v>0</v>
      </c>
      <c r="P325" s="335">
        <v>0</v>
      </c>
    </row>
    <row r="326" spans="1:16">
      <c r="A326" t="s">
        <v>64</v>
      </c>
      <c r="D326" s="335">
        <f>D74+D89+D104+D119+D149+D164+D194+D221+D235+D249+D258+D267+D276+D285+D294+D303+D313+D134+D179+D209</f>
        <v>447109331.25631005</v>
      </c>
      <c r="E326" s="335">
        <f t="shared" ref="E326:O326" si="67">E74+E89+E104+E119+E149+E164+E194+E221+E235+E249+E258+E267+E276+E285+E294+E303+E313+E134+E179+E209</f>
        <v>536405068.48247004</v>
      </c>
      <c r="F326" s="335">
        <f t="shared" si="67"/>
        <v>505274530.32285011</v>
      </c>
      <c r="G326" s="335">
        <f t="shared" si="67"/>
        <v>413678088.05175</v>
      </c>
      <c r="H326" s="335">
        <f t="shared" si="67"/>
        <v>454345116.9370001</v>
      </c>
      <c r="I326" s="335">
        <f t="shared" si="67"/>
        <v>593801302.91239989</v>
      </c>
      <c r="J326" s="335">
        <f t="shared" si="67"/>
        <v>654379423.70133996</v>
      </c>
      <c r="K326" s="335">
        <f t="shared" si="67"/>
        <v>430808844.62106997</v>
      </c>
      <c r="L326" s="335">
        <f t="shared" si="67"/>
        <v>574353558.04099</v>
      </c>
      <c r="M326" s="335">
        <f t="shared" si="67"/>
        <v>432286127.75300002</v>
      </c>
      <c r="N326" s="335">
        <f t="shared" si="67"/>
        <v>439755758.41501004</v>
      </c>
      <c r="O326" s="335">
        <f t="shared" si="67"/>
        <v>433962089.4359901</v>
      </c>
      <c r="P326" s="335">
        <f>P74+P89+P104+P119+P149+P164+P194+P221+P235+P249+P258+P267+P276+P285+P294+P303+P313+P134+P179+P209</f>
        <v>5916159239.9301796</v>
      </c>
    </row>
    <row r="327" spans="1:16">
      <c r="D327" s="335"/>
      <c r="E327" s="335"/>
      <c r="F327" s="335"/>
      <c r="G327" s="335"/>
      <c r="H327" s="335"/>
      <c r="I327" s="335"/>
      <c r="J327" s="335"/>
      <c r="K327" s="335"/>
      <c r="L327" s="335"/>
      <c r="M327" s="335"/>
      <c r="N327" s="335"/>
      <c r="O327" s="335"/>
      <c r="P327" s="335"/>
    </row>
    <row r="328" spans="1:16">
      <c r="D328" s="335"/>
      <c r="E328" s="335"/>
      <c r="F328" s="335"/>
      <c r="G328" s="335"/>
      <c r="H328" s="335"/>
      <c r="I328" s="335"/>
      <c r="J328" s="335"/>
      <c r="K328" s="335"/>
      <c r="L328" s="335"/>
      <c r="M328" s="335"/>
      <c r="N328" s="335"/>
      <c r="O328" s="335"/>
      <c r="P328" s="335"/>
    </row>
    <row r="329" spans="1:16">
      <c r="D329" s="335"/>
      <c r="E329" s="335"/>
      <c r="F329" s="335"/>
      <c r="G329" s="335"/>
      <c r="H329" s="335"/>
      <c r="I329" s="335"/>
      <c r="J329" s="335"/>
      <c r="K329" s="335"/>
      <c r="L329" s="335"/>
      <c r="M329" s="335"/>
      <c r="N329" s="335"/>
      <c r="O329" s="335"/>
      <c r="P329" s="335"/>
    </row>
    <row r="330" spans="1:16">
      <c r="D330" s="335"/>
      <c r="E330" s="335"/>
      <c r="F330" s="335"/>
      <c r="G330" s="335"/>
      <c r="H330" s="335"/>
      <c r="I330" s="335"/>
      <c r="J330" s="335"/>
      <c r="K330" s="335"/>
      <c r="L330" s="335"/>
      <c r="M330" s="335"/>
      <c r="N330" s="335"/>
      <c r="O330" s="335"/>
      <c r="P330" s="335"/>
    </row>
    <row r="332" spans="1:16">
      <c r="A332" t="s">
        <v>483</v>
      </c>
      <c r="D332" t="s">
        <v>792</v>
      </c>
      <c r="E332" t="s">
        <v>793</v>
      </c>
      <c r="F332" t="s">
        <v>794</v>
      </c>
      <c r="G332" t="s">
        <v>795</v>
      </c>
      <c r="H332" t="s">
        <v>796</v>
      </c>
      <c r="I332" t="s">
        <v>797</v>
      </c>
      <c r="J332" t="s">
        <v>798</v>
      </c>
      <c r="K332" t="s">
        <v>799</v>
      </c>
      <c r="L332" t="s">
        <v>800</v>
      </c>
      <c r="M332" t="s">
        <v>801</v>
      </c>
      <c r="N332" t="s">
        <v>802</v>
      </c>
      <c r="O332" t="s">
        <v>803</v>
      </c>
      <c r="P332" s="335"/>
    </row>
    <row r="333" spans="1:16">
      <c r="C333" s="245" t="s">
        <v>569</v>
      </c>
      <c r="D333" s="438">
        <f>D74+D89</f>
        <v>178411159.06897998</v>
      </c>
      <c r="E333" s="438">
        <f t="shared" ref="E333:O333" si="68">E74+E89</f>
        <v>235539613.01299998</v>
      </c>
      <c r="F333" s="438">
        <f t="shared" si="68"/>
        <v>205333108.56900004</v>
      </c>
      <c r="G333" s="438">
        <f t="shared" si="68"/>
        <v>151816164.55699998</v>
      </c>
      <c r="H333" s="438">
        <f t="shared" si="68"/>
        <v>202512555.27400002</v>
      </c>
      <c r="I333" s="438">
        <f t="shared" si="68"/>
        <v>306928015.91564995</v>
      </c>
      <c r="J333" s="438">
        <f t="shared" si="68"/>
        <v>318262322.22266996</v>
      </c>
      <c r="K333" s="438">
        <f t="shared" si="68"/>
        <v>239946113.91899002</v>
      </c>
      <c r="L333" s="438">
        <f t="shared" si="68"/>
        <v>282579452.50699002</v>
      </c>
      <c r="M333" s="438">
        <f t="shared" si="68"/>
        <v>197213803.02499998</v>
      </c>
      <c r="N333" s="438">
        <f t="shared" si="68"/>
        <v>180790318.74001002</v>
      </c>
      <c r="O333" s="438">
        <f t="shared" si="68"/>
        <v>171052115.68099001</v>
      </c>
      <c r="P333" s="335">
        <f>SUM(D333:O333)</f>
        <v>2670384742.49228</v>
      </c>
    </row>
    <row r="334" spans="1:16">
      <c r="C334" s="245" t="s">
        <v>436</v>
      </c>
      <c r="D334" s="438">
        <f>D104+D119</f>
        <v>52077814.426999994</v>
      </c>
      <c r="E334" s="438">
        <f t="shared" ref="E334:O334" si="69">E104+E119</f>
        <v>62905709.943000004</v>
      </c>
      <c r="F334" s="438">
        <f t="shared" si="69"/>
        <v>58291748.278000005</v>
      </c>
      <c r="G334" s="438">
        <f t="shared" si="69"/>
        <v>48798372.759999998</v>
      </c>
      <c r="H334" s="438">
        <f t="shared" si="69"/>
        <v>51458284.298</v>
      </c>
      <c r="I334" s="438">
        <f t="shared" si="69"/>
        <v>69898340.290319994</v>
      </c>
      <c r="J334" s="438">
        <f t="shared" si="69"/>
        <v>73435261.14447999</v>
      </c>
      <c r="K334" s="438">
        <f t="shared" si="69"/>
        <v>56174159.849079996</v>
      </c>
      <c r="L334" s="438">
        <f t="shared" si="69"/>
        <v>71507446.034999996</v>
      </c>
      <c r="M334" s="438">
        <f t="shared" si="69"/>
        <v>51485737.872999996</v>
      </c>
      <c r="N334" s="438">
        <f t="shared" si="69"/>
        <v>54342987.894000001</v>
      </c>
      <c r="O334" s="438">
        <f t="shared" si="69"/>
        <v>50377161.898999996</v>
      </c>
      <c r="P334" s="335">
        <f t="shared" ref="P334:P344" si="70">SUM(D334:O334)</f>
        <v>700753024.69088006</v>
      </c>
    </row>
    <row r="335" spans="1:16">
      <c r="C335" s="505">
        <v>13</v>
      </c>
      <c r="D335" s="455">
        <f>D134</f>
        <v>24591.119999999999</v>
      </c>
      <c r="E335" s="455">
        <f t="shared" ref="E335:O335" si="71">E134</f>
        <v>28129.75</v>
      </c>
      <c r="F335" s="455">
        <f t="shared" si="71"/>
        <v>31714.89</v>
      </c>
      <c r="G335" s="455">
        <f t="shared" si="71"/>
        <v>34349.83</v>
      </c>
      <c r="H335" s="455">
        <f t="shared" si="71"/>
        <v>25962.47</v>
      </c>
      <c r="I335" s="455">
        <f t="shared" si="71"/>
        <v>22047.439999999999</v>
      </c>
      <c r="J335" s="455">
        <f t="shared" si="71"/>
        <v>24113.73</v>
      </c>
      <c r="K335" s="455">
        <f t="shared" si="71"/>
        <v>20235.900000000001</v>
      </c>
      <c r="L335" s="455">
        <f t="shared" si="71"/>
        <v>28153.02</v>
      </c>
      <c r="M335" s="455">
        <f t="shared" si="71"/>
        <v>34788.879999999997</v>
      </c>
      <c r="N335" s="455">
        <f t="shared" si="71"/>
        <v>43286.62</v>
      </c>
      <c r="O335" s="455">
        <f t="shared" si="71"/>
        <v>53242.720000000001</v>
      </c>
      <c r="P335" s="335">
        <f t="shared" si="70"/>
        <v>370616.37</v>
      </c>
    </row>
    <row r="336" spans="1:16">
      <c r="C336" s="245"/>
      <c r="D336" s="438">
        <v>0</v>
      </c>
      <c r="E336" s="438">
        <v>0</v>
      </c>
      <c r="F336" s="438">
        <v>0</v>
      </c>
      <c r="G336" s="438">
        <v>0</v>
      </c>
      <c r="H336" s="438">
        <v>0</v>
      </c>
      <c r="I336" s="438">
        <v>0</v>
      </c>
      <c r="J336" s="438">
        <v>0</v>
      </c>
      <c r="K336" s="438">
        <v>0</v>
      </c>
      <c r="L336" s="438">
        <v>0</v>
      </c>
      <c r="M336" s="438">
        <v>0</v>
      </c>
      <c r="N336" s="438">
        <v>0</v>
      </c>
      <c r="O336" s="438">
        <v>0</v>
      </c>
      <c r="P336" s="335">
        <f t="shared" si="70"/>
        <v>0</v>
      </c>
    </row>
    <row r="337" spans="1:16">
      <c r="C337" s="245" t="s">
        <v>788</v>
      </c>
      <c r="D337" s="438">
        <f>D149+D164</f>
        <v>108796716.49299999</v>
      </c>
      <c r="E337" s="438">
        <f t="shared" ref="E337:O337" si="72">E149+E164</f>
        <v>123370843.69299999</v>
      </c>
      <c r="F337" s="438">
        <f t="shared" si="72"/>
        <v>117049838.59399998</v>
      </c>
      <c r="G337" s="438">
        <f t="shared" si="72"/>
        <v>105621667.315</v>
      </c>
      <c r="H337" s="438">
        <f t="shared" si="72"/>
        <v>101930317.45999999</v>
      </c>
      <c r="I337" s="438">
        <f t="shared" si="72"/>
        <v>120935524.903</v>
      </c>
      <c r="J337" s="438">
        <f t="shared" si="72"/>
        <v>120927815.72501999</v>
      </c>
      <c r="K337" s="438">
        <f t="shared" si="72"/>
        <v>88947209.826000005</v>
      </c>
      <c r="L337" s="438">
        <f t="shared" si="72"/>
        <v>127366580.693</v>
      </c>
      <c r="M337" s="438">
        <f t="shared" si="72"/>
        <v>94284539.151999995</v>
      </c>
      <c r="N337" s="438">
        <f t="shared" si="72"/>
        <v>109456320.89000002</v>
      </c>
      <c r="O337" s="438">
        <f t="shared" si="72"/>
        <v>106707968.88700001</v>
      </c>
      <c r="P337" s="335">
        <f t="shared" si="70"/>
        <v>1325395343.6310201</v>
      </c>
    </row>
    <row r="338" spans="1:16">
      <c r="C338" s="505">
        <v>23</v>
      </c>
      <c r="D338" s="455">
        <f>+D179</f>
        <v>23864.6</v>
      </c>
      <c r="E338" s="455">
        <f t="shared" ref="E338:O338" si="73">+E179</f>
        <v>19273.009999999998</v>
      </c>
      <c r="F338" s="455">
        <f t="shared" si="73"/>
        <v>12887.93</v>
      </c>
      <c r="G338" s="455">
        <f t="shared" si="73"/>
        <v>17128.64</v>
      </c>
      <c r="H338" s="455">
        <f t="shared" si="73"/>
        <v>26353.360000000001</v>
      </c>
      <c r="I338" s="455">
        <f t="shared" si="73"/>
        <v>18179.060000000001</v>
      </c>
      <c r="J338" s="455">
        <f t="shared" si="73"/>
        <v>53826.03</v>
      </c>
      <c r="K338" s="455">
        <f t="shared" si="73"/>
        <v>0</v>
      </c>
      <c r="L338" s="455">
        <f t="shared" si="73"/>
        <v>141125.35999999999</v>
      </c>
      <c r="M338" s="455">
        <f t="shared" si="73"/>
        <v>21888.12</v>
      </c>
      <c r="N338" s="455">
        <f t="shared" si="73"/>
        <v>78707.48</v>
      </c>
      <c r="O338" s="455">
        <f t="shared" si="73"/>
        <v>38407.839999999997</v>
      </c>
      <c r="P338" s="335">
        <f t="shared" si="70"/>
        <v>451641.42999999993</v>
      </c>
    </row>
    <row r="339" spans="1:16">
      <c r="C339" s="245"/>
      <c r="D339" s="438">
        <v>0</v>
      </c>
      <c r="E339" s="438">
        <v>0</v>
      </c>
      <c r="F339" s="438">
        <v>0</v>
      </c>
      <c r="G339" s="438">
        <v>0</v>
      </c>
      <c r="H339" s="438">
        <v>0</v>
      </c>
      <c r="I339" s="438">
        <v>0</v>
      </c>
      <c r="J339" s="438">
        <v>0</v>
      </c>
      <c r="K339" s="438">
        <v>0</v>
      </c>
      <c r="L339" s="438">
        <v>0</v>
      </c>
      <c r="M339" s="438">
        <v>0</v>
      </c>
      <c r="N339" s="438">
        <v>0</v>
      </c>
      <c r="O339" s="438">
        <v>0</v>
      </c>
      <c r="P339" s="335">
        <f t="shared" si="70"/>
        <v>0</v>
      </c>
    </row>
    <row r="340" spans="1:16">
      <c r="C340" s="245" t="s">
        <v>359</v>
      </c>
      <c r="D340" s="438">
        <f>D194</f>
        <v>51265295.43</v>
      </c>
      <c r="E340" s="438">
        <f t="shared" ref="E340:O340" si="74">E194</f>
        <v>52037423.18</v>
      </c>
      <c r="F340" s="438">
        <f t="shared" si="74"/>
        <v>58092664.859999999</v>
      </c>
      <c r="G340" s="438">
        <f t="shared" si="74"/>
        <v>53643588.158</v>
      </c>
      <c r="H340" s="438">
        <f t="shared" si="74"/>
        <v>52918387.300000004</v>
      </c>
      <c r="I340" s="438">
        <f t="shared" si="74"/>
        <v>50784060.240999997</v>
      </c>
      <c r="J340" s="438">
        <f t="shared" si="74"/>
        <v>97536235.530000001</v>
      </c>
      <c r="K340" s="438">
        <f t="shared" si="74"/>
        <v>5771303.5499999998</v>
      </c>
      <c r="L340" s="438">
        <f t="shared" si="74"/>
        <v>49753516.079999998</v>
      </c>
      <c r="M340" s="438">
        <f t="shared" si="74"/>
        <v>52769098.908</v>
      </c>
      <c r="N340" s="438">
        <f t="shared" si="74"/>
        <v>50328800.840000004</v>
      </c>
      <c r="O340" s="438">
        <f t="shared" si="74"/>
        <v>51395415.619999997</v>
      </c>
      <c r="P340" s="335">
        <f t="shared" si="70"/>
        <v>626295789.69700003</v>
      </c>
    </row>
    <row r="341" spans="1:16">
      <c r="C341" s="245" t="s">
        <v>756</v>
      </c>
      <c r="D341" s="438">
        <f>D209</f>
        <v>36269180</v>
      </c>
      <c r="E341" s="438">
        <f t="shared" ref="E341:O341" si="75">E209</f>
        <v>37568812</v>
      </c>
      <c r="F341" s="438">
        <f t="shared" si="75"/>
        <v>39286006</v>
      </c>
      <c r="G341" s="438">
        <f t="shared" si="75"/>
        <v>36341294</v>
      </c>
      <c r="H341" s="438">
        <f t="shared" si="75"/>
        <v>37705990</v>
      </c>
      <c r="I341" s="438">
        <f t="shared" si="75"/>
        <v>38401122</v>
      </c>
      <c r="J341" s="438">
        <f t="shared" si="75"/>
        <v>37639530</v>
      </c>
      <c r="K341" s="438">
        <f t="shared" si="75"/>
        <v>35055858</v>
      </c>
      <c r="L341" s="438">
        <f t="shared" si="75"/>
        <v>36143840</v>
      </c>
      <c r="M341" s="438">
        <f t="shared" si="75"/>
        <v>30120374</v>
      </c>
      <c r="N341" s="438">
        <f t="shared" si="75"/>
        <v>31359532</v>
      </c>
      <c r="O341" s="438">
        <f t="shared" si="75"/>
        <v>33105658</v>
      </c>
      <c r="P341" s="335">
        <f t="shared" si="70"/>
        <v>428997196</v>
      </c>
    </row>
    <row r="342" spans="1:16">
      <c r="C342" s="245" t="s">
        <v>438</v>
      </c>
      <c r="D342" s="438">
        <f>D221+D235+D249</f>
        <v>19236457.995999999</v>
      </c>
      <c r="E342" s="438">
        <f t="shared" ref="E342:O342" si="76">E221+E235+E249</f>
        <v>23526199.729000002</v>
      </c>
      <c r="F342" s="438">
        <f t="shared" si="76"/>
        <v>25791610.912</v>
      </c>
      <c r="G342" s="438">
        <f t="shared" si="76"/>
        <v>16065641.444</v>
      </c>
      <c r="H342" s="438">
        <f t="shared" si="76"/>
        <v>6381747.6359999999</v>
      </c>
      <c r="I342" s="438">
        <f t="shared" si="76"/>
        <v>5423458.3930199994</v>
      </c>
      <c r="J342" s="438">
        <f t="shared" si="76"/>
        <v>5043071.8881699992</v>
      </c>
      <c r="K342" s="438">
        <f t="shared" si="76"/>
        <v>3774962.5010000006</v>
      </c>
      <c r="L342" s="438">
        <f t="shared" si="76"/>
        <v>5319155.9749999996</v>
      </c>
      <c r="M342" s="438">
        <f t="shared" si="76"/>
        <v>5113750.0029999996</v>
      </c>
      <c r="N342" s="438">
        <f t="shared" si="76"/>
        <v>11924431.708000001</v>
      </c>
      <c r="O342" s="438">
        <f t="shared" si="76"/>
        <v>19880977.276000001</v>
      </c>
      <c r="P342" s="335">
        <f t="shared" si="70"/>
        <v>147481465.46119002</v>
      </c>
    </row>
    <row r="343" spans="1:16">
      <c r="C343" s="245" t="s">
        <v>439</v>
      </c>
      <c r="D343" s="438">
        <f>D258+D267+D285+D276+D294+D313+D303</f>
        <v>1004252.1213300001</v>
      </c>
      <c r="E343" s="438">
        <f t="shared" ref="E343:O343" si="77">E258+E267+E285+E276+E294+E313+E303</f>
        <v>1409064.16447</v>
      </c>
      <c r="F343" s="438">
        <f t="shared" si="77"/>
        <v>1384950.2898499998</v>
      </c>
      <c r="G343" s="438">
        <f t="shared" si="77"/>
        <v>1339881.34775</v>
      </c>
      <c r="H343" s="438">
        <f t="shared" si="77"/>
        <v>1385519.139</v>
      </c>
      <c r="I343" s="438">
        <f t="shared" si="77"/>
        <v>1390554.6694100001</v>
      </c>
      <c r="J343" s="438">
        <f t="shared" si="77"/>
        <v>1457247.4309999999</v>
      </c>
      <c r="K343" s="438">
        <f t="shared" si="77"/>
        <v>1119001.0759999999</v>
      </c>
      <c r="L343" s="438">
        <f t="shared" si="77"/>
        <v>1514288.371</v>
      </c>
      <c r="M343" s="438">
        <f t="shared" si="77"/>
        <v>1242147.7919999999</v>
      </c>
      <c r="N343" s="438">
        <f t="shared" si="77"/>
        <v>1431372.2430000002</v>
      </c>
      <c r="O343" s="438">
        <f t="shared" si="77"/>
        <v>1351141.5129999998</v>
      </c>
      <c r="P343" s="335">
        <f t="shared" si="70"/>
        <v>16029420.157809999</v>
      </c>
    </row>
    <row r="344" spans="1:16">
      <c r="C344" s="245" t="s">
        <v>64</v>
      </c>
      <c r="D344" s="438">
        <f>SUM(D333:D343)</f>
        <v>447109331.25630999</v>
      </c>
      <c r="E344" s="438">
        <f t="shared" ref="E344:N344" si="78">SUM(E333:E343)</f>
        <v>536405068.48246998</v>
      </c>
      <c r="F344" s="438">
        <f t="shared" si="78"/>
        <v>505274530.32284999</v>
      </c>
      <c r="G344" s="438">
        <f t="shared" si="78"/>
        <v>413678088.05175</v>
      </c>
      <c r="H344" s="438">
        <f t="shared" si="78"/>
        <v>454345116.93700004</v>
      </c>
      <c r="I344" s="438">
        <f t="shared" si="78"/>
        <v>593801302.91239989</v>
      </c>
      <c r="J344" s="438">
        <f t="shared" si="78"/>
        <v>654379423.70133996</v>
      </c>
      <c r="K344" s="438">
        <f t="shared" si="78"/>
        <v>430808844.62106991</v>
      </c>
      <c r="L344" s="438">
        <f t="shared" si="78"/>
        <v>574353558.04099011</v>
      </c>
      <c r="M344" s="438">
        <f t="shared" si="78"/>
        <v>432286127.75299996</v>
      </c>
      <c r="N344" s="438">
        <f t="shared" si="78"/>
        <v>439755758.41501009</v>
      </c>
      <c r="O344" s="438">
        <f>SUM(O333:O343)</f>
        <v>433962089.43599004</v>
      </c>
      <c r="P344" s="335">
        <f t="shared" si="70"/>
        <v>5916159239.9301805</v>
      </c>
    </row>
    <row r="345" spans="1:16">
      <c r="D345" s="335"/>
      <c r="E345" s="335"/>
      <c r="F345" s="335"/>
      <c r="G345" s="335"/>
      <c r="H345" s="335"/>
      <c r="I345" s="335"/>
      <c r="J345" s="335"/>
      <c r="K345" s="335"/>
      <c r="L345" s="335"/>
      <c r="M345" s="335"/>
      <c r="N345" s="335"/>
      <c r="O345" s="335"/>
      <c r="P345" s="335"/>
    </row>
    <row r="346" spans="1:16">
      <c r="D346" s="335">
        <f>D326-D344</f>
        <v>0</v>
      </c>
      <c r="E346" s="335">
        <f t="shared" ref="E346:N346" si="79">E326-E344</f>
        <v>0</v>
      </c>
      <c r="F346" s="335">
        <f t="shared" si="79"/>
        <v>0</v>
      </c>
      <c r="G346" s="335">
        <f t="shared" si="79"/>
        <v>0</v>
      </c>
      <c r="H346" s="335">
        <f t="shared" si="79"/>
        <v>0</v>
      </c>
      <c r="I346" s="335">
        <f t="shared" si="79"/>
        <v>0</v>
      </c>
      <c r="J346" s="335">
        <f t="shared" si="79"/>
        <v>0</v>
      </c>
      <c r="K346" s="335">
        <f>K326-K344</f>
        <v>0</v>
      </c>
      <c r="L346" s="335">
        <f>L326-L344</f>
        <v>0</v>
      </c>
      <c r="M346" s="335">
        <f>M326-M344</f>
        <v>0</v>
      </c>
      <c r="N346" s="335">
        <f t="shared" si="79"/>
        <v>0</v>
      </c>
      <c r="O346" s="335">
        <f>O326-O344</f>
        <v>0</v>
      </c>
      <c r="P346" s="335"/>
    </row>
    <row r="348" spans="1:16">
      <c r="A348" s="41" t="s">
        <v>805</v>
      </c>
    </row>
    <row r="350" spans="1:16">
      <c r="A350" t="s">
        <v>432</v>
      </c>
    </row>
    <row r="352" spans="1:16">
      <c r="D352" t="s">
        <v>650</v>
      </c>
    </row>
    <row r="353" spans="1:16">
      <c r="C353" t="s">
        <v>428</v>
      </c>
      <c r="D353" t="s">
        <v>792</v>
      </c>
      <c r="E353" t="s">
        <v>793</v>
      </c>
      <c r="F353" t="s">
        <v>794</v>
      </c>
      <c r="G353" t="s">
        <v>795</v>
      </c>
      <c r="H353" t="s">
        <v>796</v>
      </c>
      <c r="I353" t="s">
        <v>797</v>
      </c>
      <c r="J353" t="s">
        <v>798</v>
      </c>
      <c r="K353" t="s">
        <v>799</v>
      </c>
      <c r="L353" t="s">
        <v>800</v>
      </c>
      <c r="M353" t="s">
        <v>801</v>
      </c>
      <c r="N353" t="s">
        <v>802</v>
      </c>
      <c r="O353" t="s">
        <v>803</v>
      </c>
      <c r="P353" t="s">
        <v>431</v>
      </c>
    </row>
    <row r="354" spans="1:16">
      <c r="A354" t="s">
        <v>433</v>
      </c>
      <c r="B354" t="s">
        <v>353</v>
      </c>
    </row>
    <row r="355" spans="1:16" ht="13" thickBot="1">
      <c r="A355" s="711" t="s">
        <v>139</v>
      </c>
      <c r="B355" s="711" t="s">
        <v>354</v>
      </c>
      <c r="C355" s="374" t="s">
        <v>434</v>
      </c>
      <c r="D355" s="375">
        <v>100104564</v>
      </c>
      <c r="E355" s="375">
        <v>107955234</v>
      </c>
      <c r="F355" s="375">
        <v>67752560</v>
      </c>
      <c r="G355" s="375">
        <v>73438366</v>
      </c>
      <c r="H355" s="375">
        <v>130519840</v>
      </c>
      <c r="I355" s="375">
        <v>149914440</v>
      </c>
      <c r="J355" s="375">
        <v>108038806</v>
      </c>
      <c r="K355" s="375">
        <v>106589143</v>
      </c>
      <c r="L355" s="375">
        <v>65676236</v>
      </c>
      <c r="M355" s="375">
        <v>61659937</v>
      </c>
      <c r="N355" s="375">
        <v>51073278</v>
      </c>
      <c r="O355" s="375">
        <v>54128944</v>
      </c>
      <c r="P355" s="376">
        <f>SUM(D355:O355)</f>
        <v>1076851348</v>
      </c>
    </row>
    <row r="356" spans="1:16" ht="13" thickBot="1">
      <c r="A356" s="716"/>
      <c r="B356" s="712"/>
      <c r="C356" s="374" t="s">
        <v>435</v>
      </c>
      <c r="D356" s="375">
        <v>-74383893</v>
      </c>
      <c r="E356" s="375">
        <v>-100104564</v>
      </c>
      <c r="F356" s="375">
        <v>-107955234</v>
      </c>
      <c r="G356" s="375">
        <v>-67752560</v>
      </c>
      <c r="H356" s="375">
        <v>-73438366</v>
      </c>
      <c r="I356" s="375">
        <v>-130519840</v>
      </c>
      <c r="J356" s="375">
        <v>-149914440</v>
      </c>
      <c r="K356" s="375">
        <v>-108038806</v>
      </c>
      <c r="L356" s="375">
        <v>-106589143</v>
      </c>
      <c r="M356" s="375">
        <v>-65676236</v>
      </c>
      <c r="N356" s="375">
        <v>-61659937</v>
      </c>
      <c r="O356" s="375">
        <v>-51073278</v>
      </c>
      <c r="P356" s="376">
        <f t="shared" ref="P356:P394" si="80">SUM(D356:O356)</f>
        <v>-1097106297</v>
      </c>
    </row>
    <row r="357" spans="1:16" ht="13" thickBot="1">
      <c r="A357" s="716"/>
      <c r="B357" s="425"/>
      <c r="C357" s="426" t="s">
        <v>64</v>
      </c>
      <c r="D357" s="428">
        <v>25720671</v>
      </c>
      <c r="E357" s="428">
        <v>7850670</v>
      </c>
      <c r="F357" s="428">
        <v>-40202674</v>
      </c>
      <c r="G357" s="428">
        <v>5685806</v>
      </c>
      <c r="H357" s="428">
        <v>57081474</v>
      </c>
      <c r="I357" s="428">
        <v>19394600</v>
      </c>
      <c r="J357" s="428">
        <v>-41875634</v>
      </c>
      <c r="K357" s="428">
        <v>-1449663</v>
      </c>
      <c r="L357" s="428">
        <v>-40912907</v>
      </c>
      <c r="M357" s="428">
        <v>-4016299</v>
      </c>
      <c r="N357" s="428">
        <v>-10586659</v>
      </c>
      <c r="O357" s="428">
        <v>3055666</v>
      </c>
      <c r="P357" s="428">
        <f t="shared" si="80"/>
        <v>-20254949</v>
      </c>
    </row>
    <row r="358" spans="1:16" ht="13" thickBot="1">
      <c r="A358" s="716"/>
      <c r="B358" s="711" t="s">
        <v>550</v>
      </c>
      <c r="C358" s="374" t="s">
        <v>434</v>
      </c>
      <c r="D358" s="375">
        <v>336275</v>
      </c>
      <c r="E358" s="375">
        <v>344027</v>
      </c>
      <c r="F358" s="375">
        <v>225428</v>
      </c>
      <c r="G358" s="375">
        <v>277745</v>
      </c>
      <c r="H358" s="375">
        <v>619535</v>
      </c>
      <c r="I358" s="375">
        <v>779948</v>
      </c>
      <c r="J358" s="375">
        <v>575043</v>
      </c>
      <c r="K358" s="375">
        <v>613451</v>
      </c>
      <c r="L358" s="375">
        <v>359502</v>
      </c>
      <c r="M358" s="375">
        <v>346258</v>
      </c>
      <c r="N358" s="375">
        <v>233006</v>
      </c>
      <c r="O358" s="375">
        <v>211794</v>
      </c>
      <c r="P358" s="376">
        <f t="shared" si="80"/>
        <v>4922012</v>
      </c>
    </row>
    <row r="359" spans="1:16" ht="13" thickBot="1">
      <c r="A359" s="716"/>
      <c r="B359" s="712"/>
      <c r="C359" s="374" t="s">
        <v>435</v>
      </c>
      <c r="D359" s="375">
        <v>-304104</v>
      </c>
      <c r="E359" s="375">
        <v>-336275</v>
      </c>
      <c r="F359" s="375">
        <v>-344027</v>
      </c>
      <c r="G359" s="375">
        <v>-225428</v>
      </c>
      <c r="H359" s="375">
        <v>-277745</v>
      </c>
      <c r="I359" s="375">
        <v>-619535</v>
      </c>
      <c r="J359" s="375">
        <v>-779948</v>
      </c>
      <c r="K359" s="375">
        <v>-575043</v>
      </c>
      <c r="L359" s="375">
        <v>-613451</v>
      </c>
      <c r="M359" s="375">
        <v>-359502</v>
      </c>
      <c r="N359" s="375">
        <v>-346258</v>
      </c>
      <c r="O359" s="375">
        <v>-233006</v>
      </c>
      <c r="P359" s="376">
        <f t="shared" si="80"/>
        <v>-5014322</v>
      </c>
    </row>
    <row r="360" spans="1:16" ht="13" thickBot="1">
      <c r="A360" s="716"/>
      <c r="B360" s="425"/>
      <c r="C360" s="426" t="s">
        <v>64</v>
      </c>
      <c r="D360" s="428">
        <v>32171</v>
      </c>
      <c r="E360" s="428">
        <v>7752</v>
      </c>
      <c r="F360" s="428">
        <v>-118599</v>
      </c>
      <c r="G360" s="428">
        <v>52317</v>
      </c>
      <c r="H360" s="428">
        <v>341790</v>
      </c>
      <c r="I360" s="428">
        <v>160413</v>
      </c>
      <c r="J360" s="428">
        <v>-204905</v>
      </c>
      <c r="K360" s="428">
        <v>38408</v>
      </c>
      <c r="L360" s="428">
        <v>-253949</v>
      </c>
      <c r="M360" s="428">
        <v>-13244</v>
      </c>
      <c r="N360" s="428">
        <v>-113252</v>
      </c>
      <c r="O360" s="428">
        <v>-21212</v>
      </c>
      <c r="P360" s="428">
        <f t="shared" si="80"/>
        <v>-92310</v>
      </c>
    </row>
    <row r="361" spans="1:16" ht="13" thickBot="1">
      <c r="A361" s="716"/>
      <c r="B361" s="711" t="s">
        <v>355</v>
      </c>
      <c r="C361" s="374" t="s">
        <v>434</v>
      </c>
      <c r="D361" s="375">
        <v>26895726</v>
      </c>
      <c r="E361" s="375">
        <v>26596318</v>
      </c>
      <c r="F361" s="375">
        <v>17713052</v>
      </c>
      <c r="G361" s="375">
        <v>21635449</v>
      </c>
      <c r="H361" s="375">
        <v>29801689</v>
      </c>
      <c r="I361" s="375">
        <v>30004600</v>
      </c>
      <c r="J361" s="375">
        <v>17430394</v>
      </c>
      <c r="K361" s="375">
        <v>21832299</v>
      </c>
      <c r="L361" s="375">
        <v>14725313</v>
      </c>
      <c r="M361" s="375">
        <v>14345004</v>
      </c>
      <c r="N361" s="375">
        <v>13892715</v>
      </c>
      <c r="O361" s="375">
        <v>14707631</v>
      </c>
      <c r="P361" s="376">
        <f t="shared" si="80"/>
        <v>249580190</v>
      </c>
    </row>
    <row r="362" spans="1:16" ht="13" thickBot="1">
      <c r="A362" s="716"/>
      <c r="B362" s="712"/>
      <c r="C362" s="374" t="s">
        <v>435</v>
      </c>
      <c r="D362" s="375">
        <v>-20678793</v>
      </c>
      <c r="E362" s="375">
        <v>-26895726</v>
      </c>
      <c r="F362" s="375">
        <v>-26596318</v>
      </c>
      <c r="G362" s="375">
        <v>-17713052</v>
      </c>
      <c r="H362" s="375">
        <v>-21635449</v>
      </c>
      <c r="I362" s="375">
        <v>-29801689</v>
      </c>
      <c r="J362" s="375">
        <v>-30004600</v>
      </c>
      <c r="K362" s="375">
        <v>-17430394</v>
      </c>
      <c r="L362" s="375">
        <v>-21832299</v>
      </c>
      <c r="M362" s="375">
        <v>-14725313</v>
      </c>
      <c r="N362" s="375">
        <v>-14345004</v>
      </c>
      <c r="O362" s="375">
        <v>-13892715</v>
      </c>
      <c r="P362" s="376">
        <f t="shared" si="80"/>
        <v>-255551352</v>
      </c>
    </row>
    <row r="363" spans="1:16" ht="13" thickBot="1">
      <c r="A363" s="716"/>
      <c r="B363" s="425"/>
      <c r="C363" s="426" t="s">
        <v>64</v>
      </c>
      <c r="D363" s="428">
        <v>6216933</v>
      </c>
      <c r="E363" s="428">
        <v>-299408</v>
      </c>
      <c r="F363" s="428">
        <v>-8883266</v>
      </c>
      <c r="G363" s="428">
        <v>3922397</v>
      </c>
      <c r="H363" s="428">
        <v>8166240</v>
      </c>
      <c r="I363" s="428">
        <v>202911</v>
      </c>
      <c r="J363" s="428">
        <v>-12574206</v>
      </c>
      <c r="K363" s="428">
        <v>4401905</v>
      </c>
      <c r="L363" s="428">
        <v>-7106986</v>
      </c>
      <c r="M363" s="428">
        <v>-380309</v>
      </c>
      <c r="N363" s="428">
        <v>-452289</v>
      </c>
      <c r="O363" s="428">
        <v>814916</v>
      </c>
      <c r="P363" s="428">
        <f t="shared" si="80"/>
        <v>-5971162</v>
      </c>
    </row>
    <row r="364" spans="1:16" ht="13" thickBot="1">
      <c r="A364" s="716"/>
      <c r="B364" s="711" t="s">
        <v>356</v>
      </c>
      <c r="C364" s="374" t="s">
        <v>434</v>
      </c>
      <c r="D364" s="375">
        <v>2320301</v>
      </c>
      <c r="E364" s="375">
        <v>2229581</v>
      </c>
      <c r="F364" s="375">
        <v>1520151</v>
      </c>
      <c r="G364" s="375">
        <v>1967592</v>
      </c>
      <c r="H364" s="375">
        <v>3371436</v>
      </c>
      <c r="I364" s="375">
        <v>4163723</v>
      </c>
      <c r="J364" s="375">
        <v>3106328</v>
      </c>
      <c r="K364" s="375">
        <v>3140897</v>
      </c>
      <c r="L364" s="375">
        <v>1915650</v>
      </c>
      <c r="M364" s="375">
        <v>1766039</v>
      </c>
      <c r="N364" s="375">
        <v>1475321</v>
      </c>
      <c r="O364" s="375">
        <v>1266091</v>
      </c>
      <c r="P364" s="376">
        <f t="shared" si="80"/>
        <v>28243110</v>
      </c>
    </row>
    <row r="365" spans="1:16" ht="13" thickBot="1">
      <c r="A365" s="716"/>
      <c r="B365" s="712"/>
      <c r="C365" s="374" t="s">
        <v>435</v>
      </c>
      <c r="D365" s="375">
        <v>-2000845</v>
      </c>
      <c r="E365" s="375">
        <v>-2320301</v>
      </c>
      <c r="F365" s="375">
        <v>-2229581</v>
      </c>
      <c r="G365" s="375">
        <v>-1520151</v>
      </c>
      <c r="H365" s="375">
        <v>-1967592</v>
      </c>
      <c r="I365" s="375">
        <v>-3371436</v>
      </c>
      <c r="J365" s="375">
        <v>-4163723</v>
      </c>
      <c r="K365" s="375">
        <v>-3106328</v>
      </c>
      <c r="L365" s="375">
        <v>-3140897</v>
      </c>
      <c r="M365" s="375">
        <v>-1915650</v>
      </c>
      <c r="N365" s="375">
        <v>-1766039</v>
      </c>
      <c r="O365" s="375">
        <v>-1475321</v>
      </c>
      <c r="P365" s="376">
        <f t="shared" si="80"/>
        <v>-28977864</v>
      </c>
    </row>
    <row r="366" spans="1:16" ht="13" thickBot="1">
      <c r="A366" s="716"/>
      <c r="B366" s="425"/>
      <c r="C366" s="426" t="s">
        <v>64</v>
      </c>
      <c r="D366" s="428">
        <v>319456</v>
      </c>
      <c r="E366" s="428">
        <v>-90720</v>
      </c>
      <c r="F366" s="428">
        <v>-709430</v>
      </c>
      <c r="G366" s="428">
        <v>447441</v>
      </c>
      <c r="H366" s="428">
        <v>1403844</v>
      </c>
      <c r="I366" s="428">
        <v>792287</v>
      </c>
      <c r="J366" s="428">
        <v>-1057395</v>
      </c>
      <c r="K366" s="428">
        <v>34569</v>
      </c>
      <c r="L366" s="428">
        <v>-1225247</v>
      </c>
      <c r="M366" s="428">
        <v>-149611</v>
      </c>
      <c r="N366" s="428">
        <v>-290718</v>
      </c>
      <c r="O366" s="428">
        <v>-209230</v>
      </c>
      <c r="P366" s="428">
        <f t="shared" si="80"/>
        <v>-734754</v>
      </c>
    </row>
    <row r="367" spans="1:16" ht="13" thickBot="1">
      <c r="A367" s="716"/>
      <c r="B367" s="711">
        <v>13</v>
      </c>
      <c r="C367" s="374" t="s">
        <v>434</v>
      </c>
      <c r="D367" s="375">
        <v>0</v>
      </c>
      <c r="E367" s="375">
        <v>0</v>
      </c>
      <c r="F367" s="375">
        <v>0</v>
      </c>
      <c r="G367" s="375">
        <v>0</v>
      </c>
      <c r="H367" s="375">
        <v>0</v>
      </c>
      <c r="I367" s="375">
        <v>0</v>
      </c>
      <c r="J367" s="375">
        <v>0</v>
      </c>
      <c r="K367" s="375">
        <v>0</v>
      </c>
      <c r="L367" s="375">
        <v>0</v>
      </c>
      <c r="M367" s="375">
        <v>0</v>
      </c>
      <c r="N367" s="375">
        <v>0</v>
      </c>
      <c r="O367" s="375">
        <v>0</v>
      </c>
      <c r="P367" s="376">
        <f t="shared" si="80"/>
        <v>0</v>
      </c>
    </row>
    <row r="368" spans="1:16" ht="13" thickBot="1">
      <c r="A368" s="716"/>
      <c r="B368" s="712"/>
      <c r="C368" s="374" t="s">
        <v>435</v>
      </c>
      <c r="D368" s="375">
        <v>0</v>
      </c>
      <c r="E368" s="375">
        <v>0</v>
      </c>
      <c r="F368" s="375">
        <v>0</v>
      </c>
      <c r="G368" s="375">
        <v>0</v>
      </c>
      <c r="H368" s="375">
        <v>0</v>
      </c>
      <c r="I368" s="375">
        <v>0</v>
      </c>
      <c r="J368" s="375">
        <v>0</v>
      </c>
      <c r="K368" s="375">
        <v>0</v>
      </c>
      <c r="L368" s="375">
        <v>0</v>
      </c>
      <c r="M368" s="375">
        <v>0</v>
      </c>
      <c r="N368" s="375">
        <v>0</v>
      </c>
      <c r="O368" s="375">
        <v>0</v>
      </c>
      <c r="P368" s="376">
        <f t="shared" si="80"/>
        <v>0</v>
      </c>
    </row>
    <row r="369" spans="1:16" ht="13" thickBot="1">
      <c r="A369" s="716"/>
      <c r="B369" s="427"/>
      <c r="C369" s="426" t="s">
        <v>64</v>
      </c>
      <c r="D369" s="428">
        <v>0</v>
      </c>
      <c r="E369" s="428">
        <v>0</v>
      </c>
      <c r="F369" s="428">
        <v>0</v>
      </c>
      <c r="G369" s="428">
        <v>0</v>
      </c>
      <c r="H369" s="428">
        <v>0</v>
      </c>
      <c r="I369" s="428">
        <v>0</v>
      </c>
      <c r="J369" s="428">
        <v>0</v>
      </c>
      <c r="K369" s="428">
        <v>0</v>
      </c>
      <c r="L369" s="428">
        <v>0</v>
      </c>
      <c r="M369" s="428">
        <v>0</v>
      </c>
      <c r="N369" s="428">
        <v>0</v>
      </c>
      <c r="O369" s="428">
        <v>0</v>
      </c>
      <c r="P369" s="428">
        <f t="shared" si="80"/>
        <v>0</v>
      </c>
    </row>
    <row r="370" spans="1:16" ht="13" thickBot="1">
      <c r="A370" s="716"/>
      <c r="B370" s="717" t="s">
        <v>357</v>
      </c>
      <c r="C370" s="374" t="s">
        <v>434</v>
      </c>
      <c r="D370" s="375">
        <v>59722723</v>
      </c>
      <c r="E370" s="375">
        <v>55225014</v>
      </c>
      <c r="F370" s="375">
        <v>37701256</v>
      </c>
      <c r="G370" s="375">
        <v>49961918</v>
      </c>
      <c r="H370" s="375">
        <v>64197637</v>
      </c>
      <c r="I370" s="375">
        <v>57180341</v>
      </c>
      <c r="J370" s="375">
        <v>31240662</v>
      </c>
      <c r="K370" s="375">
        <v>37955796</v>
      </c>
      <c r="L370" s="375">
        <v>28847482</v>
      </c>
      <c r="M370" s="375">
        <v>28604072</v>
      </c>
      <c r="N370" s="375">
        <v>30199523</v>
      </c>
      <c r="O370" s="375">
        <v>33084198</v>
      </c>
      <c r="P370" s="376">
        <f t="shared" si="80"/>
        <v>513920622</v>
      </c>
    </row>
    <row r="371" spans="1:16" ht="13" thickBot="1">
      <c r="A371" s="716"/>
      <c r="B371" s="711"/>
      <c r="C371" s="374" t="s">
        <v>435</v>
      </c>
      <c r="D371" s="375">
        <v>-48256894</v>
      </c>
      <c r="E371" s="375">
        <v>-59722723</v>
      </c>
      <c r="F371" s="375">
        <v>-55225014</v>
      </c>
      <c r="G371" s="375">
        <v>-37701256</v>
      </c>
      <c r="H371" s="375">
        <v>-49961918</v>
      </c>
      <c r="I371" s="375">
        <v>-64197637</v>
      </c>
      <c r="J371" s="375">
        <v>-57180341</v>
      </c>
      <c r="K371" s="375">
        <v>-31240662</v>
      </c>
      <c r="L371" s="375">
        <v>-37955796</v>
      </c>
      <c r="M371" s="375">
        <v>-28847482</v>
      </c>
      <c r="N371" s="375">
        <v>-28604072</v>
      </c>
      <c r="O371" s="375">
        <v>-30199523</v>
      </c>
      <c r="P371" s="376">
        <f t="shared" si="80"/>
        <v>-529093318</v>
      </c>
    </row>
    <row r="372" spans="1:16" ht="13" thickBot="1">
      <c r="A372" s="716"/>
      <c r="B372" s="374"/>
      <c r="C372" s="426" t="s">
        <v>64</v>
      </c>
      <c r="D372" s="428">
        <v>11465829</v>
      </c>
      <c r="E372" s="428">
        <v>-4497709</v>
      </c>
      <c r="F372" s="428">
        <v>-17523758</v>
      </c>
      <c r="G372" s="428">
        <v>12260662</v>
      </c>
      <c r="H372" s="428">
        <v>14235719</v>
      </c>
      <c r="I372" s="428">
        <v>-7017296</v>
      </c>
      <c r="J372" s="428">
        <v>-25939679</v>
      </c>
      <c r="K372" s="428">
        <v>6715134</v>
      </c>
      <c r="L372" s="428">
        <v>-9108314</v>
      </c>
      <c r="M372" s="428">
        <v>-243410</v>
      </c>
      <c r="N372" s="428">
        <v>1595451</v>
      </c>
      <c r="O372" s="428">
        <v>2884675</v>
      </c>
      <c r="P372" s="428">
        <f t="shared" si="80"/>
        <v>-15172696</v>
      </c>
    </row>
    <row r="373" spans="1:16" ht="13" thickBot="1">
      <c r="A373" s="716"/>
      <c r="B373" s="711" t="s">
        <v>358</v>
      </c>
      <c r="C373" s="374" t="s">
        <v>434</v>
      </c>
      <c r="D373" s="375">
        <v>1201841</v>
      </c>
      <c r="E373" s="375">
        <v>1203100</v>
      </c>
      <c r="F373" s="375">
        <v>833343</v>
      </c>
      <c r="G373" s="375">
        <v>1010170</v>
      </c>
      <c r="H373" s="375">
        <v>1390715</v>
      </c>
      <c r="I373" s="375">
        <v>1816881</v>
      </c>
      <c r="J373" s="375">
        <v>1321463</v>
      </c>
      <c r="K373" s="375">
        <v>1444083</v>
      </c>
      <c r="L373" s="375">
        <v>757662</v>
      </c>
      <c r="M373" s="375">
        <v>818159</v>
      </c>
      <c r="N373" s="375">
        <v>682663</v>
      </c>
      <c r="O373" s="375">
        <v>672517</v>
      </c>
      <c r="P373" s="376">
        <f t="shared" si="80"/>
        <v>13152597</v>
      </c>
    </row>
    <row r="374" spans="1:16" ht="13" thickBot="1">
      <c r="A374" s="716"/>
      <c r="B374" s="712"/>
      <c r="C374" s="374" t="s">
        <v>435</v>
      </c>
      <c r="D374" s="375">
        <v>-974322</v>
      </c>
      <c r="E374" s="375">
        <v>-1201841</v>
      </c>
      <c r="F374" s="375">
        <v>-1203100</v>
      </c>
      <c r="G374" s="375">
        <v>-833343</v>
      </c>
      <c r="H374" s="375">
        <v>-1010170</v>
      </c>
      <c r="I374" s="375">
        <v>-1390715</v>
      </c>
      <c r="J374" s="375">
        <v>-1816881</v>
      </c>
      <c r="K374" s="375">
        <v>-1321463</v>
      </c>
      <c r="L374" s="375">
        <v>-1444083</v>
      </c>
      <c r="M374" s="375">
        <v>-757662</v>
      </c>
      <c r="N374" s="375">
        <v>-818159</v>
      </c>
      <c r="O374" s="375">
        <v>-682663</v>
      </c>
      <c r="P374" s="376">
        <f t="shared" si="80"/>
        <v>-13454402</v>
      </c>
    </row>
    <row r="375" spans="1:16" ht="13" thickBot="1">
      <c r="A375" s="716"/>
      <c r="B375" s="425"/>
      <c r="C375" s="426" t="s">
        <v>64</v>
      </c>
      <c r="D375" s="428">
        <v>227519</v>
      </c>
      <c r="E375" s="428">
        <v>1259</v>
      </c>
      <c r="F375" s="428">
        <v>-369757</v>
      </c>
      <c r="G375" s="428">
        <v>176827</v>
      </c>
      <c r="H375" s="428">
        <v>380545</v>
      </c>
      <c r="I375" s="428">
        <v>426166</v>
      </c>
      <c r="J375" s="428">
        <v>-495418</v>
      </c>
      <c r="K375" s="428">
        <v>122620</v>
      </c>
      <c r="L375" s="428">
        <v>-686421</v>
      </c>
      <c r="M375" s="428">
        <v>60497</v>
      </c>
      <c r="N375" s="428">
        <v>-135496</v>
      </c>
      <c r="O375" s="428">
        <v>-10146</v>
      </c>
      <c r="P375" s="428">
        <f t="shared" si="80"/>
        <v>-301805</v>
      </c>
    </row>
    <row r="376" spans="1:16" ht="13" thickBot="1">
      <c r="A376" s="716"/>
      <c r="B376" s="711">
        <v>23</v>
      </c>
      <c r="C376" s="374" t="s">
        <v>434</v>
      </c>
      <c r="D376" s="375">
        <v>0</v>
      </c>
      <c r="E376" s="375">
        <v>0</v>
      </c>
      <c r="F376" s="375">
        <v>0</v>
      </c>
      <c r="G376" s="375">
        <v>0</v>
      </c>
      <c r="H376" s="375">
        <v>0</v>
      </c>
      <c r="I376" s="375">
        <v>0</v>
      </c>
      <c r="J376" s="375">
        <v>0</v>
      </c>
      <c r="K376" s="375">
        <v>0</v>
      </c>
      <c r="L376" s="375">
        <v>0</v>
      </c>
      <c r="M376" s="375">
        <v>0</v>
      </c>
      <c r="N376" s="375">
        <v>0</v>
      </c>
      <c r="O376" s="375">
        <v>0</v>
      </c>
      <c r="P376" s="376">
        <f t="shared" si="80"/>
        <v>0</v>
      </c>
    </row>
    <row r="377" spans="1:16" ht="13" thickBot="1">
      <c r="A377" s="716"/>
      <c r="B377" s="712"/>
      <c r="C377" s="374" t="s">
        <v>435</v>
      </c>
      <c r="D377" s="375">
        <v>0</v>
      </c>
      <c r="E377" s="375">
        <v>0</v>
      </c>
      <c r="F377" s="375">
        <v>0</v>
      </c>
      <c r="G377" s="375">
        <v>0</v>
      </c>
      <c r="H377" s="375">
        <v>0</v>
      </c>
      <c r="I377" s="375">
        <v>0</v>
      </c>
      <c r="J377" s="375">
        <v>0</v>
      </c>
      <c r="K377" s="375">
        <v>0</v>
      </c>
      <c r="L377" s="375">
        <v>0</v>
      </c>
      <c r="M377" s="375">
        <v>0</v>
      </c>
      <c r="N377" s="375">
        <v>0</v>
      </c>
      <c r="O377" s="375">
        <v>0</v>
      </c>
      <c r="P377" s="376">
        <f t="shared" si="80"/>
        <v>0</v>
      </c>
    </row>
    <row r="378" spans="1:16" ht="13" thickBot="1">
      <c r="A378" s="716"/>
      <c r="B378" s="427"/>
      <c r="C378" s="426" t="s">
        <v>64</v>
      </c>
      <c r="D378" s="428">
        <v>0</v>
      </c>
      <c r="E378" s="428">
        <v>0</v>
      </c>
      <c r="F378" s="428">
        <v>0</v>
      </c>
      <c r="G378" s="428">
        <v>0</v>
      </c>
      <c r="H378" s="428">
        <v>0</v>
      </c>
      <c r="I378" s="428">
        <v>0</v>
      </c>
      <c r="J378" s="428">
        <v>0</v>
      </c>
      <c r="K378" s="428">
        <v>0</v>
      </c>
      <c r="L378" s="428">
        <v>0</v>
      </c>
      <c r="M378" s="428">
        <v>0</v>
      </c>
      <c r="N378" s="428">
        <v>0</v>
      </c>
      <c r="O378" s="428">
        <v>0</v>
      </c>
      <c r="P378" s="428">
        <f t="shared" si="80"/>
        <v>0</v>
      </c>
    </row>
    <row r="379" spans="1:16" ht="13" thickBot="1">
      <c r="A379" s="716"/>
      <c r="B379" s="717" t="s">
        <v>359</v>
      </c>
      <c r="C379" s="374" t="s">
        <v>434</v>
      </c>
      <c r="D379" s="375">
        <v>52372708</v>
      </c>
      <c r="E379" s="375">
        <v>56109089</v>
      </c>
      <c r="F379" s="375">
        <v>55143471</v>
      </c>
      <c r="G379" s="375">
        <v>53140833</v>
      </c>
      <c r="H379" s="375">
        <v>51049441</v>
      </c>
      <c r="I379" s="375">
        <v>48873135</v>
      </c>
      <c r="J379" s="375">
        <v>33456990</v>
      </c>
      <c r="K379" s="375">
        <v>49912722</v>
      </c>
      <c r="L379" s="375">
        <v>53023642</v>
      </c>
      <c r="M379" s="375">
        <v>50432893</v>
      </c>
      <c r="N379" s="375">
        <v>51607236</v>
      </c>
      <c r="O379" s="375">
        <v>52910605</v>
      </c>
      <c r="P379" s="376">
        <f t="shared" si="80"/>
        <v>608032765</v>
      </c>
    </row>
    <row r="380" spans="1:16" ht="13" thickBot="1">
      <c r="A380" s="716"/>
      <c r="B380" s="711"/>
      <c r="C380" s="374" t="s">
        <v>435</v>
      </c>
      <c r="D380" s="375">
        <v>-50629514</v>
      </c>
      <c r="E380" s="375">
        <v>-52372708</v>
      </c>
      <c r="F380" s="375">
        <v>-56109089</v>
      </c>
      <c r="G380" s="375">
        <v>-55143471</v>
      </c>
      <c r="H380" s="375">
        <v>-53140833</v>
      </c>
      <c r="I380" s="375">
        <v>-51049441</v>
      </c>
      <c r="J380" s="375">
        <v>-48873135</v>
      </c>
      <c r="K380" s="375">
        <v>-33456990</v>
      </c>
      <c r="L380" s="375">
        <v>-49912722</v>
      </c>
      <c r="M380" s="375">
        <v>-53023642</v>
      </c>
      <c r="N380" s="375">
        <v>-50432893</v>
      </c>
      <c r="O380" s="375">
        <v>-51607236</v>
      </c>
      <c r="P380" s="376">
        <f t="shared" si="80"/>
        <v>-605751674</v>
      </c>
    </row>
    <row r="381" spans="1:16" ht="13" thickBot="1">
      <c r="A381" s="716"/>
      <c r="B381" s="374"/>
      <c r="C381" s="426" t="s">
        <v>64</v>
      </c>
      <c r="D381" s="428">
        <v>1743194</v>
      </c>
      <c r="E381" s="428">
        <v>3736381</v>
      </c>
      <c r="F381" s="428">
        <v>-965618</v>
      </c>
      <c r="G381" s="428">
        <v>-2002638</v>
      </c>
      <c r="H381" s="428">
        <v>-2091392</v>
      </c>
      <c r="I381" s="428">
        <v>-2176306</v>
      </c>
      <c r="J381" s="428">
        <v>-15416145</v>
      </c>
      <c r="K381" s="428">
        <v>16455732</v>
      </c>
      <c r="L381" s="428">
        <v>3110920</v>
      </c>
      <c r="M381" s="428">
        <v>-2590749</v>
      </c>
      <c r="N381" s="428">
        <v>1174343</v>
      </c>
      <c r="O381" s="428">
        <v>1303369</v>
      </c>
      <c r="P381" s="428">
        <f t="shared" si="80"/>
        <v>2281091</v>
      </c>
    </row>
    <row r="382" spans="1:16" ht="13" thickBot="1">
      <c r="A382" s="716"/>
      <c r="B382" s="711" t="s">
        <v>762</v>
      </c>
      <c r="C382" s="374" t="s">
        <v>434</v>
      </c>
      <c r="D382" s="375">
        <v>37568812</v>
      </c>
      <c r="E382" s="375">
        <v>39286006</v>
      </c>
      <c r="F382" s="375">
        <v>36341294</v>
      </c>
      <c r="G382" s="375">
        <v>37705990</v>
      </c>
      <c r="H382" s="375">
        <v>38401122</v>
      </c>
      <c r="I382" s="375">
        <v>37639530</v>
      </c>
      <c r="J382" s="375">
        <v>19403087</v>
      </c>
      <c r="K382" s="375">
        <v>36143840</v>
      </c>
      <c r="L382" s="375">
        <v>30120374</v>
      </c>
      <c r="M382" s="375">
        <v>31359532</v>
      </c>
      <c r="N382" s="375">
        <v>33105658</v>
      </c>
      <c r="O382" s="375">
        <v>37060216</v>
      </c>
      <c r="P382" s="376">
        <f>SUM(D382:O382)</f>
        <v>414135461</v>
      </c>
    </row>
    <row r="383" spans="1:16" ht="13" thickBot="1">
      <c r="A383" s="716"/>
      <c r="B383" s="712"/>
      <c r="C383" s="374" t="s">
        <v>435</v>
      </c>
      <c r="D383" s="375">
        <v>-36269180</v>
      </c>
      <c r="E383" s="375">
        <v>-37568812</v>
      </c>
      <c r="F383" s="375">
        <v>-39286006</v>
      </c>
      <c r="G383" s="375">
        <v>-36341294</v>
      </c>
      <c r="H383" s="375">
        <v>-37705990</v>
      </c>
      <c r="I383" s="375">
        <v>-38401122</v>
      </c>
      <c r="J383" s="375">
        <v>-37639530</v>
      </c>
      <c r="K383" s="375">
        <v>-19403087</v>
      </c>
      <c r="L383" s="375">
        <v>-36143840</v>
      </c>
      <c r="M383" s="375">
        <v>-30120374</v>
      </c>
      <c r="N383" s="375">
        <v>-31359532</v>
      </c>
      <c r="O383" s="375">
        <v>-33105658</v>
      </c>
      <c r="P383" s="376">
        <f>SUM(D383:O383)</f>
        <v>-413344425</v>
      </c>
    </row>
    <row r="384" spans="1:16" ht="13" thickBot="1">
      <c r="A384" s="716"/>
      <c r="B384" s="427"/>
      <c r="C384" s="426" t="s">
        <v>64</v>
      </c>
      <c r="D384" s="428">
        <v>1299632</v>
      </c>
      <c r="E384" s="428">
        <v>1717194</v>
      </c>
      <c r="F384" s="428">
        <v>-2944712</v>
      </c>
      <c r="G384" s="428">
        <v>1364696</v>
      </c>
      <c r="H384" s="428">
        <v>695132</v>
      </c>
      <c r="I384" s="428">
        <v>-761592</v>
      </c>
      <c r="J384" s="428">
        <v>-18236443</v>
      </c>
      <c r="K384" s="428">
        <v>16740753</v>
      </c>
      <c r="L384" s="428">
        <v>-6023466</v>
      </c>
      <c r="M384" s="428">
        <v>1239158</v>
      </c>
      <c r="N384" s="428">
        <v>1746126</v>
      </c>
      <c r="O384" s="428">
        <v>3954558</v>
      </c>
      <c r="P384" s="428">
        <f t="shared" si="80"/>
        <v>791036</v>
      </c>
    </row>
    <row r="385" spans="1:16" ht="13" thickBot="1">
      <c r="A385" s="716"/>
      <c r="B385" s="717" t="s">
        <v>360</v>
      </c>
      <c r="C385" s="374" t="s">
        <v>434</v>
      </c>
      <c r="D385" s="375">
        <v>1135523</v>
      </c>
      <c r="E385" s="375">
        <v>1417894</v>
      </c>
      <c r="F385" s="375">
        <v>1086351</v>
      </c>
      <c r="G385" s="375">
        <v>998049</v>
      </c>
      <c r="H385" s="375">
        <v>1759888</v>
      </c>
      <c r="I385" s="375">
        <v>3150911</v>
      </c>
      <c r="J385" s="375">
        <v>5263821</v>
      </c>
      <c r="K385" s="375">
        <v>5467909</v>
      </c>
      <c r="L385" s="375">
        <v>4983410</v>
      </c>
      <c r="M385" s="375">
        <v>5068248</v>
      </c>
      <c r="N385" s="375">
        <v>3095495</v>
      </c>
      <c r="O385" s="375">
        <v>2319523</v>
      </c>
      <c r="P385" s="376">
        <f t="shared" si="80"/>
        <v>35747022</v>
      </c>
    </row>
    <row r="386" spans="1:16" ht="13" thickBot="1">
      <c r="A386" s="716"/>
      <c r="B386" s="711"/>
      <c r="C386" s="374" t="s">
        <v>435</v>
      </c>
      <c r="D386" s="375">
        <v>-2319523</v>
      </c>
      <c r="E386" s="375">
        <v>-1135523</v>
      </c>
      <c r="F386" s="375">
        <v>-1417894</v>
      </c>
      <c r="G386" s="375">
        <v>-1086351</v>
      </c>
      <c r="H386" s="375">
        <v>-998049</v>
      </c>
      <c r="I386" s="375">
        <v>-1759888</v>
      </c>
      <c r="J386" s="375">
        <v>-2991300</v>
      </c>
      <c r="K386" s="375">
        <v>-5263821</v>
      </c>
      <c r="L386" s="375">
        <v>-5467909</v>
      </c>
      <c r="M386" s="375">
        <v>-4983410</v>
      </c>
      <c r="N386" s="375">
        <v>-5068248</v>
      </c>
      <c r="O386" s="375">
        <v>-3095495</v>
      </c>
      <c r="P386" s="376">
        <f t="shared" si="80"/>
        <v>-35587411</v>
      </c>
    </row>
    <row r="387" spans="1:16" ht="13" thickBot="1">
      <c r="A387" s="716"/>
      <c r="B387" s="374"/>
      <c r="C387" s="426" t="s">
        <v>64</v>
      </c>
      <c r="D387" s="428">
        <v>-1184000</v>
      </c>
      <c r="E387" s="428">
        <v>282371</v>
      </c>
      <c r="F387" s="428">
        <v>-331543</v>
      </c>
      <c r="G387" s="428">
        <v>-88302</v>
      </c>
      <c r="H387" s="428">
        <v>761839</v>
      </c>
      <c r="I387" s="428">
        <v>1391023</v>
      </c>
      <c r="J387" s="428">
        <v>2272521</v>
      </c>
      <c r="K387" s="428">
        <v>204088</v>
      </c>
      <c r="L387" s="428">
        <v>-484499</v>
      </c>
      <c r="M387" s="428">
        <v>84838</v>
      </c>
      <c r="N387" s="428">
        <v>-1972753</v>
      </c>
      <c r="O387" s="428">
        <v>-775972</v>
      </c>
      <c r="P387" s="428">
        <f t="shared" si="80"/>
        <v>159611</v>
      </c>
    </row>
    <row r="388" spans="1:16" ht="13" thickBot="1">
      <c r="A388" s="716"/>
      <c r="B388" s="711" t="s">
        <v>361</v>
      </c>
      <c r="C388" s="374" t="s">
        <v>434</v>
      </c>
      <c r="D388" s="375">
        <v>147401</v>
      </c>
      <c r="E388" s="375">
        <v>157888</v>
      </c>
      <c r="F388" s="375">
        <v>91370</v>
      </c>
      <c r="G388" s="375">
        <v>93698</v>
      </c>
      <c r="H388" s="375">
        <v>122670</v>
      </c>
      <c r="I388" s="375">
        <v>203087</v>
      </c>
      <c r="J388" s="375">
        <v>376854</v>
      </c>
      <c r="K388" s="375">
        <v>610737</v>
      </c>
      <c r="L388" s="375">
        <v>328640</v>
      </c>
      <c r="M388" s="375">
        <v>233575</v>
      </c>
      <c r="N388" s="375">
        <v>215391</v>
      </c>
      <c r="O388" s="375">
        <v>194069</v>
      </c>
      <c r="P388" s="376">
        <f t="shared" si="80"/>
        <v>2775380</v>
      </c>
    </row>
    <row r="389" spans="1:16" ht="13" thickBot="1">
      <c r="A389" s="716"/>
      <c r="B389" s="712"/>
      <c r="C389" s="374" t="s">
        <v>435</v>
      </c>
      <c r="D389" s="375">
        <v>-194069</v>
      </c>
      <c r="E389" s="375">
        <v>-147401</v>
      </c>
      <c r="F389" s="375">
        <v>-157888</v>
      </c>
      <c r="G389" s="375">
        <v>-91370</v>
      </c>
      <c r="H389" s="375">
        <v>-93698</v>
      </c>
      <c r="I389" s="375">
        <v>-122670</v>
      </c>
      <c r="J389" s="375">
        <v>-220086</v>
      </c>
      <c r="K389" s="375">
        <v>-376854</v>
      </c>
      <c r="L389" s="375">
        <v>-610737</v>
      </c>
      <c r="M389" s="375">
        <v>-328640</v>
      </c>
      <c r="N389" s="375">
        <v>-233575</v>
      </c>
      <c r="O389" s="375">
        <v>-215391</v>
      </c>
      <c r="P389" s="376">
        <f t="shared" si="80"/>
        <v>-2792379</v>
      </c>
    </row>
    <row r="390" spans="1:16" ht="13" thickBot="1">
      <c r="A390" s="716"/>
      <c r="B390" s="425"/>
      <c r="C390" s="426" t="s">
        <v>64</v>
      </c>
      <c r="D390" s="428">
        <v>-46668</v>
      </c>
      <c r="E390" s="428">
        <v>10487</v>
      </c>
      <c r="F390" s="428">
        <v>-66518</v>
      </c>
      <c r="G390" s="428">
        <v>2328</v>
      </c>
      <c r="H390" s="428">
        <v>28972</v>
      </c>
      <c r="I390" s="428">
        <v>80417</v>
      </c>
      <c r="J390" s="428">
        <v>156768</v>
      </c>
      <c r="K390" s="428">
        <v>233883</v>
      </c>
      <c r="L390" s="428">
        <v>-282097</v>
      </c>
      <c r="M390" s="428">
        <v>-95065</v>
      </c>
      <c r="N390" s="428">
        <v>-18184</v>
      </c>
      <c r="O390" s="428">
        <v>-21322</v>
      </c>
      <c r="P390" s="428">
        <f t="shared" si="80"/>
        <v>-16999</v>
      </c>
    </row>
    <row r="391" spans="1:16" ht="13" thickBot="1">
      <c r="A391" s="716"/>
      <c r="B391" s="711" t="s">
        <v>556</v>
      </c>
      <c r="C391" s="374" t="s">
        <v>434</v>
      </c>
      <c r="D391" s="377"/>
      <c r="E391" s="377"/>
      <c r="F391" s="377"/>
      <c r="G391" s="377"/>
      <c r="H391" s="377"/>
      <c r="I391" s="375">
        <v>0</v>
      </c>
      <c r="J391" s="375">
        <v>0</v>
      </c>
      <c r="K391" s="375">
        <v>0</v>
      </c>
      <c r="L391" s="375">
        <v>0</v>
      </c>
      <c r="M391" s="375">
        <v>0</v>
      </c>
      <c r="N391" s="375">
        <v>0</v>
      </c>
      <c r="O391" s="375">
        <v>0</v>
      </c>
      <c r="P391" s="376">
        <f t="shared" si="80"/>
        <v>0</v>
      </c>
    </row>
    <row r="392" spans="1:16" ht="13" thickBot="1">
      <c r="A392" s="712"/>
      <c r="B392" s="712"/>
      <c r="C392" s="374" t="s">
        <v>435</v>
      </c>
      <c r="D392" s="377"/>
      <c r="E392" s="377"/>
      <c r="F392" s="377"/>
      <c r="G392" s="377"/>
      <c r="H392" s="377"/>
      <c r="I392" s="377"/>
      <c r="J392" s="375">
        <v>0</v>
      </c>
      <c r="K392" s="375">
        <v>0</v>
      </c>
      <c r="L392" s="375">
        <v>0</v>
      </c>
      <c r="M392" s="375">
        <v>0</v>
      </c>
      <c r="N392" s="375">
        <v>0</v>
      </c>
      <c r="O392" s="375">
        <v>0</v>
      </c>
      <c r="P392" s="376">
        <f t="shared" si="80"/>
        <v>0</v>
      </c>
    </row>
    <row r="393" spans="1:16" ht="13" thickBot="1">
      <c r="A393" s="429"/>
      <c r="B393" s="425"/>
      <c r="C393" s="426" t="s">
        <v>64</v>
      </c>
      <c r="D393" s="428">
        <v>0</v>
      </c>
      <c r="E393" s="428">
        <v>0</v>
      </c>
      <c r="F393" s="428">
        <v>0</v>
      </c>
      <c r="G393" s="428">
        <v>0</v>
      </c>
      <c r="H393" s="428">
        <v>0</v>
      </c>
      <c r="I393" s="428">
        <v>0</v>
      </c>
      <c r="J393" s="428">
        <v>0</v>
      </c>
      <c r="K393" s="428">
        <v>0</v>
      </c>
      <c r="L393" s="428">
        <v>0</v>
      </c>
      <c r="M393" s="428">
        <v>0</v>
      </c>
      <c r="N393" s="428">
        <v>0</v>
      </c>
      <c r="O393" s="428">
        <v>0</v>
      </c>
      <c r="P393" s="428">
        <f t="shared" si="80"/>
        <v>0</v>
      </c>
    </row>
    <row r="394" spans="1:16" ht="13" thickBot="1">
      <c r="A394" s="713" t="s">
        <v>64</v>
      </c>
      <c r="B394" s="714"/>
      <c r="C394" s="715"/>
      <c r="D394" s="430">
        <f>D357+D360+D363+D366+D369+D372+D375+D378+D381+D384+D387+D390+D393</f>
        <v>45794737</v>
      </c>
      <c r="E394" s="430">
        <f t="shared" ref="E394:O394" si="81">E357+E360+E363+E366+E369+E372+E375+E378+E381+E384+E387+E390+E393</f>
        <v>8718277</v>
      </c>
      <c r="F394" s="430">
        <f t="shared" si="81"/>
        <v>-72115875</v>
      </c>
      <c r="G394" s="430">
        <f t="shared" si="81"/>
        <v>21821534</v>
      </c>
      <c r="H394" s="430">
        <f t="shared" si="81"/>
        <v>81004163</v>
      </c>
      <c r="I394" s="430">
        <f t="shared" si="81"/>
        <v>12492623</v>
      </c>
      <c r="J394" s="430">
        <f t="shared" si="81"/>
        <v>-113370536</v>
      </c>
      <c r="K394" s="430">
        <f t="shared" si="81"/>
        <v>43497429</v>
      </c>
      <c r="L394" s="430">
        <f t="shared" si="81"/>
        <v>-62972966</v>
      </c>
      <c r="M394" s="430">
        <f t="shared" si="81"/>
        <v>-6104194</v>
      </c>
      <c r="N394" s="430">
        <f t="shared" si="81"/>
        <v>-9053431</v>
      </c>
      <c r="O394" s="430">
        <f t="shared" si="81"/>
        <v>10975302</v>
      </c>
      <c r="P394" s="430">
        <f t="shared" si="80"/>
        <v>-39312937</v>
      </c>
    </row>
    <row r="397" spans="1:16">
      <c r="C397" s="245" t="s">
        <v>569</v>
      </c>
      <c r="D397" s="285">
        <f>SUM(D355:D356,D358:D359)</f>
        <v>25752842</v>
      </c>
      <c r="E397" s="285">
        <f t="shared" ref="E397:O397" si="82">SUM(E355:E356,E358:E359)</f>
        <v>7858422</v>
      </c>
      <c r="F397" s="285">
        <f t="shared" si="82"/>
        <v>-40321273</v>
      </c>
      <c r="G397" s="285">
        <f t="shared" si="82"/>
        <v>5738123</v>
      </c>
      <c r="H397" s="285">
        <f t="shared" si="82"/>
        <v>57423264</v>
      </c>
      <c r="I397" s="285">
        <f t="shared" si="82"/>
        <v>19555013</v>
      </c>
      <c r="J397" s="285">
        <f t="shared" si="82"/>
        <v>-42080539</v>
      </c>
      <c r="K397" s="285">
        <f t="shared" si="82"/>
        <v>-1411255</v>
      </c>
      <c r="L397" s="285">
        <f t="shared" si="82"/>
        <v>-41166856</v>
      </c>
      <c r="M397" s="285">
        <f t="shared" si="82"/>
        <v>-4029543</v>
      </c>
      <c r="N397" s="285">
        <f t="shared" si="82"/>
        <v>-10699911</v>
      </c>
      <c r="O397" s="285">
        <f t="shared" si="82"/>
        <v>3034454</v>
      </c>
      <c r="P397" s="285">
        <f>SUM(D397:O397)</f>
        <v>-20347259</v>
      </c>
    </row>
    <row r="398" spans="1:16">
      <c r="C398" s="245" t="s">
        <v>436</v>
      </c>
      <c r="D398" s="285">
        <f>SUM(D361:D362,D364:D365,D367:D368)-D399</f>
        <v>6536389</v>
      </c>
      <c r="E398" s="285">
        <f t="shared" ref="E398:O398" si="83">SUM(E361:E362,E364:E365,E367:E368)-E399</f>
        <v>-390128</v>
      </c>
      <c r="F398" s="285">
        <f t="shared" si="83"/>
        <v>-9592696</v>
      </c>
      <c r="G398" s="285">
        <f t="shared" si="83"/>
        <v>4369838</v>
      </c>
      <c r="H398" s="285">
        <f t="shared" si="83"/>
        <v>9570084</v>
      </c>
      <c r="I398" s="285">
        <f t="shared" si="83"/>
        <v>995198</v>
      </c>
      <c r="J398" s="285">
        <f t="shared" si="83"/>
        <v>-13631601</v>
      </c>
      <c r="K398" s="285">
        <f t="shared" si="83"/>
        <v>4436474</v>
      </c>
      <c r="L398" s="285">
        <f t="shared" si="83"/>
        <v>-8332233</v>
      </c>
      <c r="M398" s="285">
        <f t="shared" si="83"/>
        <v>-529920</v>
      </c>
      <c r="N398" s="285">
        <f t="shared" si="83"/>
        <v>-743007</v>
      </c>
      <c r="O398" s="285">
        <f t="shared" si="83"/>
        <v>605686</v>
      </c>
      <c r="P398" s="285">
        <f t="shared" ref="P398:P404" si="84">SUM(D398:O398)</f>
        <v>-6705916</v>
      </c>
    </row>
    <row r="399" spans="1:16">
      <c r="C399" s="245">
        <v>13</v>
      </c>
      <c r="D399" s="285">
        <f>SUM(D367:D368)</f>
        <v>0</v>
      </c>
      <c r="E399" s="285">
        <f t="shared" ref="E399:O399" si="85">SUM(E367:E368)</f>
        <v>0</v>
      </c>
      <c r="F399" s="285">
        <f t="shared" si="85"/>
        <v>0</v>
      </c>
      <c r="G399" s="285">
        <f t="shared" si="85"/>
        <v>0</v>
      </c>
      <c r="H399" s="285">
        <f t="shared" si="85"/>
        <v>0</v>
      </c>
      <c r="I399" s="285">
        <f t="shared" si="85"/>
        <v>0</v>
      </c>
      <c r="J399" s="285">
        <f t="shared" si="85"/>
        <v>0</v>
      </c>
      <c r="K399" s="285">
        <f t="shared" si="85"/>
        <v>0</v>
      </c>
      <c r="L399" s="285">
        <f t="shared" si="85"/>
        <v>0</v>
      </c>
      <c r="M399" s="285">
        <f t="shared" si="85"/>
        <v>0</v>
      </c>
      <c r="N399" s="285">
        <f t="shared" si="85"/>
        <v>0</v>
      </c>
      <c r="O399" s="285">
        <f t="shared" si="85"/>
        <v>0</v>
      </c>
      <c r="P399" s="285">
        <f t="shared" si="84"/>
        <v>0</v>
      </c>
    </row>
    <row r="400" spans="1:16">
      <c r="C400" s="245" t="s">
        <v>437</v>
      </c>
      <c r="D400" s="285">
        <f>SUM(D370:D371,D373:D374,D376:D377)-D401</f>
        <v>11693348</v>
      </c>
      <c r="E400" s="285">
        <f t="shared" ref="E400:O400" si="86">SUM(E370:E371,E373:E374,E376:E377)-E401</f>
        <v>-4496450</v>
      </c>
      <c r="F400" s="285">
        <f t="shared" si="86"/>
        <v>-17893515</v>
      </c>
      <c r="G400" s="285">
        <f t="shared" si="86"/>
        <v>12437489</v>
      </c>
      <c r="H400" s="285">
        <f t="shared" si="86"/>
        <v>14616264</v>
      </c>
      <c r="I400" s="285">
        <f t="shared" si="86"/>
        <v>-6591130</v>
      </c>
      <c r="J400" s="285">
        <f t="shared" si="86"/>
        <v>-26435097</v>
      </c>
      <c r="K400" s="285">
        <f t="shared" si="86"/>
        <v>6837754</v>
      </c>
      <c r="L400" s="285">
        <f t="shared" si="86"/>
        <v>-9794735</v>
      </c>
      <c r="M400" s="285">
        <f t="shared" si="86"/>
        <v>-182913</v>
      </c>
      <c r="N400" s="285">
        <f t="shared" si="86"/>
        <v>1459955</v>
      </c>
      <c r="O400" s="285">
        <f t="shared" si="86"/>
        <v>2874529</v>
      </c>
      <c r="P400" s="285">
        <f t="shared" si="84"/>
        <v>-15474501</v>
      </c>
    </row>
    <row r="401" spans="3:17">
      <c r="C401" s="245">
        <v>23</v>
      </c>
      <c r="D401" s="285">
        <f>SUM(D376:D377)</f>
        <v>0</v>
      </c>
      <c r="E401" s="285">
        <f t="shared" ref="E401:O401" si="87">SUM(E376:E377)</f>
        <v>0</v>
      </c>
      <c r="F401" s="285">
        <f t="shared" si="87"/>
        <v>0</v>
      </c>
      <c r="G401" s="285">
        <f t="shared" si="87"/>
        <v>0</v>
      </c>
      <c r="H401" s="285">
        <f t="shared" si="87"/>
        <v>0</v>
      </c>
      <c r="I401" s="285">
        <f t="shared" si="87"/>
        <v>0</v>
      </c>
      <c r="J401" s="285">
        <f t="shared" si="87"/>
        <v>0</v>
      </c>
      <c r="K401" s="285">
        <f t="shared" si="87"/>
        <v>0</v>
      </c>
      <c r="L401" s="285">
        <f t="shared" si="87"/>
        <v>0</v>
      </c>
      <c r="M401" s="285">
        <f t="shared" si="87"/>
        <v>0</v>
      </c>
      <c r="N401" s="285">
        <f t="shared" si="87"/>
        <v>0</v>
      </c>
      <c r="O401" s="285">
        <f t="shared" si="87"/>
        <v>0</v>
      </c>
      <c r="P401" s="285">
        <f t="shared" si="84"/>
        <v>0</v>
      </c>
    </row>
    <row r="402" spans="3:17">
      <c r="C402" s="245" t="s">
        <v>359</v>
      </c>
      <c r="D402" s="285">
        <f>SUM(D379:D380)</f>
        <v>1743194</v>
      </c>
      <c r="E402" s="285">
        <f t="shared" ref="E402:O402" si="88">SUM(E379:E380)</f>
        <v>3736381</v>
      </c>
      <c r="F402" s="285">
        <f t="shared" si="88"/>
        <v>-965618</v>
      </c>
      <c r="G402" s="285">
        <f t="shared" si="88"/>
        <v>-2002638</v>
      </c>
      <c r="H402" s="285">
        <f t="shared" si="88"/>
        <v>-2091392</v>
      </c>
      <c r="I402" s="285">
        <f t="shared" si="88"/>
        <v>-2176306</v>
      </c>
      <c r="J402" s="285">
        <f t="shared" si="88"/>
        <v>-15416145</v>
      </c>
      <c r="K402" s="285">
        <f t="shared" si="88"/>
        <v>16455732</v>
      </c>
      <c r="L402" s="285">
        <f t="shared" si="88"/>
        <v>3110920</v>
      </c>
      <c r="M402" s="285">
        <f t="shared" si="88"/>
        <v>-2590749</v>
      </c>
      <c r="N402" s="285">
        <f t="shared" si="88"/>
        <v>1174343</v>
      </c>
      <c r="O402" s="285">
        <f t="shared" si="88"/>
        <v>1303369</v>
      </c>
      <c r="P402" s="285">
        <f t="shared" si="84"/>
        <v>2281091</v>
      </c>
    </row>
    <row r="403" spans="3:17">
      <c r="C403" s="245" t="s">
        <v>756</v>
      </c>
      <c r="D403" s="285">
        <f>SUM(D382:D383)</f>
        <v>1299632</v>
      </c>
      <c r="E403" s="285">
        <f t="shared" ref="E403:O403" si="89">SUM(E382:E383)</f>
        <v>1717194</v>
      </c>
      <c r="F403" s="285">
        <f t="shared" si="89"/>
        <v>-2944712</v>
      </c>
      <c r="G403" s="285">
        <f t="shared" si="89"/>
        <v>1364696</v>
      </c>
      <c r="H403" s="285">
        <f t="shared" si="89"/>
        <v>695132</v>
      </c>
      <c r="I403" s="285">
        <f t="shared" si="89"/>
        <v>-761592</v>
      </c>
      <c r="J403" s="285">
        <f t="shared" si="89"/>
        <v>-18236443</v>
      </c>
      <c r="K403" s="285">
        <f t="shared" si="89"/>
        <v>16740753</v>
      </c>
      <c r="L403" s="285">
        <f t="shared" si="89"/>
        <v>-6023466</v>
      </c>
      <c r="M403" s="285">
        <f t="shared" si="89"/>
        <v>1239158</v>
      </c>
      <c r="N403" s="285">
        <f t="shared" si="89"/>
        <v>1746126</v>
      </c>
      <c r="O403" s="285">
        <f t="shared" si="89"/>
        <v>3954558</v>
      </c>
      <c r="P403" s="285">
        <f>SUM(D403:O403)</f>
        <v>791036</v>
      </c>
    </row>
    <row r="404" spans="3:17">
      <c r="C404" s="245" t="s">
        <v>438</v>
      </c>
      <c r="D404" s="285">
        <f>SUM(D385:D386,D388:D389,D391:D392)</f>
        <v>-1230668</v>
      </c>
      <c r="E404" s="285">
        <f t="shared" ref="E404:O404" si="90">SUM(E385:E386,E388:E389,E391:E392)</f>
        <v>292858</v>
      </c>
      <c r="F404" s="285">
        <f t="shared" si="90"/>
        <v>-398061</v>
      </c>
      <c r="G404" s="285">
        <f t="shared" si="90"/>
        <v>-85974</v>
      </c>
      <c r="H404" s="285">
        <f t="shared" si="90"/>
        <v>790811</v>
      </c>
      <c r="I404" s="285">
        <f t="shared" si="90"/>
        <v>1471440</v>
      </c>
      <c r="J404" s="285">
        <f t="shared" si="90"/>
        <v>2429289</v>
      </c>
      <c r="K404" s="285">
        <f t="shared" si="90"/>
        <v>437971</v>
      </c>
      <c r="L404" s="285">
        <f t="shared" si="90"/>
        <v>-766596</v>
      </c>
      <c r="M404" s="285">
        <f t="shared" si="90"/>
        <v>-10227</v>
      </c>
      <c r="N404" s="285">
        <f t="shared" si="90"/>
        <v>-1990937</v>
      </c>
      <c r="O404" s="285">
        <f t="shared" si="90"/>
        <v>-797294</v>
      </c>
      <c r="P404" s="285">
        <f t="shared" si="84"/>
        <v>142612</v>
      </c>
    </row>
    <row r="405" spans="3:17">
      <c r="D405" s="40">
        <f>SUM(D397:D404)</f>
        <v>45794737</v>
      </c>
      <c r="E405" s="40">
        <f>SUM(E397:E404)</f>
        <v>8718277</v>
      </c>
      <c r="F405" s="40">
        <f t="shared" ref="F405:O405" si="91">SUM(F397:F404)</f>
        <v>-72115875</v>
      </c>
      <c r="G405" s="40">
        <f t="shared" si="91"/>
        <v>21821534</v>
      </c>
      <c r="H405" s="40">
        <f t="shared" si="91"/>
        <v>81004163</v>
      </c>
      <c r="I405" s="40">
        <f t="shared" si="91"/>
        <v>12492623</v>
      </c>
      <c r="J405" s="40">
        <f t="shared" si="91"/>
        <v>-113370536</v>
      </c>
      <c r="K405" s="40">
        <f t="shared" si="91"/>
        <v>43497429</v>
      </c>
      <c r="L405" s="40">
        <f t="shared" si="91"/>
        <v>-62972966</v>
      </c>
      <c r="M405" s="40">
        <f t="shared" si="91"/>
        <v>-6104194</v>
      </c>
      <c r="N405" s="40">
        <f t="shared" si="91"/>
        <v>-9053431</v>
      </c>
      <c r="O405" s="40">
        <f t="shared" si="91"/>
        <v>10975302</v>
      </c>
      <c r="P405" s="285">
        <f>SUM(D405:O405)</f>
        <v>-39312937</v>
      </c>
    </row>
    <row r="406" spans="3:17">
      <c r="D406" s="40">
        <f>D394-D405</f>
        <v>0</v>
      </c>
      <c r="E406" s="40">
        <f>E394-E405</f>
        <v>0</v>
      </c>
      <c r="F406" s="40">
        <f t="shared" ref="F406:O406" si="92">F394-F405</f>
        <v>0</v>
      </c>
      <c r="G406" s="40">
        <f t="shared" si="92"/>
        <v>0</v>
      </c>
      <c r="H406" s="40">
        <f t="shared" si="92"/>
        <v>0</v>
      </c>
      <c r="I406" s="40">
        <f t="shared" si="92"/>
        <v>0</v>
      </c>
      <c r="J406" s="40">
        <f t="shared" si="92"/>
        <v>0</v>
      </c>
      <c r="K406" s="40">
        <f t="shared" si="92"/>
        <v>0</v>
      </c>
      <c r="L406" s="40">
        <f t="shared" si="92"/>
        <v>0</v>
      </c>
      <c r="M406" s="40">
        <f t="shared" si="92"/>
        <v>0</v>
      </c>
      <c r="N406" s="40">
        <f t="shared" si="92"/>
        <v>0</v>
      </c>
      <c r="O406" s="40">
        <f t="shared" si="92"/>
        <v>0</v>
      </c>
      <c r="P406" s="285">
        <f>SUM(P397:P404)</f>
        <v>-39312937</v>
      </c>
      <c r="Q406" s="245" t="s">
        <v>64</v>
      </c>
    </row>
    <row r="407" spans="3:17">
      <c r="O407" s="285"/>
      <c r="P407" s="285"/>
    </row>
    <row r="408" spans="3:17">
      <c r="O408" s="285"/>
      <c r="P408" s="285">
        <f>P406-P394</f>
        <v>0</v>
      </c>
    </row>
    <row r="417" spans="1:17">
      <c r="A417" s="41" t="s">
        <v>804</v>
      </c>
    </row>
    <row r="419" spans="1:17">
      <c r="A419" t="s">
        <v>427</v>
      </c>
    </row>
    <row r="421" spans="1:17">
      <c r="D421" t="s">
        <v>592</v>
      </c>
    </row>
    <row r="422" spans="1:17">
      <c r="C422" t="s">
        <v>428</v>
      </c>
      <c r="D422" t="s">
        <v>792</v>
      </c>
      <c r="E422" t="s">
        <v>793</v>
      </c>
      <c r="F422" t="s">
        <v>794</v>
      </c>
      <c r="G422" t="s">
        <v>795</v>
      </c>
      <c r="H422" t="s">
        <v>796</v>
      </c>
      <c r="I422" t="s">
        <v>797</v>
      </c>
      <c r="J422" t="s">
        <v>798</v>
      </c>
      <c r="K422" t="s">
        <v>799</v>
      </c>
      <c r="L422" t="s">
        <v>800</v>
      </c>
      <c r="M422" t="s">
        <v>801</v>
      </c>
      <c r="N422" t="s">
        <v>802</v>
      </c>
      <c r="O422" t="s">
        <v>803</v>
      </c>
      <c r="P422" t="s">
        <v>431</v>
      </c>
    </row>
    <row r="424" spans="1:17">
      <c r="A424" t="s">
        <v>717</v>
      </c>
    </row>
    <row r="425" spans="1:17">
      <c r="A425" t="s">
        <v>718</v>
      </c>
    </row>
    <row r="426" spans="1:17" ht="14.5">
      <c r="B426" t="s">
        <v>719</v>
      </c>
      <c r="D426" s="442">
        <v>328986.73</v>
      </c>
      <c r="E426" s="442">
        <v>381853.49</v>
      </c>
      <c r="F426" s="442">
        <v>373390.84</v>
      </c>
      <c r="G426" s="442">
        <v>277948.12</v>
      </c>
      <c r="H426" s="442">
        <v>281683.61</v>
      </c>
      <c r="I426" s="442">
        <v>335052.12</v>
      </c>
      <c r="J426" s="442">
        <v>344356.09</v>
      </c>
      <c r="K426" s="442">
        <v>291661.34000000003</v>
      </c>
      <c r="L426" s="442">
        <v>388852.03</v>
      </c>
      <c r="M426" s="442">
        <v>287065.17</v>
      </c>
      <c r="N426" s="442">
        <v>367389.81</v>
      </c>
      <c r="O426" s="442">
        <v>343035.09</v>
      </c>
      <c r="P426" s="445">
        <f>SUM(D426:O426)</f>
        <v>4001274.44</v>
      </c>
      <c r="Q426" s="441"/>
    </row>
    <row r="427" spans="1:17" ht="14.5">
      <c r="B427" t="s">
        <v>720</v>
      </c>
      <c r="D427" s="442">
        <v>0</v>
      </c>
      <c r="E427" s="442">
        <v>0</v>
      </c>
      <c r="F427" s="442">
        <v>0</v>
      </c>
      <c r="G427" s="442">
        <v>0</v>
      </c>
      <c r="H427" s="442">
        <v>0</v>
      </c>
      <c r="I427" s="442">
        <v>0</v>
      </c>
      <c r="J427" s="442">
        <v>0</v>
      </c>
      <c r="K427" s="442">
        <v>0</v>
      </c>
      <c r="L427" s="442">
        <v>0</v>
      </c>
      <c r="M427" s="442">
        <v>0</v>
      </c>
      <c r="N427" s="442">
        <v>0</v>
      </c>
      <c r="O427" s="442">
        <v>0</v>
      </c>
      <c r="P427" s="445">
        <f>SUM(D427:O427)</f>
        <v>0</v>
      </c>
      <c r="Q427" s="41"/>
    </row>
    <row r="428" spans="1:17" ht="14.5">
      <c r="B428" t="s">
        <v>721</v>
      </c>
      <c r="D428" s="442">
        <v>7</v>
      </c>
      <c r="E428" s="444">
        <f>D428</f>
        <v>7</v>
      </c>
      <c r="F428" s="444">
        <f t="shared" ref="F428:O429" si="93">E428</f>
        <v>7</v>
      </c>
      <c r="G428" s="444">
        <f t="shared" si="93"/>
        <v>7</v>
      </c>
      <c r="H428" s="444">
        <f t="shared" si="93"/>
        <v>7</v>
      </c>
      <c r="I428" s="442">
        <v>7.5</v>
      </c>
      <c r="J428" s="444">
        <f t="shared" si="93"/>
        <v>7.5</v>
      </c>
      <c r="K428" s="444">
        <f t="shared" si="93"/>
        <v>7.5</v>
      </c>
      <c r="L428" s="444">
        <f t="shared" si="93"/>
        <v>7.5</v>
      </c>
      <c r="M428" s="444">
        <f t="shared" si="93"/>
        <v>7.5</v>
      </c>
      <c r="N428" s="444">
        <f t="shared" si="93"/>
        <v>7.5</v>
      </c>
      <c r="O428" s="444">
        <f t="shared" si="93"/>
        <v>7.5</v>
      </c>
      <c r="Q428" s="41"/>
    </row>
    <row r="429" spans="1:17" ht="14.5">
      <c r="B429" t="s">
        <v>722</v>
      </c>
      <c r="D429" s="442">
        <v>0.5</v>
      </c>
      <c r="E429" s="444">
        <f>D429</f>
        <v>0.5</v>
      </c>
      <c r="F429" s="444">
        <f t="shared" si="93"/>
        <v>0.5</v>
      </c>
      <c r="G429" s="444">
        <f t="shared" si="93"/>
        <v>0.5</v>
      </c>
      <c r="H429" s="444">
        <f t="shared" si="93"/>
        <v>0.5</v>
      </c>
      <c r="I429" s="444">
        <f t="shared" si="93"/>
        <v>0.5</v>
      </c>
      <c r="J429" s="444">
        <f t="shared" si="93"/>
        <v>0.5</v>
      </c>
      <c r="K429" s="444">
        <f t="shared" si="93"/>
        <v>0.5</v>
      </c>
      <c r="L429" s="444">
        <f t="shared" si="93"/>
        <v>0.5</v>
      </c>
      <c r="M429" s="444">
        <f t="shared" si="93"/>
        <v>0.5</v>
      </c>
      <c r="N429" s="444">
        <f t="shared" si="93"/>
        <v>0.5</v>
      </c>
      <c r="O429" s="444">
        <f t="shared" si="93"/>
        <v>0.5</v>
      </c>
    </row>
    <row r="430" spans="1:17">
      <c r="A430" t="s">
        <v>723</v>
      </c>
    </row>
    <row r="431" spans="1:17" ht="14.5">
      <c r="B431" t="s">
        <v>719</v>
      </c>
      <c r="D431" s="442">
        <v>6676.14</v>
      </c>
      <c r="E431" s="442">
        <v>9066.24</v>
      </c>
      <c r="F431" s="442">
        <v>7975.84</v>
      </c>
      <c r="G431" s="442">
        <v>6879.69</v>
      </c>
      <c r="H431" s="442">
        <v>9592.06</v>
      </c>
      <c r="I431" s="442">
        <v>14942.42</v>
      </c>
      <c r="J431" s="442">
        <v>17061.830000000002</v>
      </c>
      <c r="K431" s="442">
        <v>13187.95</v>
      </c>
      <c r="L431" s="442">
        <v>16380.03</v>
      </c>
      <c r="M431" s="442">
        <v>10670.98</v>
      </c>
      <c r="N431" s="442">
        <v>10520.31</v>
      </c>
      <c r="O431" s="442">
        <v>7328.83</v>
      </c>
      <c r="P431" s="445">
        <f t="shared" ref="P431:P432" si="94">SUM(D431:O431)</f>
        <v>130282.31999999999</v>
      </c>
    </row>
    <row r="432" spans="1:17" ht="14.5">
      <c r="B432" t="s">
        <v>720</v>
      </c>
      <c r="D432" s="442">
        <v>0</v>
      </c>
      <c r="E432" s="442">
        <v>0</v>
      </c>
      <c r="F432" s="442">
        <v>0</v>
      </c>
      <c r="G432" s="442">
        <v>0</v>
      </c>
      <c r="H432" s="442">
        <v>0</v>
      </c>
      <c r="I432" s="442">
        <v>0</v>
      </c>
      <c r="J432" s="442">
        <v>0</v>
      </c>
      <c r="K432" s="442">
        <v>0</v>
      </c>
      <c r="L432" s="442">
        <v>0</v>
      </c>
      <c r="M432" s="442">
        <v>0</v>
      </c>
      <c r="N432" s="442">
        <v>0</v>
      </c>
      <c r="O432" s="442">
        <v>0</v>
      </c>
      <c r="P432" s="445">
        <f t="shared" si="94"/>
        <v>0</v>
      </c>
    </row>
    <row r="433" spans="1:16" ht="14.5">
      <c r="B433" t="s">
        <v>721</v>
      </c>
      <c r="D433" s="442">
        <v>7</v>
      </c>
      <c r="E433" s="444">
        <f>D433</f>
        <v>7</v>
      </c>
      <c r="F433" s="444">
        <f t="shared" ref="F433:O434" si="95">E433</f>
        <v>7</v>
      </c>
      <c r="G433" s="444">
        <f t="shared" si="95"/>
        <v>7</v>
      </c>
      <c r="H433" s="444">
        <f t="shared" si="95"/>
        <v>7</v>
      </c>
      <c r="I433" s="442">
        <v>7.5</v>
      </c>
      <c r="J433" s="444">
        <f t="shared" si="95"/>
        <v>7.5</v>
      </c>
      <c r="K433" s="444">
        <f t="shared" si="95"/>
        <v>7.5</v>
      </c>
      <c r="L433" s="444">
        <f t="shared" si="95"/>
        <v>7.5</v>
      </c>
      <c r="M433" s="444">
        <f t="shared" si="95"/>
        <v>7.5</v>
      </c>
      <c r="N433" s="444">
        <f t="shared" si="95"/>
        <v>7.5</v>
      </c>
      <c r="O433" s="444">
        <f t="shared" si="95"/>
        <v>7.5</v>
      </c>
    </row>
    <row r="434" spans="1:16" ht="14.5">
      <c r="B434" t="s">
        <v>722</v>
      </c>
      <c r="D434" s="442">
        <v>0.5</v>
      </c>
      <c r="E434" s="444">
        <f>D434</f>
        <v>0.5</v>
      </c>
      <c r="F434" s="444">
        <f t="shared" si="95"/>
        <v>0.5</v>
      </c>
      <c r="G434" s="444">
        <f t="shared" si="95"/>
        <v>0.5</v>
      </c>
      <c r="H434" s="444">
        <f t="shared" si="95"/>
        <v>0.5</v>
      </c>
      <c r="I434" s="444">
        <f t="shared" si="95"/>
        <v>0.5</v>
      </c>
      <c r="J434" s="444">
        <f t="shared" si="95"/>
        <v>0.5</v>
      </c>
      <c r="K434" s="444">
        <f t="shared" si="95"/>
        <v>0.5</v>
      </c>
      <c r="L434" s="444">
        <f t="shared" si="95"/>
        <v>0.5</v>
      </c>
      <c r="M434" s="444">
        <f t="shared" si="95"/>
        <v>0.5</v>
      </c>
      <c r="N434" s="444">
        <f t="shared" si="95"/>
        <v>0.5</v>
      </c>
      <c r="O434" s="444">
        <f t="shared" si="95"/>
        <v>0.5</v>
      </c>
    </row>
    <row r="435" spans="1:16">
      <c r="A435" t="s">
        <v>757</v>
      </c>
    </row>
    <row r="436" spans="1:16" ht="14.5">
      <c r="B436" t="s">
        <v>719</v>
      </c>
      <c r="D436" s="442">
        <v>0</v>
      </c>
      <c r="E436" s="442">
        <v>0</v>
      </c>
      <c r="F436" s="442">
        <v>0</v>
      </c>
      <c r="G436" s="442">
        <v>0</v>
      </c>
      <c r="H436" s="442">
        <v>0</v>
      </c>
      <c r="I436" s="442">
        <v>0</v>
      </c>
      <c r="J436" s="442">
        <v>0</v>
      </c>
      <c r="K436" s="442">
        <v>0</v>
      </c>
      <c r="L436" s="442">
        <v>0</v>
      </c>
      <c r="M436" s="442">
        <v>0</v>
      </c>
      <c r="N436" s="442">
        <v>0</v>
      </c>
      <c r="O436" s="442">
        <v>0</v>
      </c>
      <c r="P436" s="445">
        <f t="shared" ref="P436:P437" si="96">SUM(D436:O436)</f>
        <v>0</v>
      </c>
    </row>
    <row r="437" spans="1:16" ht="14.5">
      <c r="B437" t="s">
        <v>720</v>
      </c>
      <c r="D437" s="442">
        <v>0</v>
      </c>
      <c r="E437" s="442">
        <v>0</v>
      </c>
      <c r="F437" s="442">
        <v>0</v>
      </c>
      <c r="G437" s="442">
        <v>0</v>
      </c>
      <c r="H437" s="442">
        <v>0</v>
      </c>
      <c r="I437" s="442">
        <v>0</v>
      </c>
      <c r="J437" s="442">
        <v>0</v>
      </c>
      <c r="K437" s="442">
        <v>0</v>
      </c>
      <c r="L437" s="442">
        <v>0</v>
      </c>
      <c r="M437" s="442">
        <v>0</v>
      </c>
      <c r="N437" s="442">
        <v>0</v>
      </c>
      <c r="O437" s="442">
        <v>0</v>
      </c>
      <c r="P437" s="445">
        <f t="shared" si="96"/>
        <v>0</v>
      </c>
    </row>
    <row r="438" spans="1:16" ht="14.5">
      <c r="B438" t="s">
        <v>721</v>
      </c>
      <c r="D438" s="442">
        <v>0</v>
      </c>
      <c r="E438" s="444">
        <f>D438</f>
        <v>0</v>
      </c>
      <c r="F438" s="444">
        <f t="shared" ref="F438:F439" si="97">E438</f>
        <v>0</v>
      </c>
      <c r="G438" s="444">
        <f t="shared" ref="G438:G439" si="98">F438</f>
        <v>0</v>
      </c>
      <c r="H438" s="444">
        <f t="shared" ref="H438:H439" si="99">G438</f>
        <v>0</v>
      </c>
      <c r="I438" s="444">
        <f t="shared" ref="I438:I439" si="100">H438</f>
        <v>0</v>
      </c>
      <c r="J438" s="444">
        <f t="shared" ref="J438:J439" si="101">I438</f>
        <v>0</v>
      </c>
      <c r="K438" s="444">
        <f t="shared" ref="K438:K439" si="102">J438</f>
        <v>0</v>
      </c>
      <c r="L438" s="444">
        <f t="shared" ref="L438:L439" si="103">K438</f>
        <v>0</v>
      </c>
      <c r="M438" s="444">
        <f t="shared" ref="M438:M439" si="104">L438</f>
        <v>0</v>
      </c>
      <c r="N438" s="444">
        <f t="shared" ref="N438:N439" si="105">M438</f>
        <v>0</v>
      </c>
      <c r="O438" s="444">
        <f t="shared" ref="O438:O439" si="106">N438</f>
        <v>0</v>
      </c>
    </row>
    <row r="439" spans="1:16" ht="14.5">
      <c r="B439" t="s">
        <v>722</v>
      </c>
      <c r="D439" s="442">
        <v>0.5</v>
      </c>
      <c r="E439" s="444">
        <f>D439</f>
        <v>0.5</v>
      </c>
      <c r="F439" s="444">
        <f t="shared" si="97"/>
        <v>0.5</v>
      </c>
      <c r="G439" s="444">
        <f t="shared" si="98"/>
        <v>0.5</v>
      </c>
      <c r="H439" s="444">
        <f t="shared" si="99"/>
        <v>0.5</v>
      </c>
      <c r="I439" s="444">
        <f t="shared" si="100"/>
        <v>0.5</v>
      </c>
      <c r="J439" s="444">
        <f t="shared" si="101"/>
        <v>0.5</v>
      </c>
      <c r="K439" s="444">
        <f t="shared" si="102"/>
        <v>0.5</v>
      </c>
      <c r="L439" s="444">
        <f t="shared" si="103"/>
        <v>0.5</v>
      </c>
      <c r="M439" s="444">
        <f t="shared" si="104"/>
        <v>0.5</v>
      </c>
      <c r="N439" s="444">
        <f t="shared" si="105"/>
        <v>0.5</v>
      </c>
      <c r="O439" s="444">
        <f t="shared" si="106"/>
        <v>0.5</v>
      </c>
    </row>
    <row r="440" spans="1:16">
      <c r="A440" t="s">
        <v>724</v>
      </c>
    </row>
    <row r="441" spans="1:16" ht="14.5">
      <c r="B441" t="s">
        <v>719</v>
      </c>
      <c r="D441" s="446">
        <v>1564555.76</v>
      </c>
      <c r="E441" s="446">
        <v>1684554.11</v>
      </c>
      <c r="F441" s="446">
        <v>1674876.5</v>
      </c>
      <c r="G441" s="446">
        <v>1472137.52</v>
      </c>
      <c r="H441" s="446">
        <v>1381572.03</v>
      </c>
      <c r="I441" s="446">
        <v>1490963.64</v>
      </c>
      <c r="J441" s="446">
        <v>1508200.77</v>
      </c>
      <c r="K441" s="446">
        <v>1134919.3799999999</v>
      </c>
      <c r="L441" s="446">
        <v>1859902.81</v>
      </c>
      <c r="M441" s="446">
        <v>1324199.92</v>
      </c>
      <c r="N441" s="446">
        <v>1749855.98</v>
      </c>
      <c r="O441" s="446">
        <v>1713013.06</v>
      </c>
      <c r="P441" s="445">
        <f t="shared" ref="P441:P442" si="107">SUM(D441:O441)</f>
        <v>18558751.48</v>
      </c>
    </row>
    <row r="442" spans="1:16" ht="14.5">
      <c r="B442" t="s">
        <v>720</v>
      </c>
      <c r="D442" s="442">
        <v>15394.92</v>
      </c>
      <c r="E442" s="442">
        <v>15024.81</v>
      </c>
      <c r="F442" s="442">
        <v>15866.22</v>
      </c>
      <c r="G442" s="442">
        <v>14449.16</v>
      </c>
      <c r="H442" s="442">
        <v>12530.79</v>
      </c>
      <c r="I442" s="442">
        <v>11166.51</v>
      </c>
      <c r="J442" s="442">
        <v>10495.28</v>
      </c>
      <c r="K442" s="442">
        <v>7419.36</v>
      </c>
      <c r="L442" s="442">
        <v>13311.32</v>
      </c>
      <c r="M442" s="442">
        <v>10781.18</v>
      </c>
      <c r="N442" s="442">
        <v>14208.27</v>
      </c>
      <c r="O442" s="442">
        <v>14449.25</v>
      </c>
      <c r="P442" s="445">
        <f t="shared" si="107"/>
        <v>155097.06999999998</v>
      </c>
    </row>
    <row r="443" spans="1:16" ht="14.5">
      <c r="B443" t="s">
        <v>725</v>
      </c>
      <c r="D443" s="442">
        <v>-4824.76</v>
      </c>
      <c r="E443" s="442">
        <v>-5807.44</v>
      </c>
      <c r="F443" s="442">
        <v>-5871.43</v>
      </c>
      <c r="G443" s="442">
        <v>-4687.43</v>
      </c>
      <c r="H443" s="442">
        <v>-5375.86</v>
      </c>
      <c r="I443" s="442">
        <v>-5218.6099999999997</v>
      </c>
      <c r="J443" s="442">
        <v>-4876.6899999999996</v>
      </c>
      <c r="K443" s="442">
        <v>-3781.8</v>
      </c>
      <c r="L443" s="442">
        <v>-5064.6099999999997</v>
      </c>
      <c r="M443" s="442">
        <v>-3661.5</v>
      </c>
      <c r="N443" s="442">
        <v>-4646.78</v>
      </c>
      <c r="O443" s="442">
        <v>-5489.01</v>
      </c>
      <c r="P443" s="445">
        <f>SUM(D443:O443)</f>
        <v>-59305.920000000006</v>
      </c>
    </row>
    <row r="444" spans="1:16" ht="14.5">
      <c r="B444" t="s">
        <v>721</v>
      </c>
      <c r="D444" s="442">
        <v>7</v>
      </c>
      <c r="E444" s="444">
        <f>D444</f>
        <v>7</v>
      </c>
      <c r="F444" s="444">
        <f t="shared" ref="F444:O446" si="108">E444</f>
        <v>7</v>
      </c>
      <c r="G444" s="444">
        <f t="shared" si="108"/>
        <v>7</v>
      </c>
      <c r="H444" s="444">
        <f t="shared" si="108"/>
        <v>7</v>
      </c>
      <c r="I444" s="442">
        <v>7.5</v>
      </c>
      <c r="J444" s="444">
        <f t="shared" si="108"/>
        <v>7.5</v>
      </c>
      <c r="K444" s="444">
        <f t="shared" si="108"/>
        <v>7.5</v>
      </c>
      <c r="L444" s="444">
        <f t="shared" si="108"/>
        <v>7.5</v>
      </c>
      <c r="M444" s="444">
        <f t="shared" si="108"/>
        <v>7.5</v>
      </c>
      <c r="N444" s="444">
        <f t="shared" si="108"/>
        <v>7.5</v>
      </c>
      <c r="O444" s="444">
        <f t="shared" si="108"/>
        <v>7.5</v>
      </c>
    </row>
    <row r="445" spans="1:16" ht="14.5">
      <c r="B445" t="s">
        <v>722</v>
      </c>
      <c r="D445" s="442">
        <v>0.5</v>
      </c>
      <c r="E445" s="444">
        <f>D445</f>
        <v>0.5</v>
      </c>
      <c r="F445" s="444">
        <f t="shared" si="108"/>
        <v>0.5</v>
      </c>
      <c r="G445" s="444">
        <f t="shared" si="108"/>
        <v>0.5</v>
      </c>
      <c r="H445" s="444">
        <f t="shared" si="108"/>
        <v>0.5</v>
      </c>
      <c r="I445" s="444">
        <f t="shared" si="108"/>
        <v>0.5</v>
      </c>
      <c r="J445" s="444">
        <f t="shared" si="108"/>
        <v>0.5</v>
      </c>
      <c r="K445" s="444">
        <f t="shared" si="108"/>
        <v>0.5</v>
      </c>
      <c r="L445" s="444">
        <f t="shared" si="108"/>
        <v>0.5</v>
      </c>
      <c r="M445" s="444">
        <f t="shared" si="108"/>
        <v>0.5</v>
      </c>
      <c r="N445" s="444">
        <f t="shared" si="108"/>
        <v>0.5</v>
      </c>
      <c r="O445" s="444">
        <f t="shared" si="108"/>
        <v>0.5</v>
      </c>
    </row>
    <row r="446" spans="1:16" ht="14.5">
      <c r="B446" t="s">
        <v>726</v>
      </c>
      <c r="D446" s="442">
        <v>-0.2</v>
      </c>
      <c r="E446" s="444">
        <f>D446</f>
        <v>-0.2</v>
      </c>
      <c r="F446" s="444">
        <f t="shared" si="108"/>
        <v>-0.2</v>
      </c>
      <c r="G446" s="444">
        <f t="shared" si="108"/>
        <v>-0.2</v>
      </c>
      <c r="H446" s="444">
        <f t="shared" si="108"/>
        <v>-0.2</v>
      </c>
      <c r="I446" s="444">
        <f t="shared" si="108"/>
        <v>-0.2</v>
      </c>
      <c r="J446" s="444">
        <f t="shared" si="108"/>
        <v>-0.2</v>
      </c>
      <c r="K446" s="444">
        <f t="shared" si="108"/>
        <v>-0.2</v>
      </c>
      <c r="L446" s="444">
        <f t="shared" si="108"/>
        <v>-0.2</v>
      </c>
      <c r="M446" s="444">
        <f t="shared" si="108"/>
        <v>-0.2</v>
      </c>
      <c r="N446" s="444">
        <f t="shared" si="108"/>
        <v>-0.2</v>
      </c>
      <c r="O446" s="444">
        <f t="shared" si="108"/>
        <v>-0.2</v>
      </c>
    </row>
    <row r="447" spans="1:16">
      <c r="A447" t="s">
        <v>727</v>
      </c>
    </row>
    <row r="448" spans="1:16" ht="14.5">
      <c r="B448" t="s">
        <v>719</v>
      </c>
      <c r="D448" s="442">
        <v>24227.35</v>
      </c>
      <c r="E448" s="442">
        <v>28168.959999999999</v>
      </c>
      <c r="F448" s="442">
        <v>25096.28</v>
      </c>
      <c r="G448" s="442">
        <v>15622.61</v>
      </c>
      <c r="H448" s="442">
        <v>27786.28</v>
      </c>
      <c r="I448" s="442">
        <v>38668.589999999997</v>
      </c>
      <c r="J448" s="442">
        <v>45708.82</v>
      </c>
      <c r="K448" s="442">
        <v>41998.05</v>
      </c>
      <c r="L448" s="442">
        <v>44341.39</v>
      </c>
      <c r="M448" s="442">
        <v>30541.41</v>
      </c>
      <c r="N448" s="442">
        <v>31169.86</v>
      </c>
      <c r="O448" s="442">
        <v>23736.2</v>
      </c>
      <c r="P448" s="445">
        <f t="shared" ref="P448:P450" si="109">SUM(D448:O448)</f>
        <v>377065.8</v>
      </c>
    </row>
    <row r="449" spans="1:17" ht="14.5">
      <c r="B449" t="s">
        <v>720</v>
      </c>
      <c r="D449" s="442">
        <v>24</v>
      </c>
      <c r="E449" s="442">
        <v>32.75</v>
      </c>
      <c r="F449" s="442">
        <v>37.83</v>
      </c>
      <c r="G449" s="442">
        <v>29.22</v>
      </c>
      <c r="H449" s="442">
        <v>25.51</v>
      </c>
      <c r="I449" s="442">
        <v>0</v>
      </c>
      <c r="J449" s="442"/>
      <c r="K449" s="442"/>
      <c r="L449" s="442">
        <v>0.57999999999999996</v>
      </c>
      <c r="M449" s="442">
        <v>0.31</v>
      </c>
      <c r="N449" s="442">
        <v>19.84</v>
      </c>
      <c r="O449" s="442">
        <v>26.55</v>
      </c>
      <c r="P449" s="445">
        <f t="shared" si="109"/>
        <v>196.59000000000003</v>
      </c>
    </row>
    <row r="450" spans="1:17" ht="14.5">
      <c r="B450" t="s">
        <v>725</v>
      </c>
      <c r="D450" s="442">
        <v>0</v>
      </c>
      <c r="E450" s="442">
        <v>0</v>
      </c>
      <c r="F450" s="442">
        <v>0</v>
      </c>
      <c r="G450" s="442">
        <v>0</v>
      </c>
      <c r="H450" s="442">
        <v>0</v>
      </c>
      <c r="I450" s="442">
        <v>0</v>
      </c>
      <c r="J450" s="442">
        <v>0</v>
      </c>
      <c r="K450" s="442">
        <v>0</v>
      </c>
      <c r="L450" s="442">
        <v>0</v>
      </c>
      <c r="M450" s="442">
        <v>0</v>
      </c>
      <c r="N450" s="442">
        <v>0</v>
      </c>
      <c r="O450" s="442">
        <v>0</v>
      </c>
      <c r="P450" s="445">
        <f t="shared" si="109"/>
        <v>0</v>
      </c>
    </row>
    <row r="451" spans="1:17" ht="14.5">
      <c r="B451" t="s">
        <v>721</v>
      </c>
      <c r="D451" s="442">
        <v>7</v>
      </c>
      <c r="E451" s="444">
        <f>D451</f>
        <v>7</v>
      </c>
      <c r="F451" s="444">
        <f t="shared" ref="F451:O453" si="110">E451</f>
        <v>7</v>
      </c>
      <c r="G451" s="444">
        <f t="shared" si="110"/>
        <v>7</v>
      </c>
      <c r="H451" s="444">
        <f t="shared" si="110"/>
        <v>7</v>
      </c>
      <c r="I451" s="442">
        <v>7.5</v>
      </c>
      <c r="J451" s="444">
        <f t="shared" si="110"/>
        <v>7.5</v>
      </c>
      <c r="K451" s="444">
        <f t="shared" si="110"/>
        <v>7.5</v>
      </c>
      <c r="L451" s="444">
        <f t="shared" si="110"/>
        <v>7.5</v>
      </c>
      <c r="M451" s="444">
        <f t="shared" si="110"/>
        <v>7.5</v>
      </c>
      <c r="N451" s="444">
        <f t="shared" si="110"/>
        <v>7.5</v>
      </c>
      <c r="O451" s="444">
        <f t="shared" si="110"/>
        <v>7.5</v>
      </c>
    </row>
    <row r="452" spans="1:17" ht="14.5">
      <c r="B452" t="s">
        <v>722</v>
      </c>
      <c r="D452" s="442">
        <v>0.5</v>
      </c>
      <c r="E452" s="444">
        <f>D452</f>
        <v>0.5</v>
      </c>
      <c r="F452" s="444">
        <f t="shared" si="110"/>
        <v>0.5</v>
      </c>
      <c r="G452" s="444">
        <f t="shared" si="110"/>
        <v>0.5</v>
      </c>
      <c r="H452" s="444">
        <f t="shared" si="110"/>
        <v>0.5</v>
      </c>
      <c r="I452" s="444">
        <f t="shared" si="110"/>
        <v>0.5</v>
      </c>
      <c r="J452" s="444">
        <f t="shared" si="110"/>
        <v>0.5</v>
      </c>
      <c r="K452" s="444">
        <f t="shared" si="110"/>
        <v>0.5</v>
      </c>
      <c r="L452" s="444">
        <f t="shared" si="110"/>
        <v>0.5</v>
      </c>
      <c r="M452" s="444">
        <f t="shared" si="110"/>
        <v>0.5</v>
      </c>
      <c r="N452" s="444">
        <f t="shared" si="110"/>
        <v>0.5</v>
      </c>
      <c r="O452" s="444">
        <f t="shared" si="110"/>
        <v>0.5</v>
      </c>
    </row>
    <row r="453" spans="1:17" ht="14.5">
      <c r="B453" t="s">
        <v>726</v>
      </c>
      <c r="D453" s="442">
        <v>-0.2</v>
      </c>
      <c r="E453" s="444">
        <f>D453</f>
        <v>-0.2</v>
      </c>
      <c r="F453" s="444">
        <f t="shared" si="110"/>
        <v>-0.2</v>
      </c>
      <c r="G453" s="444">
        <f t="shared" si="110"/>
        <v>-0.2</v>
      </c>
      <c r="H453" s="444">
        <f t="shared" si="110"/>
        <v>-0.2</v>
      </c>
      <c r="I453" s="444">
        <f t="shared" si="110"/>
        <v>-0.2</v>
      </c>
      <c r="J453" s="444">
        <f t="shared" si="110"/>
        <v>-0.2</v>
      </c>
      <c r="K453" s="444">
        <f t="shared" si="110"/>
        <v>-0.2</v>
      </c>
      <c r="L453" s="444">
        <f t="shared" si="110"/>
        <v>-0.2</v>
      </c>
      <c r="M453" s="444">
        <f t="shared" si="110"/>
        <v>-0.2</v>
      </c>
      <c r="N453" s="444">
        <f t="shared" si="110"/>
        <v>-0.2</v>
      </c>
      <c r="O453" s="444">
        <f t="shared" si="110"/>
        <v>-0.2</v>
      </c>
    </row>
    <row r="454" spans="1:17">
      <c r="A454" t="s">
        <v>758</v>
      </c>
    </row>
    <row r="455" spans="1:17" ht="14.5">
      <c r="B455" t="s">
        <v>719</v>
      </c>
      <c r="D455" s="442">
        <v>0</v>
      </c>
      <c r="E455" s="442">
        <v>0</v>
      </c>
      <c r="F455" s="442">
        <v>0</v>
      </c>
      <c r="G455" s="442">
        <v>0</v>
      </c>
      <c r="H455" s="442">
        <v>0</v>
      </c>
      <c r="I455" s="442">
        <v>0</v>
      </c>
      <c r="J455" s="442">
        <v>0</v>
      </c>
      <c r="K455" s="442">
        <v>0</v>
      </c>
      <c r="L455" s="442">
        <v>0</v>
      </c>
      <c r="M455" s="442">
        <v>0</v>
      </c>
      <c r="N455" s="442">
        <v>0</v>
      </c>
      <c r="O455" s="442">
        <v>0</v>
      </c>
      <c r="P455" s="445">
        <f t="shared" ref="P455:P457" si="111">SUM(D455:O455)</f>
        <v>0</v>
      </c>
    </row>
    <row r="456" spans="1:17" ht="14.5">
      <c r="B456" t="s">
        <v>720</v>
      </c>
      <c r="D456" s="442">
        <v>0</v>
      </c>
      <c r="E456" s="442">
        <v>0</v>
      </c>
      <c r="F456" s="442">
        <v>0</v>
      </c>
      <c r="G456" s="442">
        <v>0</v>
      </c>
      <c r="H456" s="442">
        <v>0</v>
      </c>
      <c r="I456" s="442">
        <v>0</v>
      </c>
      <c r="J456" s="442">
        <v>0</v>
      </c>
      <c r="K456" s="442">
        <v>0</v>
      </c>
      <c r="L456" s="442">
        <v>0</v>
      </c>
      <c r="M456" s="442">
        <v>0</v>
      </c>
      <c r="N456" s="442">
        <v>0</v>
      </c>
      <c r="O456" s="442">
        <v>0</v>
      </c>
      <c r="P456" s="445">
        <f t="shared" si="111"/>
        <v>0</v>
      </c>
    </row>
    <row r="457" spans="1:17" ht="14.5">
      <c r="B457" t="s">
        <v>725</v>
      </c>
      <c r="D457" s="442">
        <v>0</v>
      </c>
      <c r="E457" s="442">
        <v>0</v>
      </c>
      <c r="F457" s="442">
        <v>0</v>
      </c>
      <c r="G457" s="442">
        <v>0</v>
      </c>
      <c r="H457" s="442">
        <v>0</v>
      </c>
      <c r="I457" s="442">
        <v>0</v>
      </c>
      <c r="J457" s="442">
        <v>0</v>
      </c>
      <c r="K457" s="442">
        <v>0</v>
      </c>
      <c r="L457" s="442">
        <v>0</v>
      </c>
      <c r="M457" s="442">
        <v>0</v>
      </c>
      <c r="N457" s="442">
        <v>0</v>
      </c>
      <c r="O457" s="442">
        <v>0</v>
      </c>
      <c r="P457" s="445">
        <f t="shared" si="111"/>
        <v>0</v>
      </c>
    </row>
    <row r="458" spans="1:17" ht="14.5">
      <c r="B458" t="s">
        <v>721</v>
      </c>
      <c r="D458" s="442">
        <v>0</v>
      </c>
      <c r="E458" s="444">
        <f>D458</f>
        <v>0</v>
      </c>
      <c r="F458" s="444">
        <f t="shared" ref="F458:F460" si="112">E458</f>
        <v>0</v>
      </c>
      <c r="G458" s="444">
        <f t="shared" ref="G458:G460" si="113">F458</f>
        <v>0</v>
      </c>
      <c r="H458" s="444">
        <f t="shared" ref="H458:H460" si="114">G458</f>
        <v>0</v>
      </c>
      <c r="I458" s="444">
        <f t="shared" ref="I458:I460" si="115">H458</f>
        <v>0</v>
      </c>
      <c r="J458" s="444">
        <f t="shared" ref="J458:J460" si="116">I458</f>
        <v>0</v>
      </c>
      <c r="K458" s="444">
        <f t="shared" ref="K458:K460" si="117">J458</f>
        <v>0</v>
      </c>
      <c r="L458" s="444">
        <f t="shared" ref="L458:L460" si="118">K458</f>
        <v>0</v>
      </c>
      <c r="M458" s="444">
        <f t="shared" ref="M458:M460" si="119">L458</f>
        <v>0</v>
      </c>
      <c r="N458" s="444">
        <f t="shared" ref="N458:N460" si="120">M458</f>
        <v>0</v>
      </c>
      <c r="O458" s="444">
        <f t="shared" ref="O458:O460" si="121">N458</f>
        <v>0</v>
      </c>
    </row>
    <row r="459" spans="1:17" ht="14.5">
      <c r="B459" t="s">
        <v>722</v>
      </c>
      <c r="D459" s="442">
        <v>0.5</v>
      </c>
      <c r="E459" s="444">
        <f>D459</f>
        <v>0.5</v>
      </c>
      <c r="F459" s="444">
        <f t="shared" si="112"/>
        <v>0.5</v>
      </c>
      <c r="G459" s="444">
        <f t="shared" si="113"/>
        <v>0.5</v>
      </c>
      <c r="H459" s="444">
        <f t="shared" si="114"/>
        <v>0.5</v>
      </c>
      <c r="I459" s="444">
        <f t="shared" si="115"/>
        <v>0.5</v>
      </c>
      <c r="J459" s="444">
        <f t="shared" si="116"/>
        <v>0.5</v>
      </c>
      <c r="K459" s="444">
        <f t="shared" si="117"/>
        <v>0.5</v>
      </c>
      <c r="L459" s="444">
        <f t="shared" si="118"/>
        <v>0.5</v>
      </c>
      <c r="M459" s="444">
        <f t="shared" si="119"/>
        <v>0.5</v>
      </c>
      <c r="N459" s="444">
        <f t="shared" si="120"/>
        <v>0.5</v>
      </c>
      <c r="O459" s="444">
        <f t="shared" si="121"/>
        <v>0.5</v>
      </c>
    </row>
    <row r="460" spans="1:17" ht="14.5">
      <c r="B460" t="s">
        <v>726</v>
      </c>
      <c r="D460" s="442">
        <v>-0.2</v>
      </c>
      <c r="E460" s="444">
        <f>D460</f>
        <v>-0.2</v>
      </c>
      <c r="F460" s="444">
        <f t="shared" si="112"/>
        <v>-0.2</v>
      </c>
      <c r="G460" s="444">
        <f t="shared" si="113"/>
        <v>-0.2</v>
      </c>
      <c r="H460" s="444">
        <f t="shared" si="114"/>
        <v>-0.2</v>
      </c>
      <c r="I460" s="444">
        <f t="shared" si="115"/>
        <v>-0.2</v>
      </c>
      <c r="J460" s="444">
        <f t="shared" si="116"/>
        <v>-0.2</v>
      </c>
      <c r="K460" s="444">
        <f t="shared" si="117"/>
        <v>-0.2</v>
      </c>
      <c r="L460" s="444">
        <f t="shared" si="118"/>
        <v>-0.2</v>
      </c>
      <c r="M460" s="444">
        <f t="shared" si="119"/>
        <v>-0.2</v>
      </c>
      <c r="N460" s="444">
        <f t="shared" si="120"/>
        <v>-0.2</v>
      </c>
      <c r="O460" s="444">
        <f t="shared" si="121"/>
        <v>-0.2</v>
      </c>
    </row>
    <row r="461" spans="1:17">
      <c r="A461" t="s">
        <v>728</v>
      </c>
    </row>
    <row r="462" spans="1:17" ht="14.5">
      <c r="B462" t="s">
        <v>719</v>
      </c>
      <c r="D462" s="442">
        <v>444853.22</v>
      </c>
      <c r="E462" s="442">
        <v>449268.34</v>
      </c>
      <c r="F462" s="442">
        <v>464527.78</v>
      </c>
      <c r="G462" s="442">
        <v>456535.96</v>
      </c>
      <c r="H462" s="442">
        <v>415346.62</v>
      </c>
      <c r="I462" s="442">
        <v>389366.41</v>
      </c>
      <c r="J462" s="442">
        <v>740681.96</v>
      </c>
      <c r="K462" s="442">
        <v>35923.15</v>
      </c>
      <c r="L462" s="442">
        <v>388073.11</v>
      </c>
      <c r="M462" s="442">
        <v>384591.9</v>
      </c>
      <c r="N462" s="442">
        <v>416931.43</v>
      </c>
      <c r="O462" s="442">
        <v>410593.51</v>
      </c>
      <c r="P462" s="445">
        <f t="shared" ref="P462:P465" si="122">SUM(D462:O462)</f>
        <v>4996693.3899999997</v>
      </c>
      <c r="Q462" s="285"/>
    </row>
    <row r="463" spans="1:17" ht="14.5">
      <c r="B463" t="s">
        <v>729</v>
      </c>
      <c r="D463" s="442">
        <v>-17101.47</v>
      </c>
      <c r="E463" s="442">
        <v>-17280.05</v>
      </c>
      <c r="F463" s="442">
        <v>-17565.47</v>
      </c>
      <c r="G463" s="442">
        <v>-17374.66</v>
      </c>
      <c r="H463" s="442">
        <v>-16410.57</v>
      </c>
      <c r="I463" s="442">
        <v>-15895.36</v>
      </c>
      <c r="J463" s="442">
        <v>-29310.69</v>
      </c>
      <c r="K463" s="442">
        <v>-2065.61</v>
      </c>
      <c r="L463" s="442">
        <v>-15927.46</v>
      </c>
      <c r="M463" s="442">
        <v>-15706.72</v>
      </c>
      <c r="N463" s="442">
        <v>-16579.29</v>
      </c>
      <c r="O463" s="442">
        <v>-15745.18</v>
      </c>
      <c r="P463" s="445">
        <f t="shared" si="122"/>
        <v>-196962.53</v>
      </c>
      <c r="Q463" s="285"/>
    </row>
    <row r="464" spans="1:17" ht="14.5">
      <c r="B464" t="s">
        <v>730</v>
      </c>
      <c r="D464" s="442">
        <v>-13263.7</v>
      </c>
      <c r="E464" s="442">
        <v>-13141.57</v>
      </c>
      <c r="F464" s="442">
        <v>-13206.69</v>
      </c>
      <c r="G464" s="442">
        <v>-12251.05</v>
      </c>
      <c r="H464" s="442">
        <v>-12295.45</v>
      </c>
      <c r="I464" s="442">
        <v>-12006.65</v>
      </c>
      <c r="J464" s="442">
        <v>-12173.21</v>
      </c>
      <c r="K464" s="442">
        <v>-11137.63</v>
      </c>
      <c r="L464" s="442">
        <v>-12684.78</v>
      </c>
      <c r="M464" s="442">
        <v>-11734.22</v>
      </c>
      <c r="N464" s="442">
        <v>-11482.86</v>
      </c>
      <c r="O464" s="442">
        <v>-11496.16</v>
      </c>
      <c r="P464" s="445">
        <f t="shared" si="122"/>
        <v>-146873.97</v>
      </c>
      <c r="Q464" s="285"/>
    </row>
    <row r="465" spans="1:17" ht="14.5">
      <c r="B465" t="s">
        <v>731</v>
      </c>
      <c r="D465" s="442">
        <v>-102980.71</v>
      </c>
      <c r="E465" s="442">
        <v>-97136.61</v>
      </c>
      <c r="F465" s="442">
        <v>-105717.87</v>
      </c>
      <c r="G465" s="442">
        <v>-106063.9</v>
      </c>
      <c r="H465" s="442">
        <v>-104867.3</v>
      </c>
      <c r="I465" s="442">
        <v>-106281.97</v>
      </c>
      <c r="J465" s="442">
        <v>-106549.7</v>
      </c>
      <c r="K465" s="442">
        <v>-104946.82</v>
      </c>
      <c r="L465" s="442">
        <v>-105742.35</v>
      </c>
      <c r="M465" s="442">
        <v>-106311.66</v>
      </c>
      <c r="N465" s="442">
        <v>-102223.67</v>
      </c>
      <c r="O465" s="442">
        <v>-102958.86</v>
      </c>
      <c r="P465" s="445">
        <f t="shared" si="122"/>
        <v>-1251781.42</v>
      </c>
      <c r="Q465" s="285"/>
    </row>
    <row r="466" spans="1:17" ht="14.5">
      <c r="B466" t="s">
        <v>721</v>
      </c>
      <c r="D466" s="442">
        <v>8.3000000000000007</v>
      </c>
      <c r="E466" s="444">
        <f t="shared" ref="E466:O469" si="123">D466</f>
        <v>8.3000000000000007</v>
      </c>
      <c r="F466" s="444">
        <f t="shared" si="123"/>
        <v>8.3000000000000007</v>
      </c>
      <c r="G466" s="444">
        <f t="shared" si="123"/>
        <v>8.3000000000000007</v>
      </c>
      <c r="H466" s="444">
        <f t="shared" si="123"/>
        <v>8.3000000000000007</v>
      </c>
      <c r="I466" s="444">
        <f t="shared" si="123"/>
        <v>8.3000000000000007</v>
      </c>
      <c r="J466" s="444">
        <f t="shared" si="123"/>
        <v>8.3000000000000007</v>
      </c>
      <c r="K466" s="444">
        <f t="shared" si="123"/>
        <v>8.3000000000000007</v>
      </c>
      <c r="L466" s="444">
        <f t="shared" si="123"/>
        <v>8.3000000000000007</v>
      </c>
      <c r="M466" s="444">
        <f t="shared" si="123"/>
        <v>8.3000000000000007</v>
      </c>
      <c r="N466" s="444">
        <f t="shared" si="123"/>
        <v>8.3000000000000007</v>
      </c>
      <c r="O466" s="444">
        <f t="shared" si="123"/>
        <v>8.3000000000000007</v>
      </c>
    </row>
    <row r="467" spans="1:17" ht="14.5">
      <c r="B467" t="s">
        <v>732</v>
      </c>
      <c r="D467" s="442">
        <v>-0.2</v>
      </c>
      <c r="E467" s="444">
        <f t="shared" si="123"/>
        <v>-0.2</v>
      </c>
      <c r="F467" s="444">
        <f t="shared" si="123"/>
        <v>-0.2</v>
      </c>
      <c r="G467" s="444">
        <f t="shared" si="123"/>
        <v>-0.2</v>
      </c>
      <c r="H467" s="444">
        <f t="shared" si="123"/>
        <v>-0.2</v>
      </c>
      <c r="I467" s="444">
        <f t="shared" si="123"/>
        <v>-0.2</v>
      </c>
      <c r="J467" s="444">
        <f t="shared" si="123"/>
        <v>-0.2</v>
      </c>
      <c r="K467" s="444">
        <f t="shared" si="123"/>
        <v>-0.2</v>
      </c>
      <c r="L467" s="444">
        <f t="shared" si="123"/>
        <v>-0.2</v>
      </c>
      <c r="M467" s="444">
        <f t="shared" si="123"/>
        <v>-0.2</v>
      </c>
      <c r="N467" s="444">
        <f t="shared" si="123"/>
        <v>-0.2</v>
      </c>
      <c r="O467" s="444">
        <f t="shared" si="123"/>
        <v>-0.2</v>
      </c>
    </row>
    <row r="468" spans="1:17" ht="14.5">
      <c r="B468" t="s">
        <v>733</v>
      </c>
      <c r="D468" s="442">
        <v>-1.52</v>
      </c>
      <c r="E468" s="444">
        <f t="shared" si="123"/>
        <v>-1.52</v>
      </c>
      <c r="F468" s="444">
        <f t="shared" si="123"/>
        <v>-1.52</v>
      </c>
      <c r="G468" s="444">
        <f t="shared" si="123"/>
        <v>-1.52</v>
      </c>
      <c r="H468" s="444">
        <f t="shared" si="123"/>
        <v>-1.52</v>
      </c>
      <c r="I468" s="444">
        <f t="shared" si="123"/>
        <v>-1.52</v>
      </c>
      <c r="J468" s="444">
        <f t="shared" si="123"/>
        <v>-1.52</v>
      </c>
      <c r="K468" s="444">
        <f t="shared" si="123"/>
        <v>-1.52</v>
      </c>
      <c r="L468" s="444">
        <f t="shared" si="123"/>
        <v>-1.52</v>
      </c>
      <c r="M468" s="444">
        <f t="shared" si="123"/>
        <v>-1.52</v>
      </c>
      <c r="N468" s="444">
        <f t="shared" si="123"/>
        <v>-1.52</v>
      </c>
      <c r="O468" s="444">
        <f t="shared" si="123"/>
        <v>-1.52</v>
      </c>
    </row>
    <row r="469" spans="1:17" ht="14.5">
      <c r="B469" t="s">
        <v>734</v>
      </c>
      <c r="D469" s="442">
        <v>-1.93</v>
      </c>
      <c r="E469" s="444">
        <f t="shared" si="123"/>
        <v>-1.93</v>
      </c>
      <c r="F469" s="444">
        <f t="shared" si="123"/>
        <v>-1.93</v>
      </c>
      <c r="G469" s="444">
        <f t="shared" si="123"/>
        <v>-1.93</v>
      </c>
      <c r="H469" s="444">
        <f t="shared" si="123"/>
        <v>-1.93</v>
      </c>
      <c r="I469" s="444">
        <f t="shared" si="123"/>
        <v>-1.93</v>
      </c>
      <c r="J469" s="444">
        <f t="shared" si="123"/>
        <v>-1.93</v>
      </c>
      <c r="K469" s="444">
        <f t="shared" si="123"/>
        <v>-1.93</v>
      </c>
      <c r="L469" s="444">
        <f t="shared" si="123"/>
        <v>-1.93</v>
      </c>
      <c r="M469" s="444">
        <f t="shared" si="123"/>
        <v>-1.93</v>
      </c>
      <c r="N469" s="444">
        <f t="shared" si="123"/>
        <v>-1.93</v>
      </c>
      <c r="O469" s="444">
        <f t="shared" si="123"/>
        <v>-1.93</v>
      </c>
    </row>
    <row r="470" spans="1:17">
      <c r="A470" t="s">
        <v>759</v>
      </c>
    </row>
    <row r="471" spans="1:17" ht="14.5">
      <c r="B471" t="s">
        <v>719</v>
      </c>
      <c r="D471" s="442">
        <v>496662.62</v>
      </c>
      <c r="E471" s="442">
        <v>465754.33</v>
      </c>
      <c r="F471" s="442">
        <v>511110.43</v>
      </c>
      <c r="G471" s="442">
        <v>491407.97</v>
      </c>
      <c r="H471" s="442">
        <v>501823.89</v>
      </c>
      <c r="I471" s="442">
        <v>490886.24</v>
      </c>
      <c r="J471" s="442">
        <v>493823.52</v>
      </c>
      <c r="K471" s="442">
        <v>489490.59</v>
      </c>
      <c r="L471" s="442">
        <v>502736.48</v>
      </c>
      <c r="M471" s="442">
        <v>497597.04</v>
      </c>
      <c r="N471" s="442">
        <v>475667.27</v>
      </c>
      <c r="O471" s="442">
        <v>482139.61</v>
      </c>
      <c r="P471" s="445">
        <f t="shared" ref="P471:P474" si="124">SUM(D471:O471)</f>
        <v>5899099.9899999993</v>
      </c>
      <c r="Q471" s="285"/>
    </row>
    <row r="472" spans="1:17" ht="14.5">
      <c r="B472" t="s">
        <v>729</v>
      </c>
      <c r="D472" s="442">
        <v>0</v>
      </c>
      <c r="E472" s="442">
        <v>0</v>
      </c>
      <c r="F472" s="442">
        <v>0</v>
      </c>
      <c r="G472" s="442">
        <v>0</v>
      </c>
      <c r="H472" s="442">
        <v>0</v>
      </c>
      <c r="I472" s="442">
        <v>0</v>
      </c>
      <c r="J472" s="442">
        <v>0</v>
      </c>
      <c r="K472" s="442">
        <v>0</v>
      </c>
      <c r="L472" s="442">
        <v>0</v>
      </c>
      <c r="M472" s="442">
        <v>0</v>
      </c>
      <c r="N472" s="442">
        <v>0</v>
      </c>
      <c r="O472" s="442">
        <v>0</v>
      </c>
      <c r="P472" s="445">
        <f t="shared" si="124"/>
        <v>0</v>
      </c>
      <c r="Q472" s="285"/>
    </row>
    <row r="473" spans="1:17" ht="14.5">
      <c r="B473" t="s">
        <v>730</v>
      </c>
      <c r="D473" s="442">
        <v>0</v>
      </c>
      <c r="E473" s="442">
        <v>0</v>
      </c>
      <c r="F473" s="442">
        <v>0</v>
      </c>
      <c r="G473" s="442">
        <v>0</v>
      </c>
      <c r="H473" s="442">
        <v>0</v>
      </c>
      <c r="I473" s="442">
        <v>0</v>
      </c>
      <c r="J473" s="442">
        <v>0</v>
      </c>
      <c r="K473" s="442">
        <v>0</v>
      </c>
      <c r="L473" s="442">
        <v>0</v>
      </c>
      <c r="M473" s="442">
        <v>0</v>
      </c>
      <c r="N473" s="442">
        <v>0</v>
      </c>
      <c r="O473" s="442">
        <v>0</v>
      </c>
      <c r="P473" s="445">
        <f t="shared" si="124"/>
        <v>0</v>
      </c>
      <c r="Q473" s="285"/>
    </row>
    <row r="474" spans="1:17" ht="14.5">
      <c r="B474" t="s">
        <v>731</v>
      </c>
      <c r="D474" s="442">
        <v>0</v>
      </c>
      <c r="E474" s="442">
        <v>0</v>
      </c>
      <c r="F474" s="442">
        <v>0</v>
      </c>
      <c r="G474" s="442">
        <v>0</v>
      </c>
      <c r="H474" s="442">
        <v>0</v>
      </c>
      <c r="I474" s="442">
        <v>0</v>
      </c>
      <c r="J474" s="442">
        <v>0</v>
      </c>
      <c r="K474" s="442">
        <v>0</v>
      </c>
      <c r="L474" s="442">
        <v>0</v>
      </c>
      <c r="M474" s="442">
        <v>0</v>
      </c>
      <c r="N474" s="442">
        <v>0</v>
      </c>
      <c r="O474" s="442">
        <v>0</v>
      </c>
      <c r="P474" s="445">
        <f t="shared" si="124"/>
        <v>0</v>
      </c>
      <c r="Q474" s="285"/>
    </row>
    <row r="475" spans="1:17" ht="14.5">
      <c r="B475" t="s">
        <v>721</v>
      </c>
      <c r="D475" s="442">
        <v>8.3000000000000007</v>
      </c>
      <c r="E475" s="444">
        <f t="shared" ref="E475:E478" si="125">D475</f>
        <v>8.3000000000000007</v>
      </c>
      <c r="F475" s="444">
        <f t="shared" ref="F475:F478" si="126">E475</f>
        <v>8.3000000000000007</v>
      </c>
      <c r="G475" s="444">
        <f t="shared" ref="G475:G478" si="127">F475</f>
        <v>8.3000000000000007</v>
      </c>
      <c r="H475" s="444">
        <f t="shared" ref="H475:H478" si="128">G475</f>
        <v>8.3000000000000007</v>
      </c>
      <c r="I475" s="444">
        <f t="shared" ref="I475:I478" si="129">H475</f>
        <v>8.3000000000000007</v>
      </c>
      <c r="J475" s="444">
        <f t="shared" ref="J475:J478" si="130">I475</f>
        <v>8.3000000000000007</v>
      </c>
      <c r="K475" s="444">
        <f t="shared" ref="K475:K478" si="131">J475</f>
        <v>8.3000000000000007</v>
      </c>
      <c r="L475" s="444">
        <f t="shared" ref="L475:L478" si="132">K475</f>
        <v>8.3000000000000007</v>
      </c>
      <c r="M475" s="444">
        <f t="shared" ref="M475:M478" si="133">L475</f>
        <v>8.3000000000000007</v>
      </c>
      <c r="N475" s="444">
        <f t="shared" ref="N475:N478" si="134">M475</f>
        <v>8.3000000000000007</v>
      </c>
      <c r="O475" s="444">
        <f t="shared" ref="O475:O478" si="135">N475</f>
        <v>8.3000000000000007</v>
      </c>
    </row>
    <row r="476" spans="1:17" ht="14.5">
      <c r="B476" t="s">
        <v>732</v>
      </c>
      <c r="D476" s="442">
        <v>-0.2</v>
      </c>
      <c r="E476" s="444">
        <f t="shared" si="125"/>
        <v>-0.2</v>
      </c>
      <c r="F476" s="444">
        <f t="shared" si="126"/>
        <v>-0.2</v>
      </c>
      <c r="G476" s="444">
        <f t="shared" si="127"/>
        <v>-0.2</v>
      </c>
      <c r="H476" s="444">
        <f t="shared" si="128"/>
        <v>-0.2</v>
      </c>
      <c r="I476" s="444">
        <f t="shared" si="129"/>
        <v>-0.2</v>
      </c>
      <c r="J476" s="444">
        <f t="shared" si="130"/>
        <v>-0.2</v>
      </c>
      <c r="K476" s="444">
        <f t="shared" si="131"/>
        <v>-0.2</v>
      </c>
      <c r="L476" s="444">
        <f t="shared" si="132"/>
        <v>-0.2</v>
      </c>
      <c r="M476" s="444">
        <f t="shared" si="133"/>
        <v>-0.2</v>
      </c>
      <c r="N476" s="444">
        <f t="shared" si="134"/>
        <v>-0.2</v>
      </c>
      <c r="O476" s="444">
        <f t="shared" si="135"/>
        <v>-0.2</v>
      </c>
    </row>
    <row r="477" spans="1:17" ht="14.5">
      <c r="B477" t="s">
        <v>733</v>
      </c>
      <c r="D477" s="442">
        <v>-1.52</v>
      </c>
      <c r="E477" s="444">
        <f t="shared" si="125"/>
        <v>-1.52</v>
      </c>
      <c r="F477" s="444">
        <f t="shared" si="126"/>
        <v>-1.52</v>
      </c>
      <c r="G477" s="444">
        <f t="shared" si="127"/>
        <v>-1.52</v>
      </c>
      <c r="H477" s="444">
        <f t="shared" si="128"/>
        <v>-1.52</v>
      </c>
      <c r="I477" s="444">
        <f t="shared" si="129"/>
        <v>-1.52</v>
      </c>
      <c r="J477" s="444">
        <f t="shared" si="130"/>
        <v>-1.52</v>
      </c>
      <c r="K477" s="444">
        <f t="shared" si="131"/>
        <v>-1.52</v>
      </c>
      <c r="L477" s="444">
        <f t="shared" si="132"/>
        <v>-1.52</v>
      </c>
      <c r="M477" s="444">
        <f t="shared" si="133"/>
        <v>-1.52</v>
      </c>
      <c r="N477" s="444">
        <f t="shared" si="134"/>
        <v>-1.52</v>
      </c>
      <c r="O477" s="444">
        <f t="shared" si="135"/>
        <v>-1.52</v>
      </c>
    </row>
    <row r="478" spans="1:17" ht="14.5">
      <c r="B478" t="s">
        <v>734</v>
      </c>
      <c r="D478" s="442">
        <v>-1.93</v>
      </c>
      <c r="E478" s="444">
        <f t="shared" si="125"/>
        <v>-1.93</v>
      </c>
      <c r="F478" s="444">
        <f t="shared" si="126"/>
        <v>-1.93</v>
      </c>
      <c r="G478" s="444">
        <f t="shared" si="127"/>
        <v>-1.93</v>
      </c>
      <c r="H478" s="444">
        <f t="shared" si="128"/>
        <v>-1.93</v>
      </c>
      <c r="I478" s="444">
        <f t="shared" si="129"/>
        <v>-1.93</v>
      </c>
      <c r="J478" s="444">
        <f t="shared" si="130"/>
        <v>-1.93</v>
      </c>
      <c r="K478" s="444">
        <f t="shared" si="131"/>
        <v>-1.93</v>
      </c>
      <c r="L478" s="444">
        <f t="shared" si="132"/>
        <v>-1.93</v>
      </c>
      <c r="M478" s="444">
        <f t="shared" si="133"/>
        <v>-1.93</v>
      </c>
      <c r="N478" s="444">
        <f t="shared" si="134"/>
        <v>-1.93</v>
      </c>
      <c r="O478" s="444">
        <f t="shared" si="135"/>
        <v>-1.93</v>
      </c>
    </row>
    <row r="479" spans="1:17">
      <c r="A479" t="s">
        <v>735</v>
      </c>
    </row>
    <row r="480" spans="1:17" ht="14.5">
      <c r="B480" t="s">
        <v>720</v>
      </c>
      <c r="D480" s="442">
        <v>0</v>
      </c>
      <c r="E480" s="442">
        <v>0</v>
      </c>
      <c r="F480" s="442">
        <v>0</v>
      </c>
      <c r="G480" s="442">
        <v>0</v>
      </c>
      <c r="H480" s="442">
        <v>0</v>
      </c>
      <c r="I480" s="442">
        <v>0</v>
      </c>
      <c r="J480" s="442">
        <v>0</v>
      </c>
      <c r="K480" s="442">
        <v>0</v>
      </c>
      <c r="L480" s="442">
        <v>0</v>
      </c>
      <c r="M480" s="442">
        <v>0</v>
      </c>
      <c r="N480" s="442">
        <v>0</v>
      </c>
      <c r="O480" s="442">
        <v>0</v>
      </c>
      <c r="P480" s="445">
        <f t="shared" ref="P480" si="136">SUM(D480:O480)</f>
        <v>0</v>
      </c>
    </row>
    <row r="481" spans="1:16" ht="14.5">
      <c r="B481" t="s">
        <v>722</v>
      </c>
      <c r="D481" s="442">
        <v>0.5</v>
      </c>
      <c r="E481" s="443">
        <f>D481</f>
        <v>0.5</v>
      </c>
      <c r="F481" s="443">
        <f t="shared" ref="F481:O481" si="137">E481</f>
        <v>0.5</v>
      </c>
      <c r="G481" s="443">
        <f t="shared" si="137"/>
        <v>0.5</v>
      </c>
      <c r="H481" s="443">
        <f t="shared" si="137"/>
        <v>0.5</v>
      </c>
      <c r="I481" s="443">
        <f t="shared" si="137"/>
        <v>0.5</v>
      </c>
      <c r="J481" s="443">
        <f t="shared" si="137"/>
        <v>0.5</v>
      </c>
      <c r="K481" s="443">
        <f t="shared" si="137"/>
        <v>0.5</v>
      </c>
      <c r="L481" s="443">
        <f t="shared" si="137"/>
        <v>0.5</v>
      </c>
      <c r="M481" s="443">
        <f t="shared" si="137"/>
        <v>0.5</v>
      </c>
      <c r="N481" s="443">
        <f t="shared" si="137"/>
        <v>0.5</v>
      </c>
      <c r="O481" s="443">
        <f t="shared" si="137"/>
        <v>0.5</v>
      </c>
    </row>
    <row r="482" spans="1:16">
      <c r="A482" t="s">
        <v>736</v>
      </c>
    </row>
    <row r="483" spans="1:16" ht="14.5">
      <c r="B483" t="s">
        <v>720</v>
      </c>
      <c r="D483" s="442">
        <v>0</v>
      </c>
      <c r="E483" s="442">
        <v>0</v>
      </c>
      <c r="F483" s="442">
        <v>0</v>
      </c>
      <c r="G483" s="442">
        <v>0</v>
      </c>
      <c r="H483" s="442">
        <v>0</v>
      </c>
      <c r="I483" s="442">
        <v>0</v>
      </c>
      <c r="J483" s="442">
        <v>0</v>
      </c>
      <c r="K483" s="442">
        <v>0</v>
      </c>
      <c r="L483" s="442">
        <v>0</v>
      </c>
      <c r="M483" s="442">
        <v>0</v>
      </c>
      <c r="N483" s="442">
        <v>0</v>
      </c>
      <c r="O483" s="442">
        <v>0</v>
      </c>
      <c r="P483" s="445">
        <f t="shared" ref="P483" si="138">SUM(D483:O483)</f>
        <v>0</v>
      </c>
    </row>
    <row r="484" spans="1:16" ht="14.5">
      <c r="B484" t="s">
        <v>722</v>
      </c>
      <c r="D484" s="442">
        <v>0.5</v>
      </c>
      <c r="E484" s="443">
        <f>D484</f>
        <v>0.5</v>
      </c>
      <c r="F484" s="443">
        <f t="shared" ref="F484:O484" si="139">E484</f>
        <v>0.5</v>
      </c>
      <c r="G484" s="443">
        <f t="shared" si="139"/>
        <v>0.5</v>
      </c>
      <c r="H484" s="443">
        <f t="shared" si="139"/>
        <v>0.5</v>
      </c>
      <c r="I484" s="443">
        <f t="shared" si="139"/>
        <v>0.5</v>
      </c>
      <c r="J484" s="443">
        <f t="shared" si="139"/>
        <v>0.5</v>
      </c>
      <c r="K484" s="443">
        <f t="shared" si="139"/>
        <v>0.5</v>
      </c>
      <c r="L484" s="443">
        <f t="shared" si="139"/>
        <v>0.5</v>
      </c>
      <c r="M484" s="443">
        <f t="shared" si="139"/>
        <v>0.5</v>
      </c>
      <c r="N484" s="443">
        <f t="shared" si="139"/>
        <v>0.5</v>
      </c>
      <c r="O484" s="443">
        <f t="shared" si="139"/>
        <v>0.5</v>
      </c>
    </row>
    <row r="485" spans="1:16">
      <c r="A485" t="s">
        <v>737</v>
      </c>
    </row>
    <row r="486" spans="1:16" ht="14.5">
      <c r="B486" t="s">
        <v>720</v>
      </c>
      <c r="D486" s="442">
        <v>0</v>
      </c>
      <c r="E486" s="442">
        <v>0</v>
      </c>
      <c r="F486" s="442">
        <v>0</v>
      </c>
      <c r="G486" s="442">
        <v>0</v>
      </c>
      <c r="H486" s="442">
        <v>0</v>
      </c>
      <c r="I486" s="442">
        <v>0</v>
      </c>
      <c r="J486" s="442">
        <v>0</v>
      </c>
      <c r="K486" s="442">
        <v>0</v>
      </c>
      <c r="L486" s="442">
        <v>0</v>
      </c>
      <c r="M486" s="442">
        <v>0</v>
      </c>
      <c r="N486" s="442">
        <v>0</v>
      </c>
      <c r="O486" s="442">
        <v>0</v>
      </c>
      <c r="P486" s="445">
        <f t="shared" ref="P486" si="140">SUM(D486:O486)</f>
        <v>0</v>
      </c>
    </row>
    <row r="487" spans="1:16" ht="14.5">
      <c r="B487" t="s">
        <v>722</v>
      </c>
      <c r="D487" s="442">
        <v>0.5</v>
      </c>
      <c r="E487" s="443">
        <f>D487</f>
        <v>0.5</v>
      </c>
      <c r="F487" s="443">
        <f t="shared" ref="F487:O487" si="141">E487</f>
        <v>0.5</v>
      </c>
      <c r="G487" s="443">
        <f t="shared" si="141"/>
        <v>0.5</v>
      </c>
      <c r="H487" s="443">
        <f t="shared" si="141"/>
        <v>0.5</v>
      </c>
      <c r="I487" s="443">
        <f t="shared" si="141"/>
        <v>0.5</v>
      </c>
      <c r="J487" s="443">
        <f t="shared" si="141"/>
        <v>0.5</v>
      </c>
      <c r="K487" s="443">
        <f t="shared" si="141"/>
        <v>0.5</v>
      </c>
      <c r="L487" s="443">
        <f t="shared" si="141"/>
        <v>0.5</v>
      </c>
      <c r="M487" s="443">
        <f t="shared" si="141"/>
        <v>0.5</v>
      </c>
      <c r="N487" s="443">
        <f t="shared" si="141"/>
        <v>0.5</v>
      </c>
      <c r="O487" s="443">
        <f t="shared" si="141"/>
        <v>0.5</v>
      </c>
    </row>
  </sheetData>
  <mergeCells count="15">
    <mergeCell ref="B391:B392"/>
    <mergeCell ref="A394:C394"/>
    <mergeCell ref="A355:A392"/>
    <mergeCell ref="B355:B356"/>
    <mergeCell ref="B358:B359"/>
    <mergeCell ref="B361:B362"/>
    <mergeCell ref="B364:B365"/>
    <mergeCell ref="B370:B371"/>
    <mergeCell ref="B373:B374"/>
    <mergeCell ref="B379:B380"/>
    <mergeCell ref="B385:B386"/>
    <mergeCell ref="B388:B389"/>
    <mergeCell ref="B367:B368"/>
    <mergeCell ref="B376:B377"/>
    <mergeCell ref="B382:B383"/>
  </mergeCells>
  <pageMargins left="0.7" right="0.7" top="0.75" bottom="0.75" header="0.3" footer="0.3"/>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U311"/>
  <sheetViews>
    <sheetView showGridLines="0" view="pageBreakPreview" zoomScale="115" zoomScaleNormal="115" zoomScaleSheetLayoutView="115" workbookViewId="0">
      <pane ySplit="5" topLeftCell="A6" activePane="bottomLeft" state="frozen"/>
      <selection activeCell="G27" sqref="G27"/>
      <selection pane="bottomLeft" activeCell="E213" sqref="E213:K213"/>
    </sheetView>
  </sheetViews>
  <sheetFormatPr defaultColWidth="10.7265625" defaultRowHeight="10"/>
  <cols>
    <col min="1" max="1" width="23.54296875" style="1" bestFit="1" customWidth="1"/>
    <col min="2" max="2" width="25.7265625" style="5" customWidth="1"/>
    <col min="3" max="4" width="11.7265625" style="5" customWidth="1"/>
    <col min="5" max="6" width="11.54296875" style="5" customWidth="1"/>
    <col min="7" max="10" width="11.7265625" style="5" customWidth="1"/>
    <col min="11" max="11" width="11.26953125" style="5" customWidth="1"/>
    <col min="12" max="12" width="11.7265625" style="5" customWidth="1"/>
    <col min="13" max="13" width="10.7265625" style="5" customWidth="1"/>
    <col min="14" max="14" width="3.7265625" style="5" customWidth="1"/>
    <col min="15" max="15" width="13.26953125" style="5" customWidth="1"/>
    <col min="16" max="16" width="3.7265625" style="5" customWidth="1"/>
    <col min="17" max="18" width="10.7265625" style="5" customWidth="1"/>
    <col min="19" max="19" width="35.7265625" style="5" customWidth="1"/>
    <col min="20" max="16384" width="10.7265625" style="5"/>
  </cols>
  <sheetData>
    <row r="2" spans="1:21" ht="22.5" customHeight="1">
      <c r="B2" s="236" t="str">
        <f>IF(Base1_Billing2=2,"BILLED","")</f>
        <v/>
      </c>
    </row>
    <row r="4" spans="1:21" s="2" customFormat="1">
      <c r="A4" s="1" t="s">
        <v>0</v>
      </c>
      <c r="C4" s="2" t="s">
        <v>1</v>
      </c>
      <c r="D4" s="2" t="s">
        <v>2</v>
      </c>
      <c r="E4" s="2" t="s">
        <v>3</v>
      </c>
      <c r="F4" s="2" t="s">
        <v>3</v>
      </c>
      <c r="G4" s="2" t="s">
        <v>4</v>
      </c>
      <c r="H4" s="2" t="s">
        <v>4</v>
      </c>
      <c r="I4" s="2" t="s">
        <v>5</v>
      </c>
      <c r="J4" s="2" t="s">
        <v>5</v>
      </c>
      <c r="K4" s="2" t="s">
        <v>6</v>
      </c>
      <c r="L4" s="2" t="s">
        <v>7</v>
      </c>
    </row>
    <row r="5" spans="1:21" s="2" customFormat="1">
      <c r="A5" s="1" t="s">
        <v>8</v>
      </c>
      <c r="C5" s="3" t="s">
        <v>9</v>
      </c>
      <c r="D5" s="3" t="s">
        <v>10</v>
      </c>
      <c r="E5" s="3" t="s">
        <v>11</v>
      </c>
      <c r="F5" s="3" t="s">
        <v>752</v>
      </c>
      <c r="G5" s="3" t="s">
        <v>12</v>
      </c>
      <c r="H5" s="3" t="s">
        <v>753</v>
      </c>
      <c r="I5" s="3" t="s">
        <v>13</v>
      </c>
      <c r="J5" s="3" t="s">
        <v>754</v>
      </c>
      <c r="K5" s="3" t="s">
        <v>14</v>
      </c>
      <c r="L5" s="3" t="s">
        <v>15</v>
      </c>
      <c r="S5" s="96" t="s">
        <v>199</v>
      </c>
    </row>
    <row r="6" spans="1:21" ht="11.25" customHeight="1">
      <c r="B6" s="4" t="s">
        <v>16</v>
      </c>
      <c r="N6" s="506"/>
      <c r="O6" s="507" t="s">
        <v>201</v>
      </c>
      <c r="P6" s="506"/>
      <c r="Q6" s="506"/>
      <c r="R6" s="507"/>
      <c r="S6" s="701" t="str">
        <f>"AVISTA UTILITIES
WASHINGTON ELECTRIC
PRO FORMA REVENUE UNDER PRESENT AND PROPOSED "&amp;Q9&amp;" RATES
12 MONTHS ENDED JUNE 30, 2023"</f>
        <v>AVISTA UTILITIES
WASHINGTON ELECTRIC
PRO FORMA REVENUE UNDER PRESENT AND PROPOSED BASE TARIFF RATES
12 MONTHS ENDED JUNE 30, 2023</v>
      </c>
      <c r="T6" s="701"/>
      <c r="U6" s="701"/>
    </row>
    <row r="7" spans="1:21">
      <c r="B7" s="6" t="s">
        <v>17</v>
      </c>
      <c r="N7" s="508" t="s">
        <v>195</v>
      </c>
      <c r="O7" s="507" t="s">
        <v>329</v>
      </c>
      <c r="P7" s="506"/>
      <c r="Q7" s="506"/>
      <c r="R7" s="507"/>
      <c r="S7" s="701"/>
      <c r="T7" s="701"/>
      <c r="U7" s="701"/>
    </row>
    <row r="8" spans="1:21" ht="10.5">
      <c r="B8" s="5" t="s">
        <v>18</v>
      </c>
      <c r="C8" s="12"/>
      <c r="D8" s="12">
        <f>'Bill Determ'!$B$9</f>
        <v>1718630296.2747939</v>
      </c>
      <c r="E8" s="12">
        <f>'Bill Determ'!$B$17</f>
        <v>466372572.30339468</v>
      </c>
      <c r="F8" s="12">
        <f>'Bill Determ'!$B$27</f>
        <v>92517.214073099996</v>
      </c>
      <c r="G8" s="12">
        <f>'Bill Determ'!$B$38</f>
        <v>1181273588.82234</v>
      </c>
      <c r="H8" s="12">
        <f>'Bill Determ'!$B$49</f>
        <v>109802.19577130998</v>
      </c>
      <c r="I8" s="12">
        <f>'Bill Determ'!$B$58</f>
        <v>126000000</v>
      </c>
      <c r="J8" s="12">
        <f>'Bill Determ'!$B$62</f>
        <v>6000000</v>
      </c>
      <c r="K8" s="12">
        <f>SUM('Bill Determ'!$B$68:$C$68)</f>
        <v>47759509.659440003</v>
      </c>
      <c r="L8" s="12"/>
      <c r="N8" s="507"/>
      <c r="O8" s="506" t="s">
        <v>194</v>
      </c>
      <c r="P8" s="507"/>
      <c r="Q8" s="509">
        <v>1</v>
      </c>
      <c r="R8" s="507"/>
      <c r="S8" s="701"/>
      <c r="T8" s="701"/>
      <c r="U8" s="701"/>
    </row>
    <row r="9" spans="1:21">
      <c r="B9" s="5" t="s">
        <v>19</v>
      </c>
      <c r="C9" s="12"/>
      <c r="D9" s="12">
        <f>'Bill Determ'!$C$9</f>
        <v>577659306.88565063</v>
      </c>
      <c r="E9" s="12">
        <f>'Bill Determ'!$C$17</f>
        <v>234380452.38748533</v>
      </c>
      <c r="F9" s="12">
        <f>'Bill Determ'!$C$27</f>
        <v>278100.15592689998</v>
      </c>
      <c r="G9" s="12">
        <f>'Bill Determ'!$C$38</f>
        <v>144121754.80867997</v>
      </c>
      <c r="H9" s="12">
        <f>'Bill Determ'!$C$49</f>
        <v>341841.23422868992</v>
      </c>
      <c r="I9" s="12">
        <f>'Bill Determ'!$C$58</f>
        <v>484064827.46600002</v>
      </c>
      <c r="J9" s="12">
        <f>'Bill Determ'!$C$62</f>
        <v>66000000</v>
      </c>
      <c r="K9" s="12">
        <f>'Bill Determ'!$D$68</f>
        <v>99721955.801750004</v>
      </c>
      <c r="L9" s="12"/>
      <c r="N9" s="508" t="s">
        <v>196</v>
      </c>
      <c r="O9" s="507" t="s">
        <v>330</v>
      </c>
      <c r="P9" s="507"/>
      <c r="Q9" s="507" t="str">
        <f>CHOOSE(Base1_Billing2,O7,O9)</f>
        <v>BASE TARIFF</v>
      </c>
      <c r="R9" s="507"/>
      <c r="S9" s="701"/>
      <c r="T9" s="701"/>
      <c r="U9" s="701"/>
    </row>
    <row r="10" spans="1:21">
      <c r="B10" s="5" t="s">
        <v>20</v>
      </c>
      <c r="C10" s="12"/>
      <c r="D10" s="12">
        <f>'Bill Determ'!$D$9</f>
        <v>374095139.33183551</v>
      </c>
      <c r="E10" s="12"/>
      <c r="F10" s="12"/>
      <c r="G10" s="12"/>
      <c r="H10" s="12"/>
      <c r="I10" s="12">
        <f>'Bill Determ'!$D$58</f>
        <v>17780158.700999975</v>
      </c>
      <c r="J10" s="12">
        <f>'Bill Determ'!$D$62</f>
        <v>357788232</v>
      </c>
      <c r="K10" s="12"/>
      <c r="L10" s="12"/>
      <c r="N10" s="507"/>
      <c r="O10" s="507"/>
      <c r="P10" s="507"/>
      <c r="Q10" s="507" t="str">
        <f>CHOOSE(Base1_Billing2,"Base","Billing")</f>
        <v>Base</v>
      </c>
      <c r="R10" s="507"/>
      <c r="S10" s="701"/>
      <c r="T10" s="701"/>
      <c r="U10" s="701"/>
    </row>
    <row r="11" spans="1:21">
      <c r="B11" s="5" t="s">
        <v>21</v>
      </c>
      <c r="C11" s="12"/>
      <c r="D11" s="12"/>
      <c r="E11" s="12"/>
      <c r="F11" s="12"/>
      <c r="G11" s="12"/>
      <c r="H11" s="12"/>
      <c r="I11" s="12"/>
      <c r="J11" s="12"/>
      <c r="K11" s="12"/>
      <c r="L11" s="12"/>
      <c r="N11" s="507"/>
      <c r="O11" s="507"/>
      <c r="P11" s="507"/>
      <c r="Q11" s="507"/>
      <c r="R11" s="507"/>
      <c r="S11" s="701"/>
      <c r="T11" s="701"/>
      <c r="U11" s="701"/>
    </row>
    <row r="12" spans="1:21">
      <c r="B12" s="5" t="s">
        <v>22</v>
      </c>
      <c r="C12" s="90"/>
      <c r="D12" s="90"/>
      <c r="E12" s="90"/>
      <c r="F12" s="90"/>
      <c r="G12" s="90"/>
      <c r="H12" s="90"/>
      <c r="I12" s="90"/>
      <c r="J12" s="90"/>
      <c r="K12" s="90"/>
      <c r="L12" s="90">
        <f>'REVRUNS 12ME0623'!P343</f>
        <v>16029420.157809999</v>
      </c>
      <c r="Q12" s="12"/>
    </row>
    <row r="13" spans="1:21">
      <c r="C13" s="12"/>
      <c r="D13" s="12"/>
      <c r="E13" s="12"/>
      <c r="F13" s="12"/>
      <c r="G13" s="12"/>
      <c r="H13" s="12"/>
      <c r="I13" s="12"/>
      <c r="J13" s="12"/>
      <c r="K13" s="12"/>
      <c r="L13" s="91"/>
      <c r="Q13" s="11"/>
    </row>
    <row r="14" spans="1:21">
      <c r="B14" s="5" t="s">
        <v>23</v>
      </c>
      <c r="C14" s="12">
        <f>SUM(D14:L14)</f>
        <v>5918499475.4001799</v>
      </c>
      <c r="D14" s="12">
        <f t="shared" ref="D14:L14" si="0">SUM(D8:D12)</f>
        <v>2670384742.49228</v>
      </c>
      <c r="E14" s="12">
        <f t="shared" si="0"/>
        <v>700753024.69088006</v>
      </c>
      <c r="F14" s="12">
        <f t="shared" ref="F14" si="1">SUM(F8:F12)</f>
        <v>370617.37</v>
      </c>
      <c r="G14" s="12">
        <f t="shared" si="0"/>
        <v>1325395343.6310201</v>
      </c>
      <c r="H14" s="12">
        <f t="shared" ref="H14" si="2">SUM(H8:H12)</f>
        <v>451643.42999999993</v>
      </c>
      <c r="I14" s="12">
        <f>SUM(I8:I12)</f>
        <v>627844986.16700006</v>
      </c>
      <c r="J14" s="12">
        <f t="shared" ref="J14" si="3">SUM(J8:J12)</f>
        <v>429788232</v>
      </c>
      <c r="K14" s="12">
        <f t="shared" si="0"/>
        <v>147481465.46119002</v>
      </c>
      <c r="L14" s="12">
        <f t="shared" si="0"/>
        <v>16029420.157809999</v>
      </c>
    </row>
    <row r="15" spans="1:21" s="8" customFormat="1">
      <c r="A15" s="1"/>
      <c r="B15" s="78"/>
      <c r="C15" s="12"/>
      <c r="D15" s="12"/>
      <c r="E15" s="12"/>
      <c r="F15" s="12"/>
      <c r="G15" s="12"/>
      <c r="H15" s="12"/>
      <c r="I15" s="12"/>
      <c r="J15" s="12"/>
      <c r="K15" s="12"/>
      <c r="L15" s="12"/>
    </row>
    <row r="16" spans="1:21">
      <c r="C16" s="92"/>
      <c r="D16" s="92"/>
      <c r="E16" s="92"/>
      <c r="F16" s="92"/>
      <c r="G16" s="92"/>
      <c r="H16" s="92"/>
      <c r="I16" s="92"/>
      <c r="J16" s="92"/>
      <c r="K16" s="92"/>
      <c r="L16" s="92"/>
    </row>
    <row r="17" spans="1:15">
      <c r="B17" s="5" t="s">
        <v>23</v>
      </c>
      <c r="C17" s="12">
        <f>SUM(D17:L17)</f>
        <v>5918499475.4001799</v>
      </c>
      <c r="D17" s="12">
        <f t="shared" ref="D17:L17" si="4">D14+D15</f>
        <v>2670384742.49228</v>
      </c>
      <c r="E17" s="12">
        <f t="shared" si="4"/>
        <v>700753024.69088006</v>
      </c>
      <c r="F17" s="12">
        <f t="shared" ref="F17" si="5">F14+F15</f>
        <v>370617.37</v>
      </c>
      <c r="G17" s="12">
        <f t="shared" si="4"/>
        <v>1325395343.6310201</v>
      </c>
      <c r="H17" s="12">
        <f t="shared" ref="H17" si="6">H14+H15</f>
        <v>451643.42999999993</v>
      </c>
      <c r="I17" s="12">
        <f t="shared" si="4"/>
        <v>627844986.16700006</v>
      </c>
      <c r="J17" s="12">
        <f t="shared" ref="J17" si="7">J14+J15</f>
        <v>429788232</v>
      </c>
      <c r="K17" s="12">
        <f t="shared" si="4"/>
        <v>147481465.46119002</v>
      </c>
      <c r="L17" s="12">
        <f t="shared" si="4"/>
        <v>16029420.157809999</v>
      </c>
    </row>
    <row r="18" spans="1:15">
      <c r="B18" s="5" t="s">
        <v>24</v>
      </c>
      <c r="C18" s="12">
        <f>SUM(D18:L18)</f>
        <v>0</v>
      </c>
      <c r="D18" s="12">
        <f>'Bill Determ'!$E$11</f>
        <v>0</v>
      </c>
      <c r="E18" s="12">
        <f>'Bill Determ'!$D$21</f>
        <v>0</v>
      </c>
      <c r="F18" s="12">
        <f>'Bill Determ'!$D$21</f>
        <v>0</v>
      </c>
      <c r="G18" s="12">
        <f>'Bill Determ'!$D$43</f>
        <v>0</v>
      </c>
      <c r="H18" s="12">
        <f>'Bill Determ'!$D$43</f>
        <v>0</v>
      </c>
      <c r="I18" s="95">
        <v>0</v>
      </c>
      <c r="J18" s="95">
        <v>0</v>
      </c>
      <c r="K18" s="12">
        <f>'Bill Determ'!$E$70</f>
        <v>0</v>
      </c>
      <c r="L18" s="95">
        <v>0</v>
      </c>
    </row>
    <row r="19" spans="1:15">
      <c r="C19" s="92"/>
      <c r="D19" s="92"/>
      <c r="E19" s="92"/>
      <c r="F19" s="92"/>
      <c r="G19" s="92"/>
      <c r="H19" s="92"/>
      <c r="I19" s="92"/>
      <c r="J19" s="92"/>
      <c r="K19" s="92"/>
      <c r="L19" s="92"/>
    </row>
    <row r="20" spans="1:15">
      <c r="B20" s="5" t="s">
        <v>25</v>
      </c>
      <c r="C20" s="12">
        <f>SUM(D20:L20)</f>
        <v>5918499475.4001799</v>
      </c>
      <c r="D20" s="12">
        <f t="shared" ref="D20:L20" si="8">D17+D18</f>
        <v>2670384742.49228</v>
      </c>
      <c r="E20" s="12">
        <f t="shared" si="8"/>
        <v>700753024.69088006</v>
      </c>
      <c r="F20" s="12">
        <f t="shared" ref="F20" si="9">F17+F18</f>
        <v>370617.37</v>
      </c>
      <c r="G20" s="12">
        <f t="shared" si="8"/>
        <v>1325395343.6310201</v>
      </c>
      <c r="H20" s="12">
        <f t="shared" ref="H20" si="10">H17+H18</f>
        <v>451643.42999999993</v>
      </c>
      <c r="I20" s="12">
        <f t="shared" si="8"/>
        <v>627844986.16700006</v>
      </c>
      <c r="J20" s="12">
        <f t="shared" ref="J20" si="11">J17+J18</f>
        <v>429788232</v>
      </c>
      <c r="K20" s="12">
        <f t="shared" si="8"/>
        <v>147481465.46119002</v>
      </c>
      <c r="L20" s="12">
        <f t="shared" si="8"/>
        <v>16029420.157809999</v>
      </c>
    </row>
    <row r="21" spans="1:15" s="8" customFormat="1">
      <c r="A21" s="1"/>
      <c r="B21" s="78" t="s">
        <v>26</v>
      </c>
      <c r="C21" s="93">
        <f>SUM(D21:L21)</f>
        <v>-154699972</v>
      </c>
      <c r="D21" s="93">
        <f t="shared" ref="D21:L21" si="12">D142+D145</f>
        <v>-83426247</v>
      </c>
      <c r="E21" s="93">
        <f t="shared" si="12"/>
        <v>-23053465</v>
      </c>
      <c r="F21" s="93">
        <f>F142+F145</f>
        <v>0</v>
      </c>
      <c r="G21" s="93">
        <f t="shared" si="12"/>
        <v>-41470151</v>
      </c>
      <c r="H21" s="93">
        <f t="shared" ref="H21" si="13">H142+H145</f>
        <v>0</v>
      </c>
      <c r="I21" s="166">
        <f t="shared" si="12"/>
        <v>0</v>
      </c>
      <c r="J21" s="166">
        <f t="shared" ref="J21" si="14">J142+J145</f>
        <v>0</v>
      </c>
      <c r="K21" s="93">
        <f t="shared" si="12"/>
        <v>-6750109</v>
      </c>
      <c r="L21" s="93">
        <f t="shared" si="12"/>
        <v>0</v>
      </c>
    </row>
    <row r="22" spans="1:15">
      <c r="C22" s="92"/>
      <c r="D22" s="92"/>
      <c r="E22" s="92"/>
      <c r="F22" s="92"/>
      <c r="G22" s="92"/>
      <c r="H22" s="92"/>
      <c r="I22" s="92"/>
      <c r="J22" s="92"/>
      <c r="K22" s="92"/>
      <c r="L22" s="92"/>
      <c r="O22" s="5" t="s">
        <v>1</v>
      </c>
    </row>
    <row r="23" spans="1:15">
      <c r="B23" s="5" t="s">
        <v>27</v>
      </c>
      <c r="C23" s="12">
        <f>IF(ROUND(SUM(D23:L23),3)&lt;&gt;ROUND(SUM(C20:C21),3),#VALUE!,SUM(D23:L23))</f>
        <v>5763799503.4001799</v>
      </c>
      <c r="D23" s="12">
        <f t="shared" ref="D23:L23" si="15">D20+D21</f>
        <v>2586958495.49228</v>
      </c>
      <c r="E23" s="12">
        <f t="shared" si="15"/>
        <v>677699559.69088006</v>
      </c>
      <c r="F23" s="12">
        <f t="shared" ref="F23" si="16">F20+F21</f>
        <v>370617.37</v>
      </c>
      <c r="G23" s="12">
        <f t="shared" si="15"/>
        <v>1283925192.6310201</v>
      </c>
      <c r="H23" s="12">
        <f t="shared" ref="H23" si="17">H20+H21</f>
        <v>451643.42999999993</v>
      </c>
      <c r="I23" s="12">
        <f t="shared" si="15"/>
        <v>627844986.16700006</v>
      </c>
      <c r="J23" s="12">
        <f t="shared" ref="J23" si="18">J20+J21</f>
        <v>429788232</v>
      </c>
      <c r="K23" s="12">
        <f t="shared" si="15"/>
        <v>140731356.46119002</v>
      </c>
      <c r="L23" s="12">
        <f t="shared" si="15"/>
        <v>16029420.157809999</v>
      </c>
    </row>
    <row r="24" spans="1:15">
      <c r="C24" s="12"/>
      <c r="D24" s="12"/>
      <c r="E24" s="12"/>
      <c r="F24" s="12"/>
      <c r="G24" s="12"/>
      <c r="H24" s="12"/>
      <c r="I24" s="12"/>
      <c r="J24" s="12"/>
      <c r="K24" s="12"/>
      <c r="L24" s="12"/>
    </row>
    <row r="25" spans="1:15">
      <c r="B25" s="5" t="s">
        <v>28</v>
      </c>
      <c r="C25" s="12"/>
      <c r="D25" s="12">
        <f>'Bill Determ'!$F$9</f>
        <v>2738172</v>
      </c>
      <c r="E25" s="12">
        <f>'Bill Determ'!$F$17</f>
        <v>416737</v>
      </c>
      <c r="F25" s="12">
        <f>'Bill Determ'!$F$27</f>
        <v>152</v>
      </c>
      <c r="G25" s="12">
        <f>'Bill Determ'!$F$38</f>
        <v>20410</v>
      </c>
      <c r="H25" s="12">
        <f>'Bill Determ'!$F$49</f>
        <v>37</v>
      </c>
      <c r="I25" s="12">
        <f>'Bill Determ'!$G$58</f>
        <v>252</v>
      </c>
      <c r="J25" s="12">
        <f>'Bill Determ'!$G$62</f>
        <v>12</v>
      </c>
      <c r="K25" s="12">
        <f>'Bill Determ'!$F$66</f>
        <v>30627</v>
      </c>
      <c r="L25" s="12"/>
    </row>
    <row r="26" spans="1:15">
      <c r="B26" s="5" t="s">
        <v>29</v>
      </c>
      <c r="C26" s="12"/>
      <c r="D26" s="12"/>
      <c r="E26" s="12"/>
      <c r="F26" s="12"/>
      <c r="G26" s="12"/>
      <c r="H26" s="12"/>
      <c r="I26" s="12"/>
      <c r="J26" s="12"/>
      <c r="K26" s="12"/>
      <c r="L26" s="12"/>
    </row>
    <row r="27" spans="1:15">
      <c r="B27" s="5" t="s">
        <v>30</v>
      </c>
      <c r="C27" s="12"/>
      <c r="D27" s="12"/>
      <c r="E27" s="12">
        <f>'Bill Determ'!$E$17</f>
        <v>566912.83238095231</v>
      </c>
      <c r="F27" s="12">
        <f>'Bill Determ'!$E$27</f>
        <v>0</v>
      </c>
      <c r="G27" s="12">
        <f>'Bill Determ'!$E$38</f>
        <v>2600000.3744761907</v>
      </c>
      <c r="H27" s="12">
        <f>'Bill Determ'!$E$49</f>
        <v>0</v>
      </c>
      <c r="I27" s="12">
        <f>'Bill Determ'!$F$58+'Bill Determ'!F59</f>
        <v>600031.76899999997</v>
      </c>
      <c r="J27" s="12">
        <f>'Bill Determ'!$F$62</f>
        <v>709647.84</v>
      </c>
      <c r="K27" s="12"/>
      <c r="L27" s="12"/>
    </row>
    <row r="28" spans="1:15">
      <c r="C28" s="7"/>
      <c r="D28" s="7"/>
      <c r="E28" s="7"/>
      <c r="F28" s="7"/>
      <c r="G28" s="7"/>
      <c r="H28" s="7"/>
      <c r="I28" s="7"/>
      <c r="J28" s="7"/>
      <c r="K28" s="7"/>
      <c r="L28" s="7"/>
    </row>
    <row r="29" spans="1:15">
      <c r="B29" s="4" t="s">
        <v>31</v>
      </c>
    </row>
    <row r="30" spans="1:15" s="14" customFormat="1" ht="10.5">
      <c r="A30" s="13"/>
      <c r="B30" s="6" t="s">
        <v>17</v>
      </c>
    </row>
    <row r="31" spans="1:15">
      <c r="B31" s="5" t="s">
        <v>18</v>
      </c>
      <c r="C31" s="12"/>
      <c r="D31" s="12">
        <f>D8</f>
        <v>1718630296.2747939</v>
      </c>
      <c r="E31" s="12">
        <f t="shared" ref="E31:L31" si="19">E8</f>
        <v>466372572.30339468</v>
      </c>
      <c r="F31" s="12">
        <f t="shared" ref="F31" si="20">F8</f>
        <v>92517.214073099996</v>
      </c>
      <c r="G31" s="12">
        <f t="shared" si="19"/>
        <v>1181273588.82234</v>
      </c>
      <c r="H31" s="12">
        <f t="shared" ref="H31" si="21">H8</f>
        <v>109802.19577130998</v>
      </c>
      <c r="I31" s="12">
        <f t="shared" si="19"/>
        <v>126000000</v>
      </c>
      <c r="J31" s="12">
        <f>J8</f>
        <v>6000000</v>
      </c>
      <c r="K31" s="12">
        <f t="shared" si="19"/>
        <v>47759509.659440003</v>
      </c>
      <c r="L31" s="12">
        <f t="shared" si="19"/>
        <v>0</v>
      </c>
    </row>
    <row r="32" spans="1:15">
      <c r="B32" s="5" t="s">
        <v>19</v>
      </c>
      <c r="C32" s="12"/>
      <c r="D32" s="12">
        <f t="shared" ref="D32:L35" si="22">D9</f>
        <v>577659306.88565063</v>
      </c>
      <c r="E32" s="12">
        <f t="shared" si="22"/>
        <v>234380452.38748533</v>
      </c>
      <c r="F32" s="12">
        <f t="shared" ref="F32" si="23">F9</f>
        <v>278100.15592689998</v>
      </c>
      <c r="G32" s="12">
        <f t="shared" si="22"/>
        <v>144121754.80867997</v>
      </c>
      <c r="H32" s="12">
        <f t="shared" ref="H32" si="24">H9</f>
        <v>341841.23422868992</v>
      </c>
      <c r="I32" s="12">
        <f>'Bill Determ'!$C$58</f>
        <v>484064827.46600002</v>
      </c>
      <c r="J32" s="12">
        <f>'Bill Determ'!$C$62</f>
        <v>66000000</v>
      </c>
      <c r="K32" s="12">
        <f t="shared" si="22"/>
        <v>99721955.801750004</v>
      </c>
      <c r="L32" s="12">
        <f t="shared" si="22"/>
        <v>0</v>
      </c>
    </row>
    <row r="33" spans="1:12">
      <c r="B33" s="5" t="s">
        <v>20</v>
      </c>
      <c r="C33" s="12"/>
      <c r="D33" s="12">
        <f t="shared" si="22"/>
        <v>374095139.33183551</v>
      </c>
      <c r="E33" s="12">
        <f t="shared" si="22"/>
        <v>0</v>
      </c>
      <c r="F33" s="12">
        <f t="shared" ref="F33" si="25">F10</f>
        <v>0</v>
      </c>
      <c r="G33" s="12">
        <f t="shared" si="22"/>
        <v>0</v>
      </c>
      <c r="H33" s="12">
        <f t="shared" ref="H33" si="26">H10</f>
        <v>0</v>
      </c>
      <c r="I33" s="12">
        <f>'Bill Determ'!$D$58</f>
        <v>17780158.700999975</v>
      </c>
      <c r="J33" s="12">
        <f>'Bill Determ'!$D$62</f>
        <v>357788232</v>
      </c>
      <c r="K33" s="12">
        <f t="shared" si="22"/>
        <v>0</v>
      </c>
      <c r="L33" s="12">
        <f t="shared" si="22"/>
        <v>0</v>
      </c>
    </row>
    <row r="34" spans="1:12">
      <c r="B34" s="5" t="s">
        <v>21</v>
      </c>
      <c r="C34" s="12"/>
      <c r="D34" s="12">
        <f t="shared" si="22"/>
        <v>0</v>
      </c>
      <c r="E34" s="12">
        <f t="shared" si="22"/>
        <v>0</v>
      </c>
      <c r="F34" s="12">
        <f t="shared" ref="F34" si="27">F11</f>
        <v>0</v>
      </c>
      <c r="G34" s="12">
        <f t="shared" si="22"/>
        <v>0</v>
      </c>
      <c r="H34" s="12">
        <f t="shared" ref="H34" si="28">H11</f>
        <v>0</v>
      </c>
      <c r="I34" s="12">
        <f t="shared" si="22"/>
        <v>0</v>
      </c>
      <c r="J34" s="12">
        <f t="shared" ref="J34" si="29">J11</f>
        <v>0</v>
      </c>
      <c r="K34" s="12">
        <f t="shared" si="22"/>
        <v>0</v>
      </c>
      <c r="L34" s="12">
        <f t="shared" si="22"/>
        <v>0</v>
      </c>
    </row>
    <row r="35" spans="1:12">
      <c r="B35" s="5" t="s">
        <v>22</v>
      </c>
      <c r="C35" s="12"/>
      <c r="D35" s="12">
        <f t="shared" si="22"/>
        <v>0</v>
      </c>
      <c r="E35" s="12">
        <f t="shared" si="22"/>
        <v>0</v>
      </c>
      <c r="F35" s="12">
        <f t="shared" ref="F35" si="30">F12</f>
        <v>0</v>
      </c>
      <c r="G35" s="12">
        <f t="shared" si="22"/>
        <v>0</v>
      </c>
      <c r="H35" s="12">
        <f t="shared" ref="H35" si="31">H12</f>
        <v>0</v>
      </c>
      <c r="I35" s="12">
        <f t="shared" si="22"/>
        <v>0</v>
      </c>
      <c r="J35" s="12">
        <f t="shared" ref="J35" si="32">J12</f>
        <v>0</v>
      </c>
      <c r="K35" s="12">
        <f t="shared" si="22"/>
        <v>0</v>
      </c>
      <c r="L35" s="12">
        <f>L12</f>
        <v>16029420.157809999</v>
      </c>
    </row>
    <row r="36" spans="1:12">
      <c r="C36" s="92"/>
      <c r="D36" s="92"/>
      <c r="E36" s="92"/>
      <c r="F36" s="92"/>
      <c r="G36" s="92"/>
      <c r="H36" s="92"/>
      <c r="I36" s="92"/>
      <c r="J36" s="92"/>
      <c r="K36" s="92"/>
      <c r="L36" s="92"/>
    </row>
    <row r="37" spans="1:12">
      <c r="B37" s="5" t="s">
        <v>23</v>
      </c>
      <c r="C37" s="12">
        <f>SUM(D37:L37)</f>
        <v>5918499475.4001799</v>
      </c>
      <c r="D37" s="12">
        <f t="shared" ref="D37:L37" si="33">SUM(D31:D35)</f>
        <v>2670384742.49228</v>
      </c>
      <c r="E37" s="12">
        <f t="shared" si="33"/>
        <v>700753024.69088006</v>
      </c>
      <c r="F37" s="12">
        <f t="shared" ref="F37" si="34">SUM(F31:F35)</f>
        <v>370617.37</v>
      </c>
      <c r="G37" s="12">
        <f t="shared" si="33"/>
        <v>1325395343.6310201</v>
      </c>
      <c r="H37" s="12">
        <f t="shared" ref="H37" si="35">SUM(H31:H35)</f>
        <v>451643.42999999993</v>
      </c>
      <c r="I37" s="12">
        <f t="shared" si="33"/>
        <v>627844986.16700006</v>
      </c>
      <c r="J37" s="12">
        <f t="shared" ref="J37" si="36">SUM(J31:J35)</f>
        <v>429788232</v>
      </c>
      <c r="K37" s="12">
        <f t="shared" si="33"/>
        <v>147481465.46119002</v>
      </c>
      <c r="L37" s="12">
        <f t="shared" si="33"/>
        <v>16029420.157809999</v>
      </c>
    </row>
    <row r="38" spans="1:12" s="8" customFormat="1">
      <c r="A38" s="31"/>
      <c r="B38" s="271"/>
      <c r="C38" s="12">
        <f>SUM(D38:L38)</f>
        <v>0</v>
      </c>
      <c r="D38" s="93">
        <f t="shared" ref="D38:L38" si="37">D15</f>
        <v>0</v>
      </c>
      <c r="E38" s="93">
        <f t="shared" si="37"/>
        <v>0</v>
      </c>
      <c r="F38" s="93">
        <f t="shared" ref="F38" si="38">F15</f>
        <v>0</v>
      </c>
      <c r="G38" s="93">
        <f t="shared" si="37"/>
        <v>0</v>
      </c>
      <c r="H38" s="93">
        <f t="shared" ref="H38" si="39">H15</f>
        <v>0</v>
      </c>
      <c r="I38" s="93">
        <f t="shared" si="37"/>
        <v>0</v>
      </c>
      <c r="J38" s="93">
        <f t="shared" ref="J38" si="40">J15</f>
        <v>0</v>
      </c>
      <c r="K38" s="93">
        <f t="shared" si="37"/>
        <v>0</v>
      </c>
      <c r="L38" s="93">
        <f t="shared" si="37"/>
        <v>0</v>
      </c>
    </row>
    <row r="39" spans="1:12">
      <c r="C39" s="92"/>
      <c r="D39" s="92"/>
      <c r="E39" s="92"/>
      <c r="F39" s="92"/>
      <c r="G39" s="92"/>
      <c r="H39" s="92"/>
      <c r="I39" s="92"/>
      <c r="J39" s="92"/>
      <c r="K39" s="92"/>
      <c r="L39" s="92"/>
    </row>
    <row r="40" spans="1:12">
      <c r="B40" s="5" t="s">
        <v>23</v>
      </c>
      <c r="C40" s="12">
        <f>SUM(D40:L40)</f>
        <v>5918499475.4001799</v>
      </c>
      <c r="D40" s="12">
        <f t="shared" ref="D40:L40" si="41">D37+D38</f>
        <v>2670384742.49228</v>
      </c>
      <c r="E40" s="12">
        <f t="shared" si="41"/>
        <v>700753024.69088006</v>
      </c>
      <c r="F40" s="12">
        <f t="shared" ref="F40" si="42">F37+F38</f>
        <v>370617.37</v>
      </c>
      <c r="G40" s="12">
        <f t="shared" si="41"/>
        <v>1325395343.6310201</v>
      </c>
      <c r="H40" s="12">
        <f t="shared" ref="H40" si="43">H37+H38</f>
        <v>451643.42999999993</v>
      </c>
      <c r="I40" s="12">
        <f t="shared" si="41"/>
        <v>627844986.16700006</v>
      </c>
      <c r="J40" s="12">
        <f t="shared" ref="J40" si="44">J37+J38</f>
        <v>429788232</v>
      </c>
      <c r="K40" s="12">
        <f t="shared" si="41"/>
        <v>147481465.46119002</v>
      </c>
      <c r="L40" s="12">
        <f t="shared" si="41"/>
        <v>16029420.157809999</v>
      </c>
    </row>
    <row r="41" spans="1:12">
      <c r="B41" s="5" t="s">
        <v>24</v>
      </c>
      <c r="C41" s="12">
        <f>SUM(D41:L41)</f>
        <v>0</v>
      </c>
      <c r="D41" s="12">
        <f t="shared" ref="D41:L41" si="45">D18</f>
        <v>0</v>
      </c>
      <c r="E41" s="12">
        <f t="shared" si="45"/>
        <v>0</v>
      </c>
      <c r="F41" s="12">
        <f t="shared" ref="F41" si="46">F18</f>
        <v>0</v>
      </c>
      <c r="G41" s="12">
        <f t="shared" si="45"/>
        <v>0</v>
      </c>
      <c r="H41" s="12">
        <f t="shared" ref="H41" si="47">H18</f>
        <v>0</v>
      </c>
      <c r="I41" s="12">
        <f t="shared" si="45"/>
        <v>0</v>
      </c>
      <c r="J41" s="12">
        <f t="shared" ref="J41" si="48">J18</f>
        <v>0</v>
      </c>
      <c r="K41" s="12">
        <f t="shared" si="45"/>
        <v>0</v>
      </c>
      <c r="L41" s="12">
        <f t="shared" si="45"/>
        <v>0</v>
      </c>
    </row>
    <row r="42" spans="1:12">
      <c r="C42" s="92"/>
      <c r="D42" s="92"/>
      <c r="E42" s="92"/>
      <c r="F42" s="92"/>
      <c r="G42" s="92"/>
      <c r="H42" s="92"/>
      <c r="I42" s="92"/>
      <c r="J42" s="92"/>
      <c r="K42" s="92"/>
      <c r="L42" s="92"/>
    </row>
    <row r="43" spans="1:12">
      <c r="B43" s="5" t="s">
        <v>25</v>
      </c>
      <c r="C43" s="12">
        <f>SUM(D43:L43)</f>
        <v>5918499475.4001799</v>
      </c>
      <c r="D43" s="12">
        <f t="shared" ref="D43:L43" si="49">D40+D41</f>
        <v>2670384742.49228</v>
      </c>
      <c r="E43" s="12">
        <f t="shared" si="49"/>
        <v>700753024.69088006</v>
      </c>
      <c r="F43" s="12">
        <f t="shared" ref="F43" si="50">F40+F41</f>
        <v>370617.37</v>
      </c>
      <c r="G43" s="12">
        <f t="shared" si="49"/>
        <v>1325395343.6310201</v>
      </c>
      <c r="H43" s="12">
        <f t="shared" ref="H43" si="51">H40+H41</f>
        <v>451643.42999999993</v>
      </c>
      <c r="I43" s="12">
        <f t="shared" si="49"/>
        <v>627844986.16700006</v>
      </c>
      <c r="J43" s="12">
        <f t="shared" ref="J43" si="52">J40+J41</f>
        <v>429788232</v>
      </c>
      <c r="K43" s="12">
        <f t="shared" si="49"/>
        <v>147481465.46119002</v>
      </c>
      <c r="L43" s="12">
        <f t="shared" si="49"/>
        <v>16029420.157809999</v>
      </c>
    </row>
    <row r="44" spans="1:12" s="8" customFormat="1">
      <c r="A44" s="31"/>
      <c r="B44" s="78" t="s">
        <v>26</v>
      </c>
      <c r="C44" s="93">
        <f>SUM(D44:L44)</f>
        <v>-154699972</v>
      </c>
      <c r="D44" s="93">
        <f t="shared" ref="D44:L44" si="53">D21</f>
        <v>-83426247</v>
      </c>
      <c r="E44" s="93">
        <f t="shared" si="53"/>
        <v>-23053465</v>
      </c>
      <c r="F44" s="93">
        <f t="shared" ref="F44" si="54">F21</f>
        <v>0</v>
      </c>
      <c r="G44" s="93">
        <f t="shared" si="53"/>
        <v>-41470151</v>
      </c>
      <c r="H44" s="93">
        <f t="shared" ref="H44" si="55">H21</f>
        <v>0</v>
      </c>
      <c r="I44" s="93">
        <f t="shared" si="53"/>
        <v>0</v>
      </c>
      <c r="J44" s="93">
        <f t="shared" ref="J44" si="56">J21</f>
        <v>0</v>
      </c>
      <c r="K44" s="93">
        <f t="shared" si="53"/>
        <v>-6750109</v>
      </c>
      <c r="L44" s="93">
        <f t="shared" si="53"/>
        <v>0</v>
      </c>
    </row>
    <row r="45" spans="1:12">
      <c r="C45" s="92"/>
      <c r="D45" s="92"/>
      <c r="E45" s="92"/>
      <c r="F45" s="92"/>
      <c r="G45" s="92"/>
      <c r="H45" s="92"/>
      <c r="I45" s="92"/>
      <c r="J45" s="92"/>
      <c r="K45" s="92"/>
      <c r="L45" s="92"/>
    </row>
    <row r="46" spans="1:12">
      <c r="B46" s="5" t="s">
        <v>27</v>
      </c>
      <c r="C46" s="12">
        <f>IF(ROUND(SUM(D46:L46),3)&lt;&gt;ROUND(SUM(C43:C44),3),#VALUE!,SUM(D46:L46))</f>
        <v>5763799503.4001799</v>
      </c>
      <c r="D46" s="12">
        <f t="shared" ref="D46:L46" si="57">D43+D44</f>
        <v>2586958495.49228</v>
      </c>
      <c r="E46" s="12">
        <f t="shared" si="57"/>
        <v>677699559.69088006</v>
      </c>
      <c r="F46" s="12">
        <f t="shared" ref="F46" si="58">F43+F44</f>
        <v>370617.37</v>
      </c>
      <c r="G46" s="12">
        <f t="shared" si="57"/>
        <v>1283925192.6310201</v>
      </c>
      <c r="H46" s="12">
        <f t="shared" ref="H46" si="59">H43+H44</f>
        <v>451643.42999999993</v>
      </c>
      <c r="I46" s="12">
        <f t="shared" si="57"/>
        <v>627844986.16700006</v>
      </c>
      <c r="J46" s="12">
        <f t="shared" ref="J46" si="60">J43+J44</f>
        <v>429788232</v>
      </c>
      <c r="K46" s="12">
        <f t="shared" si="57"/>
        <v>140731356.46119002</v>
      </c>
      <c r="L46" s="12">
        <f t="shared" si="57"/>
        <v>16029420.157809999</v>
      </c>
    </row>
    <row r="47" spans="1:12">
      <c r="C47" s="12"/>
      <c r="D47" s="12"/>
      <c r="E47" s="12"/>
      <c r="F47" s="12"/>
      <c r="G47" s="12"/>
      <c r="H47" s="12"/>
      <c r="I47" s="12"/>
      <c r="J47" s="12"/>
      <c r="K47" s="12"/>
      <c r="L47" s="12"/>
    </row>
    <row r="48" spans="1:12">
      <c r="B48" s="5" t="s">
        <v>28</v>
      </c>
      <c r="C48" s="12"/>
      <c r="D48" s="12">
        <f t="shared" ref="D48:K48" si="61">D25</f>
        <v>2738172</v>
      </c>
      <c r="E48" s="12">
        <f t="shared" si="61"/>
        <v>416737</v>
      </c>
      <c r="F48" s="12">
        <f t="shared" si="61"/>
        <v>152</v>
      </c>
      <c r="G48" s="12">
        <f t="shared" si="61"/>
        <v>20410</v>
      </c>
      <c r="H48" s="12">
        <f t="shared" si="61"/>
        <v>37</v>
      </c>
      <c r="I48" s="12">
        <f t="shared" si="61"/>
        <v>252</v>
      </c>
      <c r="J48" s="12">
        <f t="shared" si="61"/>
        <v>12</v>
      </c>
      <c r="K48" s="12">
        <f t="shared" si="61"/>
        <v>30627</v>
      </c>
      <c r="L48" s="12"/>
    </row>
    <row r="49" spans="1:17">
      <c r="B49" s="5" t="s">
        <v>29</v>
      </c>
      <c r="C49" s="12"/>
      <c r="D49" s="12"/>
      <c r="E49" s="12"/>
      <c r="F49" s="12"/>
      <c r="G49" s="12"/>
      <c r="H49" s="12"/>
      <c r="I49" s="12"/>
      <c r="J49" s="12"/>
      <c r="K49" s="12"/>
      <c r="L49" s="12"/>
    </row>
    <row r="50" spans="1:17">
      <c r="B50" s="5" t="s">
        <v>30</v>
      </c>
      <c r="C50" s="12"/>
      <c r="D50" s="12"/>
      <c r="E50" s="12">
        <f t="shared" ref="E50:I50" si="62">E27</f>
        <v>566912.83238095231</v>
      </c>
      <c r="F50" s="12">
        <f t="shared" si="62"/>
        <v>0</v>
      </c>
      <c r="G50" s="12">
        <f t="shared" si="62"/>
        <v>2600000.3744761907</v>
      </c>
      <c r="H50" s="12">
        <f t="shared" si="62"/>
        <v>0</v>
      </c>
      <c r="I50" s="12">
        <f t="shared" si="62"/>
        <v>600031.76899999997</v>
      </c>
      <c r="J50" s="12">
        <f>J27</f>
        <v>709647.84</v>
      </c>
      <c r="K50" s="12"/>
      <c r="L50" s="12"/>
    </row>
    <row r="51" spans="1:17" s="2" customFormat="1">
      <c r="A51" s="1"/>
      <c r="C51" s="7"/>
      <c r="D51" s="7"/>
      <c r="E51" s="7"/>
      <c r="F51" s="7"/>
      <c r="G51" s="7"/>
      <c r="H51" s="7"/>
      <c r="I51" s="7"/>
      <c r="J51" s="7"/>
      <c r="K51" s="7"/>
      <c r="L51" s="7"/>
    </row>
    <row r="52" spans="1:17" s="2" customFormat="1">
      <c r="A52" s="1"/>
      <c r="C52" s="7"/>
      <c r="D52" s="7"/>
      <c r="E52" s="7"/>
      <c r="F52" s="7"/>
      <c r="G52" s="7"/>
      <c r="H52" s="7"/>
      <c r="I52" s="7"/>
      <c r="J52" s="7"/>
      <c r="K52" s="7"/>
      <c r="L52" s="7"/>
    </row>
    <row r="53" spans="1:17" s="2" customFormat="1" ht="27.75" customHeight="1">
      <c r="A53" s="1"/>
      <c r="C53" s="7"/>
      <c r="D53" s="7"/>
      <c r="E53" s="7"/>
      <c r="F53" s="7"/>
      <c r="G53" s="7"/>
      <c r="H53" s="7"/>
      <c r="I53" s="7"/>
      <c r="J53" s="7"/>
      <c r="K53" s="7"/>
      <c r="L53" s="7"/>
    </row>
    <row r="54" spans="1:17" s="2" customFormat="1">
      <c r="A54" s="1"/>
      <c r="C54" s="7"/>
      <c r="D54" s="7"/>
      <c r="E54" s="7"/>
      <c r="F54" s="7"/>
      <c r="G54" s="7"/>
      <c r="H54" s="7"/>
      <c r="I54" s="7"/>
      <c r="J54" s="7"/>
      <c r="K54" s="7"/>
      <c r="L54" s="7"/>
    </row>
    <row r="55" spans="1:17" s="2" customFormat="1">
      <c r="A55" s="1"/>
      <c r="C55" s="7"/>
      <c r="D55" s="99">
        <v>1</v>
      </c>
      <c r="E55" s="99">
        <v>2</v>
      </c>
      <c r="F55" s="99">
        <v>3</v>
      </c>
      <c r="G55" s="99">
        <v>4</v>
      </c>
      <c r="H55" s="99">
        <v>5</v>
      </c>
      <c r="I55" s="99">
        <v>6</v>
      </c>
      <c r="J55" s="99">
        <v>7</v>
      </c>
      <c r="K55" s="99">
        <v>8</v>
      </c>
      <c r="L55" s="99">
        <v>9</v>
      </c>
      <c r="O55" s="100">
        <f>SUMPRODUCT(--(ISBLANK(D55:L55)))</f>
        <v>0</v>
      </c>
    </row>
    <row r="56" spans="1:17" s="2" customFormat="1">
      <c r="A56" s="1" t="s">
        <v>0</v>
      </c>
      <c r="C56" s="2" t="s">
        <v>1</v>
      </c>
      <c r="D56" s="2" t="str">
        <f t="shared" ref="D56:L56" si="63">D$4</f>
        <v>RESIDENTIAL</v>
      </c>
      <c r="E56" s="2" t="str">
        <f t="shared" si="63"/>
        <v xml:space="preserve">GENERAL SVC. </v>
      </c>
      <c r="F56" s="2" t="str">
        <f t="shared" si="63"/>
        <v xml:space="preserve">GENERAL SVC. </v>
      </c>
      <c r="G56" s="2" t="str">
        <f t="shared" si="63"/>
        <v>LG. GEN. SVC.</v>
      </c>
      <c r="H56" s="2" t="str">
        <f t="shared" si="63"/>
        <v>LG. GEN. SVC.</v>
      </c>
      <c r="I56" s="2" t="str">
        <f t="shared" si="63"/>
        <v>EX LG GEN SVC</v>
      </c>
      <c r="J56" s="2" t="str">
        <f t="shared" si="63"/>
        <v>EX LG GEN SVC</v>
      </c>
      <c r="K56" s="2" t="str">
        <f t="shared" si="63"/>
        <v>PUMPING</v>
      </c>
      <c r="L56" s="2" t="str">
        <f t="shared" si="63"/>
        <v>ST &amp; AREA LTG</v>
      </c>
      <c r="O56" s="5" t="str">
        <f ca="1">"selected in cell "&amp;CELL("address",Base1_Billing2)&amp;":"</f>
        <v>selected in cell $Q$8:</v>
      </c>
    </row>
    <row r="57" spans="1:17" s="2" customFormat="1" ht="10.5">
      <c r="A57" s="1" t="s">
        <v>8</v>
      </c>
      <c r="C57" s="3" t="s">
        <v>9</v>
      </c>
      <c r="D57" s="3" t="str">
        <f t="shared" ref="D57:L57" si="64">D$5</f>
        <v>SCHEDULE 1</v>
      </c>
      <c r="E57" s="3" t="str">
        <f t="shared" si="64"/>
        <v>SCH. 11,12</v>
      </c>
      <c r="F57" s="3" t="str">
        <f t="shared" si="64"/>
        <v>SCH. 13</v>
      </c>
      <c r="G57" s="3" t="str">
        <f t="shared" si="64"/>
        <v>SCH. 21,22</v>
      </c>
      <c r="H57" s="3" t="str">
        <f t="shared" si="64"/>
        <v>SCH. 23</v>
      </c>
      <c r="I57" s="3" t="str">
        <f t="shared" si="64"/>
        <v>SCHEDULE 25</v>
      </c>
      <c r="J57" s="3" t="str">
        <f t="shared" si="64"/>
        <v>SCHEDULE 25I</v>
      </c>
      <c r="K57" s="3" t="str">
        <f t="shared" si="64"/>
        <v>SCH. 30, 31, 32</v>
      </c>
      <c r="L57" s="3" t="str">
        <f t="shared" si="64"/>
        <v>SCH. 41-48</v>
      </c>
      <c r="O57" s="14" t="str">
        <f>Q10</f>
        <v>Base</v>
      </c>
    </row>
    <row r="58" spans="1:17">
      <c r="B58" s="4" t="s">
        <v>32</v>
      </c>
      <c r="O58" s="5" t="str">
        <f>"Rates_"&amp;$O$57&amp;"_Present"</f>
        <v>Rates_Base_Present</v>
      </c>
      <c r="Q58" s="114" t="s">
        <v>206</v>
      </c>
    </row>
    <row r="59" spans="1:17">
      <c r="B59" s="5" t="s">
        <v>33</v>
      </c>
      <c r="D59" s="115">
        <f t="shared" ref="D59:L59" ca="1" si="65">INDEX(INDIRECT($O$58),$N59,D$55)</f>
        <v>9</v>
      </c>
      <c r="E59" s="115">
        <f t="shared" ca="1" si="65"/>
        <v>21</v>
      </c>
      <c r="F59" s="115">
        <f t="shared" ca="1" si="65"/>
        <v>21</v>
      </c>
      <c r="G59" s="115">
        <f t="shared" ca="1" si="65"/>
        <v>0</v>
      </c>
      <c r="H59" s="115">
        <f t="shared" ca="1" si="65"/>
        <v>0</v>
      </c>
      <c r="I59" s="115">
        <f t="shared" ca="1" si="65"/>
        <v>0</v>
      </c>
      <c r="J59" s="115">
        <f t="shared" ca="1" si="65"/>
        <v>0</v>
      </c>
      <c r="K59" s="115">
        <f t="shared" ca="1" si="65"/>
        <v>21</v>
      </c>
      <c r="L59" s="115">
        <f t="shared" ca="1" si="65"/>
        <v>0</v>
      </c>
      <c r="N59" s="98">
        <v>1</v>
      </c>
      <c r="O59" s="5" t="str">
        <f>"Rates_"&amp;$O$57&amp;"_Proposed"</f>
        <v>Rates_Base_Proposed</v>
      </c>
      <c r="Q59" s="114" t="s">
        <v>207</v>
      </c>
    </row>
    <row r="60" spans="1:17">
      <c r="B60" s="5" t="s">
        <v>34</v>
      </c>
      <c r="D60" s="9"/>
    </row>
    <row r="62" spans="1:17">
      <c r="B62" s="5" t="s">
        <v>35</v>
      </c>
      <c r="D62" s="116">
        <f t="shared" ref="D62:L64" ca="1" si="66">INDEX(INDIRECT($O$58),$N62,D$55)</f>
        <v>9.0670000000000002</v>
      </c>
      <c r="E62" s="116">
        <f t="shared" ca="1" si="66"/>
        <v>12.385</v>
      </c>
      <c r="F62" s="116">
        <f t="shared" ca="1" si="66"/>
        <v>22.149000000000001</v>
      </c>
      <c r="G62" s="116">
        <f t="shared" ca="1" si="66"/>
        <v>7.9139999999999997</v>
      </c>
      <c r="H62" s="116">
        <f t="shared" ca="1" si="66"/>
        <v>17.039000000000001</v>
      </c>
      <c r="I62" s="116">
        <f t="shared" ca="1" si="66"/>
        <v>5.8949999999999996</v>
      </c>
      <c r="J62" s="116">
        <f t="shared" ca="1" si="66"/>
        <v>4.7839999999999998</v>
      </c>
      <c r="K62" s="116">
        <f t="shared" ca="1" si="66"/>
        <v>11.464</v>
      </c>
      <c r="L62" s="116">
        <f t="shared" ca="1" si="66"/>
        <v>0</v>
      </c>
      <c r="N62" s="98">
        <v>2</v>
      </c>
    </row>
    <row r="63" spans="1:17">
      <c r="B63" s="5" t="s">
        <v>36</v>
      </c>
      <c r="D63" s="116">
        <f t="shared" ca="1" si="66"/>
        <v>10.653</v>
      </c>
      <c r="E63" s="116">
        <f t="shared" ca="1" si="66"/>
        <v>9.0150000000000006</v>
      </c>
      <c r="F63" s="116">
        <f t="shared" ca="1" si="66"/>
        <v>8.82</v>
      </c>
      <c r="G63" s="116">
        <f t="shared" ca="1" si="66"/>
        <v>7.0540000000000003</v>
      </c>
      <c r="H63" s="116">
        <f t="shared" ca="1" si="66"/>
        <v>6.8849999999999998</v>
      </c>
      <c r="I63" s="116">
        <f t="shared" ca="1" si="66"/>
        <v>5.2939999999999996</v>
      </c>
      <c r="J63" s="116">
        <f t="shared" ca="1" si="66"/>
        <v>4.2990000000000004</v>
      </c>
      <c r="K63" s="116">
        <f t="shared" ca="1" si="66"/>
        <v>8.0229999999999997</v>
      </c>
      <c r="L63" s="116">
        <f t="shared" ca="1" si="66"/>
        <v>0</v>
      </c>
      <c r="N63" s="98">
        <v>3</v>
      </c>
    </row>
    <row r="64" spans="1:17">
      <c r="B64" s="5" t="s">
        <v>37</v>
      </c>
      <c r="D64" s="116">
        <f t="shared" ca="1" si="66"/>
        <v>12.606</v>
      </c>
      <c r="E64" s="116">
        <f t="shared" ca="1" si="66"/>
        <v>0</v>
      </c>
      <c r="F64" s="116">
        <f t="shared" ca="1" si="66"/>
        <v>0</v>
      </c>
      <c r="G64" s="116">
        <f t="shared" ca="1" si="66"/>
        <v>0</v>
      </c>
      <c r="H64" s="116">
        <f t="shared" ca="1" si="66"/>
        <v>0</v>
      </c>
      <c r="I64" s="116">
        <f t="shared" ca="1" si="66"/>
        <v>4.32</v>
      </c>
      <c r="J64" s="116">
        <f t="shared" ca="1" si="66"/>
        <v>3.6669999999999998</v>
      </c>
      <c r="K64" s="116">
        <f t="shared" ca="1" si="66"/>
        <v>0</v>
      </c>
      <c r="L64" s="116">
        <f t="shared" ca="1" si="66"/>
        <v>0</v>
      </c>
      <c r="N64" s="98">
        <v>4</v>
      </c>
    </row>
    <row r="65" spans="1:15">
      <c r="B65" s="5" t="s">
        <v>38</v>
      </c>
      <c r="D65" s="10"/>
      <c r="E65" s="10"/>
      <c r="F65" s="10"/>
      <c r="G65" s="10"/>
      <c r="H65" s="10"/>
      <c r="I65" s="10"/>
      <c r="J65" s="10"/>
      <c r="K65" s="10"/>
      <c r="L65" s="10"/>
      <c r="N65" s="98">
        <v>5</v>
      </c>
    </row>
    <row r="66" spans="1:15">
      <c r="D66" s="10"/>
      <c r="E66" s="10"/>
      <c r="F66" s="10"/>
      <c r="G66" s="10"/>
      <c r="H66" s="10"/>
      <c r="I66" s="10"/>
      <c r="J66" s="10"/>
      <c r="K66" s="10"/>
      <c r="L66" s="10"/>
    </row>
    <row r="67" spans="1:15">
      <c r="B67" s="5" t="s">
        <v>39</v>
      </c>
      <c r="D67" s="116">
        <f ca="1">(D124-D111)/D14*100</f>
        <v>9.9058642738168938</v>
      </c>
      <c r="E67" s="116">
        <f ca="1">(E124-E111-SUM(E117:E120))/E14*100</f>
        <v>11.257838079942676</v>
      </c>
      <c r="F67" s="418">
        <v>0</v>
      </c>
      <c r="G67" s="116">
        <f ca="1">(G124-G111-SUM(G117:G120))/G14*100</f>
        <v>7.8204847254130723</v>
      </c>
      <c r="H67" s="418">
        <v>0</v>
      </c>
      <c r="I67" s="116"/>
      <c r="J67" s="116"/>
      <c r="K67" s="116">
        <f ca="1">(K124-K111-SUM(K117:K120))/K14*100</f>
        <v>9.1373127178114384</v>
      </c>
      <c r="L67" s="116"/>
    </row>
    <row r="68" spans="1:15">
      <c r="D68" s="10"/>
      <c r="E68" s="10"/>
      <c r="F68" s="10"/>
      <c r="G68" s="10"/>
      <c r="H68" s="10"/>
      <c r="I68" s="10"/>
      <c r="J68" s="10"/>
      <c r="K68" s="10"/>
      <c r="L68" s="10"/>
    </row>
    <row r="69" spans="1:15" s="9" customFormat="1">
      <c r="A69" s="1"/>
      <c r="B69" s="9" t="s">
        <v>40</v>
      </c>
      <c r="D69" s="115">
        <f t="shared" ref="D69:L70" ca="1" si="67">INDEX(INDIRECT($O$58),$N69,D$55)</f>
        <v>0</v>
      </c>
      <c r="E69" s="115">
        <f t="shared" ca="1" si="67"/>
        <v>0</v>
      </c>
      <c r="F69" s="115">
        <f t="shared" ca="1" si="67"/>
        <v>0</v>
      </c>
      <c r="G69" s="115">
        <f t="shared" ca="1" si="67"/>
        <v>600</v>
      </c>
      <c r="H69" s="115">
        <f t="shared" ca="1" si="67"/>
        <v>600</v>
      </c>
      <c r="I69" s="115">
        <f t="shared" ca="1" si="67"/>
        <v>30650</v>
      </c>
      <c r="J69" s="115">
        <f t="shared" ca="1" si="67"/>
        <v>30650</v>
      </c>
      <c r="K69" s="115">
        <f t="shared" ca="1" si="67"/>
        <v>0</v>
      </c>
      <c r="L69" s="115">
        <f t="shared" ca="1" si="67"/>
        <v>0</v>
      </c>
      <c r="N69" s="98">
        <v>6</v>
      </c>
    </row>
    <row r="70" spans="1:15" s="9" customFormat="1">
      <c r="A70" s="1"/>
      <c r="B70" s="9" t="s">
        <v>41</v>
      </c>
      <c r="D70" s="115">
        <f t="shared" ca="1" si="67"/>
        <v>0</v>
      </c>
      <c r="E70" s="115">
        <f t="shared" ca="1" si="67"/>
        <v>7.5</v>
      </c>
      <c r="F70" s="115">
        <f t="shared" ca="1" si="67"/>
        <v>0</v>
      </c>
      <c r="G70" s="115">
        <f t="shared" ca="1" si="67"/>
        <v>7.5</v>
      </c>
      <c r="H70" s="115">
        <f t="shared" ca="1" si="67"/>
        <v>0</v>
      </c>
      <c r="I70" s="115">
        <f t="shared" ca="1" si="67"/>
        <v>8.3000000000000007</v>
      </c>
      <c r="J70" s="115">
        <f t="shared" ca="1" si="67"/>
        <v>8.3000000000000007</v>
      </c>
      <c r="K70" s="115">
        <f t="shared" ca="1" si="67"/>
        <v>0</v>
      </c>
      <c r="L70" s="115">
        <f t="shared" ca="1" si="67"/>
        <v>0</v>
      </c>
      <c r="N70" s="98">
        <v>7</v>
      </c>
    </row>
    <row r="71" spans="1:15">
      <c r="D71" s="10"/>
      <c r="E71" s="10"/>
      <c r="F71" s="10"/>
      <c r="G71" s="10"/>
      <c r="H71" s="10"/>
      <c r="I71" s="10"/>
      <c r="J71" s="10"/>
      <c r="K71" s="10"/>
      <c r="L71" s="10"/>
    </row>
    <row r="72" spans="1:15">
      <c r="D72" s="10"/>
      <c r="E72" s="10"/>
      <c r="F72" s="10"/>
      <c r="G72" s="10"/>
      <c r="H72" s="10"/>
      <c r="I72" s="10"/>
      <c r="J72" s="10"/>
      <c r="K72" s="10"/>
      <c r="L72" s="10"/>
    </row>
    <row r="73" spans="1:15">
      <c r="D73" s="10"/>
      <c r="E73" s="10"/>
      <c r="F73" s="10"/>
      <c r="G73" s="10"/>
      <c r="H73" s="10"/>
      <c r="I73" s="10"/>
      <c r="J73" s="10"/>
      <c r="K73" s="10"/>
      <c r="L73" s="10"/>
    </row>
    <row r="74" spans="1:15">
      <c r="D74" s="10"/>
      <c r="E74" s="10"/>
      <c r="F74" s="10"/>
      <c r="G74" s="10"/>
      <c r="H74" s="10"/>
      <c r="I74" s="10"/>
      <c r="J74" s="10"/>
      <c r="K74" s="10"/>
      <c r="L74" s="10"/>
    </row>
    <row r="75" spans="1:15">
      <c r="B75" s="4" t="s">
        <v>42</v>
      </c>
    </row>
    <row r="76" spans="1:15">
      <c r="B76" s="5" t="s">
        <v>33</v>
      </c>
      <c r="D76" s="115">
        <f ca="1">INDEX(INDIRECT($O$59),$N76,D$55)</f>
        <v>15</v>
      </c>
      <c r="E76" s="115">
        <f ca="1">INDEX(INDIRECT($O$59),$N76,E$55)</f>
        <v>25</v>
      </c>
      <c r="F76" s="115">
        <f ca="1">INDEX(INDIRECT($O$59),$N76,F$55)</f>
        <v>25</v>
      </c>
      <c r="G76" s="115"/>
      <c r="H76" s="115">
        <f ca="1">INDEX(INDIRECT($O$59),$N76,H$55)</f>
        <v>0</v>
      </c>
      <c r="I76" s="115"/>
      <c r="J76" s="115"/>
      <c r="K76" s="115">
        <f ca="1">INDEX(INDIRECT($O$59),$N76,K$55)</f>
        <v>25</v>
      </c>
      <c r="L76" s="115"/>
      <c r="N76" s="98">
        <v>1</v>
      </c>
      <c r="O76" s="89"/>
    </row>
    <row r="77" spans="1:15">
      <c r="B77" s="5" t="s">
        <v>34</v>
      </c>
      <c r="D77" s="9"/>
    </row>
    <row r="79" spans="1:15">
      <c r="B79" s="5" t="s">
        <v>35</v>
      </c>
      <c r="C79" s="188"/>
      <c r="D79" s="116">
        <f t="shared" ref="D79:K80" ca="1" si="68">INDEX(INDIRECT($O$59),$N79,D$55)</f>
        <v>9.782</v>
      </c>
      <c r="E79" s="116">
        <f t="shared" ca="1" si="68"/>
        <v>13.87</v>
      </c>
      <c r="F79" s="116">
        <f t="shared" ca="1" si="68"/>
        <v>24.948</v>
      </c>
      <c r="G79" s="116">
        <f t="shared" ca="1" si="68"/>
        <v>8.7270000000000003</v>
      </c>
      <c r="H79" s="116">
        <f t="shared" ca="1" si="68"/>
        <v>18.195</v>
      </c>
      <c r="I79" s="116">
        <f t="shared" ca="1" si="68"/>
        <v>6.8760000000000003</v>
      </c>
      <c r="J79" s="116">
        <f t="shared" ca="1" si="68"/>
        <v>5.431</v>
      </c>
      <c r="K79" s="116">
        <f t="shared" ca="1" si="68"/>
        <v>12.928000000000001</v>
      </c>
      <c r="L79" s="116"/>
      <c r="N79" s="98">
        <v>2</v>
      </c>
    </row>
    <row r="80" spans="1:15">
      <c r="B80" s="5" t="s">
        <v>36</v>
      </c>
      <c r="C80" s="188"/>
      <c r="D80" s="116">
        <f t="shared" ca="1" si="68"/>
        <v>11.493</v>
      </c>
      <c r="E80" s="116">
        <f t="shared" ca="1" si="68"/>
        <v>10.096</v>
      </c>
      <c r="F80" s="116">
        <f t="shared" ca="1" si="68"/>
        <v>9.9339999999999993</v>
      </c>
      <c r="G80" s="116">
        <f t="shared" ca="1" si="68"/>
        <v>7.78</v>
      </c>
      <c r="H80" s="116">
        <f t="shared" ca="1" si="68"/>
        <v>7.3520000000000003</v>
      </c>
      <c r="I80" s="116">
        <f t="shared" ca="1" si="68"/>
        <v>6.1749999999999998</v>
      </c>
      <c r="J80" s="116">
        <f t="shared" ca="1" si="68"/>
        <v>4.88</v>
      </c>
      <c r="K80" s="116">
        <f t="shared" ca="1" si="68"/>
        <v>9.0470000000000006</v>
      </c>
      <c r="L80" s="116"/>
      <c r="N80" s="98">
        <v>3</v>
      </c>
    </row>
    <row r="81" spans="1:14">
      <c r="B81" s="5" t="s">
        <v>37</v>
      </c>
      <c r="C81" s="188"/>
      <c r="D81" s="116">
        <f ca="1">INDEX(INDIRECT($O$59),$N81,D$55)</f>
        <v>13.6</v>
      </c>
      <c r="E81" s="116"/>
      <c r="F81" s="116"/>
      <c r="G81" s="116"/>
      <c r="H81" s="116"/>
      <c r="I81" s="116">
        <f ca="1">INDEX(INDIRECT($O$59),$N81,I$55)</f>
        <v>5.0389999999999997</v>
      </c>
      <c r="J81" s="116">
        <f ca="1">INDEX(INDIRECT($O$59),$N81,J$55)</f>
        <v>4.1630000000000003</v>
      </c>
      <c r="K81" s="116"/>
      <c r="L81" s="116"/>
      <c r="N81" s="98">
        <v>4</v>
      </c>
    </row>
    <row r="82" spans="1:14">
      <c r="B82" s="5" t="s">
        <v>38</v>
      </c>
      <c r="D82" s="10"/>
      <c r="E82" s="10"/>
      <c r="F82" s="10"/>
      <c r="G82" s="10"/>
      <c r="H82" s="10"/>
      <c r="I82" s="10"/>
      <c r="J82" s="10"/>
      <c r="K82" s="10"/>
      <c r="L82" s="10"/>
      <c r="N82" s="98">
        <v>5</v>
      </c>
    </row>
    <row r="83" spans="1:14">
      <c r="D83" s="10"/>
      <c r="E83" s="10"/>
      <c r="F83" s="10"/>
      <c r="G83" s="10"/>
      <c r="H83" s="10"/>
      <c r="I83" s="10"/>
      <c r="J83" s="10"/>
      <c r="K83" s="10"/>
      <c r="L83" s="10"/>
    </row>
    <row r="84" spans="1:14">
      <c r="B84" s="5" t="s">
        <v>39</v>
      </c>
      <c r="D84" s="116">
        <f ca="1">(D177-D164)/D37*100</f>
        <v>10.686989561049181</v>
      </c>
      <c r="E84" s="116">
        <f ca="1">(E177-E164-SUM(E170:E173))/E37*100</f>
        <v>12.60771243748437</v>
      </c>
      <c r="F84" s="418">
        <v>0</v>
      </c>
      <c r="G84" s="116">
        <f ca="1">(G177-G164-SUM(G170:G173))/G37*100</f>
        <v>8.6240244595140894</v>
      </c>
      <c r="H84" s="418">
        <v>0</v>
      </c>
      <c r="I84" s="116"/>
      <c r="J84" s="116"/>
      <c r="K84" s="116">
        <f ca="1">(K177-K164-SUM(K170:K173))/K37*100</f>
        <v>10.303799668982068</v>
      </c>
      <c r="L84" s="116"/>
    </row>
    <row r="85" spans="1:14">
      <c r="D85" s="10"/>
      <c r="E85" s="10"/>
      <c r="F85" s="10"/>
      <c r="G85" s="10"/>
      <c r="H85" s="10"/>
      <c r="I85" s="10"/>
      <c r="J85" s="10"/>
      <c r="K85" s="10"/>
      <c r="L85" s="10"/>
    </row>
    <row r="86" spans="1:14" s="9" customFormat="1">
      <c r="A86" s="1"/>
      <c r="B86" s="9" t="s">
        <v>40</v>
      </c>
      <c r="D86" s="115"/>
      <c r="E86" s="115"/>
      <c r="F86" s="115"/>
      <c r="G86" s="115">
        <f t="shared" ref="G86:J87" ca="1" si="69">INDEX(INDIRECT($O$59),$N86,G$55)</f>
        <v>750</v>
      </c>
      <c r="H86" s="115">
        <f t="shared" ca="1" si="69"/>
        <v>750</v>
      </c>
      <c r="I86" s="115">
        <f t="shared" ca="1" si="69"/>
        <v>30650</v>
      </c>
      <c r="J86" s="115">
        <f t="shared" ca="1" si="69"/>
        <v>30650</v>
      </c>
      <c r="K86" s="115"/>
      <c r="L86" s="115"/>
      <c r="N86" s="98">
        <v>6</v>
      </c>
    </row>
    <row r="87" spans="1:14" s="9" customFormat="1">
      <c r="A87" s="1"/>
      <c r="B87" s="9" t="s">
        <v>41</v>
      </c>
      <c r="D87" s="115"/>
      <c r="E87" s="115">
        <f ca="1">INDEX(INDIRECT($O$59),$N87,E$55)</f>
        <v>9</v>
      </c>
      <c r="F87" s="115">
        <f ca="1">INDEX(INDIRECT($O$59),$N87,F$55)</f>
        <v>0</v>
      </c>
      <c r="G87" s="115">
        <f t="shared" ca="1" si="69"/>
        <v>9</v>
      </c>
      <c r="H87" s="115">
        <f t="shared" ca="1" si="69"/>
        <v>0</v>
      </c>
      <c r="I87" s="115">
        <f t="shared" ca="1" si="69"/>
        <v>9</v>
      </c>
      <c r="J87" s="115">
        <f t="shared" ca="1" si="69"/>
        <v>9</v>
      </c>
      <c r="K87" s="115"/>
      <c r="L87" s="115"/>
      <c r="N87" s="98">
        <v>7</v>
      </c>
    </row>
    <row r="88" spans="1:14" s="9" customFormat="1">
      <c r="A88" s="1"/>
      <c r="D88" s="5"/>
    </row>
    <row r="89" spans="1:14" s="9" customFormat="1">
      <c r="A89" s="1"/>
      <c r="D89" s="5"/>
    </row>
    <row r="90" spans="1:14" s="9" customFormat="1">
      <c r="A90" s="1"/>
      <c r="D90" s="5"/>
    </row>
    <row r="91" spans="1:14" s="9" customFormat="1">
      <c r="A91" s="1"/>
      <c r="D91" s="5"/>
    </row>
    <row r="92" spans="1:14" s="9" customFormat="1">
      <c r="A92" s="1"/>
      <c r="D92" s="5"/>
    </row>
    <row r="93" spans="1:14" s="9" customFormat="1">
      <c r="A93" s="1"/>
      <c r="D93" s="5"/>
    </row>
    <row r="94" spans="1:14" s="9" customFormat="1">
      <c r="A94" s="1"/>
      <c r="D94" s="5"/>
    </row>
    <row r="95" spans="1:14" s="9" customFormat="1">
      <c r="A95" s="1"/>
      <c r="B95" s="702" t="str">
        <f>CHOOSE(Base1_Billing2,"Note: Rates do not include Adder Schedules  59, 61, 66, 75, 78, 88, 91, 92, 93, 98 or 99.","")</f>
        <v>Note: Rates do not include Adder Schedules  59, 61, 66, 75, 78, 88, 91, 92, 93, 98 or 99.</v>
      </c>
      <c r="C95" s="703"/>
      <c r="D95" s="703"/>
      <c r="E95" s="703"/>
      <c r="F95" s="703"/>
      <c r="G95" s="703"/>
      <c r="H95" s="703"/>
      <c r="I95" s="703"/>
      <c r="J95" s="703"/>
      <c r="K95" s="703"/>
    </row>
    <row r="96" spans="1:14" s="9" customFormat="1">
      <c r="A96" s="1"/>
      <c r="B96" s="703"/>
      <c r="C96" s="703"/>
      <c r="D96" s="703"/>
      <c r="E96" s="703"/>
      <c r="F96" s="703"/>
      <c r="G96" s="703"/>
      <c r="H96" s="703"/>
      <c r="I96" s="703"/>
      <c r="J96" s="703"/>
      <c r="K96" s="703"/>
    </row>
    <row r="97" spans="1:12" s="9" customFormat="1">
      <c r="A97" s="1"/>
      <c r="D97" s="5"/>
    </row>
    <row r="98" spans="1:12" s="9" customFormat="1">
      <c r="A98" s="1"/>
      <c r="D98" s="5"/>
    </row>
    <row r="99" spans="1:12" s="9" customFormat="1">
      <c r="A99" s="1"/>
      <c r="D99" s="5"/>
    </row>
    <row r="100" spans="1:12" s="9" customFormat="1">
      <c r="A100" s="1"/>
      <c r="D100" s="5"/>
    </row>
    <row r="101" spans="1:12" s="9" customFormat="1">
      <c r="A101" s="1"/>
      <c r="D101" s="5"/>
    </row>
    <row r="102" spans="1:12" s="9" customFormat="1">
      <c r="A102" s="1"/>
      <c r="D102" s="5"/>
    </row>
    <row r="103" spans="1:12" s="9" customFormat="1">
      <c r="A103" s="1"/>
      <c r="D103" s="5"/>
    </row>
    <row r="104" spans="1:12" s="9" customFormat="1">
      <c r="A104" s="1"/>
      <c r="D104" s="5"/>
    </row>
    <row r="105" spans="1:12" s="9" customFormat="1">
      <c r="A105" s="1"/>
      <c r="D105" s="5"/>
    </row>
    <row r="106" spans="1:12" s="9" customFormat="1">
      <c r="A106" s="1"/>
      <c r="D106" s="5"/>
    </row>
    <row r="107" spans="1:12" s="2" customFormat="1">
      <c r="A107" s="1" t="s">
        <v>0</v>
      </c>
      <c r="C107" s="2" t="s">
        <v>1</v>
      </c>
      <c r="D107" s="2" t="str">
        <f t="shared" ref="D107:L107" si="70">D$4</f>
        <v>RESIDENTIAL</v>
      </c>
      <c r="E107" s="2" t="str">
        <f t="shared" si="70"/>
        <v xml:space="preserve">GENERAL SVC. </v>
      </c>
      <c r="F107" s="2" t="str">
        <f t="shared" si="70"/>
        <v xml:space="preserve">GENERAL SVC. </v>
      </c>
      <c r="G107" s="2" t="str">
        <f t="shared" si="70"/>
        <v>LG. GEN. SVC.</v>
      </c>
      <c r="H107" s="2" t="str">
        <f t="shared" si="70"/>
        <v>LG. GEN. SVC.</v>
      </c>
      <c r="I107" s="2" t="str">
        <f t="shared" si="70"/>
        <v>EX LG GEN SVC</v>
      </c>
      <c r="J107" s="2" t="str">
        <f t="shared" si="70"/>
        <v>EX LG GEN SVC</v>
      </c>
      <c r="K107" s="2" t="str">
        <f t="shared" si="70"/>
        <v>PUMPING</v>
      </c>
      <c r="L107" s="2" t="str">
        <f t="shared" si="70"/>
        <v>ST &amp; AREA LTG</v>
      </c>
    </row>
    <row r="108" spans="1:12" s="2" customFormat="1">
      <c r="A108" s="1" t="s">
        <v>8</v>
      </c>
      <c r="C108" s="3" t="s">
        <v>9</v>
      </c>
      <c r="D108" s="3" t="str">
        <f t="shared" ref="D108:L108" si="71">D$5</f>
        <v>SCHEDULE 1</v>
      </c>
      <c r="E108" s="3" t="str">
        <f t="shared" si="71"/>
        <v>SCH. 11,12</v>
      </c>
      <c r="F108" s="3" t="str">
        <f t="shared" si="71"/>
        <v>SCH. 13</v>
      </c>
      <c r="G108" s="3" t="str">
        <f t="shared" si="71"/>
        <v>SCH. 21,22</v>
      </c>
      <c r="H108" s="3" t="str">
        <f t="shared" si="71"/>
        <v>SCH. 23</v>
      </c>
      <c r="I108" s="3" t="str">
        <f t="shared" si="71"/>
        <v>SCHEDULE 25</v>
      </c>
      <c r="J108" s="3" t="str">
        <f t="shared" si="71"/>
        <v>SCHEDULE 25I</v>
      </c>
      <c r="K108" s="3" t="str">
        <f t="shared" si="71"/>
        <v>SCH. 30, 31, 32</v>
      </c>
      <c r="L108" s="3" t="str">
        <f t="shared" si="71"/>
        <v>SCH. 41-48</v>
      </c>
    </row>
    <row r="109" spans="1:12">
      <c r="B109" s="4" t="s">
        <v>43</v>
      </c>
      <c r="C109" s="11"/>
      <c r="D109" s="11"/>
      <c r="E109" s="11"/>
      <c r="F109" s="11"/>
      <c r="G109" s="11"/>
      <c r="H109" s="11"/>
      <c r="I109" s="11"/>
      <c r="J109" s="11"/>
      <c r="K109" s="11"/>
      <c r="L109" s="11"/>
    </row>
    <row r="110" spans="1:12">
      <c r="B110" s="5" t="str">
        <f>UPPER(CHOOSE(Base1_Billing2,$Q$9,$Q$10))&amp;" REVENUE"</f>
        <v>BASE TARIFF REVENUE</v>
      </c>
      <c r="C110" s="11"/>
      <c r="D110" s="11"/>
      <c r="E110" s="11"/>
      <c r="F110" s="11"/>
      <c r="G110" s="11"/>
      <c r="H110" s="11"/>
      <c r="I110" s="11"/>
      <c r="J110" s="11"/>
      <c r="K110" s="11"/>
      <c r="L110" s="11"/>
    </row>
    <row r="111" spans="1:12">
      <c r="B111" s="79" t="s">
        <v>33</v>
      </c>
      <c r="C111" s="11">
        <f t="shared" ref="C111:C122" ca="1" si="72">SUM(D111:L111)</f>
        <v>34041384</v>
      </c>
      <c r="D111" s="11">
        <f ca="1">D25*D59</f>
        <v>24643548</v>
      </c>
      <c r="E111" s="11">
        <f ca="1">E25*E59</f>
        <v>8751477</v>
      </c>
      <c r="F111" s="11">
        <f ca="1">F25*F59</f>
        <v>3192</v>
      </c>
      <c r="G111" s="11"/>
      <c r="H111" s="11">
        <f ca="1">H25*H59</f>
        <v>0</v>
      </c>
      <c r="I111" s="11"/>
      <c r="J111" s="11"/>
      <c r="K111" s="11">
        <f ca="1">K25*K59</f>
        <v>643167</v>
      </c>
      <c r="L111" s="11"/>
    </row>
    <row r="112" spans="1:12">
      <c r="B112" s="79" t="s">
        <v>34</v>
      </c>
      <c r="C112" s="12">
        <f t="shared" si="72"/>
        <v>0</v>
      </c>
      <c r="D112" s="12"/>
      <c r="E112" s="12"/>
      <c r="F112" s="12"/>
      <c r="G112" s="12"/>
      <c r="H112" s="12"/>
      <c r="I112" s="12"/>
      <c r="J112" s="12"/>
      <c r="K112" s="12"/>
      <c r="L112" s="12"/>
    </row>
    <row r="113" spans="1:12">
      <c r="B113" s="79" t="s">
        <v>18</v>
      </c>
      <c r="C113" s="12">
        <f t="shared" ca="1" si="72"/>
        <v>320303534.88999999</v>
      </c>
      <c r="D113" s="12">
        <f t="shared" ref="D113:K115" ca="1" si="73">ROUND(D8*D62/100,2)</f>
        <v>155828208.96000001</v>
      </c>
      <c r="E113" s="12">
        <f t="shared" ca="1" si="73"/>
        <v>57760243.079999998</v>
      </c>
      <c r="F113" s="12">
        <f t="shared" ref="F113" ca="1" si="74">ROUND(F8*F62/100,2)</f>
        <v>20491.64</v>
      </c>
      <c r="G113" s="12">
        <f t="shared" ca="1" si="73"/>
        <v>93485991.819999993</v>
      </c>
      <c r="H113" s="12">
        <f t="shared" ref="H113" ca="1" si="75">ROUND(H8*H62/100,2)</f>
        <v>18709.2</v>
      </c>
      <c r="I113" s="12">
        <f ca="1">ROUND(I8*I62/100,2)</f>
        <v>7427700</v>
      </c>
      <c r="J113" s="12">
        <f ca="1">ROUND(J8*J62/100,2)</f>
        <v>287040</v>
      </c>
      <c r="K113" s="12">
        <f t="shared" ca="1" si="73"/>
        <v>5475150.1900000004</v>
      </c>
      <c r="L113" s="12"/>
    </row>
    <row r="114" spans="1:12">
      <c r="B114" s="79" t="s">
        <v>19</v>
      </c>
      <c r="C114" s="12">
        <f t="shared" ca="1" si="72"/>
        <v>129346281.00000001</v>
      </c>
      <c r="D114" s="12">
        <f t="shared" ca="1" si="73"/>
        <v>61538045.960000001</v>
      </c>
      <c r="E114" s="12">
        <f t="shared" ca="1" si="73"/>
        <v>21129397.780000001</v>
      </c>
      <c r="F114" s="12">
        <f t="shared" ref="F114" ca="1" si="76">ROUND(F9*F63/100,2)</f>
        <v>24528.43</v>
      </c>
      <c r="G114" s="12">
        <f t="shared" ca="1" si="73"/>
        <v>10166348.58</v>
      </c>
      <c r="H114" s="12">
        <f t="shared" ref="H114" ca="1" si="77">ROUND(H9*H63/100,2)</f>
        <v>23535.77</v>
      </c>
      <c r="I114" s="12">
        <f ca="1">ROUND(I9*I63/100,2)</f>
        <v>25626391.969999999</v>
      </c>
      <c r="J114" s="12">
        <f ca="1">ROUND(J9*J63/100,2)</f>
        <v>2837340</v>
      </c>
      <c r="K114" s="12">
        <f t="shared" ca="1" si="73"/>
        <v>8000692.5099999998</v>
      </c>
      <c r="L114" s="12"/>
    </row>
    <row r="115" spans="1:12">
      <c r="B115" s="79" t="s">
        <v>20</v>
      </c>
      <c r="C115" s="12">
        <f t="shared" ca="1" si="72"/>
        <v>61046630.589999996</v>
      </c>
      <c r="D115" s="12">
        <f ca="1">ROUND(D10*D64/100,2)</f>
        <v>47158433.259999998</v>
      </c>
      <c r="E115" s="12"/>
      <c r="F115" s="12"/>
      <c r="G115" s="12"/>
      <c r="H115" s="12"/>
      <c r="I115" s="12">
        <f t="shared" ca="1" si="73"/>
        <v>768102.86</v>
      </c>
      <c r="J115" s="12">
        <f t="shared" ref="J115" ca="1" si="78">ROUND(J10*J64/100,2)</f>
        <v>13120094.470000001</v>
      </c>
      <c r="K115" s="12"/>
      <c r="L115" s="12"/>
    </row>
    <row r="116" spans="1:12">
      <c r="B116" s="79" t="s">
        <v>21</v>
      </c>
      <c r="C116" s="12">
        <f t="shared" si="72"/>
        <v>0</v>
      </c>
      <c r="D116" s="12"/>
      <c r="E116" s="12"/>
      <c r="F116" s="12"/>
      <c r="G116" s="12"/>
      <c r="H116" s="12"/>
      <c r="I116" s="12"/>
      <c r="J116" s="12"/>
      <c r="K116" s="12"/>
      <c r="L116" s="12"/>
    </row>
    <row r="117" spans="1:12">
      <c r="B117" s="79" t="s">
        <v>40</v>
      </c>
      <c r="C117" s="12">
        <f t="shared" ca="1" si="72"/>
        <v>20359800</v>
      </c>
      <c r="D117" s="12"/>
      <c r="E117" s="12"/>
      <c r="F117" s="12"/>
      <c r="G117" s="12">
        <f ca="1">G25*G69</f>
        <v>12246000</v>
      </c>
      <c r="H117" s="12">
        <f ca="1">H25*H69</f>
        <v>22200</v>
      </c>
      <c r="I117" s="12">
        <f ca="1">I25*I69</f>
        <v>7723800</v>
      </c>
      <c r="J117" s="12">
        <f ca="1">J25*J69</f>
        <v>367800</v>
      </c>
      <c r="K117" s="12"/>
      <c r="L117" s="12"/>
    </row>
    <row r="118" spans="1:12">
      <c r="B118" s="79" t="s">
        <v>41</v>
      </c>
      <c r="C118" s="12">
        <f t="shared" ca="1" si="72"/>
        <v>34622189.806128576</v>
      </c>
      <c r="D118" s="12"/>
      <c r="E118" s="12">
        <f t="shared" ref="E118:J118" ca="1" si="79">E27*E70</f>
        <v>4251846.2428571424</v>
      </c>
      <c r="F118" s="12"/>
      <c r="G118" s="12">
        <f t="shared" ca="1" si="79"/>
        <v>19500002.808571428</v>
      </c>
      <c r="H118" s="12"/>
      <c r="I118" s="12">
        <f t="shared" ca="1" si="79"/>
        <v>4980263.6826999998</v>
      </c>
      <c r="J118" s="12">
        <f t="shared" ca="1" si="79"/>
        <v>5890077.0720000006</v>
      </c>
      <c r="K118" s="12"/>
      <c r="L118" s="12"/>
    </row>
    <row r="119" spans="1:12">
      <c r="A119" s="246"/>
      <c r="B119" s="79" t="s">
        <v>182</v>
      </c>
      <c r="C119" s="12">
        <f t="shared" si="72"/>
        <v>155293.65999999997</v>
      </c>
      <c r="D119" s="12"/>
      <c r="E119" s="315">
        <f>'Bill Determ'!G17*0.5</f>
        <v>0</v>
      </c>
      <c r="F119" s="315">
        <f>'Bill Determ'!G27*0.5</f>
        <v>0</v>
      </c>
      <c r="G119" s="315">
        <f>('Bill Determ'!G38)*0.5</f>
        <v>155293.65999999997</v>
      </c>
      <c r="H119" s="315">
        <f>('Bill Determ'!G49)*0.5</f>
        <v>0</v>
      </c>
      <c r="I119" s="315"/>
      <c r="J119" s="315"/>
      <c r="K119" s="315">
        <f>'Bill Determ'!G66*0.5</f>
        <v>0</v>
      </c>
      <c r="L119" s="12"/>
    </row>
    <row r="120" spans="1:12">
      <c r="A120" s="246"/>
      <c r="B120" s="79" t="s">
        <v>183</v>
      </c>
      <c r="C120" s="12">
        <f t="shared" si="72"/>
        <v>-1688039.6926</v>
      </c>
      <c r="D120" s="12"/>
      <c r="E120" s="12"/>
      <c r="F120" s="12"/>
      <c r="G120" s="315">
        <f>'REVRUNS 12ME0623'!P443+'REVRUNS 12ME0623'!P450</f>
        <v>-59305.920000000006</v>
      </c>
      <c r="H120" s="315">
        <f>'REVRUNS 12ME0623'!P457</f>
        <v>0</v>
      </c>
      <c r="I120" s="12">
        <f>'WA Sch 25'!P102</f>
        <v>-230075.97100000002</v>
      </c>
      <c r="J120" s="12">
        <f>'WA Sch 25'!P113</f>
        <v>-1398657.8015999999</v>
      </c>
      <c r="K120" s="12"/>
      <c r="L120" s="12"/>
    </row>
    <row r="121" spans="1:12" ht="12.5">
      <c r="A121" s="245"/>
      <c r="B121" s="79" t="s">
        <v>184</v>
      </c>
      <c r="C121" s="12">
        <f t="shared" si="72"/>
        <v>0</v>
      </c>
      <c r="D121" s="12"/>
      <c r="E121" s="12"/>
      <c r="F121" s="12"/>
      <c r="G121" s="12"/>
      <c r="H121" s="12"/>
      <c r="I121" s="12">
        <f>'WA Sch 25'!T153</f>
        <v>0</v>
      </c>
      <c r="J121" s="269"/>
      <c r="K121" s="12"/>
      <c r="L121" s="12"/>
    </row>
    <row r="122" spans="1:12">
      <c r="A122" s="246"/>
      <c r="B122" s="79" t="s">
        <v>185</v>
      </c>
      <c r="C122" s="90">
        <f t="shared" si="72"/>
        <v>7407961.8023400009</v>
      </c>
      <c r="D122" s="208"/>
      <c r="E122" s="208"/>
      <c r="F122" s="208"/>
      <c r="G122" s="208"/>
      <c r="H122" s="208"/>
      <c r="I122" s="208"/>
      <c r="J122" s="208"/>
      <c r="K122" s="208"/>
      <c r="L122" s="90">
        <f>'Lighting summary'!D19</f>
        <v>7407961.8023400009</v>
      </c>
    </row>
    <row r="123" spans="1:12">
      <c r="C123" s="11"/>
      <c r="D123" s="11"/>
      <c r="E123" s="11"/>
      <c r="F123" s="11"/>
      <c r="G123" s="11"/>
      <c r="H123" s="11"/>
      <c r="I123" s="11"/>
      <c r="J123" s="11"/>
      <c r="K123" s="11"/>
      <c r="L123" s="11"/>
    </row>
    <row r="124" spans="1:12">
      <c r="B124" s="5" t="s">
        <v>23</v>
      </c>
      <c r="C124" s="11">
        <f ca="1">IF(ROUND(SUM(C111:C122),3)&lt;&gt;ROUND(SUM(D124:L124),3),#VALUE!,SUM(D124:L124))</f>
        <v>605595036.05586863</v>
      </c>
      <c r="D124" s="11">
        <f t="shared" ref="D124:L124" ca="1" si="80">SUM(D111:D122)</f>
        <v>289168236.18000001</v>
      </c>
      <c r="E124" s="11">
        <f t="shared" ca="1" si="80"/>
        <v>91892964.102857143</v>
      </c>
      <c r="F124" s="11">
        <f t="shared" ref="F124" ca="1" si="81">SUM(F111:F122)</f>
        <v>48212.07</v>
      </c>
      <c r="G124" s="11">
        <f t="shared" ca="1" si="80"/>
        <v>135494330.94857144</v>
      </c>
      <c r="H124" s="11">
        <f t="shared" ref="H124" ca="1" si="82">SUM(H111:H122)</f>
        <v>64444.97</v>
      </c>
      <c r="I124" s="11">
        <f t="shared" ca="1" si="80"/>
        <v>46296182.541699998</v>
      </c>
      <c r="J124" s="11">
        <f t="shared" ref="J124" ca="1" si="83">SUM(J111:J122)</f>
        <v>21103693.740400001</v>
      </c>
      <c r="K124" s="11">
        <f t="shared" ca="1" si="80"/>
        <v>14119009.699999999</v>
      </c>
      <c r="L124" s="11">
        <f t="shared" si="80"/>
        <v>7407961.8023400009</v>
      </c>
    </row>
    <row r="125" spans="1:12">
      <c r="B125" s="78"/>
      <c r="C125" s="90">
        <f ca="1">SUM(D125:L125)</f>
        <v>0</v>
      </c>
      <c r="D125" s="90">
        <f ca="1">ROUND(D15*D67/100,2)</f>
        <v>0</v>
      </c>
      <c r="E125" s="90">
        <f ca="1">ROUND(E15*E67/100,2)</f>
        <v>0</v>
      </c>
      <c r="F125" s="90">
        <f>ROUND(F15*F67/100,2)</f>
        <v>0</v>
      </c>
      <c r="G125" s="90">
        <f ca="1">ROUND(G15*G67/100,2)</f>
        <v>0</v>
      </c>
      <c r="H125" s="90">
        <f>ROUND(H15*H67/100,2)</f>
        <v>0</v>
      </c>
      <c r="I125" s="90">
        <f ca="1">ROUND(I15*I63/100,2)</f>
        <v>0</v>
      </c>
      <c r="J125" s="90">
        <f ca="1">ROUND(J15*J63/100,2)</f>
        <v>0</v>
      </c>
      <c r="K125" s="90">
        <f ca="1">ROUND(K15*K67/100,2)</f>
        <v>0</v>
      </c>
      <c r="L125" s="90"/>
    </row>
    <row r="126" spans="1:12">
      <c r="C126" s="11"/>
      <c r="D126" s="11"/>
      <c r="E126" s="11"/>
      <c r="F126" s="11"/>
      <c r="G126" s="11"/>
      <c r="H126" s="11"/>
      <c r="I126" s="11"/>
      <c r="J126" s="11"/>
      <c r="K126" s="11"/>
      <c r="L126" s="11"/>
    </row>
    <row r="127" spans="1:12">
      <c r="B127" s="5" t="s">
        <v>23</v>
      </c>
      <c r="C127" s="11">
        <f ca="1">SUM(D127:L127)</f>
        <v>605595036.05586863</v>
      </c>
      <c r="D127" s="11">
        <f t="shared" ref="D127:L127" ca="1" si="84">D124+D125</f>
        <v>289168236.18000001</v>
      </c>
      <c r="E127" s="11">
        <f t="shared" ca="1" si="84"/>
        <v>91892964.102857143</v>
      </c>
      <c r="F127" s="11">
        <f t="shared" ref="F127" ca="1" si="85">F124+F125</f>
        <v>48212.07</v>
      </c>
      <c r="G127" s="11">
        <f t="shared" ca="1" si="84"/>
        <v>135494330.94857144</v>
      </c>
      <c r="H127" s="11">
        <f t="shared" ref="H127" ca="1" si="86">H124+H125</f>
        <v>64444.97</v>
      </c>
      <c r="I127" s="11">
        <f t="shared" ca="1" si="84"/>
        <v>46296182.541699998</v>
      </c>
      <c r="J127" s="11">
        <f t="shared" ref="J127" ca="1" si="87">J124+J125</f>
        <v>21103693.740400001</v>
      </c>
      <c r="K127" s="11">
        <f t="shared" ca="1" si="84"/>
        <v>14119009.699999999</v>
      </c>
      <c r="L127" s="11">
        <f t="shared" si="84"/>
        <v>7407961.8023400009</v>
      </c>
    </row>
    <row r="128" spans="1:12">
      <c r="B128" s="5" t="s">
        <v>44</v>
      </c>
      <c r="C128" s="90">
        <f ca="1">SUM(D128:L128)</f>
        <v>0</v>
      </c>
      <c r="D128" s="90">
        <f t="shared" ref="D128:L128" ca="1" si="88">ROUND(D18*D67/100,2)</f>
        <v>0</v>
      </c>
      <c r="E128" s="90">
        <f t="shared" ca="1" si="88"/>
        <v>0</v>
      </c>
      <c r="F128" s="90">
        <f t="shared" ref="F128" si="89">ROUND(F18*F67/100,2)</f>
        <v>0</v>
      </c>
      <c r="G128" s="90">
        <f t="shared" ca="1" si="88"/>
        <v>0</v>
      </c>
      <c r="H128" s="90">
        <f t="shared" ref="H128" si="90">ROUND(H18*H67/100,2)</f>
        <v>0</v>
      </c>
      <c r="I128" s="90">
        <f t="shared" si="88"/>
        <v>0</v>
      </c>
      <c r="J128" s="90">
        <f t="shared" ref="J128" si="91">ROUND(J18*J67/100,2)</f>
        <v>0</v>
      </c>
      <c r="K128" s="90">
        <f t="shared" ca="1" si="88"/>
        <v>0</v>
      </c>
      <c r="L128" s="90">
        <f t="shared" si="88"/>
        <v>0</v>
      </c>
    </row>
    <row r="129" spans="1:19">
      <c r="C129" s="11"/>
      <c r="D129" s="11"/>
      <c r="E129" s="11"/>
      <c r="F129" s="11"/>
      <c r="G129" s="11"/>
      <c r="H129" s="11"/>
      <c r="I129" s="11"/>
      <c r="J129" s="11"/>
      <c r="K129" s="11"/>
      <c r="L129" s="11"/>
    </row>
    <row r="130" spans="1:19">
      <c r="B130" s="5" t="str">
        <f>"TOTAL "&amp;UPPER(CHOOSE(Base1_Billing2,$Q$9,$Q$10))&amp;" REVENUE"</f>
        <v>TOTAL BASE TARIFF REVENUE</v>
      </c>
      <c r="C130" s="11">
        <f ca="1">IF(ROUND(SUM(D130:L130),3)&lt;&gt;ROUND(SUM(C127:C128),3),#VALUE!,SUM(D130:L130))</f>
        <v>605595036.05586863</v>
      </c>
      <c r="D130" s="11">
        <f t="shared" ref="D130:K130" ca="1" si="92">D127+D128</f>
        <v>289168236.18000001</v>
      </c>
      <c r="E130" s="11">
        <f t="shared" ca="1" si="92"/>
        <v>91892964.102857143</v>
      </c>
      <c r="F130" s="11">
        <f t="shared" ref="F130" ca="1" si="93">F127+F128</f>
        <v>48212.07</v>
      </c>
      <c r="G130" s="11">
        <f t="shared" ca="1" si="92"/>
        <v>135494330.94857144</v>
      </c>
      <c r="H130" s="11">
        <f t="shared" ref="H130" ca="1" si="94">H127+H128</f>
        <v>64444.97</v>
      </c>
      <c r="I130" s="11">
        <f t="shared" ca="1" si="92"/>
        <v>46296182.541699998</v>
      </c>
      <c r="J130" s="11">
        <f t="shared" ref="J130" ca="1" si="95">J127+J128</f>
        <v>21103693.740400001</v>
      </c>
      <c r="K130" s="11">
        <f t="shared" ca="1" si="92"/>
        <v>14119009.699999999</v>
      </c>
      <c r="L130" s="11">
        <f>L127+L128</f>
        <v>7407961.8023400009</v>
      </c>
    </row>
    <row r="131" spans="1:19">
      <c r="C131" s="11"/>
      <c r="D131" s="11"/>
      <c r="E131" s="11"/>
      <c r="F131" s="11"/>
      <c r="G131" s="11"/>
      <c r="H131" s="11"/>
      <c r="I131" s="11"/>
      <c r="J131" s="11"/>
      <c r="K131" s="11"/>
      <c r="L131" s="11"/>
    </row>
    <row r="132" spans="1:19">
      <c r="B132" s="5" t="s">
        <v>45</v>
      </c>
      <c r="C132" s="11"/>
      <c r="D132" s="11"/>
      <c r="E132" s="11"/>
      <c r="F132" s="11"/>
      <c r="G132" s="11"/>
      <c r="H132" s="11"/>
      <c r="I132" s="11"/>
      <c r="J132" s="11"/>
      <c r="K132" s="11"/>
      <c r="L132" s="11"/>
    </row>
    <row r="133" spans="1:19">
      <c r="B133" s="163" t="s">
        <v>46</v>
      </c>
      <c r="C133" s="11"/>
      <c r="D133" s="11"/>
      <c r="E133" s="11"/>
      <c r="F133" s="11"/>
      <c r="G133" s="11"/>
      <c r="H133" s="11"/>
      <c r="I133" s="11"/>
      <c r="J133" s="11"/>
      <c r="K133" s="11"/>
      <c r="L133" s="11"/>
      <c r="O133" s="300">
        <f>D8/$D$14</f>
        <v>0.64358901881336761</v>
      </c>
      <c r="Q133" s="8">
        <f>$D$134*O133</f>
        <v>-13095272.455351463</v>
      </c>
      <c r="S133" s="301">
        <f ca="1">Q133*(D62/100)</f>
        <v>-1187348.3535267171</v>
      </c>
    </row>
    <row r="134" spans="1:19" s="12" customFormat="1">
      <c r="A134" s="246"/>
      <c r="B134" s="80" t="s">
        <v>397</v>
      </c>
      <c r="C134" s="12">
        <f>SUM(D134:L134)</f>
        <v>-42385064</v>
      </c>
      <c r="D134" s="315">
        <f>'REVRUNS 12ME0623'!P397</f>
        <v>-20347259</v>
      </c>
      <c r="E134" s="315">
        <f>'REVRUNS 12ME0623'!P398</f>
        <v>-6705916</v>
      </c>
      <c r="F134" s="315">
        <f>'REVRUNS 12ME0623'!P399</f>
        <v>0</v>
      </c>
      <c r="G134" s="315">
        <f>'REVRUNS 12ME0623'!P400</f>
        <v>-15474501</v>
      </c>
      <c r="H134" s="315">
        <f>'REVRUNS 12ME0623'!P401</f>
        <v>0</v>
      </c>
      <c r="I134" s="315"/>
      <c r="J134" s="315"/>
      <c r="K134" s="315">
        <f>'REVRUNS 12ME0623'!P404</f>
        <v>142612</v>
      </c>
      <c r="L134" s="269"/>
      <c r="O134" s="300">
        <f>D9/$D$14</f>
        <v>0.21632062889429149</v>
      </c>
      <c r="P134" s="5"/>
      <c r="Q134" s="8">
        <f>$D$134*O134</f>
        <v>-4401531.8631550325</v>
      </c>
      <c r="R134" s="5"/>
      <c r="S134" s="301">
        <f ca="1">Q134*(D63/100)</f>
        <v>-468895.1893819056</v>
      </c>
    </row>
    <row r="135" spans="1:19" s="10" customFormat="1">
      <c r="A135" s="246"/>
      <c r="B135" s="81" t="s">
        <v>398</v>
      </c>
      <c r="D135" s="10">
        <f ca="1">D67</f>
        <v>9.9058642738168938</v>
      </c>
      <c r="E135" s="10">
        <f ca="1">E67</f>
        <v>11.257838079942676</v>
      </c>
      <c r="F135" s="10">
        <f>F67</f>
        <v>0</v>
      </c>
      <c r="G135" s="10">
        <f ca="1">G67</f>
        <v>7.8204847254130723</v>
      </c>
      <c r="H135" s="10">
        <f>H67</f>
        <v>0</v>
      </c>
      <c r="K135" s="10">
        <f ca="1">K67</f>
        <v>9.1373127178114384</v>
      </c>
      <c r="O135" s="305">
        <f>D10/$D$14</f>
        <v>0.14009035229234088</v>
      </c>
      <c r="P135" s="12"/>
      <c r="Q135" s="303">
        <f>$D$134*O135</f>
        <v>-2850454.6814935035</v>
      </c>
      <c r="R135" s="12"/>
      <c r="S135" s="304">
        <f ca="1">Q135*(D64/100)</f>
        <v>-359328.31714907108</v>
      </c>
    </row>
    <row r="136" spans="1:19" s="11" customFormat="1">
      <c r="A136" s="246"/>
      <c r="B136" s="82" t="s">
        <v>399</v>
      </c>
      <c r="C136" s="11">
        <f ca="1">SUM(D136:L136)</f>
        <v>-3967663.1200000006</v>
      </c>
      <c r="D136" s="164">
        <f ca="1">ROUND(D134*D135/100,2)</f>
        <v>-2015571.86</v>
      </c>
      <c r="E136" s="164">
        <f ca="1">ROUND(E134*E135/100,2)</f>
        <v>-754941.17</v>
      </c>
      <c r="F136" s="164">
        <f>ROUND(F134*F135/100,2)</f>
        <v>0</v>
      </c>
      <c r="G136" s="164">
        <f ca="1">ROUND(G134*G135/100,2)</f>
        <v>-1210180.99</v>
      </c>
      <c r="H136" s="164">
        <f>ROUND(H134*H135/100,2)</f>
        <v>0</v>
      </c>
      <c r="I136" s="164"/>
      <c r="J136" s="164"/>
      <c r="K136" s="164">
        <f ca="1">ROUND(K134*K135/100,2)</f>
        <v>13030.9</v>
      </c>
      <c r="L136" s="164"/>
      <c r="O136" s="300">
        <f>SUM(O133:O135)</f>
        <v>1</v>
      </c>
      <c r="P136" s="10"/>
      <c r="Q136" s="8">
        <f>SUM(Q133:Q135)</f>
        <v>-20347258.999999996</v>
      </c>
      <c r="R136" s="10"/>
      <c r="S136" s="301">
        <f ca="1">SUM(S133:S135)</f>
        <v>-2015571.8600576937</v>
      </c>
    </row>
    <row r="137" spans="1:19" s="11" customFormat="1">
      <c r="A137" s="246"/>
      <c r="B137" s="82"/>
    </row>
    <row r="138" spans="1:19" s="8" customFormat="1" ht="11.25" customHeight="1">
      <c r="A138" s="519"/>
      <c r="B138" s="82" t="s">
        <v>186</v>
      </c>
      <c r="C138" s="520">
        <f>SUM(D138:L138)</f>
        <v>0</v>
      </c>
      <c r="D138" s="521">
        <v>0</v>
      </c>
      <c r="E138" s="521">
        <v>0</v>
      </c>
      <c r="F138" s="521">
        <v>0</v>
      </c>
      <c r="G138" s="521">
        <v>0</v>
      </c>
      <c r="H138" s="521">
        <v>0</v>
      </c>
      <c r="I138" s="94"/>
      <c r="J138" s="94"/>
      <c r="K138" s="94"/>
      <c r="L138" s="94"/>
    </row>
    <row r="139" spans="1:19" s="10" customFormat="1" ht="11.25" customHeight="1">
      <c r="A139" s="246"/>
      <c r="B139" s="81" t="s">
        <v>187</v>
      </c>
      <c r="D139" s="10">
        <f ca="1">I226</f>
        <v>11.420643176632302</v>
      </c>
      <c r="E139" s="10">
        <f ca="1">I245</f>
        <v>9.0156306493770515</v>
      </c>
      <c r="F139" s="10">
        <f>J245</f>
        <v>0</v>
      </c>
      <c r="G139" s="10">
        <f ca="1">G278</f>
        <v>7.9139999998706578</v>
      </c>
      <c r="H139" s="10">
        <f>H278</f>
        <v>0</v>
      </c>
    </row>
    <row r="140" spans="1:19" s="11" customFormat="1" ht="11.25" customHeight="1">
      <c r="A140" s="246"/>
      <c r="B140" s="82" t="s">
        <v>188</v>
      </c>
      <c r="C140" s="11">
        <f ca="1">SUM(D140:L140)</f>
        <v>0</v>
      </c>
      <c r="D140" s="164">
        <f ca="1">ROUND(D138*D139/100,2)</f>
        <v>0</v>
      </c>
      <c r="E140" s="164">
        <f ca="1">ROUND(E138*E139/100,2)</f>
        <v>0</v>
      </c>
      <c r="F140" s="164">
        <f>ROUND(F138*F139/100,2)</f>
        <v>0</v>
      </c>
      <c r="G140" s="164">
        <f ca="1">ROUND(G138*G139/100,2)</f>
        <v>0</v>
      </c>
      <c r="H140" s="164">
        <f>ROUND(H138*H139/100,2)</f>
        <v>0</v>
      </c>
      <c r="I140" s="164"/>
      <c r="J140" s="164"/>
      <c r="K140" s="164"/>
      <c r="L140" s="164"/>
    </row>
    <row r="141" spans="1:19" s="11" customFormat="1" ht="11.25" customHeight="1">
      <c r="A141" s="246"/>
      <c r="B141" s="82"/>
    </row>
    <row r="142" spans="1:19" s="7" customFormat="1">
      <c r="A142" s="246"/>
      <c r="B142" s="83" t="s">
        <v>189</v>
      </c>
      <c r="C142" s="12">
        <f>IF(ROUND(C134+C138,3)&lt;&gt;ROUND(SUM(D142:L142),3),#VALUE!,C134+C138)</f>
        <v>-42385064</v>
      </c>
      <c r="D142" s="12">
        <f>D134+D138</f>
        <v>-20347259</v>
      </c>
      <c r="E142" s="12">
        <f>E134+E138</f>
        <v>-6705916</v>
      </c>
      <c r="F142" s="12">
        <f>F134+F138</f>
        <v>0</v>
      </c>
      <c r="G142" s="12">
        <f>G134+G138</f>
        <v>-15474501</v>
      </c>
      <c r="H142" s="12">
        <f>H134+H138</f>
        <v>0</v>
      </c>
      <c r="I142" s="12"/>
      <c r="J142" s="12"/>
      <c r="K142" s="12">
        <f>K134+K138</f>
        <v>142612</v>
      </c>
      <c r="L142" s="12"/>
    </row>
    <row r="143" spans="1:19" s="11" customFormat="1">
      <c r="A143" s="246"/>
      <c r="B143" s="82" t="s">
        <v>190</v>
      </c>
      <c r="C143" s="11">
        <f ca="1">IF(ROUND(C136+C140,3)&lt;&gt;ROUND(SUM(D143:L143),3),#VALUE!,C136+C140)</f>
        <v>-3967663.1200000006</v>
      </c>
      <c r="D143" s="11">
        <f ca="1">D136+D140</f>
        <v>-2015571.86</v>
      </c>
      <c r="E143" s="11">
        <f ca="1">E136+E140</f>
        <v>-754941.17</v>
      </c>
      <c r="F143" s="11">
        <f>F136+F140</f>
        <v>0</v>
      </c>
      <c r="G143" s="11">
        <f ca="1">G136+G140</f>
        <v>-1210180.99</v>
      </c>
      <c r="H143" s="11">
        <f>H136+H140</f>
        <v>0</v>
      </c>
      <c r="K143" s="11">
        <f ca="1">K136+K140</f>
        <v>13030.9</v>
      </c>
    </row>
    <row r="144" spans="1:19" ht="12.5">
      <c r="A144" s="245"/>
      <c r="B144" s="163" t="s">
        <v>47</v>
      </c>
      <c r="C144" s="11"/>
      <c r="D144" s="11"/>
      <c r="E144" s="11"/>
      <c r="F144" s="11"/>
      <c r="G144" s="11"/>
      <c r="H144" s="11"/>
      <c r="I144" s="11"/>
      <c r="J144" s="11"/>
      <c r="K144" s="11"/>
      <c r="L144" s="11"/>
    </row>
    <row r="145" spans="1:12" s="8" customFormat="1">
      <c r="A145" s="497"/>
      <c r="B145" s="498" t="s">
        <v>186</v>
      </c>
      <c r="C145" s="499">
        <f>SUM(D145:L145)</f>
        <v>-112314908</v>
      </c>
      <c r="D145" s="496">
        <v>-63078988</v>
      </c>
      <c r="E145" s="496">
        <v>-16347549</v>
      </c>
      <c r="F145" s="496">
        <v>0</v>
      </c>
      <c r="G145" s="496">
        <v>-25995650</v>
      </c>
      <c r="H145" s="496">
        <v>0</v>
      </c>
      <c r="I145" s="496"/>
      <c r="J145" s="496"/>
      <c r="K145" s="496">
        <v>-6892721</v>
      </c>
      <c r="L145" s="500"/>
    </row>
    <row r="146" spans="1:12" s="10" customFormat="1">
      <c r="A146" s="497"/>
      <c r="B146" s="498" t="s">
        <v>187</v>
      </c>
      <c r="C146" s="501"/>
      <c r="D146" s="502">
        <f ca="1">I226</f>
        <v>11.420643176632302</v>
      </c>
      <c r="E146" s="502">
        <f ca="1">E63</f>
        <v>9.0150000000000006</v>
      </c>
      <c r="F146" s="502">
        <f>J245</f>
        <v>0</v>
      </c>
      <c r="G146" s="502">
        <f ca="1">G63</f>
        <v>7.0540000000000003</v>
      </c>
      <c r="H146" s="502">
        <f>H278</f>
        <v>0</v>
      </c>
      <c r="I146" s="502"/>
      <c r="J146" s="502"/>
      <c r="K146" s="502">
        <f ca="1">K63</f>
        <v>8.0229999999999997</v>
      </c>
      <c r="L146" s="502"/>
    </row>
    <row r="147" spans="1:12" s="11" customFormat="1">
      <c r="A147" s="1"/>
      <c r="B147" s="82" t="s">
        <v>188</v>
      </c>
      <c r="C147" s="11">
        <f ca="1">SUM(D147:L147)</f>
        <v>-11064493.84</v>
      </c>
      <c r="D147" s="164">
        <f ca="1">ROUND(D145*D146/100,2)</f>
        <v>-7204026.1399999997</v>
      </c>
      <c r="E147" s="164">
        <f ca="1">ROUND(E145*E146/100,2)</f>
        <v>-1473731.54</v>
      </c>
      <c r="F147" s="164">
        <f>ROUND(F145*F146/100,2)</f>
        <v>0</v>
      </c>
      <c r="G147" s="164">
        <f ca="1">ROUND(G145*G146/100,2)</f>
        <v>-1833733.15</v>
      </c>
      <c r="H147" s="164">
        <f>ROUND(H145*H146/100,2)</f>
        <v>0</v>
      </c>
      <c r="I147" s="164"/>
      <c r="J147" s="164"/>
      <c r="K147" s="164">
        <f t="shared" ref="K147" ca="1" si="96">ROUND(K145*K146/100,2)</f>
        <v>-553003.01</v>
      </c>
      <c r="L147" s="164"/>
    </row>
    <row r="148" spans="1:12">
      <c r="C148" s="11"/>
      <c r="D148" s="11"/>
      <c r="E148" s="11"/>
      <c r="F148" s="11"/>
      <c r="G148" s="11"/>
      <c r="H148" s="11"/>
      <c r="I148" s="11"/>
      <c r="J148" s="11"/>
      <c r="K148" s="11"/>
      <c r="L148" s="11"/>
    </row>
    <row r="149" spans="1:12">
      <c r="B149" s="5" t="s">
        <v>48</v>
      </c>
      <c r="C149" s="11">
        <f ca="1">IF(ROUND(C143+C147,3)&lt;&gt;ROUND(SUM(D149:L149),3),#VALUE!,C143+C147)</f>
        <v>-15032156.960000001</v>
      </c>
      <c r="D149" s="11">
        <f ca="1">D147+D143</f>
        <v>-9219598</v>
      </c>
      <c r="E149" s="11">
        <f ca="1">E147+E143</f>
        <v>-2228672.71</v>
      </c>
      <c r="F149" s="11">
        <f>F147+F143</f>
        <v>0</v>
      </c>
      <c r="G149" s="11">
        <f ca="1">G147+G143</f>
        <v>-3043914.1399999997</v>
      </c>
      <c r="H149" s="11">
        <f>H147+H143</f>
        <v>0</v>
      </c>
      <c r="I149" s="11"/>
      <c r="J149" s="11"/>
      <c r="K149" s="11">
        <f ca="1">K147+K143</f>
        <v>-539972.11</v>
      </c>
      <c r="L149" s="11"/>
    </row>
    <row r="150" spans="1:12">
      <c r="B150" s="5" t="str">
        <f>B130</f>
        <v>TOTAL BASE TARIFF REVENUE</v>
      </c>
      <c r="C150" s="12">
        <f t="shared" ref="C150:K150" ca="1" si="97">C130</f>
        <v>605595036.05586863</v>
      </c>
      <c r="D150" s="12">
        <f t="shared" ca="1" si="97"/>
        <v>289168236.18000001</v>
      </c>
      <c r="E150" s="12">
        <f t="shared" ca="1" si="97"/>
        <v>91892964.102857143</v>
      </c>
      <c r="F150" s="12">
        <f t="shared" ref="F150" ca="1" si="98">F130</f>
        <v>48212.07</v>
      </c>
      <c r="G150" s="12">
        <f t="shared" ca="1" si="97"/>
        <v>135494330.94857144</v>
      </c>
      <c r="H150" s="12">
        <f t="shared" ref="H150" ca="1" si="99">H130</f>
        <v>64444.97</v>
      </c>
      <c r="I150" s="12">
        <f t="shared" ca="1" si="97"/>
        <v>46296182.541699998</v>
      </c>
      <c r="J150" s="12">
        <f t="shared" ref="J150" ca="1" si="100">J130</f>
        <v>21103693.740400001</v>
      </c>
      <c r="K150" s="12">
        <f t="shared" ca="1" si="97"/>
        <v>14119009.699999999</v>
      </c>
      <c r="L150" s="12">
        <f>L130</f>
        <v>7407961.8023400009</v>
      </c>
    </row>
    <row r="151" spans="1:12">
      <c r="C151" s="164"/>
      <c r="D151" s="164"/>
      <c r="E151" s="164"/>
      <c r="F151" s="164"/>
      <c r="G151" s="164"/>
      <c r="H151" s="164"/>
      <c r="I151" s="164"/>
      <c r="J151" s="164"/>
      <c r="K151" s="164"/>
      <c r="L151" s="164"/>
    </row>
    <row r="152" spans="1:12">
      <c r="B152" s="5" t="s">
        <v>49</v>
      </c>
      <c r="C152" s="11">
        <f ca="1">IF(ROUND(C149+C150,3)&lt;&gt;ROUND(SUM(D152:L152),3),#VALUE!,SUM(D152:L152))</f>
        <v>590562879.09586859</v>
      </c>
      <c r="D152" s="11">
        <f t="shared" ref="D152:K152" ca="1" si="101">D149+D150</f>
        <v>279948638.18000001</v>
      </c>
      <c r="E152" s="11">
        <f t="shared" ca="1" si="101"/>
        <v>89664291.392857149</v>
      </c>
      <c r="F152" s="11">
        <f t="shared" ref="F152" ca="1" si="102">F149+F150</f>
        <v>48212.07</v>
      </c>
      <c r="G152" s="11">
        <f t="shared" ca="1" si="101"/>
        <v>132450416.80857144</v>
      </c>
      <c r="H152" s="11">
        <f t="shared" ref="H152" ca="1" si="103">H149+H150</f>
        <v>64444.97</v>
      </c>
      <c r="I152" s="11">
        <f t="shared" ca="1" si="101"/>
        <v>46296182.541699998</v>
      </c>
      <c r="J152" s="11">
        <f t="shared" ref="J152" ca="1" si="104">J149+J150</f>
        <v>21103693.740400001</v>
      </c>
      <c r="K152" s="11">
        <f t="shared" ca="1" si="101"/>
        <v>13579037.59</v>
      </c>
      <c r="L152" s="11">
        <f>L149+L150</f>
        <v>7407961.8023400009</v>
      </c>
    </row>
    <row r="153" spans="1:12">
      <c r="C153" s="11"/>
      <c r="D153" s="11"/>
      <c r="E153" s="185"/>
      <c r="F153" s="185"/>
      <c r="G153" s="11"/>
      <c r="H153" s="11"/>
      <c r="I153" s="11"/>
      <c r="J153" s="11"/>
      <c r="K153" s="11"/>
      <c r="L153" s="11"/>
    </row>
    <row r="154" spans="1:12">
      <c r="C154" s="11"/>
      <c r="D154" s="11"/>
      <c r="E154" s="11"/>
      <c r="F154" s="11"/>
      <c r="G154" s="11"/>
      <c r="H154" s="11"/>
      <c r="I154" s="11"/>
      <c r="J154" s="11"/>
      <c r="K154" s="11"/>
      <c r="L154" s="11"/>
    </row>
    <row r="155" spans="1:12">
      <c r="C155" s="356"/>
      <c r="D155" s="11"/>
      <c r="E155" s="11"/>
      <c r="F155" s="11"/>
      <c r="G155" s="11"/>
      <c r="H155" s="11"/>
      <c r="I155" s="11"/>
      <c r="J155" s="11"/>
      <c r="K155" s="11"/>
      <c r="L155" s="11"/>
    </row>
    <row r="156" spans="1:12">
      <c r="C156" s="11"/>
      <c r="D156" s="11"/>
      <c r="E156" s="11"/>
      <c r="F156" s="11"/>
      <c r="G156" s="11"/>
      <c r="H156" s="11"/>
      <c r="I156" s="11"/>
      <c r="J156" s="11"/>
      <c r="K156" s="11"/>
      <c r="L156" s="11"/>
    </row>
    <row r="157" spans="1:12">
      <c r="C157" s="11"/>
      <c r="D157" s="11"/>
      <c r="E157" s="11"/>
      <c r="F157" s="11"/>
      <c r="G157" s="11"/>
      <c r="H157" s="11"/>
      <c r="I157" s="11"/>
      <c r="J157" s="11"/>
      <c r="K157" s="11"/>
      <c r="L157" s="11"/>
    </row>
    <row r="158" spans="1:12">
      <c r="C158" s="11"/>
      <c r="D158" s="11"/>
      <c r="E158" s="11"/>
      <c r="F158" s="11"/>
      <c r="G158" s="11"/>
      <c r="H158" s="11"/>
      <c r="I158" s="11"/>
      <c r="J158" s="11"/>
      <c r="K158" s="11"/>
      <c r="L158" s="11"/>
    </row>
    <row r="159" spans="1:12">
      <c r="C159" s="11"/>
      <c r="D159" s="11"/>
      <c r="E159" s="11"/>
      <c r="F159" s="11"/>
      <c r="G159" s="11"/>
      <c r="H159" s="11"/>
      <c r="I159" s="11"/>
      <c r="J159" s="11"/>
      <c r="K159" s="11"/>
      <c r="L159" s="11"/>
    </row>
    <row r="160" spans="1:12" s="2" customFormat="1">
      <c r="A160" s="1" t="s">
        <v>0</v>
      </c>
      <c r="C160" s="2" t="s">
        <v>1</v>
      </c>
      <c r="D160" s="2" t="str">
        <f t="shared" ref="D160:L160" si="105">D$4</f>
        <v>RESIDENTIAL</v>
      </c>
      <c r="E160" s="2" t="str">
        <f t="shared" si="105"/>
        <v xml:space="preserve">GENERAL SVC. </v>
      </c>
      <c r="F160" s="2" t="str">
        <f t="shared" si="105"/>
        <v xml:space="preserve">GENERAL SVC. </v>
      </c>
      <c r="G160" s="2" t="str">
        <f t="shared" si="105"/>
        <v>LG. GEN. SVC.</v>
      </c>
      <c r="H160" s="2" t="str">
        <f t="shared" si="105"/>
        <v>LG. GEN. SVC.</v>
      </c>
      <c r="I160" s="2" t="str">
        <f t="shared" si="105"/>
        <v>EX LG GEN SVC</v>
      </c>
      <c r="J160" s="2" t="str">
        <f t="shared" si="105"/>
        <v>EX LG GEN SVC</v>
      </c>
      <c r="K160" s="2" t="str">
        <f t="shared" si="105"/>
        <v>PUMPING</v>
      </c>
      <c r="L160" s="2" t="str">
        <f t="shared" si="105"/>
        <v>ST &amp; AREA LTG</v>
      </c>
    </row>
    <row r="161" spans="1:12" s="2" customFormat="1">
      <c r="A161" s="1" t="s">
        <v>8</v>
      </c>
      <c r="C161" s="3" t="s">
        <v>9</v>
      </c>
      <c r="D161" s="3" t="str">
        <f t="shared" ref="D161:L161" si="106">D$5</f>
        <v>SCHEDULE 1</v>
      </c>
      <c r="E161" s="3" t="str">
        <f t="shared" si="106"/>
        <v>SCH. 11,12</v>
      </c>
      <c r="F161" s="3" t="str">
        <f t="shared" si="106"/>
        <v>SCH. 13</v>
      </c>
      <c r="G161" s="3" t="str">
        <f t="shared" si="106"/>
        <v>SCH. 21,22</v>
      </c>
      <c r="H161" s="3" t="str">
        <f t="shared" si="106"/>
        <v>SCH. 23</v>
      </c>
      <c r="I161" s="3" t="str">
        <f t="shared" si="106"/>
        <v>SCHEDULE 25</v>
      </c>
      <c r="J161" s="3" t="str">
        <f t="shared" si="106"/>
        <v>SCHEDULE 25I</v>
      </c>
      <c r="K161" s="3" t="str">
        <f t="shared" si="106"/>
        <v>SCH. 30, 31, 32</v>
      </c>
      <c r="L161" s="3" t="str">
        <f t="shared" si="106"/>
        <v>SCH. 41-48</v>
      </c>
    </row>
    <row r="162" spans="1:12">
      <c r="B162" s="4" t="s">
        <v>50</v>
      </c>
      <c r="C162" s="11"/>
      <c r="D162" s="11"/>
      <c r="E162" s="11"/>
      <c r="F162" s="11"/>
      <c r="G162" s="11"/>
      <c r="H162" s="11"/>
      <c r="I162" s="11"/>
      <c r="J162" s="11"/>
      <c r="K162" s="11"/>
      <c r="L162" s="11"/>
    </row>
    <row r="163" spans="1:12">
      <c r="B163" s="5" t="str">
        <f>UPPER(CHOOSE(Base1_Billing2,$Q$9,$Q$10))&amp;" REVENUE"</f>
        <v>BASE TARIFF REVENUE</v>
      </c>
      <c r="C163" s="11"/>
      <c r="D163" s="11"/>
      <c r="E163" s="11"/>
      <c r="F163" s="11"/>
      <c r="G163" s="11"/>
      <c r="H163" s="11"/>
      <c r="I163" s="11"/>
      <c r="J163" s="11"/>
      <c r="K163" s="11"/>
      <c r="L163" s="11"/>
    </row>
    <row r="164" spans="1:12">
      <c r="B164" s="79" t="s">
        <v>33</v>
      </c>
      <c r="C164" s="11">
        <f t="shared" ref="C164:C175" ca="1" si="107">SUM(D164:L164)</f>
        <v>52260480</v>
      </c>
      <c r="D164" s="11">
        <f ca="1">D48*D76</f>
        <v>41072580</v>
      </c>
      <c r="E164" s="11">
        <f ca="1">E48*E76</f>
        <v>10418425</v>
      </c>
      <c r="F164" s="11">
        <f ca="1">F48*F76</f>
        <v>3800</v>
      </c>
      <c r="G164" s="11"/>
      <c r="H164" s="11">
        <f ca="1">H48*H76</f>
        <v>0</v>
      </c>
      <c r="I164" s="11"/>
      <c r="J164" s="11"/>
      <c r="K164" s="11">
        <f ca="1">K48*K76</f>
        <v>765675</v>
      </c>
      <c r="L164" s="11"/>
    </row>
    <row r="165" spans="1:12">
      <c r="B165" s="79" t="s">
        <v>34</v>
      </c>
      <c r="C165" s="12">
        <f t="shared" si="107"/>
        <v>0</v>
      </c>
      <c r="D165" s="12">
        <f>D49*D77</f>
        <v>0</v>
      </c>
      <c r="E165" s="12"/>
      <c r="F165" s="12"/>
      <c r="G165" s="12"/>
      <c r="H165" s="12"/>
      <c r="I165" s="12"/>
      <c r="J165" s="12"/>
      <c r="K165" s="12"/>
      <c r="L165" s="12"/>
    </row>
    <row r="166" spans="1:12">
      <c r="B166" s="79" t="s">
        <v>18</v>
      </c>
      <c r="C166" s="12">
        <f t="shared" ca="1" si="107"/>
        <v>351099066.56999999</v>
      </c>
      <c r="D166" s="12">
        <f t="shared" ref="D166:K168" ca="1" si="108">ROUND(D31*D79/100,2)</f>
        <v>168116415.58000001</v>
      </c>
      <c r="E166" s="12">
        <f t="shared" ca="1" si="108"/>
        <v>64685875.780000001</v>
      </c>
      <c r="F166" s="12">
        <f t="shared" ref="F166" ca="1" si="109">ROUND(F31*F79/100,2)</f>
        <v>23081.19</v>
      </c>
      <c r="G166" s="12">
        <f t="shared" ca="1" si="108"/>
        <v>103089746.09999999</v>
      </c>
      <c r="H166" s="12">
        <f t="shared" ref="H166" ca="1" si="110">ROUND(H31*H79/100,2)</f>
        <v>19978.509999999998</v>
      </c>
      <c r="I166" s="12">
        <f t="shared" ca="1" si="108"/>
        <v>8663760</v>
      </c>
      <c r="J166" s="12">
        <f ca="1">ROUND(J31*J79/100,2)</f>
        <v>325860</v>
      </c>
      <c r="K166" s="12">
        <f ca="1">ROUND(K31*K79/100,2)</f>
        <v>6174349.4100000001</v>
      </c>
      <c r="L166" s="12"/>
    </row>
    <row r="167" spans="1:12">
      <c r="B167" s="79" t="s">
        <v>19</v>
      </c>
      <c r="C167" s="12">
        <f t="shared" ca="1" si="107"/>
        <v>143452514.21000001</v>
      </c>
      <c r="D167" s="12">
        <f t="shared" ca="1" si="108"/>
        <v>66390384.140000001</v>
      </c>
      <c r="E167" s="12">
        <f t="shared" ca="1" si="108"/>
        <v>23663050.469999999</v>
      </c>
      <c r="F167" s="12">
        <f t="shared" ref="F167" ca="1" si="111">ROUND(F32*F80/100,2)</f>
        <v>27626.47</v>
      </c>
      <c r="G167" s="12">
        <f t="shared" ca="1" si="108"/>
        <v>11212672.52</v>
      </c>
      <c r="H167" s="12">
        <f t="shared" ref="H167" ca="1" si="112">ROUND(H32*H80/100,2)</f>
        <v>25132.17</v>
      </c>
      <c r="I167" s="12">
        <f t="shared" ca="1" si="108"/>
        <v>29891003.100000001</v>
      </c>
      <c r="J167" s="12">
        <f t="shared" ref="J167" ca="1" si="113">ROUND(J32*J80/100,2)</f>
        <v>3220800</v>
      </c>
      <c r="K167" s="12">
        <f t="shared" ca="1" si="108"/>
        <v>9021845.3399999999</v>
      </c>
      <c r="L167" s="12"/>
    </row>
    <row r="168" spans="1:12">
      <c r="B168" s="79" t="s">
        <v>20</v>
      </c>
      <c r="C168" s="12">
        <f t="shared" ca="1" si="107"/>
        <v>66667605.250000007</v>
      </c>
      <c r="D168" s="12">
        <f ca="1">ROUND(D33*D81/100,2)</f>
        <v>50876938.950000003</v>
      </c>
      <c r="E168" s="12"/>
      <c r="F168" s="12"/>
      <c r="G168" s="12"/>
      <c r="H168" s="12"/>
      <c r="I168" s="12">
        <f t="shared" ca="1" si="108"/>
        <v>895942.2</v>
      </c>
      <c r="J168" s="12">
        <f t="shared" ref="J168" ca="1" si="114">ROUND(J33*J81/100,2)</f>
        <v>14894724.1</v>
      </c>
      <c r="K168" s="12"/>
      <c r="L168" s="12"/>
    </row>
    <row r="169" spans="1:12">
      <c r="B169" s="79" t="s">
        <v>21</v>
      </c>
      <c r="C169" s="12">
        <f t="shared" si="107"/>
        <v>0</v>
      </c>
      <c r="D169" s="12">
        <f>ROUND(D34*D82/100,2)</f>
        <v>0</v>
      </c>
      <c r="E169" s="12"/>
      <c r="F169" s="12"/>
      <c r="G169" s="12"/>
      <c r="H169" s="12"/>
      <c r="I169" s="12"/>
      <c r="J169" s="12"/>
      <c r="K169" s="12"/>
      <c r="L169" s="12"/>
    </row>
    <row r="170" spans="1:12">
      <c r="B170" s="79" t="s">
        <v>40</v>
      </c>
      <c r="C170" s="12">
        <f t="shared" ca="1" si="107"/>
        <v>23426850</v>
      </c>
      <c r="D170" s="12"/>
      <c r="E170" s="12"/>
      <c r="F170" s="12"/>
      <c r="G170" s="12">
        <f ca="1">ROUND(G48*G86,2)</f>
        <v>15307500</v>
      </c>
      <c r="H170" s="12">
        <f ca="1">ROUND(H48*H86,2)</f>
        <v>27750</v>
      </c>
      <c r="I170" s="12">
        <f ca="1">ROUND(I48*I86,2)</f>
        <v>7723800</v>
      </c>
      <c r="J170" s="12">
        <f ca="1">ROUND(J48*J86,2)</f>
        <v>367800</v>
      </c>
      <c r="K170" s="12"/>
      <c r="L170" s="12"/>
    </row>
    <row r="171" spans="1:12">
      <c r="B171" s="79" t="s">
        <v>41</v>
      </c>
      <c r="C171" s="12">
        <f t="shared" ca="1" si="107"/>
        <v>40289335.340000004</v>
      </c>
      <c r="D171" s="12"/>
      <c r="E171" s="12">
        <f t="shared" ref="E171:J171" ca="1" si="115">ROUND(E50*E87,2)</f>
        <v>5102215.49</v>
      </c>
      <c r="F171" s="12"/>
      <c r="G171" s="12">
        <f ca="1">ROUND(G50*G87,2)</f>
        <v>23400003.370000001</v>
      </c>
      <c r="H171" s="12"/>
      <c r="I171" s="12">
        <f t="shared" ca="1" si="115"/>
        <v>5400285.9199999999</v>
      </c>
      <c r="J171" s="12">
        <f t="shared" ca="1" si="115"/>
        <v>6386830.5599999996</v>
      </c>
      <c r="K171" s="12"/>
      <c r="L171" s="12"/>
    </row>
    <row r="172" spans="1:12">
      <c r="B172" s="79" t="s">
        <v>182</v>
      </c>
      <c r="C172" s="12">
        <f t="shared" si="107"/>
        <v>155293.65999999997</v>
      </c>
      <c r="D172" s="12"/>
      <c r="E172" s="12">
        <f>E119</f>
        <v>0</v>
      </c>
      <c r="F172" s="12">
        <f>F119</f>
        <v>0</v>
      </c>
      <c r="G172" s="12">
        <f>G119</f>
        <v>155293.65999999997</v>
      </c>
      <c r="H172" s="12">
        <f>H119</f>
        <v>0</v>
      </c>
      <c r="I172" s="12"/>
      <c r="J172" s="12"/>
      <c r="K172" s="12">
        <f>K119</f>
        <v>0</v>
      </c>
      <c r="L172" s="12"/>
    </row>
    <row r="173" spans="1:12">
      <c r="B173" s="79" t="s">
        <v>183</v>
      </c>
      <c r="C173" s="12">
        <f t="shared" si="107"/>
        <v>-1688039.6926</v>
      </c>
      <c r="D173" s="12"/>
      <c r="E173" s="12"/>
      <c r="F173" s="12"/>
      <c r="G173" s="12">
        <f>G120</f>
        <v>-59305.920000000006</v>
      </c>
      <c r="H173" s="12">
        <f>H120</f>
        <v>0</v>
      </c>
      <c r="I173" s="12">
        <f>'WA Sch 25'!P107</f>
        <v>-230075.97100000002</v>
      </c>
      <c r="J173" s="12">
        <f>'WA Sch 25'!P118</f>
        <v>-1398657.8015999999</v>
      </c>
      <c r="K173" s="12"/>
      <c r="L173" s="12"/>
    </row>
    <row r="174" spans="1:12">
      <c r="B174" s="79" t="s">
        <v>184</v>
      </c>
      <c r="C174" s="12">
        <f t="shared" si="107"/>
        <v>0</v>
      </c>
      <c r="D174" s="12"/>
      <c r="E174" s="12"/>
      <c r="F174" s="12"/>
      <c r="G174" s="12"/>
      <c r="H174" s="12"/>
      <c r="I174" s="12">
        <v>0</v>
      </c>
      <c r="J174" s="12">
        <v>0</v>
      </c>
      <c r="K174" s="12"/>
      <c r="L174" s="12"/>
    </row>
    <row r="175" spans="1:12">
      <c r="A175" s="246"/>
      <c r="B175" s="79" t="s">
        <v>185</v>
      </c>
      <c r="C175" s="90">
        <f t="shared" si="107"/>
        <v>8374916.1623400012</v>
      </c>
      <c r="D175" s="90"/>
      <c r="E175" s="208"/>
      <c r="F175" s="208"/>
      <c r="G175" s="208"/>
      <c r="H175" s="208"/>
      <c r="I175" s="208"/>
      <c r="J175" s="208"/>
      <c r="K175" s="208"/>
      <c r="L175" s="90">
        <f>'Lighting summary'!G19</f>
        <v>8374916.1623400012</v>
      </c>
    </row>
    <row r="176" spans="1:12">
      <c r="C176" s="11"/>
      <c r="D176" s="11"/>
      <c r="E176" s="11"/>
      <c r="F176" s="11"/>
      <c r="G176" s="11"/>
      <c r="H176" s="11"/>
      <c r="I176" s="11"/>
      <c r="J176" s="11"/>
      <c r="K176" s="11"/>
      <c r="L176" s="11"/>
    </row>
    <row r="177" spans="1:12">
      <c r="B177" s="5" t="s">
        <v>23</v>
      </c>
      <c r="C177" s="11">
        <f ca="1">IF(ROUND(SUM(C164:C175),3)&lt;&gt;ROUND(SUM(D177:L177),3),#VALUE!,SUM(D177:L177))</f>
        <v>684038021.49974</v>
      </c>
      <c r="D177" s="11">
        <f t="shared" ref="D177:L177" ca="1" si="116">SUM(D164:D175)</f>
        <v>326456318.67000002</v>
      </c>
      <c r="E177" s="11">
        <f t="shared" ca="1" si="116"/>
        <v>103869566.73999999</v>
      </c>
      <c r="F177" s="11">
        <f t="shared" ref="F177" ca="1" si="117">SUM(F164:F175)</f>
        <v>54507.66</v>
      </c>
      <c r="G177" s="11">
        <f t="shared" ca="1" si="116"/>
        <v>153105909.72999999</v>
      </c>
      <c r="H177" s="11">
        <f t="shared" ref="H177" ca="1" si="118">SUM(H164:H175)</f>
        <v>72860.679999999993</v>
      </c>
      <c r="I177" s="11">
        <f t="shared" ca="1" si="116"/>
        <v>52344715.249000005</v>
      </c>
      <c r="J177" s="11">
        <f t="shared" ref="J177" ca="1" si="119">SUM(J164:J175)</f>
        <v>23797356.858400002</v>
      </c>
      <c r="K177" s="11">
        <f t="shared" ca="1" si="116"/>
        <v>15961869.75</v>
      </c>
      <c r="L177" s="11">
        <f t="shared" si="116"/>
        <v>8374916.1623400012</v>
      </c>
    </row>
    <row r="178" spans="1:12">
      <c r="B178" s="78"/>
      <c r="C178" s="90">
        <f ca="1">SUM(D178:L178)</f>
        <v>0</v>
      </c>
      <c r="D178" s="90">
        <f ca="1">ROUND(D38*D84/100,2)</f>
        <v>0</v>
      </c>
      <c r="E178" s="90">
        <f ca="1">ROUND(E38*E84/100,2)</f>
        <v>0</v>
      </c>
      <c r="F178" s="90">
        <f>ROUND(F38*F84/100,2)</f>
        <v>0</v>
      </c>
      <c r="G178" s="90">
        <f ca="1">ROUND(G38*G84/100,2)</f>
        <v>0</v>
      </c>
      <c r="H178" s="90">
        <f>ROUND(H38*H84/100,2)</f>
        <v>0</v>
      </c>
      <c r="I178" s="90">
        <f ca="1">ROUND(I38*I80/100,2)</f>
        <v>0</v>
      </c>
      <c r="J178" s="90">
        <f ca="1">ROUND(J38*J80/100,2)</f>
        <v>0</v>
      </c>
      <c r="K178" s="90">
        <f ca="1">ROUND(K38*K84/100,2)</f>
        <v>0</v>
      </c>
      <c r="L178" s="90">
        <v>0</v>
      </c>
    </row>
    <row r="179" spans="1:12">
      <c r="C179" s="11"/>
      <c r="D179" s="11"/>
      <c r="E179" s="11"/>
      <c r="F179" s="11"/>
      <c r="G179" s="11"/>
      <c r="H179" s="11"/>
      <c r="I179" s="11"/>
      <c r="J179" s="11"/>
      <c r="K179" s="11"/>
      <c r="L179" s="11"/>
    </row>
    <row r="180" spans="1:12">
      <c r="B180" s="5" t="s">
        <v>23</v>
      </c>
      <c r="C180" s="11">
        <f ca="1">SUM(D180:L180)</f>
        <v>684038021.49974</v>
      </c>
      <c r="D180" s="11">
        <f t="shared" ref="D180:L180" ca="1" si="120">D177+D178</f>
        <v>326456318.67000002</v>
      </c>
      <c r="E180" s="11">
        <f t="shared" ca="1" si="120"/>
        <v>103869566.73999999</v>
      </c>
      <c r="F180" s="11">
        <f t="shared" ref="F180" ca="1" si="121">F177+F178</f>
        <v>54507.66</v>
      </c>
      <c r="G180" s="11">
        <f t="shared" ca="1" si="120"/>
        <v>153105909.72999999</v>
      </c>
      <c r="H180" s="11">
        <f t="shared" ref="H180" ca="1" si="122">H177+H178</f>
        <v>72860.679999999993</v>
      </c>
      <c r="I180" s="11">
        <f t="shared" ca="1" si="120"/>
        <v>52344715.249000005</v>
      </c>
      <c r="J180" s="11">
        <f t="shared" ref="J180" ca="1" si="123">J177+J178</f>
        <v>23797356.858400002</v>
      </c>
      <c r="K180" s="11">
        <f t="shared" ca="1" si="120"/>
        <v>15961869.75</v>
      </c>
      <c r="L180" s="11">
        <f t="shared" si="120"/>
        <v>8374916.1623400012</v>
      </c>
    </row>
    <row r="181" spans="1:12">
      <c r="B181" s="5" t="s">
        <v>44</v>
      </c>
      <c r="C181" s="12">
        <f ca="1">SUM(D181:L181)</f>
        <v>0</v>
      </c>
      <c r="D181" s="12">
        <f t="shared" ref="D181:L181" ca="1" si="124">ROUND(D41*D84/100,2)</f>
        <v>0</v>
      </c>
      <c r="E181" s="12">
        <f t="shared" ca="1" si="124"/>
        <v>0</v>
      </c>
      <c r="F181" s="12">
        <f t="shared" ref="F181" si="125">ROUND(F41*F84/100,2)</f>
        <v>0</v>
      </c>
      <c r="G181" s="12">
        <f t="shared" ca="1" si="124"/>
        <v>0</v>
      </c>
      <c r="H181" s="12">
        <f t="shared" ref="H181" si="126">ROUND(H41*H84/100,2)</f>
        <v>0</v>
      </c>
      <c r="I181" s="12">
        <f t="shared" si="124"/>
        <v>0</v>
      </c>
      <c r="J181" s="12">
        <f t="shared" ref="J181" si="127">ROUND(J41*J84/100,2)</f>
        <v>0</v>
      </c>
      <c r="K181" s="12">
        <f t="shared" ca="1" si="124"/>
        <v>0</v>
      </c>
      <c r="L181" s="12">
        <f t="shared" si="124"/>
        <v>0</v>
      </c>
    </row>
    <row r="182" spans="1:12">
      <c r="C182" s="164"/>
      <c r="D182" s="164"/>
      <c r="E182" s="164"/>
      <c r="F182" s="164"/>
      <c r="G182" s="164"/>
      <c r="H182" s="164"/>
      <c r="I182" s="164"/>
      <c r="J182" s="164"/>
      <c r="K182" s="164"/>
      <c r="L182" s="164"/>
    </row>
    <row r="183" spans="1:12">
      <c r="B183" s="5" t="str">
        <f>"SUBTOTAL "&amp;UPPER(CHOOSE(Base1_Billing2,$Q$9,$Q$10))&amp;" REVENUE"</f>
        <v>SUBTOTAL BASE TARIFF REVENUE</v>
      </c>
      <c r="C183" s="11">
        <f ca="1">IF(ROUND(SUM(D183:L183),3)&lt;&gt;ROUND(SUM(C180:C181),3),#VALUE!,SUM(D183:L183))</f>
        <v>684038021.49974</v>
      </c>
      <c r="D183" s="11">
        <f t="shared" ref="D183:L183" ca="1" si="128">D180+D181</f>
        <v>326456318.67000002</v>
      </c>
      <c r="E183" s="11">
        <f t="shared" ca="1" si="128"/>
        <v>103869566.73999999</v>
      </c>
      <c r="F183" s="11">
        <f t="shared" ref="F183" ca="1" si="129">F180+F181</f>
        <v>54507.66</v>
      </c>
      <c r="G183" s="11">
        <f t="shared" ca="1" si="128"/>
        <v>153105909.72999999</v>
      </c>
      <c r="H183" s="11">
        <f t="shared" ref="H183" ca="1" si="130">H180+H181</f>
        <v>72860.679999999993</v>
      </c>
      <c r="I183" s="11">
        <f t="shared" ca="1" si="128"/>
        <v>52344715.249000005</v>
      </c>
      <c r="J183" s="11">
        <f t="shared" ref="J183" ca="1" si="131">J180+J181</f>
        <v>23797356.858400002</v>
      </c>
      <c r="K183" s="11">
        <f t="shared" ca="1" si="128"/>
        <v>15961869.75</v>
      </c>
      <c r="L183" s="11">
        <f t="shared" si="128"/>
        <v>8374916.1623400012</v>
      </c>
    </row>
    <row r="184" spans="1:12">
      <c r="C184" s="11"/>
      <c r="D184" s="11"/>
      <c r="E184" s="11"/>
      <c r="F184" s="11"/>
      <c r="G184" s="11"/>
      <c r="H184" s="11"/>
      <c r="I184" s="11"/>
      <c r="J184" s="11"/>
      <c r="K184" s="11"/>
      <c r="L184" s="11"/>
    </row>
    <row r="185" spans="1:12">
      <c r="B185" s="5" t="s">
        <v>45</v>
      </c>
      <c r="C185" s="11"/>
      <c r="D185" s="11"/>
      <c r="E185" s="11"/>
      <c r="F185" s="11"/>
      <c r="G185" s="11"/>
      <c r="H185" s="11"/>
      <c r="I185" s="11"/>
      <c r="J185" s="11"/>
      <c r="K185" s="11"/>
      <c r="L185" s="11"/>
    </row>
    <row r="186" spans="1:12">
      <c r="B186" s="163" t="s">
        <v>46</v>
      </c>
      <c r="C186" s="11"/>
      <c r="D186" s="11"/>
      <c r="E186" s="11"/>
      <c r="F186" s="11"/>
      <c r="G186" s="11"/>
      <c r="H186" s="11"/>
      <c r="I186" s="11"/>
      <c r="J186" s="11"/>
      <c r="K186" s="11"/>
      <c r="L186" s="11"/>
    </row>
    <row r="187" spans="1:12" s="8" customFormat="1">
      <c r="A187" s="1"/>
      <c r="B187" s="81" t="s">
        <v>397</v>
      </c>
      <c r="C187" s="93">
        <f>SUM(D187:L187)</f>
        <v>-42385064</v>
      </c>
      <c r="D187" s="12">
        <f>D134</f>
        <v>-20347259</v>
      </c>
      <c r="E187" s="12">
        <f>E134</f>
        <v>-6705916</v>
      </c>
      <c r="F187" s="12">
        <f>F134</f>
        <v>0</v>
      </c>
      <c r="G187" s="12">
        <f>G134</f>
        <v>-15474501</v>
      </c>
      <c r="H187" s="12">
        <f>H134</f>
        <v>0</v>
      </c>
      <c r="I187" s="12"/>
      <c r="J187" s="12"/>
      <c r="K187" s="12">
        <f>K134</f>
        <v>142612</v>
      </c>
      <c r="L187" s="93"/>
    </row>
    <row r="188" spans="1:12" s="10" customFormat="1">
      <c r="A188" s="1"/>
      <c r="B188" s="81" t="s">
        <v>398</v>
      </c>
      <c r="D188" s="10">
        <f ca="1">D84</f>
        <v>10.686989561049181</v>
      </c>
      <c r="E188" s="10">
        <f ca="1">E84</f>
        <v>12.60771243748437</v>
      </c>
      <c r="F188" s="10">
        <f>F84</f>
        <v>0</v>
      </c>
      <c r="G188" s="10">
        <f ca="1">G84</f>
        <v>8.6240244595140894</v>
      </c>
      <c r="H188" s="10">
        <f>H84</f>
        <v>0</v>
      </c>
      <c r="K188" s="10">
        <f ca="1">K84</f>
        <v>10.303799668982068</v>
      </c>
    </row>
    <row r="189" spans="1:12" s="11" customFormat="1">
      <c r="A189" s="1"/>
      <c r="B189" s="81" t="s">
        <v>399</v>
      </c>
      <c r="C189" s="11">
        <f ca="1">SUM(D189:L189)</f>
        <v>-4339802.3600000003</v>
      </c>
      <c r="D189" s="164">
        <f ca="1">ROUND(D187*D188/100,2)</f>
        <v>-2174509.4500000002</v>
      </c>
      <c r="E189" s="164">
        <f ca="1">ROUND(E187*E188/100,2)</f>
        <v>-845462.61</v>
      </c>
      <c r="F189" s="164">
        <f>ROUND(F187*F188/100,2)</f>
        <v>0</v>
      </c>
      <c r="G189" s="164">
        <f ca="1">ROUND(G187*G188/100,2)</f>
        <v>-1334524.75</v>
      </c>
      <c r="H189" s="164">
        <f>ROUND(H187*H188/100,2)</f>
        <v>0</v>
      </c>
      <c r="I189" s="164"/>
      <c r="J189" s="164"/>
      <c r="K189" s="164">
        <f ca="1">ROUND(K187*K188/100,2)</f>
        <v>14694.45</v>
      </c>
      <c r="L189" s="164"/>
    </row>
    <row r="190" spans="1:12" s="11" customFormat="1">
      <c r="A190" s="1"/>
      <c r="B190" s="81"/>
    </row>
    <row r="191" spans="1:12" s="8" customFormat="1">
      <c r="A191" s="1"/>
      <c r="B191" s="81" t="s">
        <v>186</v>
      </c>
      <c r="C191" s="93">
        <f>SUM(D191:L191)</f>
        <v>0</v>
      </c>
      <c r="D191" s="93">
        <f>D138</f>
        <v>0</v>
      </c>
      <c r="E191" s="93">
        <f>E138</f>
        <v>0</v>
      </c>
      <c r="F191" s="93">
        <f>F138</f>
        <v>0</v>
      </c>
      <c r="G191" s="93">
        <f>G138</f>
        <v>0</v>
      </c>
      <c r="H191" s="93">
        <f>H138</f>
        <v>0</v>
      </c>
      <c r="I191" s="93"/>
      <c r="J191" s="93"/>
      <c r="K191" s="93"/>
      <c r="L191" s="93"/>
    </row>
    <row r="192" spans="1:12" s="10" customFormat="1">
      <c r="A192" s="1"/>
      <c r="B192" s="81" t="s">
        <v>187</v>
      </c>
      <c r="C192" s="650"/>
      <c r="D192" s="10">
        <f ca="1">I235</f>
        <v>12.321174179807628</v>
      </c>
      <c r="E192" s="10">
        <f ca="1">I253</f>
        <v>10.096706252447772</v>
      </c>
      <c r="F192" s="10">
        <f>J253</f>
        <v>0</v>
      </c>
      <c r="G192" s="10">
        <f ca="1">G286</f>
        <v>8.7269999998575738</v>
      </c>
      <c r="H192" s="10">
        <f>H286</f>
        <v>0</v>
      </c>
    </row>
    <row r="193" spans="1:18" s="11" customFormat="1">
      <c r="A193" s="1"/>
      <c r="B193" s="81" t="s">
        <v>188</v>
      </c>
      <c r="C193" s="11">
        <f ca="1">SUM(D193:L193)</f>
        <v>0</v>
      </c>
      <c r="D193" s="164">
        <f ca="1">ROUND(D191*D192/100,2)</f>
        <v>0</v>
      </c>
      <c r="E193" s="164">
        <f ca="1">ROUND(E191*E192/100,2)</f>
        <v>0</v>
      </c>
      <c r="F193" s="164">
        <f>ROUND(F191*F192/100,2)</f>
        <v>0</v>
      </c>
      <c r="G193" s="164">
        <f ca="1">ROUND(G191*G192/100,2)</f>
        <v>0</v>
      </c>
      <c r="H193" s="164">
        <f>ROUND(H191*H192/100,2)</f>
        <v>0</v>
      </c>
      <c r="I193" s="164"/>
      <c r="J193" s="164"/>
      <c r="K193" s="164"/>
      <c r="L193" s="164"/>
    </row>
    <row r="194" spans="1:18" s="11" customFormat="1">
      <c r="A194" s="1"/>
      <c r="B194" s="81"/>
    </row>
    <row r="195" spans="1:18" s="7" customFormat="1">
      <c r="A195" s="1"/>
      <c r="B195" s="81" t="s">
        <v>189</v>
      </c>
      <c r="C195" s="12">
        <f>IF(ROUND(C187+C191,3)&lt;&gt;ROUND(SUM(D195:L195),3),#VALUE!,SUM(D195:L195))</f>
        <v>-42385064</v>
      </c>
      <c r="D195" s="12">
        <f>D187+D191</f>
        <v>-20347259</v>
      </c>
      <c r="E195" s="12">
        <f>E187+E191</f>
        <v>-6705916</v>
      </c>
      <c r="F195" s="12">
        <f>F187+F191</f>
        <v>0</v>
      </c>
      <c r="G195" s="12">
        <f>G187+G191</f>
        <v>-15474501</v>
      </c>
      <c r="H195" s="12">
        <f>H187+H191</f>
        <v>0</v>
      </c>
      <c r="I195" s="12"/>
      <c r="J195" s="12"/>
      <c r="K195" s="12">
        <f>K187+K191</f>
        <v>142612</v>
      </c>
      <c r="L195" s="12"/>
    </row>
    <row r="196" spans="1:18" s="11" customFormat="1">
      <c r="A196" s="1"/>
      <c r="B196" s="81" t="s">
        <v>190</v>
      </c>
      <c r="C196" s="11">
        <f ca="1">IF(ROUND(C189+C193,3)&lt;&gt;ROUND(SUM(D196:L196),3),#VALUE!,SUM(D196:L196))</f>
        <v>-4339802.3600000003</v>
      </c>
      <c r="D196" s="11">
        <f ca="1">D189+D193</f>
        <v>-2174509.4500000002</v>
      </c>
      <c r="E196" s="11">
        <f ca="1">E189+E193</f>
        <v>-845462.61</v>
      </c>
      <c r="F196" s="11">
        <f>F189+F193</f>
        <v>0</v>
      </c>
      <c r="G196" s="11">
        <f ca="1">G189+G193</f>
        <v>-1334524.75</v>
      </c>
      <c r="H196" s="11">
        <f>H189+H193</f>
        <v>0</v>
      </c>
      <c r="K196" s="11">
        <f ca="1">K189+K193</f>
        <v>14694.45</v>
      </c>
    </row>
    <row r="197" spans="1:18">
      <c r="B197" s="163" t="s">
        <v>47</v>
      </c>
      <c r="C197" s="11"/>
      <c r="D197" s="11"/>
      <c r="E197" s="11"/>
      <c r="F197" s="11"/>
      <c r="G197" s="11"/>
      <c r="H197" s="11"/>
      <c r="I197" s="11"/>
      <c r="J197" s="11"/>
      <c r="K197" s="11"/>
      <c r="L197" s="11"/>
    </row>
    <row r="198" spans="1:18" s="8" customFormat="1">
      <c r="A198" s="1"/>
      <c r="B198" s="81" t="s">
        <v>186</v>
      </c>
      <c r="C198" s="93">
        <f>SUM(D198:L198)</f>
        <v>-112314908</v>
      </c>
      <c r="D198" s="93">
        <f>D145</f>
        <v>-63078988</v>
      </c>
      <c r="E198" s="93">
        <f>E145</f>
        <v>-16347549</v>
      </c>
      <c r="F198" s="93">
        <f>F145</f>
        <v>0</v>
      </c>
      <c r="G198" s="93">
        <f>G145</f>
        <v>-25995650</v>
      </c>
      <c r="H198" s="93">
        <f>H145</f>
        <v>0</v>
      </c>
      <c r="I198" s="93"/>
      <c r="J198" s="93"/>
      <c r="K198" s="93">
        <f t="shared" ref="K198" si="132">K145</f>
        <v>-6892721</v>
      </c>
      <c r="L198" s="93"/>
    </row>
    <row r="199" spans="1:18" s="10" customFormat="1">
      <c r="A199" s="1"/>
      <c r="B199" s="81" t="s">
        <v>187</v>
      </c>
      <c r="C199" s="649" t="s">
        <v>1</v>
      </c>
      <c r="D199" s="10">
        <f ca="1">I235</f>
        <v>12.321174179807628</v>
      </c>
      <c r="E199" s="10">
        <f ca="1">E80</f>
        <v>10.096</v>
      </c>
      <c r="F199" s="10">
        <f>J253</f>
        <v>0</v>
      </c>
      <c r="G199" s="10">
        <f ca="1">G80</f>
        <v>7.78</v>
      </c>
      <c r="H199" s="10">
        <f>H286</f>
        <v>0</v>
      </c>
      <c r="K199" s="10">
        <f ca="1">K80</f>
        <v>9.0470000000000006</v>
      </c>
    </row>
    <row r="200" spans="1:18" s="11" customFormat="1">
      <c r="A200" s="1"/>
      <c r="B200" s="82" t="s">
        <v>188</v>
      </c>
      <c r="C200" s="11">
        <f ca="1">SUM(D200:L200)</f>
        <v>-12068566.570000002</v>
      </c>
      <c r="D200" s="164">
        <f ca="1">ROUND(D198*D199/100,2)</f>
        <v>-7772071.9800000004</v>
      </c>
      <c r="E200" s="164">
        <f ca="1">ROUND(E198*E199/100,2)</f>
        <v>-1650448.55</v>
      </c>
      <c r="F200" s="164">
        <f>ROUND(F198*F199/100,2)</f>
        <v>0</v>
      </c>
      <c r="G200" s="164">
        <f ca="1">ROUND(G198*G199/100,2)</f>
        <v>-2022461.57</v>
      </c>
      <c r="H200" s="164">
        <f>ROUND(H198*H199/100,2)</f>
        <v>0</v>
      </c>
      <c r="I200" s="164">
        <f t="shared" ref="I200:K200" si="133">ROUND(I198*I199/100,2)</f>
        <v>0</v>
      </c>
      <c r="J200" s="164">
        <f t="shared" si="133"/>
        <v>0</v>
      </c>
      <c r="K200" s="164">
        <f t="shared" ca="1" si="133"/>
        <v>-623584.47</v>
      </c>
      <c r="L200" s="164"/>
    </row>
    <row r="201" spans="1:18" s="11" customFormat="1">
      <c r="A201" s="1"/>
    </row>
    <row r="202" spans="1:18">
      <c r="B202" s="5" t="s">
        <v>48</v>
      </c>
      <c r="C202" s="164">
        <f ca="1">IF(ROUND(SUM(D202:L202),3)&lt;&gt;ROUND(C196+C200,3),#VALUE!,SUM(D202:L202))</f>
        <v>-16408368.93</v>
      </c>
      <c r="D202" s="164">
        <f ca="1">D200+D196</f>
        <v>-9946581.4299999997</v>
      </c>
      <c r="E202" s="164">
        <f ca="1">E200+E196</f>
        <v>-2495911.16</v>
      </c>
      <c r="F202" s="164">
        <f>F200+F196</f>
        <v>0</v>
      </c>
      <c r="G202" s="164">
        <f ca="1">G200+G196</f>
        <v>-3356986.3200000003</v>
      </c>
      <c r="H202" s="164">
        <f>H200+H196</f>
        <v>0</v>
      </c>
      <c r="I202" s="164"/>
      <c r="J202" s="164"/>
      <c r="K202" s="164">
        <f ca="1">K200+K196</f>
        <v>-608890.02</v>
      </c>
      <c r="L202" s="164"/>
    </row>
    <row r="203" spans="1:18">
      <c r="B203" s="5" t="str">
        <f>"TOTAL "&amp;UPPER(CHOOSE(Base1_Billing2,$Q$9,$Q$10))&amp;" REVENUE"</f>
        <v>TOTAL BASE TARIFF REVENUE</v>
      </c>
      <c r="C203" s="12">
        <f ca="1">SUM(D203:L203)</f>
        <v>684038021.49974</v>
      </c>
      <c r="D203" s="12">
        <f t="shared" ref="D203:L203" ca="1" si="134">D183</f>
        <v>326456318.67000002</v>
      </c>
      <c r="E203" s="12">
        <f t="shared" ca="1" si="134"/>
        <v>103869566.73999999</v>
      </c>
      <c r="F203" s="12">
        <f t="shared" ref="F203" ca="1" si="135">F183</f>
        <v>54507.66</v>
      </c>
      <c r="G203" s="12">
        <f t="shared" ca="1" si="134"/>
        <v>153105909.72999999</v>
      </c>
      <c r="H203" s="12">
        <f t="shared" ref="H203" ca="1" si="136">H183</f>
        <v>72860.679999999993</v>
      </c>
      <c r="I203" s="12">
        <f t="shared" ca="1" si="134"/>
        <v>52344715.249000005</v>
      </c>
      <c r="J203" s="12">
        <f t="shared" ref="J203" ca="1" si="137">J183</f>
        <v>23797356.858400002</v>
      </c>
      <c r="K203" s="12">
        <f t="shared" ca="1" si="134"/>
        <v>15961869.75</v>
      </c>
      <c r="L203" s="12">
        <f t="shared" si="134"/>
        <v>8374916.1623400012</v>
      </c>
    </row>
    <row r="204" spans="1:18">
      <c r="B204" s="5" t="s">
        <v>51</v>
      </c>
      <c r="C204" s="164">
        <f ca="1">IF(ROUND(SUM(D204:L204),3)&lt;&gt;ROUND(SUM(C202:C203),3),#VALUE!,SUM(D204:L204))</f>
        <v>667629652.56973994</v>
      </c>
      <c r="D204" s="164">
        <f ca="1">D202+D203</f>
        <v>316509737.24000001</v>
      </c>
      <c r="E204" s="164">
        <f t="shared" ref="E204:L204" ca="1" si="138">E202+E203</f>
        <v>101373655.58</v>
      </c>
      <c r="F204" s="164">
        <f t="shared" ref="F204" ca="1" si="139">F202+F203</f>
        <v>54507.66</v>
      </c>
      <c r="G204" s="164">
        <f t="shared" ca="1" si="138"/>
        <v>149748923.41</v>
      </c>
      <c r="H204" s="164">
        <f t="shared" ref="H204" ca="1" si="140">H202+H203</f>
        <v>72860.679999999993</v>
      </c>
      <c r="I204" s="164">
        <f ca="1">I202+I203</f>
        <v>52344715.249000005</v>
      </c>
      <c r="J204" s="164">
        <f ca="1">J202+J203</f>
        <v>23797356.858400002</v>
      </c>
      <c r="K204" s="164">
        <f t="shared" ca="1" si="138"/>
        <v>15352979.73</v>
      </c>
      <c r="L204" s="164">
        <f t="shared" si="138"/>
        <v>8374916.1623400012</v>
      </c>
      <c r="O204" s="11"/>
      <c r="R204" s="11"/>
    </row>
    <row r="205" spans="1:18">
      <c r="B205" s="5" t="s">
        <v>49</v>
      </c>
      <c r="C205" s="11">
        <f ca="1">SUM(D205:L205)</f>
        <v>590562879.09586859</v>
      </c>
      <c r="D205" s="11">
        <f t="shared" ref="D205:L205" ca="1" si="141">D152</f>
        <v>279948638.18000001</v>
      </c>
      <c r="E205" s="11">
        <f t="shared" ca="1" si="141"/>
        <v>89664291.392857149</v>
      </c>
      <c r="F205" s="11">
        <f t="shared" ref="F205" ca="1" si="142">F152</f>
        <v>48212.07</v>
      </c>
      <c r="G205" s="11">
        <f t="shared" ca="1" si="141"/>
        <v>132450416.80857144</v>
      </c>
      <c r="H205" s="11">
        <f t="shared" ref="H205" ca="1" si="143">H152</f>
        <v>64444.97</v>
      </c>
      <c r="I205" s="11">
        <f ca="1">I152</f>
        <v>46296182.541699998</v>
      </c>
      <c r="J205" s="11">
        <f ca="1">J152</f>
        <v>21103693.740400001</v>
      </c>
      <c r="K205" s="11">
        <f t="shared" ca="1" si="141"/>
        <v>13579037.59</v>
      </c>
      <c r="L205" s="11">
        <f t="shared" si="141"/>
        <v>7407961.8023400009</v>
      </c>
      <c r="O205" s="11"/>
      <c r="R205" s="11"/>
    </row>
    <row r="206" spans="1:18">
      <c r="C206" s="165"/>
      <c r="D206" s="165"/>
      <c r="E206" s="165"/>
      <c r="F206" s="165"/>
      <c r="G206" s="165"/>
      <c r="H206" s="165"/>
      <c r="I206" s="165"/>
      <c r="J206" s="165"/>
      <c r="K206" s="165"/>
      <c r="L206" s="165"/>
    </row>
    <row r="207" spans="1:18" s="14" customFormat="1" ht="10.5">
      <c r="A207" s="13"/>
      <c r="B207" s="14" t="s">
        <v>52</v>
      </c>
      <c r="C207" s="15">
        <f ca="1">SUM(D207:L207)</f>
        <v>77066773.47387141</v>
      </c>
      <c r="D207" s="15">
        <f t="shared" ref="D207:L207" ca="1" si="144">D204-D205</f>
        <v>36561099.060000002</v>
      </c>
      <c r="E207" s="15">
        <f t="shared" ca="1" si="144"/>
        <v>11709364.187142849</v>
      </c>
      <c r="F207" s="15">
        <f t="shared" ref="F207" ca="1" si="145">F204-F205</f>
        <v>6295.5900000000038</v>
      </c>
      <c r="G207" s="15">
        <f t="shared" ca="1" si="144"/>
        <v>17298506.601428553</v>
      </c>
      <c r="H207" s="15">
        <f t="shared" ref="H207" ca="1" si="146">H204-H205</f>
        <v>8415.7099999999919</v>
      </c>
      <c r="I207" s="15">
        <f t="shared" ca="1" si="144"/>
        <v>6048532.7073000073</v>
      </c>
      <c r="J207" s="15">
        <f t="shared" ref="J207" ca="1" si="147">J204-J205</f>
        <v>2693663.1180000007</v>
      </c>
      <c r="K207" s="15">
        <f t="shared" ca="1" si="144"/>
        <v>1773942.1400000006</v>
      </c>
      <c r="L207" s="15">
        <f t="shared" si="144"/>
        <v>966954.36000000034</v>
      </c>
      <c r="O207" s="15"/>
      <c r="R207" s="15"/>
    </row>
    <row r="208" spans="1:18" s="14" customFormat="1" ht="10.5">
      <c r="A208" s="13"/>
      <c r="B208" s="14" t="s">
        <v>53</v>
      </c>
      <c r="C208" s="16">
        <f t="shared" ref="C208:K208" ca="1" si="148">C207/C205</f>
        <v>0.13049715144957635</v>
      </c>
      <c r="D208" s="16">
        <f ca="1">D207/D205</f>
        <v>0.13059931027952393</v>
      </c>
      <c r="E208" s="16">
        <f t="shared" ca="1" si="148"/>
        <v>0.13059116405480947</v>
      </c>
      <c r="F208" s="16">
        <f t="shared" ref="F208" ca="1" si="149">F207/F205</f>
        <v>0.130581200931634</v>
      </c>
      <c r="G208" s="16">
        <f t="shared" ca="1" si="148"/>
        <v>0.13060364035267491</v>
      </c>
      <c r="H208" s="16">
        <f t="shared" ref="H208" ca="1" si="150">H207/H205</f>
        <v>0.13058753848438431</v>
      </c>
      <c r="I208" s="16">
        <f t="shared" ca="1" si="148"/>
        <v>0.13064862749432871</v>
      </c>
      <c r="J208" s="16">
        <f t="shared" ref="J208" ca="1" si="151">J207/J205</f>
        <v>0.12763941474583515</v>
      </c>
      <c r="K208" s="16">
        <f t="shared" ca="1" si="148"/>
        <v>0.13063828185484835</v>
      </c>
      <c r="L208" s="16">
        <f>L207/L205</f>
        <v>0.13052906937162692</v>
      </c>
      <c r="M208" s="16"/>
      <c r="O208" s="16"/>
      <c r="R208" s="15"/>
    </row>
    <row r="209" spans="1:15" s="2" customFormat="1" ht="12.5">
      <c r="A209" s="1"/>
      <c r="B209" s="221" t="str">
        <f>IF(Base1_Billing2=2,"Pres and Prop Revenues may be incorrect due to Sch 59--for example all of Sch 11 gets benefit of Sch 59 but it s/only be Sch 12; see Billing Rev on Exhibit page for fix","")</f>
        <v/>
      </c>
      <c r="C209" s="17"/>
      <c r="D209" s="237"/>
      <c r="E209" s="237"/>
      <c r="F209" s="237"/>
      <c r="G209" s="237"/>
      <c r="H209" s="237"/>
      <c r="I209" s="237"/>
      <c r="J209" s="237"/>
      <c r="K209" s="237"/>
      <c r="L209" s="237"/>
    </row>
    <row r="210" spans="1:15" s="2" customFormat="1" ht="12.5">
      <c r="A210" s="1"/>
      <c r="C210" s="194"/>
      <c r="D210"/>
      <c r="E210" s="185"/>
      <c r="F210" s="185"/>
      <c r="G210" s="17"/>
      <c r="H210" s="17"/>
      <c r="I210" s="17"/>
      <c r="J210" s="17"/>
      <c r="K210" s="17"/>
      <c r="L210" s="17"/>
    </row>
    <row r="211" spans="1:15" s="2" customFormat="1" ht="12.5">
      <c r="A211" s="1"/>
      <c r="B211" s="2" t="s">
        <v>1048</v>
      </c>
      <c r="C211"/>
      <c r="D211"/>
      <c r="E211" s="651">
        <f ca="1">E205/E25</f>
        <v>215.1579806757191</v>
      </c>
      <c r="F211" s="651">
        <f t="shared" ref="F211:K211" ca="1" si="152">F205/F25</f>
        <v>317.18467105263159</v>
      </c>
      <c r="G211" s="651">
        <f t="shared" ca="1" si="152"/>
        <v>6489.4863698467143</v>
      </c>
      <c r="H211" s="651">
        <f t="shared" ca="1" si="152"/>
        <v>1741.755945945946</v>
      </c>
      <c r="I211" s="651">
        <f t="shared" ca="1" si="152"/>
        <v>183715.01008611111</v>
      </c>
      <c r="J211" s="651">
        <f t="shared" ca="1" si="152"/>
        <v>1758641.1450333335</v>
      </c>
      <c r="K211" s="651">
        <f t="shared" ca="1" si="152"/>
        <v>443.3681911385379</v>
      </c>
      <c r="L211" s="651"/>
    </row>
    <row r="212" spans="1:15" s="2" customFormat="1" ht="12.5">
      <c r="A212" s="1"/>
      <c r="B212" s="2" t="s">
        <v>1049</v>
      </c>
      <c r="C212"/>
      <c r="D212"/>
      <c r="E212" s="651">
        <f ca="1">E204/E48</f>
        <v>243.25571182784344</v>
      </c>
      <c r="F212" s="651">
        <f t="shared" ref="F212:K212" ca="1" si="153">F204/F48</f>
        <v>358.60302631578952</v>
      </c>
      <c r="G212" s="651">
        <f t="shared" ca="1" si="153"/>
        <v>7337.0369137677608</v>
      </c>
      <c r="H212" s="651">
        <f t="shared" ca="1" si="153"/>
        <v>1969.2075675675674</v>
      </c>
      <c r="I212" s="651">
        <f t="shared" ca="1" si="153"/>
        <v>207717.12400396829</v>
      </c>
      <c r="J212" s="651">
        <f t="shared" ca="1" si="153"/>
        <v>1983113.0715333335</v>
      </c>
      <c r="K212" s="651">
        <f t="shared" ca="1" si="153"/>
        <v>501.28904985796845</v>
      </c>
      <c r="L212" s="651"/>
    </row>
    <row r="213" spans="1:15" s="2" customFormat="1" ht="12.5">
      <c r="A213" s="1"/>
      <c r="B213" s="2" t="s">
        <v>672</v>
      </c>
      <c r="C213"/>
      <c r="D213"/>
      <c r="E213" s="651">
        <f ca="1">E212-E211</f>
        <v>28.097731152124339</v>
      </c>
      <c r="F213" s="651">
        <f t="shared" ref="F213:K213" ca="1" si="154">F212-F211</f>
        <v>41.418355263157935</v>
      </c>
      <c r="G213" s="651">
        <f t="shared" ca="1" si="154"/>
        <v>847.55054392104648</v>
      </c>
      <c r="H213" s="651">
        <f t="shared" ca="1" si="154"/>
        <v>227.45162162162137</v>
      </c>
      <c r="I213" s="651">
        <f t="shared" ca="1" si="154"/>
        <v>24002.113917857176</v>
      </c>
      <c r="J213" s="651">
        <f t="shared" ca="1" si="154"/>
        <v>224471.92650000006</v>
      </c>
      <c r="K213" s="651">
        <f t="shared" ca="1" si="154"/>
        <v>57.920858719430555</v>
      </c>
      <c r="L213" s="17"/>
    </row>
    <row r="214" spans="1:15" s="2" customFormat="1" ht="12.5">
      <c r="A214" s="1"/>
      <c r="C214"/>
      <c r="D214"/>
      <c r="E214" s="185"/>
      <c r="F214" s="185"/>
      <c r="G214" s="17"/>
      <c r="H214" s="17"/>
      <c r="I214" s="17"/>
      <c r="J214" s="17"/>
      <c r="K214" s="17"/>
      <c r="L214" s="17"/>
    </row>
    <row r="215" spans="1:15" s="2" customFormat="1">
      <c r="A215" s="1"/>
      <c r="C215" s="17"/>
      <c r="D215" s="17"/>
      <c r="E215" s="17"/>
      <c r="F215" s="17"/>
      <c r="G215" s="17"/>
      <c r="H215" s="17"/>
      <c r="I215" s="17"/>
      <c r="J215" s="17"/>
      <c r="K215" s="17"/>
      <c r="L215" s="17"/>
    </row>
    <row r="216" spans="1:15" s="2" customFormat="1">
      <c r="A216" s="1" t="s">
        <v>0</v>
      </c>
      <c r="C216" s="2" t="s">
        <v>1</v>
      </c>
      <c r="D216" s="2" t="s">
        <v>9</v>
      </c>
      <c r="E216" s="2" t="s">
        <v>9</v>
      </c>
      <c r="F216" s="2" t="s">
        <v>54</v>
      </c>
      <c r="G216" s="2" t="s">
        <v>54</v>
      </c>
      <c r="H216" s="2" t="s">
        <v>55</v>
      </c>
      <c r="I216" s="2" t="s">
        <v>55</v>
      </c>
    </row>
    <row r="217" spans="1:15" s="2" customFormat="1">
      <c r="A217" s="1" t="s">
        <v>8</v>
      </c>
      <c r="C217" s="3" t="s">
        <v>56</v>
      </c>
      <c r="D217" s="3" t="s">
        <v>57</v>
      </c>
      <c r="E217" s="3" t="s">
        <v>58</v>
      </c>
      <c r="F217" s="3" t="s">
        <v>57</v>
      </c>
      <c r="G217" s="3" t="s">
        <v>58</v>
      </c>
      <c r="H217" s="3" t="s">
        <v>57</v>
      </c>
      <c r="I217" s="3" t="s">
        <v>58</v>
      </c>
    </row>
    <row r="219" spans="1:15">
      <c r="B219" s="96" t="s">
        <v>59</v>
      </c>
    </row>
    <row r="220" spans="1:15" ht="10.5">
      <c r="B220" s="14" t="s">
        <v>10</v>
      </c>
    </row>
    <row r="221" spans="1:15">
      <c r="B221" s="79" t="s">
        <v>615</v>
      </c>
      <c r="C221" s="10">
        <f ca="1">D62</f>
        <v>9.0670000000000002</v>
      </c>
      <c r="D221" s="12">
        <f>D8</f>
        <v>1718630296.2747939</v>
      </c>
      <c r="E221" s="11">
        <f ca="1">C221*D221/100</f>
        <v>155828208.96323556</v>
      </c>
      <c r="F221" s="12">
        <f>MIN(D221,F225)</f>
        <v>1718630296</v>
      </c>
      <c r="G221" s="11">
        <f ca="1">F221*C221/100</f>
        <v>155828208.93832001</v>
      </c>
      <c r="H221" s="12">
        <f>D221-F221</f>
        <v>0.27479386329650879</v>
      </c>
      <c r="I221" s="11">
        <f ca="1">H221*C221/100</f>
        <v>2.4915559585094452E-2</v>
      </c>
      <c r="L221" s="300">
        <f>H221/$H$225</f>
        <v>2.8872348777488767E-10</v>
      </c>
      <c r="N221" s="302">
        <f>L221*$D$145</f>
        <v>-1.8212385420670284E-2</v>
      </c>
      <c r="O221" s="301">
        <f ca="1">N221*(C221/100)</f>
        <v>-1.6513169860921746E-3</v>
      </c>
    </row>
    <row r="222" spans="1:15">
      <c r="B222" s="79" t="s">
        <v>616</v>
      </c>
      <c r="C222" s="10">
        <f ca="1">D63</f>
        <v>10.653</v>
      </c>
      <c r="D222" s="12">
        <f>D9</f>
        <v>577659306.88565063</v>
      </c>
      <c r="E222" s="11">
        <f ca="1">C222*D222/100</f>
        <v>61538045.962528363</v>
      </c>
      <c r="F222" s="12">
        <f>MIN(F225-F221,D222)</f>
        <v>0</v>
      </c>
      <c r="G222" s="11">
        <f ca="1">F222*C222/100</f>
        <v>0</v>
      </c>
      <c r="H222" s="12">
        <f>D222-F222</f>
        <v>577659306.88565063</v>
      </c>
      <c r="I222" s="11">
        <f ca="1">H222*C222/100</f>
        <v>61538045.962528363</v>
      </c>
      <c r="L222" s="300">
        <f>H222/$H$225</f>
        <v>0.60694153729949107</v>
      </c>
      <c r="N222" s="302">
        <f>L222*$D$145</f>
        <v>-38285257.948016152</v>
      </c>
      <c r="O222" s="301">
        <f ca="1">N222*(C222/100)</f>
        <v>-4078528.5292021604</v>
      </c>
    </row>
    <row r="223" spans="1:15">
      <c r="B223" s="79" t="s">
        <v>617</v>
      </c>
      <c r="C223" s="10">
        <f ca="1">D64</f>
        <v>12.606</v>
      </c>
      <c r="D223" s="12">
        <f>D10</f>
        <v>374095139.33183551</v>
      </c>
      <c r="E223" s="11">
        <f ca="1">C223*D223/100</f>
        <v>47158433.264171183</v>
      </c>
      <c r="F223" s="12">
        <f>MIN(F225-F221-F222,D223)</f>
        <v>0</v>
      </c>
      <c r="G223" s="11">
        <f ca="1">F223*C223/100</f>
        <v>0</v>
      </c>
      <c r="H223" s="12">
        <f>D223-F223</f>
        <v>374095139.33183551</v>
      </c>
      <c r="I223" s="11">
        <f ca="1">H223*C223/100</f>
        <v>47158433.264171183</v>
      </c>
      <c r="L223" s="300">
        <f>H223/$H$225</f>
        <v>0.39305846241178544</v>
      </c>
      <c r="N223" s="302">
        <f>L223*$D$145</f>
        <v>-24793730.033771466</v>
      </c>
      <c r="O223" s="301">
        <f ca="1">N223*(C223/100)</f>
        <v>-3125497.6080572312</v>
      </c>
    </row>
    <row r="224" spans="1:15">
      <c r="D224" s="92"/>
      <c r="E224" s="167"/>
      <c r="F224" s="92"/>
      <c r="G224" s="167"/>
      <c r="H224" s="92"/>
      <c r="I224" s="167"/>
      <c r="N224" s="302">
        <f>SUM(N221:N223)</f>
        <v>-63078988</v>
      </c>
      <c r="O224" s="301">
        <f ca="1">SUM(O221:O223)</f>
        <v>-7204026.1389107089</v>
      </c>
    </row>
    <row r="225" spans="2:9">
      <c r="B225" s="5" t="s">
        <v>9</v>
      </c>
      <c r="D225" s="12">
        <f t="shared" ref="D225:I225" si="155">D221+D222+D223</f>
        <v>2670384742.49228</v>
      </c>
      <c r="E225" s="11">
        <f t="shared" ca="1" si="155"/>
        <v>264524688.18993509</v>
      </c>
      <c r="F225" s="95">
        <v>1718630296</v>
      </c>
      <c r="G225" s="11">
        <f t="shared" ca="1" si="155"/>
        <v>155828208.93832001</v>
      </c>
      <c r="H225" s="12">
        <f t="shared" si="155"/>
        <v>951754446.49228001</v>
      </c>
      <c r="I225" s="11">
        <f t="shared" ca="1" si="155"/>
        <v>108696479.25161511</v>
      </c>
    </row>
    <row r="226" spans="2:9">
      <c r="B226" s="5" t="s">
        <v>60</v>
      </c>
      <c r="D226" s="12"/>
      <c r="E226" s="10">
        <f ca="1">E225/D225*100</f>
        <v>9.9058642741889393</v>
      </c>
      <c r="F226" s="10"/>
      <c r="G226" s="10">
        <f ca="1">G225/F225*100</f>
        <v>9.0670000000000002</v>
      </c>
      <c r="H226" s="12"/>
      <c r="I226" s="10">
        <f ca="1">I225/H225*100</f>
        <v>11.420643176632302</v>
      </c>
    </row>
    <row r="227" spans="2:9">
      <c r="D227" s="12"/>
      <c r="F227" s="12"/>
      <c r="H227" s="12"/>
    </row>
    <row r="228" spans="2:9">
      <c r="B228" s="96" t="s">
        <v>61</v>
      </c>
      <c r="D228" s="12"/>
      <c r="F228" s="12"/>
      <c r="H228" s="12"/>
    </row>
    <row r="229" spans="2:9" ht="10.5">
      <c r="B229" s="14" t="s">
        <v>10</v>
      </c>
      <c r="D229" s="12"/>
      <c r="F229" s="12"/>
      <c r="H229" s="12"/>
    </row>
    <row r="230" spans="2:9">
      <c r="B230" s="79" t="s">
        <v>615</v>
      </c>
      <c r="C230" s="10">
        <f ca="1">D79</f>
        <v>9.782</v>
      </c>
      <c r="D230" s="12">
        <f>D221</f>
        <v>1718630296.2747939</v>
      </c>
      <c r="E230" s="11">
        <f ca="1">C230*D230/100</f>
        <v>168116415.58160034</v>
      </c>
      <c r="F230" s="12">
        <f>MIN(D230,F234)</f>
        <v>1718630296</v>
      </c>
      <c r="G230" s="11">
        <f ca="1">F230*C230/100</f>
        <v>168116415.55472001</v>
      </c>
      <c r="H230" s="12">
        <f>H221</f>
        <v>0.27479386329650879</v>
      </c>
      <c r="I230" s="11">
        <f ca="1">H230*C230/100</f>
        <v>2.6880335707664491E-2</v>
      </c>
    </row>
    <row r="231" spans="2:9">
      <c r="B231" s="79" t="s">
        <v>616</v>
      </c>
      <c r="C231" s="10">
        <f ca="1">D80</f>
        <v>11.493</v>
      </c>
      <c r="D231" s="12">
        <f>D222</f>
        <v>577659306.88565063</v>
      </c>
      <c r="E231" s="11">
        <f ca="1">C231*D231/100</f>
        <v>66390384.140367836</v>
      </c>
      <c r="F231" s="12">
        <f>MIN(F234-F230,D231)</f>
        <v>0</v>
      </c>
      <c r="G231" s="11">
        <f ca="1">F231*C231/100</f>
        <v>0</v>
      </c>
      <c r="H231" s="12">
        <f>H222</f>
        <v>577659306.88565063</v>
      </c>
      <c r="I231" s="11">
        <f ca="1">H231*C231/100</f>
        <v>66390384.140367836</v>
      </c>
    </row>
    <row r="232" spans="2:9">
      <c r="B232" s="79" t="s">
        <v>618</v>
      </c>
      <c r="C232" s="10">
        <f ca="1">D81</f>
        <v>13.6</v>
      </c>
      <c r="D232" s="12">
        <f>D223</f>
        <v>374095139.33183551</v>
      </c>
      <c r="E232" s="11">
        <f ca="1">C232*D232/100</f>
        <v>50876938.949129626</v>
      </c>
      <c r="F232" s="12">
        <f>MIN(F234-F230-F231,D232)</f>
        <v>0</v>
      </c>
      <c r="G232" s="11">
        <f ca="1">F232*C232/100</f>
        <v>0</v>
      </c>
      <c r="H232" s="12">
        <f>H223</f>
        <v>374095139.33183551</v>
      </c>
      <c r="I232" s="11">
        <f ca="1">H232*C232/100</f>
        <v>50876938.949129626</v>
      </c>
    </row>
    <row r="233" spans="2:9">
      <c r="D233" s="92"/>
      <c r="E233" s="167"/>
      <c r="F233" s="92"/>
      <c r="G233" s="167"/>
      <c r="H233" s="92"/>
      <c r="I233" s="167"/>
    </row>
    <row r="234" spans="2:9">
      <c r="B234" s="5" t="s">
        <v>9</v>
      </c>
      <c r="D234" s="12">
        <f t="shared" ref="D234:I234" si="156">D230+D231+D232</f>
        <v>2670384742.49228</v>
      </c>
      <c r="E234" s="11">
        <f t="shared" ca="1" si="156"/>
        <v>285383738.67109782</v>
      </c>
      <c r="F234" s="12">
        <f>F225</f>
        <v>1718630296</v>
      </c>
      <c r="G234" s="11">
        <f t="shared" ca="1" si="156"/>
        <v>168116415.55472001</v>
      </c>
      <c r="H234" s="12">
        <f t="shared" si="156"/>
        <v>951754446.49228001</v>
      </c>
      <c r="I234" s="11">
        <f t="shared" ca="1" si="156"/>
        <v>117267323.1163778</v>
      </c>
    </row>
    <row r="235" spans="2:9">
      <c r="B235" s="5" t="s">
        <v>60</v>
      </c>
      <c r="D235" s="12"/>
      <c r="E235" s="10">
        <f ca="1">E234/D234*100</f>
        <v>10.686989561090291</v>
      </c>
      <c r="F235" s="10"/>
      <c r="G235" s="10">
        <f ca="1">G234/F234*100</f>
        <v>9.782</v>
      </c>
      <c r="H235" s="12"/>
      <c r="I235" s="10">
        <f ca="1">I234/H234*100</f>
        <v>12.321174179807628</v>
      </c>
    </row>
    <row r="236" spans="2:9">
      <c r="D236" s="12"/>
      <c r="F236" s="12"/>
      <c r="G236" s="10"/>
      <c r="H236" s="12"/>
      <c r="I236" s="10"/>
    </row>
    <row r="237" spans="2:9">
      <c r="D237" s="12"/>
      <c r="F237" s="12"/>
      <c r="H237" s="12"/>
    </row>
    <row r="238" spans="2:9">
      <c r="D238" s="12"/>
      <c r="F238" s="12"/>
      <c r="H238" s="12"/>
    </row>
    <row r="239" spans="2:9">
      <c r="B239" s="96" t="s">
        <v>59</v>
      </c>
      <c r="D239" s="12"/>
      <c r="F239" s="12"/>
      <c r="H239" s="12"/>
    </row>
    <row r="240" spans="2:9" ht="10.5">
      <c r="B240" s="14" t="s">
        <v>62</v>
      </c>
      <c r="D240" s="12"/>
      <c r="F240" s="12"/>
      <c r="H240" s="12"/>
    </row>
    <row r="241" spans="2:9">
      <c r="B241" s="79" t="s">
        <v>210</v>
      </c>
      <c r="C241" s="10">
        <f ca="1">E62</f>
        <v>12.385</v>
      </c>
      <c r="D241" s="12">
        <f>E8</f>
        <v>466372572.30339468</v>
      </c>
      <c r="E241" s="11">
        <f ca="1">C241*D241/100</f>
        <v>57760243.07977543</v>
      </c>
      <c r="F241" s="12">
        <f>MIN(D241,F244)</f>
        <v>466328703</v>
      </c>
      <c r="G241" s="11">
        <f ca="1">F241*C241/100</f>
        <v>57754809.866549999</v>
      </c>
      <c r="H241" s="12">
        <f>D241-F241</f>
        <v>43869.303394675255</v>
      </c>
      <c r="I241" s="11">
        <f ca="1">H241*C241/100</f>
        <v>5433.2132254305307</v>
      </c>
    </row>
    <row r="242" spans="2:9">
      <c r="B242" s="79" t="s">
        <v>211</v>
      </c>
      <c r="C242" s="10">
        <f ca="1">E63</f>
        <v>9.0150000000000006</v>
      </c>
      <c r="D242" s="12">
        <f>E9</f>
        <v>234380452.38748533</v>
      </c>
      <c r="E242" s="11">
        <f ca="1">C242*D242/100</f>
        <v>21129397.782731801</v>
      </c>
      <c r="F242" s="12">
        <f>MIN(F244-F241,D242)</f>
        <v>0</v>
      </c>
      <c r="G242" s="11">
        <f ca="1">F242*C242/100</f>
        <v>0</v>
      </c>
      <c r="H242" s="12">
        <f>D242-F242</f>
        <v>234380452.38748533</v>
      </c>
      <c r="I242" s="11">
        <f ca="1">H242*C242/100</f>
        <v>21129397.782731801</v>
      </c>
    </row>
    <row r="243" spans="2:9">
      <c r="D243" s="92"/>
      <c r="E243" s="167"/>
      <c r="F243" s="92"/>
      <c r="G243" s="167"/>
      <c r="H243" s="92"/>
      <c r="I243" s="167"/>
    </row>
    <row r="244" spans="2:9">
      <c r="B244" s="5" t="s">
        <v>9</v>
      </c>
      <c r="D244" s="12">
        <f t="shared" ref="D244:I244" si="157">D241+D242</f>
        <v>700753024.69088006</v>
      </c>
      <c r="E244" s="11">
        <f t="shared" ca="1" si="157"/>
        <v>78889640.862507224</v>
      </c>
      <c r="F244" s="95">
        <v>466328703</v>
      </c>
      <c r="G244" s="11">
        <f t="shared" ca="1" si="157"/>
        <v>57754809.866549999</v>
      </c>
      <c r="H244" s="12">
        <f t="shared" si="157"/>
        <v>234424321.69088</v>
      </c>
      <c r="I244" s="11">
        <f t="shared" ca="1" si="157"/>
        <v>21134830.995957233</v>
      </c>
    </row>
    <row r="245" spans="2:9">
      <c r="B245" s="5" t="s">
        <v>60</v>
      </c>
      <c r="D245" s="12"/>
      <c r="E245" s="10">
        <f ca="1">E244/D244*100</f>
        <v>11.257838080300466</v>
      </c>
      <c r="F245" s="10"/>
      <c r="G245" s="10">
        <f ca="1">G244/F244*100</f>
        <v>12.385</v>
      </c>
      <c r="H245" s="12"/>
      <c r="I245" s="10">
        <f ca="1">I244/H244*100</f>
        <v>9.0156306493770515</v>
      </c>
    </row>
    <row r="246" spans="2:9">
      <c r="D246" s="12"/>
      <c r="F246" s="12"/>
      <c r="G246" s="10"/>
      <c r="H246" s="12"/>
      <c r="I246" s="10"/>
    </row>
    <row r="247" spans="2:9">
      <c r="B247" s="96" t="s">
        <v>61</v>
      </c>
      <c r="D247" s="12"/>
      <c r="F247" s="12"/>
      <c r="H247" s="12"/>
    </row>
    <row r="248" spans="2:9" ht="10.5">
      <c r="B248" s="14" t="s">
        <v>62</v>
      </c>
      <c r="D248" s="12"/>
      <c r="F248" s="12"/>
      <c r="H248" s="12"/>
    </row>
    <row r="249" spans="2:9">
      <c r="B249" s="79" t="s">
        <v>210</v>
      </c>
      <c r="C249" s="10">
        <f ca="1">E79</f>
        <v>13.87</v>
      </c>
      <c r="D249" s="12">
        <f>E31</f>
        <v>466372572.30339468</v>
      </c>
      <c r="E249" s="11">
        <f ca="1">C249*D249/100</f>
        <v>64685875.778480835</v>
      </c>
      <c r="F249" s="12">
        <f>MIN(D249,F252)</f>
        <v>466328703</v>
      </c>
      <c r="G249" s="11">
        <f ca="1">F249*C249/100</f>
        <v>64679791.106099993</v>
      </c>
      <c r="H249" s="12">
        <f>D249-F249</f>
        <v>43869.303394675255</v>
      </c>
      <c r="I249" s="11">
        <f ca="1">H249*C249/100</f>
        <v>6084.6723808414572</v>
      </c>
    </row>
    <row r="250" spans="2:9">
      <c r="B250" s="79" t="s">
        <v>211</v>
      </c>
      <c r="C250" s="10">
        <f ca="1">E80</f>
        <v>10.096</v>
      </c>
      <c r="D250" s="12">
        <f>E32</f>
        <v>234380452.38748533</v>
      </c>
      <c r="E250" s="11">
        <f ca="1">C250*D250/100</f>
        <v>23663050.473040517</v>
      </c>
      <c r="F250" s="12">
        <f>MIN(F252-F249,D250)</f>
        <v>0</v>
      </c>
      <c r="G250" s="11">
        <f ca="1">F250*C250/100</f>
        <v>0</v>
      </c>
      <c r="H250" s="12">
        <f>D250-F250</f>
        <v>234380452.38748533</v>
      </c>
      <c r="I250" s="11">
        <f ca="1">H250*C250/100</f>
        <v>23663050.473040517</v>
      </c>
    </row>
    <row r="251" spans="2:9">
      <c r="D251" s="92"/>
      <c r="E251" s="167"/>
      <c r="F251" s="92"/>
      <c r="G251" s="167"/>
      <c r="H251" s="92"/>
      <c r="I251" s="167"/>
    </row>
    <row r="252" spans="2:9">
      <c r="B252" s="5" t="s">
        <v>9</v>
      </c>
      <c r="D252" s="12">
        <f t="shared" ref="D252:I252" si="158">D249+D250</f>
        <v>700753024.69088006</v>
      </c>
      <c r="E252" s="11">
        <f t="shared" ca="1" si="158"/>
        <v>88348926.251521349</v>
      </c>
      <c r="F252" s="12">
        <f>F244</f>
        <v>466328703</v>
      </c>
      <c r="G252" s="11">
        <f t="shared" ca="1" si="158"/>
        <v>64679791.106099993</v>
      </c>
      <c r="H252" s="12">
        <f t="shared" si="158"/>
        <v>234424321.69088</v>
      </c>
      <c r="I252" s="11">
        <f t="shared" ca="1" si="158"/>
        <v>23669135.14542136</v>
      </c>
    </row>
    <row r="253" spans="2:9">
      <c r="B253" s="5" t="s">
        <v>60</v>
      </c>
      <c r="E253" s="10">
        <f ca="1">E252/D252*100</f>
        <v>12.607712437701471</v>
      </c>
      <c r="F253" s="10"/>
      <c r="G253" s="10">
        <f ca="1">G252/F252*100</f>
        <v>13.87</v>
      </c>
      <c r="I253" s="10">
        <f ca="1">I252/H252*100</f>
        <v>10.096706252447772</v>
      </c>
    </row>
    <row r="264" spans="1:9" s="2" customFormat="1" ht="12.5">
      <c r="A264" s="1"/>
      <c r="B264" s="221" t="str">
        <f>IF(Base1_Billing2=2,"Pres and Prop Revenues may be incorrect due to Sch 59--for example all of Sch 11 gets benefit of Sch 59 but it s/only be Sch 12; see Billing Rev on Exhibit page for fix","")</f>
        <v/>
      </c>
      <c r="C264" s="17"/>
      <c r="D264"/>
      <c r="E264"/>
      <c r="F264"/>
      <c r="G264"/>
      <c r="H264"/>
      <c r="I264"/>
    </row>
    <row r="265" spans="1:9" s="2" customFormat="1" ht="12.5">
      <c r="A265" s="1"/>
      <c r="C265"/>
      <c r="D265"/>
      <c r="E265" s="185"/>
      <c r="F265" s="17"/>
      <c r="G265" s="17"/>
      <c r="H265" s="17"/>
      <c r="I265" s="17"/>
    </row>
    <row r="266" spans="1:9" s="2" customFormat="1" ht="12.5">
      <c r="A266" s="1"/>
      <c r="C266"/>
      <c r="D266"/>
      <c r="E266" s="185"/>
      <c r="F266" s="17"/>
      <c r="G266" s="17"/>
      <c r="H266" s="17"/>
      <c r="I266" s="17"/>
    </row>
    <row r="267" spans="1:9" s="2" customFormat="1" ht="12.5">
      <c r="A267" s="1"/>
      <c r="C267"/>
      <c r="D267"/>
      <c r="E267" s="185"/>
      <c r="F267" s="17"/>
      <c r="G267" s="17"/>
      <c r="H267" s="17"/>
      <c r="I267" s="17"/>
    </row>
    <row r="268" spans="1:9" s="2" customFormat="1">
      <c r="A268" s="1"/>
      <c r="C268" s="17"/>
      <c r="D268" s="17"/>
      <c r="E268" s="17"/>
      <c r="F268" s="17"/>
      <c r="G268" s="17"/>
      <c r="H268" s="17"/>
      <c r="I268" s="17"/>
    </row>
    <row r="269" spans="1:9" s="2" customFormat="1">
      <c r="A269" s="1" t="s">
        <v>0</v>
      </c>
      <c r="C269" s="2" t="s">
        <v>1</v>
      </c>
      <c r="D269" s="2" t="s">
        <v>9</v>
      </c>
      <c r="E269" s="2" t="s">
        <v>9</v>
      </c>
      <c r="F269" s="2" t="s">
        <v>54</v>
      </c>
      <c r="G269" s="2" t="s">
        <v>54</v>
      </c>
      <c r="H269" s="2" t="s">
        <v>55</v>
      </c>
      <c r="I269" s="2" t="s">
        <v>55</v>
      </c>
    </row>
    <row r="270" spans="1:9" s="2" customFormat="1">
      <c r="A270" s="1" t="s">
        <v>8</v>
      </c>
      <c r="C270" s="3" t="s">
        <v>56</v>
      </c>
      <c r="D270" s="3" t="s">
        <v>57</v>
      </c>
      <c r="E270" s="3" t="s">
        <v>58</v>
      </c>
      <c r="F270" s="3" t="s">
        <v>57</v>
      </c>
      <c r="G270" s="3" t="s">
        <v>58</v>
      </c>
      <c r="H270" s="3" t="s">
        <v>57</v>
      </c>
      <c r="I270" s="3" t="s">
        <v>58</v>
      </c>
    </row>
    <row r="272" spans="1:9">
      <c r="B272" s="96" t="s">
        <v>59</v>
      </c>
    </row>
    <row r="273" spans="2:9" ht="10.5">
      <c r="B273" s="14" t="s">
        <v>371</v>
      </c>
    </row>
    <row r="274" spans="2:9">
      <c r="B274" s="79" t="s">
        <v>372</v>
      </c>
      <c r="C274" s="10">
        <f ca="1">G62</f>
        <v>7.9139999999999997</v>
      </c>
      <c r="D274" s="12">
        <f>G8</f>
        <v>1181273588.82234</v>
      </c>
      <c r="E274" s="11">
        <f ca="1">C274*D274/100</f>
        <v>93485991.819399983</v>
      </c>
      <c r="F274" s="12">
        <f>MIN(D274,F277)</f>
        <v>1181273588.82234</v>
      </c>
      <c r="G274" s="11">
        <f ca="1">F274*C274/100</f>
        <v>93485991.819399983</v>
      </c>
      <c r="H274" s="12">
        <f>D274-F274</f>
        <v>0</v>
      </c>
      <c r="I274" s="11">
        <f ca="1">H274*C274/100</f>
        <v>0</v>
      </c>
    </row>
    <row r="275" spans="2:9">
      <c r="B275" s="79" t="s">
        <v>373</v>
      </c>
      <c r="C275" s="10">
        <f ca="1">G63</f>
        <v>7.0540000000000003</v>
      </c>
      <c r="D275" s="12">
        <f>G9</f>
        <v>144121754.80867997</v>
      </c>
      <c r="E275" s="11">
        <f ca="1">C275*D275/100</f>
        <v>10166348.584204284</v>
      </c>
      <c r="F275" s="12">
        <f>MIN(F277-F274,D275)</f>
        <v>0.17765998840332031</v>
      </c>
      <c r="G275" s="11">
        <f ca="1">F275*C275/100</f>
        <v>1.2532135581970217E-2</v>
      </c>
      <c r="H275" s="12">
        <f>D275-F275</f>
        <v>144121754.63101998</v>
      </c>
      <c r="I275" s="11">
        <f ca="1">H275*C275/100</f>
        <v>10166348.571672149</v>
      </c>
    </row>
    <row r="276" spans="2:9">
      <c r="D276" s="92"/>
      <c r="E276" s="167"/>
      <c r="F276" s="92"/>
      <c r="G276" s="167"/>
      <c r="H276" s="92"/>
      <c r="I276" s="167"/>
    </row>
    <row r="277" spans="2:9">
      <c r="B277" s="5" t="s">
        <v>9</v>
      </c>
      <c r="D277" s="12">
        <f>D274+D275</f>
        <v>1325395343.6310201</v>
      </c>
      <c r="E277" s="12">
        <f ca="1">E274+E275</f>
        <v>103652340.40360427</v>
      </c>
      <c r="F277" s="95">
        <v>1181273589</v>
      </c>
      <c r="G277" s="12">
        <f ca="1">G274+G275</f>
        <v>93485991.831932113</v>
      </c>
      <c r="H277" s="12">
        <f>H274+H275</f>
        <v>144121754.63101998</v>
      </c>
      <c r="I277" s="12">
        <f ca="1">I274+I275</f>
        <v>10166348.571672149</v>
      </c>
    </row>
    <row r="278" spans="2:9">
      <c r="B278" s="5" t="s">
        <v>60</v>
      </c>
      <c r="D278" s="12"/>
      <c r="E278" s="10">
        <f ca="1">E277/D277*100</f>
        <v>7.8204847256850094</v>
      </c>
      <c r="F278" s="12"/>
      <c r="G278" s="10">
        <f ca="1">G277/F277*100</f>
        <v>7.9139999998706578</v>
      </c>
      <c r="H278" s="12"/>
      <c r="I278" s="10">
        <f ca="1">I277/H277*100</f>
        <v>7.0539999999999994</v>
      </c>
    </row>
    <row r="279" spans="2:9">
      <c r="D279" s="12"/>
      <c r="F279" s="12"/>
      <c r="H279" s="12"/>
    </row>
    <row r="280" spans="2:9">
      <c r="B280" s="96" t="s">
        <v>61</v>
      </c>
      <c r="D280" s="12"/>
      <c r="F280" s="12"/>
      <c r="H280" s="12"/>
    </row>
    <row r="281" spans="2:9" ht="10.5">
      <c r="B281" s="14" t="s">
        <v>371</v>
      </c>
      <c r="D281" s="12"/>
      <c r="F281" s="12"/>
      <c r="H281" s="12"/>
    </row>
    <row r="282" spans="2:9">
      <c r="B282" s="79" t="s">
        <v>372</v>
      </c>
      <c r="C282" s="10">
        <f ca="1">G79</f>
        <v>8.7270000000000003</v>
      </c>
      <c r="D282" s="12">
        <f>D274</f>
        <v>1181273588.82234</v>
      </c>
      <c r="E282" s="11">
        <f ca="1">C282*D282/100</f>
        <v>103089746.09652561</v>
      </c>
      <c r="F282" s="12">
        <f>MIN(D282,F285)</f>
        <v>1181273588.82234</v>
      </c>
      <c r="G282" s="11">
        <f ca="1">F282*C282/100</f>
        <v>103089746.09652561</v>
      </c>
      <c r="H282" s="12">
        <f>H274</f>
        <v>0</v>
      </c>
      <c r="I282" s="11">
        <f ca="1">H282*C282/100</f>
        <v>0</v>
      </c>
    </row>
    <row r="283" spans="2:9">
      <c r="B283" s="79" t="s">
        <v>373</v>
      </c>
      <c r="C283" s="10">
        <f ca="1">G80</f>
        <v>7.78</v>
      </c>
      <c r="D283" s="12">
        <f>D275</f>
        <v>144121754.80867997</v>
      </c>
      <c r="E283" s="11">
        <f ca="1">C283*D283/100</f>
        <v>11212672.524115302</v>
      </c>
      <c r="F283" s="12">
        <f>MIN(F285-F282,D283)</f>
        <v>0.17765998840332031</v>
      </c>
      <c r="G283" s="11">
        <f ca="1">F283*C283/100</f>
        <v>1.382194709777832E-2</v>
      </c>
      <c r="H283" s="12">
        <f>H275</f>
        <v>144121754.63101998</v>
      </c>
      <c r="I283" s="11">
        <f ca="1">H283*C283/100</f>
        <v>11212672.510293355</v>
      </c>
    </row>
    <row r="284" spans="2:9">
      <c r="D284" s="92"/>
      <c r="E284" s="167"/>
      <c r="F284" s="92"/>
      <c r="G284" s="167"/>
      <c r="H284" s="92"/>
      <c r="I284" s="167"/>
    </row>
    <row r="285" spans="2:9">
      <c r="B285" s="5" t="s">
        <v>9</v>
      </c>
      <c r="D285" s="12">
        <f>D282+D283</f>
        <v>1325395343.6310201</v>
      </c>
      <c r="E285" s="12">
        <f ca="1">E282+E283</f>
        <v>114302418.6206409</v>
      </c>
      <c r="F285" s="12">
        <f>F277</f>
        <v>1181273589</v>
      </c>
      <c r="G285" s="12">
        <f ca="1">G282+G283</f>
        <v>103089746.11034755</v>
      </c>
      <c r="H285" s="12">
        <f>H282+H283</f>
        <v>144121754.63101998</v>
      </c>
      <c r="I285" s="12">
        <f ca="1">I282+I283</f>
        <v>11212672.510293355</v>
      </c>
    </row>
    <row r="286" spans="2:9">
      <c r="B286" s="5" t="s">
        <v>60</v>
      </c>
      <c r="D286" s="12"/>
      <c r="F286" s="12"/>
      <c r="G286" s="10">
        <f ca="1">G285/F285*100</f>
        <v>8.7269999998575738</v>
      </c>
      <c r="H286" s="12"/>
      <c r="I286" s="10">
        <f ca="1">I285/H285*100</f>
        <v>7.7800000000000011</v>
      </c>
    </row>
    <row r="299" spans="4:9">
      <c r="D299" s="9">
        <f ca="1">D207/D48</f>
        <v>13.352374890985665</v>
      </c>
      <c r="E299" s="9">
        <f ca="1">E207/E48</f>
        <v>28.097731152124361</v>
      </c>
      <c r="F299" s="9">
        <f ca="1">G207/G48</f>
        <v>847.55054392104626</v>
      </c>
      <c r="G299" s="9">
        <f ca="1">I207/I48</f>
        <v>24002.113917857172</v>
      </c>
      <c r="H299" s="9">
        <f ca="1">K207/K48</f>
        <v>57.920858719430591</v>
      </c>
      <c r="I299" s="9"/>
    </row>
    <row r="300" spans="4:9">
      <c r="D300" s="8">
        <f>D23/D25</f>
        <v>944.77574655364231</v>
      </c>
      <c r="E300" s="8">
        <f>E23/E25</f>
        <v>1626.2044399486488</v>
      </c>
      <c r="F300" s="8">
        <f>G23/G25</f>
        <v>62906.672838364531</v>
      </c>
      <c r="G300" s="8">
        <f>I23/I25</f>
        <v>2491448.3578055557</v>
      </c>
      <c r="H300" s="8">
        <f>K23/K25</f>
        <v>4595.009516478598</v>
      </c>
    </row>
    <row r="301" spans="4:9">
      <c r="D301" s="357" t="e">
        <f>D300*-#REF!</f>
        <v>#REF!</v>
      </c>
      <c r="E301" s="357" t="e">
        <f>E300*-#REF!</f>
        <v>#REF!</v>
      </c>
      <c r="F301" s="357" t="e">
        <f>F300*-#REF!</f>
        <v>#REF!</v>
      </c>
      <c r="G301" s="357" t="e">
        <f>G300*-#REF!</f>
        <v>#REF!</v>
      </c>
      <c r="H301" s="357" t="e">
        <f>H300*-#REF!</f>
        <v>#REF!</v>
      </c>
    </row>
    <row r="302" spans="4:9">
      <c r="D302" s="314">
        <f ca="1">(800*((D79-D62)/100))+(118*((D80-D63)/100))+(D76-D59)</f>
        <v>12.711199999999998</v>
      </c>
    </row>
    <row r="305" spans="4:8">
      <c r="D305" s="9" t="e">
        <f ca="1">D299+D301</f>
        <v>#REF!</v>
      </c>
      <c r="E305" s="9" t="e">
        <f ca="1">E299+E301</f>
        <v>#REF!</v>
      </c>
      <c r="F305" s="9" t="e">
        <f ca="1">F299+F301</f>
        <v>#REF!</v>
      </c>
      <c r="G305" s="9" t="e">
        <f ca="1">G299+G301</f>
        <v>#REF!</v>
      </c>
      <c r="H305" s="9" t="e">
        <f ca="1">H299+H301</f>
        <v>#REF!</v>
      </c>
    </row>
    <row r="309" spans="4:8">
      <c r="D309" s="12"/>
    </row>
    <row r="310" spans="4:8">
      <c r="D310" s="12"/>
    </row>
    <row r="311" spans="4:8">
      <c r="D311" s="8"/>
    </row>
  </sheetData>
  <mergeCells count="2">
    <mergeCell ref="S6:U11"/>
    <mergeCell ref="B95:K96"/>
  </mergeCells>
  <phoneticPr fontId="0" type="noConversion"/>
  <conditionalFormatting sqref="O55">
    <cfRule type="cellIs" dxfId="27" priority="1" stopIfTrue="1" operator="greaterThan">
      <formula>0</formula>
    </cfRule>
  </conditionalFormatting>
  <pageMargins left="0.75" right="0.75" top="0.5" bottom="0.5" header="0.25" footer="0.5"/>
  <pageSetup scale="74" orientation="landscape" r:id="rId1"/>
  <headerFooter alignWithMargins="0">
    <oddHeader>&amp;C&amp;"Arial,Bold"&amp;9AVISTA UTILITIES
WASHINGTON ELECTRIC
PRO FORMA REVENUE UNDER PRESENT AND PROPOSED BASE TARIFF RATES
12 MONTHS ENDED JUNE 30, 2023</oddHeader>
  </headerFooter>
  <rowBreaks count="5" manualBreakCount="5">
    <brk id="51" max="8" man="1"/>
    <brk id="100" max="8" man="1"/>
    <brk id="154" max="8" man="1"/>
    <brk id="209" max="8" man="1"/>
    <brk id="264" max="8"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CD1CC-E328-4F5F-8786-B8E8D4F66EFE}">
  <dimension ref="A4:P43"/>
  <sheetViews>
    <sheetView topLeftCell="A4" workbookViewId="0">
      <selection activeCell="S33" sqref="S33"/>
    </sheetView>
  </sheetViews>
  <sheetFormatPr defaultRowHeight="12.5"/>
  <cols>
    <col min="2" max="2" width="19.453125" bestFit="1" customWidth="1"/>
    <col min="3" max="14" width="12.26953125" bestFit="1" customWidth="1"/>
    <col min="15" max="15" width="16.54296875" bestFit="1" customWidth="1"/>
    <col min="16" max="16" width="10.26953125" bestFit="1" customWidth="1"/>
  </cols>
  <sheetData>
    <row r="4" spans="1:16">
      <c r="C4" t="s">
        <v>191</v>
      </c>
    </row>
    <row r="5" spans="1:16">
      <c r="B5" t="s">
        <v>428</v>
      </c>
      <c r="C5" t="s">
        <v>792</v>
      </c>
      <c r="D5" t="s">
        <v>793</v>
      </c>
      <c r="E5" t="s">
        <v>794</v>
      </c>
      <c r="F5" t="s">
        <v>795</v>
      </c>
      <c r="G5" t="s">
        <v>796</v>
      </c>
      <c r="H5" t="s">
        <v>797</v>
      </c>
      <c r="I5" t="s">
        <v>798</v>
      </c>
      <c r="J5" t="s">
        <v>799</v>
      </c>
      <c r="K5" t="s">
        <v>800</v>
      </c>
      <c r="L5" t="s">
        <v>801</v>
      </c>
      <c r="M5" t="s">
        <v>802</v>
      </c>
      <c r="N5" t="s">
        <v>803</v>
      </c>
      <c r="O5" t="s">
        <v>429</v>
      </c>
      <c r="P5" t="s">
        <v>64</v>
      </c>
    </row>
    <row r="6" spans="1:16">
      <c r="A6" t="s">
        <v>353</v>
      </c>
    </row>
    <row r="7" spans="1:16">
      <c r="A7" t="s">
        <v>546</v>
      </c>
      <c r="C7" s="335">
        <v>225506</v>
      </c>
      <c r="D7" s="335">
        <v>226611</v>
      </c>
      <c r="E7" s="335">
        <v>226537</v>
      </c>
      <c r="F7" s="335">
        <v>226934</v>
      </c>
      <c r="G7" s="335">
        <v>227331</v>
      </c>
      <c r="H7" s="335">
        <v>227647</v>
      </c>
      <c r="I7" s="335">
        <v>227289</v>
      </c>
      <c r="J7" s="335">
        <v>226778</v>
      </c>
      <c r="K7" s="335">
        <v>228539</v>
      </c>
      <c r="L7" s="335">
        <v>228180</v>
      </c>
      <c r="M7" s="335">
        <v>228856</v>
      </c>
      <c r="N7" s="335">
        <v>227946</v>
      </c>
      <c r="O7" s="335">
        <f>AVERAGE(C7:N7)</f>
        <v>227346.16666666666</v>
      </c>
      <c r="P7" s="40">
        <f>SUM(C7:N7)</f>
        <v>2728154</v>
      </c>
    </row>
    <row r="8" spans="1:16">
      <c r="A8" t="s">
        <v>547</v>
      </c>
      <c r="C8" s="335">
        <v>775</v>
      </c>
      <c r="D8" s="335">
        <v>794</v>
      </c>
      <c r="E8" s="335">
        <v>794</v>
      </c>
      <c r="F8" s="335">
        <v>811</v>
      </c>
      <c r="G8" s="335">
        <v>795</v>
      </c>
      <c r="H8" s="335">
        <v>821</v>
      </c>
      <c r="I8" s="335">
        <v>845</v>
      </c>
      <c r="J8" s="335">
        <v>847</v>
      </c>
      <c r="K8" s="335">
        <v>870</v>
      </c>
      <c r="L8" s="335">
        <v>888</v>
      </c>
      <c r="M8" s="335">
        <v>888</v>
      </c>
      <c r="N8" s="335">
        <v>890</v>
      </c>
      <c r="O8" s="335">
        <f t="shared" ref="O8" si="0">AVERAGE(C8:N8)</f>
        <v>834.83333333333337</v>
      </c>
      <c r="P8" s="40">
        <f t="shared" ref="P8" si="1">SUM(C8:N8)</f>
        <v>10018</v>
      </c>
    </row>
    <row r="11" spans="1:16">
      <c r="C11" t="s">
        <v>192</v>
      </c>
    </row>
    <row r="12" spans="1:16">
      <c r="C12" t="s">
        <v>792</v>
      </c>
      <c r="D12" t="s">
        <v>793</v>
      </c>
      <c r="E12" t="s">
        <v>794</v>
      </c>
      <c r="F12" t="s">
        <v>795</v>
      </c>
      <c r="G12" t="s">
        <v>796</v>
      </c>
      <c r="H12" t="s">
        <v>797</v>
      </c>
      <c r="I12" t="s">
        <v>798</v>
      </c>
      <c r="J12" t="s">
        <v>799</v>
      </c>
      <c r="K12" t="s">
        <v>800</v>
      </c>
      <c r="L12" t="s">
        <v>801</v>
      </c>
      <c r="M12" t="s">
        <v>802</v>
      </c>
      <c r="N12" t="s">
        <v>803</v>
      </c>
      <c r="O12" t="s">
        <v>431</v>
      </c>
    </row>
    <row r="13" spans="1:16">
      <c r="A13" t="s">
        <v>353</v>
      </c>
      <c r="B13" t="s">
        <v>571</v>
      </c>
    </row>
    <row r="14" spans="1:16">
      <c r="A14" t="s">
        <v>546</v>
      </c>
      <c r="C14" s="335">
        <v>0</v>
      </c>
      <c r="D14" s="335">
        <v>0</v>
      </c>
      <c r="E14" s="335">
        <v>0</v>
      </c>
      <c r="F14" s="335">
        <v>0</v>
      </c>
      <c r="G14" s="335">
        <v>0</v>
      </c>
      <c r="H14" s="335">
        <v>0</v>
      </c>
      <c r="I14" s="335">
        <v>0</v>
      </c>
      <c r="J14" s="335">
        <v>0</v>
      </c>
      <c r="K14" s="335">
        <v>0</v>
      </c>
      <c r="L14" s="335">
        <v>0</v>
      </c>
      <c r="M14" s="335">
        <v>0</v>
      </c>
      <c r="N14" s="335">
        <v>0</v>
      </c>
      <c r="O14" s="335">
        <v>0</v>
      </c>
    </row>
    <row r="15" spans="1:16">
      <c r="B15" t="s">
        <v>64</v>
      </c>
      <c r="C15" s="335">
        <f>'REVRUNS 12ME0623'!D74</f>
        <v>177813841.97397998</v>
      </c>
      <c r="D15" s="335">
        <f>'REVRUNS 12ME0623'!E74</f>
        <v>234791392.47599998</v>
      </c>
      <c r="E15" s="335">
        <f>'REVRUNS 12ME0623'!F74</f>
        <v>204652185.77000004</v>
      </c>
      <c r="F15" s="335">
        <f>'REVRUNS 12ME0623'!G74</f>
        <v>151244159.11499998</v>
      </c>
      <c r="G15" s="335">
        <f>'REVRUNS 12ME0623'!H74</f>
        <v>201555845.21200001</v>
      </c>
      <c r="H15" s="335">
        <f>'REVRUNS 12ME0623'!I74</f>
        <v>305339495.43764997</v>
      </c>
      <c r="I15" s="335">
        <f>'REVRUNS 12ME0623'!J74</f>
        <v>316577387.76262999</v>
      </c>
      <c r="J15" s="335">
        <f>'REVRUNS 12ME0623'!K74</f>
        <v>238573128.76199001</v>
      </c>
      <c r="K15" s="335">
        <f>'REVRUNS 12ME0623'!L74</f>
        <v>281041135.11899</v>
      </c>
      <c r="L15" s="335">
        <f>'REVRUNS 12ME0623'!M74</f>
        <v>196112553.10299999</v>
      </c>
      <c r="M15" s="335">
        <f>'REVRUNS 12ME0623'!N74</f>
        <v>179969274.93301001</v>
      </c>
      <c r="N15" s="335">
        <f>'REVRUNS 12ME0623'!O74</f>
        <v>170385439.90399</v>
      </c>
      <c r="O15" s="335">
        <f>SUM(C15:N15)</f>
        <v>2658055839.5682402</v>
      </c>
    </row>
    <row r="18" spans="1:15">
      <c r="A18" t="s">
        <v>547</v>
      </c>
      <c r="C18" s="335">
        <v>0</v>
      </c>
      <c r="D18" s="335">
        <v>0</v>
      </c>
      <c r="E18" s="335">
        <v>0</v>
      </c>
      <c r="F18" s="335">
        <v>0</v>
      </c>
      <c r="G18" s="335">
        <v>0</v>
      </c>
      <c r="H18" s="335">
        <v>0</v>
      </c>
      <c r="I18" s="335">
        <v>0</v>
      </c>
      <c r="J18" s="335">
        <v>0</v>
      </c>
      <c r="K18" s="335">
        <v>0</v>
      </c>
      <c r="L18" s="335">
        <v>0</v>
      </c>
      <c r="M18" s="335">
        <v>0</v>
      </c>
      <c r="N18" s="335">
        <v>0</v>
      </c>
      <c r="O18" s="335">
        <v>0</v>
      </c>
    </row>
    <row r="19" spans="1:15">
      <c r="B19" t="s">
        <v>64</v>
      </c>
      <c r="C19" s="335">
        <f>'REVRUNS 12ME0623'!D89</f>
        <v>597317.09499999997</v>
      </c>
      <c r="D19" s="335">
        <f>'REVRUNS 12ME0623'!E89</f>
        <v>748220.53700000001</v>
      </c>
      <c r="E19" s="335">
        <f>'REVRUNS 12ME0623'!F89</f>
        <v>680922.799</v>
      </c>
      <c r="F19" s="335">
        <f>'REVRUNS 12ME0623'!G89</f>
        <v>572005.44200000004</v>
      </c>
      <c r="G19" s="335">
        <f>'REVRUNS 12ME0623'!H89</f>
        <v>956710.06200000003</v>
      </c>
      <c r="H19" s="335">
        <f>'REVRUNS 12ME0623'!I89</f>
        <v>1588520.4779999999</v>
      </c>
      <c r="I19" s="335">
        <f>'REVRUNS 12ME0623'!J89</f>
        <v>1684934.46004</v>
      </c>
      <c r="J19" s="335">
        <f>'REVRUNS 12ME0623'!K89</f>
        <v>1372985.1569999999</v>
      </c>
      <c r="K19" s="335">
        <f>'REVRUNS 12ME0623'!L89</f>
        <v>1538317.3879999998</v>
      </c>
      <c r="L19" s="335">
        <f>'REVRUNS 12ME0623'!M89</f>
        <v>1101249.922</v>
      </c>
      <c r="M19" s="335">
        <f>'REVRUNS 12ME0623'!N89</f>
        <v>821043.80700000003</v>
      </c>
      <c r="N19" s="335">
        <f>'REVRUNS 12ME0623'!O89</f>
        <v>666675.777</v>
      </c>
      <c r="O19" s="335">
        <f>SUM(C19:N19)</f>
        <v>12328902.924040001</v>
      </c>
    </row>
    <row r="21" spans="1:15">
      <c r="B21" t="s">
        <v>1033</v>
      </c>
    </row>
    <row r="22" spans="1:15">
      <c r="B22" t="s">
        <v>1032</v>
      </c>
      <c r="C22" s="421">
        <f>C15/C7</f>
        <v>788.51046967255854</v>
      </c>
      <c r="D22" s="421">
        <f t="shared" ref="D22:N22" si="2">D15/D7</f>
        <v>1036.0988322543917</v>
      </c>
      <c r="E22" s="421">
        <f t="shared" si="2"/>
        <v>903.39408471905267</v>
      </c>
      <c r="F22" s="421">
        <f t="shared" si="2"/>
        <v>666.46760342214031</v>
      </c>
      <c r="G22" s="421">
        <f t="shared" si="2"/>
        <v>886.61838997760981</v>
      </c>
      <c r="H22" s="421">
        <f t="shared" si="2"/>
        <v>1341.2849518669254</v>
      </c>
      <c r="I22" s="421">
        <f t="shared" si="2"/>
        <v>1392.8407787558131</v>
      </c>
      <c r="J22" s="421">
        <f t="shared" si="2"/>
        <v>1052.011785808103</v>
      </c>
      <c r="K22" s="421">
        <f t="shared" si="2"/>
        <v>1229.7294340090314</v>
      </c>
      <c r="L22" s="421">
        <f t="shared" si="2"/>
        <v>859.4642523577877</v>
      </c>
      <c r="M22" s="421">
        <f t="shared" si="2"/>
        <v>786.38652660629396</v>
      </c>
      <c r="N22" s="421">
        <f t="shared" si="2"/>
        <v>747.48159609727747</v>
      </c>
      <c r="O22" s="421">
        <f>O15/O7</f>
        <v>11691.667726535556</v>
      </c>
    </row>
    <row r="23" spans="1:15">
      <c r="B23" t="s">
        <v>1034</v>
      </c>
      <c r="C23" s="421">
        <f>C19/C8</f>
        <v>770.73173548387092</v>
      </c>
      <c r="D23" s="421">
        <f t="shared" ref="D23:N23" si="3">D19/D8</f>
        <v>942.34324559193954</v>
      </c>
      <c r="E23" s="421">
        <f t="shared" si="3"/>
        <v>857.58538916876569</v>
      </c>
      <c r="F23" s="421">
        <f t="shared" si="3"/>
        <v>705.30880641183728</v>
      </c>
      <c r="G23" s="421">
        <f t="shared" si="3"/>
        <v>1203.408883018868</v>
      </c>
      <c r="H23" s="421">
        <f t="shared" si="3"/>
        <v>1934.8605091352008</v>
      </c>
      <c r="I23" s="421">
        <f t="shared" si="3"/>
        <v>1994.0052781538461</v>
      </c>
      <c r="J23" s="421">
        <f t="shared" si="3"/>
        <v>1620.9978240850057</v>
      </c>
      <c r="K23" s="421">
        <f t="shared" si="3"/>
        <v>1768.1809057471262</v>
      </c>
      <c r="L23" s="421">
        <f t="shared" si="3"/>
        <v>1240.1463085585585</v>
      </c>
      <c r="M23" s="421">
        <f t="shared" si="3"/>
        <v>924.59888175675678</v>
      </c>
      <c r="N23" s="421">
        <f t="shared" si="3"/>
        <v>749.07390674157307</v>
      </c>
      <c r="O23" s="421">
        <f>O19/O8</f>
        <v>14768.100927179077</v>
      </c>
    </row>
    <row r="25" spans="1:15">
      <c r="B25" t="s">
        <v>472</v>
      </c>
      <c r="C25" s="186">
        <f>C22-C23</f>
        <v>17.778734188687622</v>
      </c>
      <c r="D25" s="186">
        <f t="shared" ref="D25:O25" si="4">D22-D23</f>
        <v>93.755586662452174</v>
      </c>
      <c r="E25" s="186">
        <f t="shared" si="4"/>
        <v>45.808695550286984</v>
      </c>
      <c r="F25" s="186">
        <f t="shared" si="4"/>
        <v>-38.841202989696967</v>
      </c>
      <c r="G25" s="186">
        <f t="shared" si="4"/>
        <v>-316.79049304125817</v>
      </c>
      <c r="H25" s="186">
        <f t="shared" si="4"/>
        <v>-593.57555726827536</v>
      </c>
      <c r="I25" s="186">
        <f t="shared" si="4"/>
        <v>-601.16449939803306</v>
      </c>
      <c r="J25" s="186">
        <f t="shared" si="4"/>
        <v>-568.98603827690272</v>
      </c>
      <c r="K25" s="186">
        <f t="shared" si="4"/>
        <v>-538.45147173809482</v>
      </c>
      <c r="L25" s="186">
        <f t="shared" si="4"/>
        <v>-380.68205620077083</v>
      </c>
      <c r="M25" s="186">
        <f t="shared" si="4"/>
        <v>-138.21235515046283</v>
      </c>
      <c r="N25" s="186">
        <f t="shared" si="4"/>
        <v>-1.5923106442955941</v>
      </c>
      <c r="O25" s="186">
        <f t="shared" si="4"/>
        <v>-3076.4332006435216</v>
      </c>
    </row>
    <row r="28" spans="1:15">
      <c r="E28" t="s">
        <v>1036</v>
      </c>
      <c r="G28" t="s">
        <v>1038</v>
      </c>
    </row>
    <row r="29" spans="1:15">
      <c r="E29" t="s">
        <v>1037</v>
      </c>
      <c r="G29" t="s">
        <v>1037</v>
      </c>
    </row>
    <row r="30" spans="1:15">
      <c r="D30" t="s">
        <v>1035</v>
      </c>
      <c r="E30" s="40">
        <f>O22</f>
        <v>11691.667726535556</v>
      </c>
      <c r="F30" s="40"/>
      <c r="G30" s="40">
        <f>E30/12</f>
        <v>974.30564387796301</v>
      </c>
      <c r="N30" s="41" t="s">
        <v>569</v>
      </c>
      <c r="O30" s="285">
        <f>O15+O19</f>
        <v>2670384742.49228</v>
      </c>
    </row>
    <row r="31" spans="1:15">
      <c r="E31" s="40"/>
      <c r="F31" s="40"/>
      <c r="G31" s="40"/>
      <c r="N31" s="41" t="s">
        <v>1050</v>
      </c>
      <c r="O31" s="285">
        <v>-310148390</v>
      </c>
    </row>
    <row r="32" spans="1:15">
      <c r="D32" t="s">
        <v>1034</v>
      </c>
      <c r="E32" s="40">
        <f>O23</f>
        <v>14768.100927179077</v>
      </c>
      <c r="F32" s="40"/>
      <c r="G32" s="40">
        <f>E32/12</f>
        <v>1230.6750772649232</v>
      </c>
      <c r="O32" s="285">
        <f>SUM(O30:O31)</f>
        <v>2360236352.49228</v>
      </c>
    </row>
    <row r="33" spans="4:15">
      <c r="O33" s="285"/>
    </row>
    <row r="34" spans="4:15">
      <c r="D34" t="s">
        <v>472</v>
      </c>
      <c r="E34" s="40">
        <f>E30-E32</f>
        <v>-3076.4332006435216</v>
      </c>
      <c r="G34" s="40">
        <f>G30-G32</f>
        <v>-256.36943338696017</v>
      </c>
      <c r="O34" s="285"/>
    </row>
    <row r="35" spans="4:15">
      <c r="N35" s="41" t="s">
        <v>569</v>
      </c>
      <c r="O35" s="285">
        <f>O7+O8</f>
        <v>228181</v>
      </c>
    </row>
    <row r="36" spans="4:15">
      <c r="N36" s="41" t="s">
        <v>1050</v>
      </c>
      <c r="O36" s="285">
        <v>-24381</v>
      </c>
    </row>
    <row r="37" spans="4:15">
      <c r="O37" s="285">
        <f>SUM(O35:O36)</f>
        <v>203800</v>
      </c>
    </row>
    <row r="40" spans="4:15">
      <c r="N40" s="41" t="s">
        <v>1051</v>
      </c>
      <c r="O40" s="421">
        <f>O32/O37</f>
        <v>11581.140100550932</v>
      </c>
    </row>
    <row r="41" spans="4:15">
      <c r="N41" s="41" t="s">
        <v>1052</v>
      </c>
      <c r="O41" s="421">
        <f>O40/12</f>
        <v>965.0950083792444</v>
      </c>
    </row>
    <row r="43" spans="4:15">
      <c r="N43" s="41" t="s">
        <v>1053</v>
      </c>
      <c r="O43" s="421">
        <f>O30/O35/12</f>
        <v>975.243608689403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autoPageBreaks="0" fitToPage="1"/>
  </sheetPr>
  <dimension ref="A1:AC124"/>
  <sheetViews>
    <sheetView showGridLines="0" zoomScaleNormal="100" workbookViewId="0">
      <pane xSplit="2" ySplit="2" topLeftCell="C3" activePane="bottomRight" state="frozen"/>
      <selection activeCell="G27" sqref="G27"/>
      <selection pane="topRight" activeCell="G27" sqref="G27"/>
      <selection pane="bottomLeft" activeCell="G27" sqref="G27"/>
      <selection pane="bottomRight" activeCell="H129" sqref="H129"/>
    </sheetView>
  </sheetViews>
  <sheetFormatPr defaultRowHeight="12.5"/>
  <cols>
    <col min="1" max="1" width="8.7265625" customWidth="1"/>
    <col min="2" max="2" width="24.26953125" customWidth="1"/>
    <col min="3" max="3" width="20.81640625" bestFit="1" customWidth="1"/>
    <col min="4" max="4" width="16.26953125" bestFit="1" customWidth="1"/>
    <col min="5" max="6" width="14.7265625" customWidth="1"/>
    <col min="7" max="8" width="15.7265625" customWidth="1"/>
    <col min="9" max="13" width="14.7265625" customWidth="1"/>
    <col min="17" max="24" width="14.7265625" customWidth="1"/>
  </cols>
  <sheetData>
    <row r="1" spans="1:24" ht="14">
      <c r="A1" s="57" t="s">
        <v>32</v>
      </c>
      <c r="C1" s="97"/>
      <c r="D1">
        <v>1</v>
      </c>
      <c r="E1">
        <v>2</v>
      </c>
      <c r="F1">
        <v>3</v>
      </c>
      <c r="G1">
        <v>4</v>
      </c>
      <c r="H1">
        <v>5</v>
      </c>
      <c r="I1">
        <v>6</v>
      </c>
      <c r="J1">
        <v>7</v>
      </c>
      <c r="K1">
        <v>8</v>
      </c>
      <c r="L1">
        <v>9</v>
      </c>
      <c r="Q1" s="72" t="s">
        <v>247</v>
      </c>
    </row>
    <row r="2" spans="1:24">
      <c r="C2" s="54" t="s">
        <v>9</v>
      </c>
      <c r="D2" s="181" t="s">
        <v>1028</v>
      </c>
      <c r="E2" s="54" t="s">
        <v>11</v>
      </c>
      <c r="F2" s="54" t="s">
        <v>752</v>
      </c>
      <c r="G2" s="54" t="s">
        <v>12</v>
      </c>
      <c r="H2" s="54" t="s">
        <v>753</v>
      </c>
      <c r="I2" s="54" t="s">
        <v>250</v>
      </c>
      <c r="J2" s="54" t="s">
        <v>755</v>
      </c>
      <c r="K2" s="54" t="s">
        <v>14</v>
      </c>
      <c r="L2" s="54"/>
      <c r="O2" s="72" t="s">
        <v>203</v>
      </c>
      <c r="Q2" s="54" t="s">
        <v>593</v>
      </c>
      <c r="R2" s="54" t="s">
        <v>11</v>
      </c>
      <c r="S2" s="54" t="s">
        <v>752</v>
      </c>
      <c r="T2" s="54" t="s">
        <v>12</v>
      </c>
      <c r="U2" s="54" t="s">
        <v>753</v>
      </c>
      <c r="V2" s="54" t="s">
        <v>13</v>
      </c>
      <c r="W2" s="54" t="s">
        <v>754</v>
      </c>
      <c r="X2" s="54" t="s">
        <v>14</v>
      </c>
    </row>
    <row r="3" spans="1:24" ht="13">
      <c r="B3" s="97" t="s">
        <v>197</v>
      </c>
      <c r="C3" s="54"/>
      <c r="D3" s="54"/>
      <c r="E3" s="54"/>
      <c r="F3" s="54"/>
      <c r="G3" s="54"/>
      <c r="H3" s="54"/>
      <c r="I3" s="54"/>
      <c r="J3" s="54"/>
      <c r="K3" s="54"/>
      <c r="L3" s="54"/>
      <c r="O3" s="72"/>
    </row>
    <row r="4" spans="1:24">
      <c r="A4">
        <v>1</v>
      </c>
      <c r="B4" t="s">
        <v>33</v>
      </c>
      <c r="C4" s="475"/>
      <c r="D4" s="101">
        <v>9</v>
      </c>
      <c r="E4" s="101">
        <v>21</v>
      </c>
      <c r="F4" s="101">
        <v>21</v>
      </c>
      <c r="G4" s="101">
        <v>0</v>
      </c>
      <c r="H4" s="101">
        <v>0</v>
      </c>
      <c r="I4" s="101">
        <v>0</v>
      </c>
      <c r="J4" s="101">
        <v>0</v>
      </c>
      <c r="K4" s="101">
        <v>21</v>
      </c>
      <c r="L4" s="101"/>
      <c r="M4" s="102"/>
    </row>
    <row r="5" spans="1:24">
      <c r="A5">
        <v>2</v>
      </c>
      <c r="B5" t="s">
        <v>35</v>
      </c>
      <c r="D5" s="103">
        <v>9.0670000000000002</v>
      </c>
      <c r="E5" s="103">
        <v>12.385</v>
      </c>
      <c r="F5" s="103">
        <v>22.149000000000001</v>
      </c>
      <c r="G5" s="103">
        <v>7.9139999999999997</v>
      </c>
      <c r="H5" s="103">
        <v>17.039000000000001</v>
      </c>
      <c r="I5" s="103">
        <v>5.8949999999999996</v>
      </c>
      <c r="J5" s="103">
        <v>4.7839999999999998</v>
      </c>
      <c r="K5" s="103">
        <v>11.464</v>
      </c>
      <c r="L5" s="103"/>
      <c r="M5" s="102"/>
      <c r="Q5" s="146">
        <v>800</v>
      </c>
      <c r="R5" s="146">
        <v>3650</v>
      </c>
      <c r="S5" s="146">
        <v>3650</v>
      </c>
      <c r="T5" s="146">
        <v>250000</v>
      </c>
      <c r="U5" s="146">
        <v>250000</v>
      </c>
      <c r="V5" s="146">
        <v>500000</v>
      </c>
      <c r="W5" s="146">
        <v>500000</v>
      </c>
      <c r="X5" s="146"/>
    </row>
    <row r="6" spans="1:24">
      <c r="A6">
        <v>3</v>
      </c>
      <c r="B6" t="s">
        <v>36</v>
      </c>
      <c r="D6" s="103">
        <v>10.653</v>
      </c>
      <c r="E6" s="103">
        <v>9.0150000000000006</v>
      </c>
      <c r="F6" s="103">
        <v>8.82</v>
      </c>
      <c r="G6" s="103">
        <v>7.0540000000000003</v>
      </c>
      <c r="H6" s="103">
        <v>6.8849999999999998</v>
      </c>
      <c r="I6" s="103">
        <v>5.2939999999999996</v>
      </c>
      <c r="J6" s="103">
        <v>4.2990000000000004</v>
      </c>
      <c r="K6" s="103">
        <v>8.0229999999999997</v>
      </c>
      <c r="L6" s="103"/>
      <c r="M6" s="102"/>
      <c r="Q6" s="146">
        <v>1500</v>
      </c>
      <c r="R6" s="146">
        <v>9999999</v>
      </c>
      <c r="S6" s="146">
        <v>9999999</v>
      </c>
      <c r="T6" s="146">
        <v>9999999</v>
      </c>
      <c r="U6" s="146">
        <v>9999999</v>
      </c>
      <c r="V6" s="146">
        <v>9999999</v>
      </c>
      <c r="W6" s="146">
        <v>9999999</v>
      </c>
      <c r="X6" s="146"/>
    </row>
    <row r="7" spans="1:24">
      <c r="A7">
        <v>4</v>
      </c>
      <c r="B7" t="s">
        <v>37</v>
      </c>
      <c r="D7" s="103">
        <v>12.606</v>
      </c>
      <c r="E7" s="103">
        <v>0</v>
      </c>
      <c r="F7" s="103">
        <v>0</v>
      </c>
      <c r="G7" s="103">
        <v>0</v>
      </c>
      <c r="H7" s="103">
        <v>0</v>
      </c>
      <c r="I7" s="103">
        <v>4.32</v>
      </c>
      <c r="J7" s="103">
        <v>3.6669999999999998</v>
      </c>
      <c r="K7" s="103"/>
      <c r="L7" s="103"/>
      <c r="M7" s="102"/>
      <c r="O7" t="s">
        <v>202</v>
      </c>
      <c r="Q7" s="146">
        <v>9999999</v>
      </c>
      <c r="R7" s="146">
        <v>9999999</v>
      </c>
      <c r="S7" s="146">
        <v>9999999</v>
      </c>
      <c r="T7" s="146">
        <v>9999999</v>
      </c>
      <c r="U7" s="146">
        <v>9999999</v>
      </c>
      <c r="V7" s="146">
        <v>9999999</v>
      </c>
      <c r="W7" s="146">
        <v>9999999</v>
      </c>
      <c r="X7" s="146"/>
    </row>
    <row r="8" spans="1:24">
      <c r="A8">
        <v>5</v>
      </c>
      <c r="B8" t="s">
        <v>38</v>
      </c>
      <c r="D8" s="103"/>
      <c r="E8" s="103"/>
      <c r="F8" s="103"/>
      <c r="G8" s="103"/>
      <c r="H8" s="103"/>
      <c r="I8" s="103"/>
      <c r="J8" s="103"/>
      <c r="K8" s="103"/>
      <c r="L8" s="103"/>
      <c r="M8" s="102"/>
    </row>
    <row r="9" spans="1:24">
      <c r="A9">
        <v>6</v>
      </c>
      <c r="B9" t="s">
        <v>248</v>
      </c>
      <c r="D9" s="101">
        <v>0</v>
      </c>
      <c r="E9" s="101">
        <v>0</v>
      </c>
      <c r="F9" s="101">
        <v>0</v>
      </c>
      <c r="G9" s="101">
        <v>600</v>
      </c>
      <c r="H9" s="101">
        <v>600</v>
      </c>
      <c r="I9" s="101">
        <v>30650</v>
      </c>
      <c r="J9" s="101">
        <v>30650</v>
      </c>
      <c r="K9" s="101">
        <v>0</v>
      </c>
      <c r="L9" s="101"/>
      <c r="M9" s="102"/>
      <c r="Q9" s="146"/>
      <c r="R9" s="146"/>
      <c r="S9" s="146"/>
      <c r="T9" s="146"/>
      <c r="U9" s="146"/>
      <c r="V9" s="146"/>
      <c r="W9" s="146"/>
    </row>
    <row r="10" spans="1:24">
      <c r="A10">
        <v>7</v>
      </c>
      <c r="B10" t="s">
        <v>40</v>
      </c>
      <c r="D10" s="101">
        <v>0</v>
      </c>
      <c r="E10" s="101">
        <v>7.5</v>
      </c>
      <c r="F10" s="101">
        <v>0</v>
      </c>
      <c r="G10" s="101">
        <v>7.5</v>
      </c>
      <c r="H10" s="101">
        <v>0</v>
      </c>
      <c r="I10" s="101">
        <v>8.3000000000000007</v>
      </c>
      <c r="J10" s="101">
        <v>8.3000000000000007</v>
      </c>
      <c r="K10" s="101">
        <v>0</v>
      </c>
      <c r="L10" s="101"/>
      <c r="M10" s="102"/>
      <c r="Q10" s="146">
        <v>0</v>
      </c>
      <c r="R10" s="146">
        <v>20</v>
      </c>
      <c r="S10" s="146">
        <v>20</v>
      </c>
      <c r="T10" s="146">
        <v>50</v>
      </c>
      <c r="U10" s="146">
        <v>50</v>
      </c>
      <c r="V10" s="146">
        <v>3000</v>
      </c>
      <c r="W10" s="146">
        <v>3000</v>
      </c>
    </row>
    <row r="11" spans="1:24">
      <c r="D11" s="102"/>
      <c r="E11" s="102"/>
      <c r="F11" s="102"/>
      <c r="G11" s="102"/>
      <c r="H11" s="102"/>
      <c r="I11" s="102"/>
      <c r="J11" s="102"/>
      <c r="K11" s="102"/>
      <c r="L11" s="102"/>
      <c r="M11" s="102"/>
    </row>
    <row r="12" spans="1:24" ht="13">
      <c r="B12" s="449" t="s">
        <v>198</v>
      </c>
      <c r="C12" s="97"/>
      <c r="D12" t="str">
        <f>IF(D13&lt;&gt;'Pres &amp; Prop Rev'!D$5,#VALUE!,"")</f>
        <v/>
      </c>
      <c r="E12" t="str">
        <f>IF(E13&lt;&gt;'Pres &amp; Prop Rev'!E$5,#VALUE!,"")</f>
        <v/>
      </c>
      <c r="F12" t="str">
        <f>IF(F13&lt;&gt;'Pres &amp; Prop Rev'!F$5,#VALUE!,"")</f>
        <v/>
      </c>
      <c r="G12" t="str">
        <f>IF(G13&lt;&gt;'Pres &amp; Prop Rev'!G$5,#VALUE!,"")</f>
        <v/>
      </c>
      <c r="H12" t="str">
        <f>IF(H13&lt;&gt;'Pres &amp; Prop Rev'!H$5,#VALUE!,"")</f>
        <v/>
      </c>
      <c r="I12" t="str">
        <f>IF(I13&lt;&gt;'Pres &amp; Prop Rev'!I$5,#VALUE!,"")</f>
        <v/>
      </c>
      <c r="J12" t="str">
        <f>IF(J13&lt;&gt;'Pres &amp; Prop Rev'!J$5,#VALUE!,"")</f>
        <v/>
      </c>
      <c r="K12" t="str">
        <f>IF(K13&lt;&gt;'Pres &amp; Prop Rev'!K$5,#VALUE!,"")</f>
        <v/>
      </c>
    </row>
    <row r="13" spans="1:24">
      <c r="D13" s="181" t="s">
        <v>10</v>
      </c>
      <c r="E13" s="181" t="s">
        <v>11</v>
      </c>
      <c r="F13" s="54" t="s">
        <v>752</v>
      </c>
      <c r="G13" s="181" t="s">
        <v>12</v>
      </c>
      <c r="H13" s="54" t="s">
        <v>753</v>
      </c>
      <c r="I13" s="54" t="s">
        <v>13</v>
      </c>
      <c r="J13" s="54" t="s">
        <v>754</v>
      </c>
      <c r="K13" s="54" t="s">
        <v>14</v>
      </c>
      <c r="L13" s="54"/>
      <c r="M13" s="194"/>
    </row>
    <row r="14" spans="1:24">
      <c r="A14">
        <v>1</v>
      </c>
      <c r="B14" t="s">
        <v>33</v>
      </c>
      <c r="D14" s="104">
        <v>9</v>
      </c>
      <c r="E14" s="104">
        <v>21</v>
      </c>
      <c r="F14" s="104">
        <v>21</v>
      </c>
      <c r="G14" s="104">
        <v>0</v>
      </c>
      <c r="H14" s="104">
        <v>0</v>
      </c>
      <c r="I14" s="104">
        <v>0</v>
      </c>
      <c r="J14" s="104">
        <v>0</v>
      </c>
      <c r="K14" s="104">
        <v>21</v>
      </c>
      <c r="L14" s="104"/>
      <c r="M14" s="105"/>
    </row>
    <row r="15" spans="1:24">
      <c r="A15">
        <v>2</v>
      </c>
      <c r="B15" t="s">
        <v>35</v>
      </c>
      <c r="D15" s="106">
        <f>D5-0.386+0.002+0.002-0.725-0.509+0.114+0.255+0.334+0.305-0.017+0.654</f>
        <v>9.0960000000000019</v>
      </c>
      <c r="E15" s="106">
        <f>E5+0.002+0.002-0.088+0.17+0.321+0.381+0.298-0.016+0.323</f>
        <v>13.778000000000002</v>
      </c>
      <c r="F15" s="106">
        <f>F5+0.002+0.002-0.088+0.17+0.321+0.381+0.298-0.016+0.323</f>
        <v>23.542000000000002</v>
      </c>
      <c r="G15" s="106">
        <f>G5+0.001+0.001-0.088+0.12+0.273+0.319+0.323-0.017+0.253</f>
        <v>9.099000000000002</v>
      </c>
      <c r="H15" s="106">
        <f>H5+0.001+0.001-0.088+0.12+0.273+0.319+0.323-0.017+0.253</f>
        <v>18.224000000000004</v>
      </c>
      <c r="I15" s="106">
        <f>I5+0.004+0.001+0.053+0.182+0.236+0.296-0.016+0.092</f>
        <v>6.7429999999999994</v>
      </c>
      <c r="J15" s="106">
        <f>J5+0.004+0.001+0.018+0.182+0.236+0.296-0.016+0.059</f>
        <v>5.5640000000000001</v>
      </c>
      <c r="K15" s="106">
        <f>K5+0.002-0.088-0.448+0.124+0.236+0.334+0.348-0.019+0.575</f>
        <v>12.528000000000002</v>
      </c>
      <c r="L15" s="106"/>
      <c r="M15" s="105"/>
      <c r="Q15" s="67">
        <f t="shared" ref="Q15:W17" si="0">Q5</f>
        <v>800</v>
      </c>
      <c r="R15" s="67">
        <f t="shared" si="0"/>
        <v>3650</v>
      </c>
      <c r="S15" s="67">
        <f t="shared" si="0"/>
        <v>3650</v>
      </c>
      <c r="T15" s="67">
        <f t="shared" si="0"/>
        <v>250000</v>
      </c>
      <c r="U15" s="67">
        <f t="shared" si="0"/>
        <v>250000</v>
      </c>
      <c r="V15" s="67">
        <f t="shared" si="0"/>
        <v>500000</v>
      </c>
      <c r="W15" s="67">
        <f t="shared" si="0"/>
        <v>500000</v>
      </c>
    </row>
    <row r="16" spans="1:24">
      <c r="A16">
        <v>3</v>
      </c>
      <c r="B16" t="s">
        <v>36</v>
      </c>
      <c r="D16" s="106">
        <f t="shared" ref="D16:D17" si="1">D6-0.386+0.002+0.002-0.725-0.509+0.114+0.255+0.334+0.305-0.017+0.654</f>
        <v>10.682000000000004</v>
      </c>
      <c r="E16" s="106">
        <f>E6+0.002+0.002-0.088+0.17+0.321+0.381+0.298-0.016+0.323</f>
        <v>10.408000000000003</v>
      </c>
      <c r="F16" s="106">
        <f>F6+0.002+0.002-0.088+0.17+0.321+0.381+0.298-0.016+0.323</f>
        <v>10.213000000000003</v>
      </c>
      <c r="G16" s="106">
        <f>G6+0.001+0.001-0.088+0.12+0.273+0.319+0.323-0.017+0.253</f>
        <v>8.238999999999999</v>
      </c>
      <c r="H16" s="106">
        <f>H6+0.001+0.001-0.088+0.12+0.273+0.319+0.323-0.017+0.253</f>
        <v>8.07</v>
      </c>
      <c r="I16" s="106">
        <f t="shared" ref="I16" si="2">I6+0.004+0.001+0.053+0.182+0.236+0.296-0.016+0.092</f>
        <v>6.1419999999999995</v>
      </c>
      <c r="J16" s="106">
        <f t="shared" ref="J16" si="3">J6+0.004+0.001+0.018+0.182+0.236+0.296-0.016+0.059</f>
        <v>5.0790000000000006</v>
      </c>
      <c r="K16" s="106">
        <f>K6+0.002-0.088-0.448+0.124+0.236+0.334+0.348-0.019+0.575</f>
        <v>9.0869999999999997</v>
      </c>
      <c r="L16" s="106"/>
      <c r="M16" s="105"/>
      <c r="Q16" s="67">
        <f t="shared" si="0"/>
        <v>1500</v>
      </c>
      <c r="R16" s="67">
        <f t="shared" si="0"/>
        <v>9999999</v>
      </c>
      <c r="S16" s="67">
        <f t="shared" si="0"/>
        <v>9999999</v>
      </c>
      <c r="T16" s="67">
        <f t="shared" si="0"/>
        <v>9999999</v>
      </c>
      <c r="U16" s="67">
        <f t="shared" si="0"/>
        <v>9999999</v>
      </c>
      <c r="V16" s="67">
        <f t="shared" si="0"/>
        <v>9999999</v>
      </c>
      <c r="W16" s="67">
        <f t="shared" si="0"/>
        <v>9999999</v>
      </c>
    </row>
    <row r="17" spans="1:27">
      <c r="A17">
        <v>4</v>
      </c>
      <c r="B17" t="s">
        <v>37</v>
      </c>
      <c r="D17" s="106">
        <f t="shared" si="1"/>
        <v>12.635000000000003</v>
      </c>
      <c r="E17" s="106"/>
      <c r="F17" s="106"/>
      <c r="G17" s="106"/>
      <c r="H17" s="106"/>
      <c r="I17" s="106">
        <f>I7+0.004+0.001+0.053+0.182+0.296-0.016+0.092</f>
        <v>4.9320000000000004</v>
      </c>
      <c r="J17" s="106">
        <f>J7+0.004+0.001+0.018+0.182+0.296-0.016+0.059</f>
        <v>4.2109999999999994</v>
      </c>
      <c r="K17" s="106"/>
      <c r="L17" s="106"/>
      <c r="M17" s="105"/>
      <c r="O17" t="s">
        <v>204</v>
      </c>
      <c r="Q17" s="67">
        <f t="shared" si="0"/>
        <v>9999999</v>
      </c>
      <c r="R17" s="67">
        <f t="shared" si="0"/>
        <v>9999999</v>
      </c>
      <c r="S17" s="67">
        <f t="shared" si="0"/>
        <v>9999999</v>
      </c>
      <c r="T17" s="67">
        <f t="shared" si="0"/>
        <v>9999999</v>
      </c>
      <c r="U17" s="67">
        <f t="shared" si="0"/>
        <v>9999999</v>
      </c>
      <c r="V17" s="67">
        <f t="shared" si="0"/>
        <v>9999999</v>
      </c>
      <c r="W17" s="67">
        <f t="shared" si="0"/>
        <v>9999999</v>
      </c>
    </row>
    <row r="18" spans="1:27">
      <c r="A18">
        <v>5</v>
      </c>
      <c r="B18" t="s">
        <v>38</v>
      </c>
      <c r="D18" s="106"/>
      <c r="E18" s="106"/>
      <c r="F18" s="106"/>
      <c r="G18" s="106"/>
      <c r="H18" s="106"/>
      <c r="I18" s="106"/>
      <c r="J18" s="106"/>
      <c r="K18" s="106"/>
      <c r="L18" s="106"/>
      <c r="M18" s="105"/>
    </row>
    <row r="19" spans="1:27">
      <c r="A19">
        <v>6</v>
      </c>
      <c r="B19" t="s">
        <v>248</v>
      </c>
      <c r="D19" s="104">
        <f>D9</f>
        <v>0</v>
      </c>
      <c r="E19" s="104">
        <f t="shared" ref="E19:K19" si="4">E9</f>
        <v>0</v>
      </c>
      <c r="F19" s="104">
        <f t="shared" si="4"/>
        <v>0</v>
      </c>
      <c r="G19" s="104">
        <f t="shared" si="4"/>
        <v>600</v>
      </c>
      <c r="H19" s="104">
        <f t="shared" si="4"/>
        <v>600</v>
      </c>
      <c r="I19" s="104">
        <f t="shared" si="4"/>
        <v>30650</v>
      </c>
      <c r="J19" s="104">
        <f t="shared" si="4"/>
        <v>30650</v>
      </c>
      <c r="K19" s="104">
        <f t="shared" si="4"/>
        <v>0</v>
      </c>
      <c r="L19" s="107"/>
      <c r="M19" s="105"/>
      <c r="Q19" s="67"/>
      <c r="R19" s="67"/>
      <c r="S19" s="67"/>
      <c r="T19" s="67"/>
      <c r="U19" s="67"/>
      <c r="V19" s="67"/>
      <c r="W19" s="67"/>
    </row>
    <row r="20" spans="1:27">
      <c r="A20">
        <v>7</v>
      </c>
      <c r="B20" t="s">
        <v>40</v>
      </c>
      <c r="D20" s="104">
        <f>D10</f>
        <v>0</v>
      </c>
      <c r="E20" s="104">
        <f t="shared" ref="E20:K20" si="5">E10</f>
        <v>7.5</v>
      </c>
      <c r="F20" s="104">
        <f t="shared" si="5"/>
        <v>0</v>
      </c>
      <c r="G20" s="104">
        <f t="shared" si="5"/>
        <v>7.5</v>
      </c>
      <c r="H20" s="104">
        <f t="shared" si="5"/>
        <v>0</v>
      </c>
      <c r="I20" s="104">
        <f t="shared" si="5"/>
        <v>8.3000000000000007</v>
      </c>
      <c r="J20" s="104">
        <f t="shared" si="5"/>
        <v>8.3000000000000007</v>
      </c>
      <c r="K20" s="104">
        <f t="shared" si="5"/>
        <v>0</v>
      </c>
      <c r="L20" s="107"/>
      <c r="M20" s="105"/>
      <c r="Q20" s="67">
        <f t="shared" ref="Q20:W20" si="6">Q10</f>
        <v>0</v>
      </c>
      <c r="R20" s="67">
        <f t="shared" si="6"/>
        <v>20</v>
      </c>
      <c r="S20" s="67">
        <f t="shared" si="6"/>
        <v>20</v>
      </c>
      <c r="T20" s="67">
        <f t="shared" si="6"/>
        <v>50</v>
      </c>
      <c r="U20" s="67">
        <f t="shared" si="6"/>
        <v>50</v>
      </c>
      <c r="V20" s="67">
        <f t="shared" si="6"/>
        <v>3000</v>
      </c>
      <c r="W20" s="67">
        <f t="shared" si="6"/>
        <v>3000</v>
      </c>
    </row>
    <row r="21" spans="1:27">
      <c r="C21" s="194"/>
      <c r="D21" s="219"/>
      <c r="E21" s="219"/>
      <c r="F21" s="219"/>
      <c r="G21" s="219"/>
      <c r="H21" s="219"/>
      <c r="I21" s="219"/>
      <c r="J21" s="219"/>
      <c r="K21" s="219"/>
      <c r="L21" s="105"/>
      <c r="M21" s="105"/>
    </row>
    <row r="22" spans="1:27" ht="14">
      <c r="A22" s="57" t="s">
        <v>42</v>
      </c>
      <c r="B22" s="97"/>
      <c r="C22" s="220"/>
      <c r="D22" s="220"/>
      <c r="E22" s="220"/>
      <c r="F22" s="220"/>
      <c r="G22" s="220"/>
      <c r="H22" s="220"/>
      <c r="I22" s="220"/>
      <c r="J22" s="220"/>
      <c r="K22" s="220"/>
    </row>
    <row r="23" spans="1:27" ht="13">
      <c r="A23" s="97"/>
      <c r="B23" s="97"/>
      <c r="C23" s="194"/>
      <c r="D23" s="194"/>
      <c r="E23" s="194"/>
      <c r="F23" s="194"/>
      <c r="G23" s="194"/>
      <c r="H23" s="194"/>
      <c r="I23" s="194"/>
      <c r="J23" s="194"/>
      <c r="K23" s="194"/>
    </row>
    <row r="24" spans="1:27" ht="13">
      <c r="B24" s="97" t="s">
        <v>197</v>
      </c>
      <c r="C24" s="97"/>
      <c r="D24" t="str">
        <f>IF(D25&lt;&gt;'Pres &amp; Prop Rev'!D$5,#VALUE!,"")</f>
        <v/>
      </c>
      <c r="E24" t="str">
        <f>IF(E25&lt;&gt;'Pres &amp; Prop Rev'!E$5,#VALUE!,"")</f>
        <v/>
      </c>
      <c r="F24" t="str">
        <f>IF(F25&lt;&gt;'Pres &amp; Prop Rev'!F$5,#VALUE!,"")</f>
        <v/>
      </c>
      <c r="G24" t="str">
        <f>IF(G25&lt;&gt;'Pres &amp; Prop Rev'!G$5,#VALUE!,"")</f>
        <v/>
      </c>
      <c r="H24" t="str">
        <f>IF(H25&lt;&gt;'Pres &amp; Prop Rev'!H$5,#VALUE!,"")</f>
        <v/>
      </c>
      <c r="I24" t="str">
        <f>IF(I25&lt;&gt;'Pres &amp; Prop Rev'!I$5,#VALUE!,"")</f>
        <v/>
      </c>
      <c r="J24" t="str">
        <f>IF(J25&lt;&gt;'Pres &amp; Prop Rev'!J$5,#VALUE!,"")</f>
        <v/>
      </c>
      <c r="K24" t="str">
        <f>IF(K25&lt;&gt;'Pres &amp; Prop Rev'!K$5,#VALUE!,"")</f>
        <v/>
      </c>
    </row>
    <row r="25" spans="1:27">
      <c r="D25" s="181" t="s">
        <v>10</v>
      </c>
      <c r="E25" s="181" t="s">
        <v>11</v>
      </c>
      <c r="F25" s="54" t="s">
        <v>752</v>
      </c>
      <c r="G25" s="181" t="s">
        <v>12</v>
      </c>
      <c r="H25" s="54" t="s">
        <v>753</v>
      </c>
      <c r="I25" s="54" t="s">
        <v>13</v>
      </c>
      <c r="J25" s="54" t="s">
        <v>754</v>
      </c>
      <c r="K25" s="54" t="s">
        <v>14</v>
      </c>
      <c r="L25" s="54"/>
      <c r="Z25" s="72" t="s">
        <v>276</v>
      </c>
    </row>
    <row r="26" spans="1:27" ht="13">
      <c r="A26">
        <v>1</v>
      </c>
      <c r="B26" t="s">
        <v>33</v>
      </c>
      <c r="D26" s="108">
        <f>ROUND(D62,$Z26)</f>
        <v>15</v>
      </c>
      <c r="E26" s="108">
        <f t="shared" ref="E26:K26" si="7">ROUND(E62,$Z26)</f>
        <v>25</v>
      </c>
      <c r="F26" s="108">
        <f t="shared" si="7"/>
        <v>25</v>
      </c>
      <c r="G26" s="108">
        <f t="shared" si="7"/>
        <v>0</v>
      </c>
      <c r="H26" s="108">
        <f>ROUND(H62,$Z26)</f>
        <v>0</v>
      </c>
      <c r="I26" s="108">
        <f t="shared" si="7"/>
        <v>0</v>
      </c>
      <c r="J26" s="108">
        <f t="shared" si="7"/>
        <v>0</v>
      </c>
      <c r="K26" s="108">
        <f t="shared" si="7"/>
        <v>25</v>
      </c>
      <c r="L26" s="108"/>
      <c r="M26" s="109"/>
      <c r="Z26" s="149">
        <v>2</v>
      </c>
      <c r="AA26">
        <v>2</v>
      </c>
    </row>
    <row r="27" spans="1:27" ht="13">
      <c r="A27">
        <v>2</v>
      </c>
      <c r="B27" t="s">
        <v>35</v>
      </c>
      <c r="D27" s="110">
        <f>ROUND(D85,$Z27)</f>
        <v>9.782</v>
      </c>
      <c r="E27" s="110">
        <f t="shared" ref="D27:K29" si="8">ROUND(E85,$Z27)</f>
        <v>13.87</v>
      </c>
      <c r="F27" s="110">
        <f t="shared" ref="F27" si="9">ROUND(F85,$Z27)</f>
        <v>24.948</v>
      </c>
      <c r="G27" s="110">
        <f t="shared" si="8"/>
        <v>8.7270000000000003</v>
      </c>
      <c r="H27" s="110">
        <f t="shared" ref="H27" si="10">ROUND(H85,$Z27)</f>
        <v>18.195</v>
      </c>
      <c r="I27" s="110">
        <f t="shared" si="8"/>
        <v>6.8760000000000003</v>
      </c>
      <c r="J27" s="110">
        <f t="shared" ref="J27" si="11">ROUND(J85,$Z27)</f>
        <v>5.431</v>
      </c>
      <c r="K27" s="110">
        <f t="shared" si="8"/>
        <v>12.928000000000001</v>
      </c>
      <c r="L27" s="110"/>
      <c r="M27" s="109"/>
      <c r="Q27" s="146">
        <v>800</v>
      </c>
      <c r="R27" s="146">
        <v>3650</v>
      </c>
      <c r="S27" s="146">
        <v>3650</v>
      </c>
      <c r="T27" s="146">
        <v>250000</v>
      </c>
      <c r="U27" s="146">
        <v>250000</v>
      </c>
      <c r="V27" s="146">
        <v>500000</v>
      </c>
      <c r="W27" s="146">
        <v>500000</v>
      </c>
      <c r="Z27" s="130">
        <v>3</v>
      </c>
      <c r="AA27">
        <v>3</v>
      </c>
    </row>
    <row r="28" spans="1:27" ht="13">
      <c r="A28">
        <v>3</v>
      </c>
      <c r="B28" t="s">
        <v>36</v>
      </c>
      <c r="D28" s="110">
        <f t="shared" si="8"/>
        <v>11.493</v>
      </c>
      <c r="E28" s="110">
        <f>ROUND(E86,$Z28)</f>
        <v>10.096</v>
      </c>
      <c r="F28" s="110">
        <f>ROUND(F86,$Z28)</f>
        <v>9.9339999999999993</v>
      </c>
      <c r="G28" s="110">
        <f t="shared" si="8"/>
        <v>7.78</v>
      </c>
      <c r="H28" s="110">
        <f t="shared" ref="H28" si="12">ROUND(H86,$Z28)</f>
        <v>7.3520000000000003</v>
      </c>
      <c r="I28" s="110">
        <f t="shared" si="8"/>
        <v>6.1749999999999998</v>
      </c>
      <c r="J28" s="110">
        <f t="shared" ref="J28" si="13">ROUND(J86,$Z28)</f>
        <v>4.88</v>
      </c>
      <c r="K28" s="110">
        <f t="shared" si="8"/>
        <v>9.0470000000000006</v>
      </c>
      <c r="L28" s="110"/>
      <c r="M28" s="109"/>
      <c r="Q28" s="146">
        <v>1500</v>
      </c>
      <c r="R28" s="146">
        <v>9999999</v>
      </c>
      <c r="S28" s="146">
        <v>9999999</v>
      </c>
      <c r="T28" s="146">
        <v>9999999</v>
      </c>
      <c r="U28" s="146">
        <v>9999999</v>
      </c>
      <c r="V28" s="146">
        <v>6000000</v>
      </c>
      <c r="W28" s="146">
        <v>6000000</v>
      </c>
      <c r="Z28" s="130">
        <v>3</v>
      </c>
      <c r="AA28">
        <v>3</v>
      </c>
    </row>
    <row r="29" spans="1:27" ht="13">
      <c r="A29">
        <v>4</v>
      </c>
      <c r="B29" t="s">
        <v>37</v>
      </c>
      <c r="D29" s="110">
        <f t="shared" si="8"/>
        <v>13.6</v>
      </c>
      <c r="E29" s="110">
        <f t="shared" si="8"/>
        <v>0</v>
      </c>
      <c r="F29" s="110">
        <f t="shared" ref="F29" si="14">ROUND(F87,$Z29)</f>
        <v>0</v>
      </c>
      <c r="G29" s="110">
        <f t="shared" si="8"/>
        <v>0</v>
      </c>
      <c r="H29" s="110">
        <f t="shared" ref="H29" si="15">ROUND(H87,$Z29)</f>
        <v>0</v>
      </c>
      <c r="I29" s="110">
        <f t="shared" si="8"/>
        <v>5.0389999999999997</v>
      </c>
      <c r="J29" s="110">
        <f t="shared" ref="J29" si="16">ROUND(J87,$Z29)</f>
        <v>4.1630000000000003</v>
      </c>
      <c r="K29" s="110"/>
      <c r="L29" s="110"/>
      <c r="M29" s="109"/>
      <c r="O29" t="s">
        <v>208</v>
      </c>
      <c r="Q29" s="146">
        <v>9999999</v>
      </c>
      <c r="R29" s="146">
        <v>9999999</v>
      </c>
      <c r="S29" s="146">
        <v>9999999</v>
      </c>
      <c r="T29" s="146">
        <v>9999999</v>
      </c>
      <c r="U29" s="146">
        <v>9999999</v>
      </c>
      <c r="V29" s="146">
        <v>99999999</v>
      </c>
      <c r="W29" s="146">
        <v>99999999</v>
      </c>
      <c r="Z29" s="130">
        <v>3</v>
      </c>
      <c r="AA29">
        <v>3</v>
      </c>
    </row>
    <row r="30" spans="1:27" ht="13">
      <c r="A30">
        <v>5</v>
      </c>
      <c r="B30" t="s">
        <v>38</v>
      </c>
      <c r="D30" s="110"/>
      <c r="E30" s="110"/>
      <c r="F30" s="110"/>
      <c r="G30" s="110"/>
      <c r="H30" s="110"/>
      <c r="I30" s="110"/>
      <c r="J30" s="110"/>
      <c r="K30" s="110"/>
      <c r="L30" s="110"/>
      <c r="M30" s="109"/>
      <c r="Z30" s="130">
        <v>3</v>
      </c>
      <c r="AA30">
        <v>3</v>
      </c>
    </row>
    <row r="31" spans="1:27" ht="13">
      <c r="A31">
        <v>6</v>
      </c>
      <c r="B31" t="s">
        <v>248</v>
      </c>
      <c r="D31" s="108">
        <f t="shared" ref="D31:K31" si="17">ROUND(D66,$Z31)</f>
        <v>0</v>
      </c>
      <c r="E31" s="108">
        <f t="shared" si="17"/>
        <v>0</v>
      </c>
      <c r="F31" s="108">
        <f t="shared" si="17"/>
        <v>0</v>
      </c>
      <c r="G31" s="108">
        <f t="shared" si="17"/>
        <v>750</v>
      </c>
      <c r="H31" s="108">
        <f t="shared" si="17"/>
        <v>750</v>
      </c>
      <c r="I31" s="108">
        <f t="shared" si="17"/>
        <v>30650</v>
      </c>
      <c r="J31" s="108">
        <f t="shared" si="17"/>
        <v>30650</v>
      </c>
      <c r="K31" s="108">
        <f t="shared" si="17"/>
        <v>0</v>
      </c>
      <c r="L31" s="108"/>
      <c r="M31" s="109"/>
      <c r="Q31" s="146"/>
      <c r="R31" s="146"/>
      <c r="S31" s="146"/>
      <c r="T31" s="146"/>
      <c r="U31" s="146"/>
      <c r="V31" s="146"/>
      <c r="W31" s="146"/>
      <c r="Z31" s="130">
        <v>2</v>
      </c>
      <c r="AA31">
        <v>2</v>
      </c>
    </row>
    <row r="32" spans="1:27" ht="13">
      <c r="A32">
        <v>7</v>
      </c>
      <c r="B32" t="s">
        <v>40</v>
      </c>
      <c r="D32" s="108">
        <f t="shared" ref="D32:K32" si="18">ROUND(D69,$Z32)</f>
        <v>0</v>
      </c>
      <c r="E32" s="108">
        <f t="shared" si="18"/>
        <v>9</v>
      </c>
      <c r="F32" s="108">
        <f t="shared" si="18"/>
        <v>0</v>
      </c>
      <c r="G32" s="108">
        <f t="shared" si="18"/>
        <v>9</v>
      </c>
      <c r="H32" s="108">
        <f t="shared" si="18"/>
        <v>0</v>
      </c>
      <c r="I32" s="108">
        <f t="shared" si="18"/>
        <v>9</v>
      </c>
      <c r="J32" s="108">
        <f t="shared" si="18"/>
        <v>9</v>
      </c>
      <c r="K32" s="108">
        <f t="shared" si="18"/>
        <v>0</v>
      </c>
      <c r="L32" s="108"/>
      <c r="M32" s="109"/>
      <c r="Q32" s="146">
        <v>0</v>
      </c>
      <c r="R32" s="146">
        <v>20</v>
      </c>
      <c r="S32" s="146">
        <v>20</v>
      </c>
      <c r="T32" s="146">
        <v>50</v>
      </c>
      <c r="U32" s="146">
        <v>50</v>
      </c>
      <c r="V32" s="146">
        <v>3000</v>
      </c>
      <c r="W32" s="146">
        <v>3000</v>
      </c>
      <c r="Z32" s="130">
        <v>2</v>
      </c>
      <c r="AA32">
        <v>2</v>
      </c>
    </row>
    <row r="33" spans="1:29">
      <c r="D33" s="109"/>
      <c r="E33" s="109"/>
      <c r="F33" s="109"/>
      <c r="G33" s="109"/>
      <c r="H33" s="109"/>
      <c r="I33" s="109"/>
      <c r="J33" s="109"/>
      <c r="K33" s="109"/>
      <c r="L33" s="109"/>
      <c r="M33" s="109"/>
    </row>
    <row r="34" spans="1:29" ht="13">
      <c r="B34" s="97" t="s">
        <v>198</v>
      </c>
      <c r="C34" s="97"/>
      <c r="D34" t="str">
        <f>IF(D35&lt;&gt;'Pres &amp; Prop Rev'!D$5,#VALUE!,"")</f>
        <v/>
      </c>
      <c r="E34" t="str">
        <f>IF(E35&lt;&gt;'Pres &amp; Prop Rev'!E$5,#VALUE!,"")</f>
        <v/>
      </c>
      <c r="F34" t="str">
        <f>IF(F35&lt;&gt;'Pres &amp; Prop Rev'!F$5,#VALUE!,"")</f>
        <v/>
      </c>
      <c r="G34" t="str">
        <f>IF(G35&lt;&gt;'Pres &amp; Prop Rev'!G$5,#VALUE!,"")</f>
        <v/>
      </c>
      <c r="H34" t="str">
        <f>IF(H35&lt;&gt;'Pres &amp; Prop Rev'!H$5,#VALUE!,"")</f>
        <v/>
      </c>
      <c r="I34" t="str">
        <f>IF(I35&lt;&gt;'Pres &amp; Prop Rev'!I$5,#VALUE!,"")</f>
        <v/>
      </c>
      <c r="J34" t="str">
        <f>IF(J35&lt;&gt;'Pres &amp; Prop Rev'!J$5,#VALUE!,"")</f>
        <v/>
      </c>
      <c r="K34" t="str">
        <f>IF(K35&lt;&gt;'Pres &amp; Prop Rev'!K$5,#VALUE!,"")</f>
        <v/>
      </c>
    </row>
    <row r="35" spans="1:29" ht="13">
      <c r="D35" s="181" t="s">
        <v>10</v>
      </c>
      <c r="E35" s="54" t="s">
        <v>11</v>
      </c>
      <c r="F35" s="54" t="s">
        <v>752</v>
      </c>
      <c r="G35" s="54" t="s">
        <v>12</v>
      </c>
      <c r="H35" s="54" t="s">
        <v>753</v>
      </c>
      <c r="I35" s="54" t="s">
        <v>13</v>
      </c>
      <c r="J35" s="54" t="s">
        <v>754</v>
      </c>
      <c r="K35" s="54" t="s">
        <v>14</v>
      </c>
      <c r="L35" s="54"/>
      <c r="Y35" s="97" t="s">
        <v>352</v>
      </c>
    </row>
    <row r="36" spans="1:29" ht="13">
      <c r="A36">
        <v>1</v>
      </c>
      <c r="B36" t="s">
        <v>33</v>
      </c>
      <c r="D36" s="111">
        <f t="shared" ref="D36:K36" si="19">D26</f>
        <v>15</v>
      </c>
      <c r="E36" s="111">
        <f t="shared" si="19"/>
        <v>25</v>
      </c>
      <c r="F36" s="111">
        <f t="shared" si="19"/>
        <v>25</v>
      </c>
      <c r="G36" s="111">
        <f t="shared" si="19"/>
        <v>0</v>
      </c>
      <c r="H36" s="111">
        <f>H26</f>
        <v>0</v>
      </c>
      <c r="I36" s="111">
        <f t="shared" si="19"/>
        <v>0</v>
      </c>
      <c r="J36" s="111">
        <f t="shared" si="19"/>
        <v>0</v>
      </c>
      <c r="K36" s="111">
        <f t="shared" si="19"/>
        <v>25</v>
      </c>
      <c r="L36" s="111"/>
      <c r="M36" s="112"/>
      <c r="Y36" s="225">
        <v>1</v>
      </c>
      <c r="Z36" s="225">
        <v>11</v>
      </c>
      <c r="AA36" s="225">
        <v>21</v>
      </c>
      <c r="AB36" s="225">
        <v>25</v>
      </c>
      <c r="AC36" s="225">
        <v>31</v>
      </c>
    </row>
    <row r="37" spans="1:29">
      <c r="A37">
        <v>2</v>
      </c>
      <c r="B37" t="s">
        <v>35</v>
      </c>
      <c r="D37" s="113">
        <f>D27-0.386+0.002+0.002-0.725-0.509+0.114+0.255+0.334+0.305-0.017+0.654</f>
        <v>9.8110000000000035</v>
      </c>
      <c r="E37" s="113">
        <f>E27+0.002+0.002-0.088+0.17+0.321+0.381+0.298-0.016+0.323</f>
        <v>15.263000000000002</v>
      </c>
      <c r="F37" s="113">
        <f>F27+0.002+0.002-0.088+0.17+0.321+0.381+0.298-0.016+0.323</f>
        <v>26.341000000000001</v>
      </c>
      <c r="G37" s="113">
        <f>G27+0.001+0.001-0.088+0.12+0.273+0.319+0.323-0.017+0.253</f>
        <v>9.9120000000000008</v>
      </c>
      <c r="H37" s="113">
        <f>H27+0.001+0.001-0.088+0.12+0.273+0.319+0.323-0.017+0.253</f>
        <v>19.380000000000003</v>
      </c>
      <c r="I37" s="113">
        <f>I27+0.004+0.001+0.053+0.182+0.236+0.296-0.016+0.092</f>
        <v>7.7240000000000002</v>
      </c>
      <c r="J37" s="113">
        <f>J27+0.004+0.001+0.018+0.182+0.236+0.296-0.016+0.059</f>
        <v>6.2110000000000003</v>
      </c>
      <c r="K37" s="113">
        <f>K27+0.002-0.088-0.448+0.124+0.236+0.334+0.348-0.019+0.575</f>
        <v>13.992000000000003</v>
      </c>
      <c r="L37" s="113"/>
      <c r="M37" s="112"/>
      <c r="Q37" s="67">
        <f t="shared" ref="Q37:V39" si="20">Q27</f>
        <v>800</v>
      </c>
      <c r="R37" s="67">
        <f t="shared" si="20"/>
        <v>3650</v>
      </c>
      <c r="S37" s="67">
        <f t="shared" ref="S37" si="21">S27</f>
        <v>3650</v>
      </c>
      <c r="T37" s="67">
        <f t="shared" si="20"/>
        <v>250000</v>
      </c>
      <c r="U37" s="67">
        <f t="shared" ref="U37" si="22">U27</f>
        <v>250000</v>
      </c>
      <c r="V37" s="67">
        <f t="shared" si="20"/>
        <v>500000</v>
      </c>
      <c r="W37" s="67">
        <f t="shared" ref="W37" si="23">W27</f>
        <v>500000</v>
      </c>
      <c r="Y37" s="216">
        <v>0</v>
      </c>
      <c r="Z37" s="216">
        <v>0</v>
      </c>
      <c r="AA37" s="216">
        <v>0</v>
      </c>
      <c r="AB37" s="216">
        <v>0</v>
      </c>
      <c r="AC37" s="216">
        <v>0</v>
      </c>
    </row>
    <row r="38" spans="1:29">
      <c r="A38">
        <v>3</v>
      </c>
      <c r="B38" t="s">
        <v>36</v>
      </c>
      <c r="D38" s="113">
        <f t="shared" ref="D38:D39" si="24">D28-0.386+0.002+0.002-0.725-0.509+0.114+0.255+0.334+0.305-0.017+0.654</f>
        <v>11.522000000000004</v>
      </c>
      <c r="E38" s="113">
        <f>E28+0.002+0.002-0.088+0.17+0.321+0.381+0.298-0.016+0.323</f>
        <v>11.489000000000003</v>
      </c>
      <c r="F38" s="113">
        <f>F28+0.002+0.002-0.088+0.17+0.321+0.381+0.298-0.016+0.323</f>
        <v>11.327000000000002</v>
      </c>
      <c r="G38" s="113">
        <f>G28+0.001+0.001-0.088+0.12+0.273+0.319+0.323-0.017+0.253</f>
        <v>8.9650000000000034</v>
      </c>
      <c r="H38" s="113">
        <f>H28+0.001+0.001-0.088+0.12+0.273+0.319+0.323-0.017+0.253</f>
        <v>8.5370000000000008</v>
      </c>
      <c r="I38" s="113">
        <f t="shared" ref="I38" si="25">I28+0.004+0.001+0.053+0.182+0.236+0.296-0.016+0.092</f>
        <v>7.0229999999999997</v>
      </c>
      <c r="J38" s="113">
        <f t="shared" ref="J38" si="26">J28+0.004+0.001+0.018+0.182+0.236+0.296-0.016+0.059</f>
        <v>5.66</v>
      </c>
      <c r="K38" s="113">
        <f t="shared" ref="K38" si="27">K28+0.002-0.088-0.448+0.124+0.236+0.334+0.348-0.019+0.575</f>
        <v>10.111000000000002</v>
      </c>
      <c r="L38" s="113"/>
      <c r="M38" s="112"/>
      <c r="Q38" s="67">
        <f t="shared" si="20"/>
        <v>1500</v>
      </c>
      <c r="R38" s="67">
        <f t="shared" si="20"/>
        <v>9999999</v>
      </c>
      <c r="S38" s="67">
        <f t="shared" ref="S38" si="28">S28</f>
        <v>9999999</v>
      </c>
      <c r="T38" s="67">
        <f t="shared" si="20"/>
        <v>9999999</v>
      </c>
      <c r="U38" s="67">
        <f t="shared" ref="U38" si="29">U28</f>
        <v>9999999</v>
      </c>
      <c r="V38" s="67">
        <f t="shared" si="20"/>
        <v>6000000</v>
      </c>
      <c r="W38" s="67">
        <f t="shared" ref="W38" si="30">W28</f>
        <v>6000000</v>
      </c>
      <c r="Y38" s="217">
        <f>Y$37</f>
        <v>0</v>
      </c>
      <c r="Z38" s="217">
        <f>Z$37</f>
        <v>0</v>
      </c>
      <c r="AA38" s="217">
        <f>AA$37</f>
        <v>0</v>
      </c>
      <c r="AB38" s="217">
        <f>AB$37</f>
        <v>0</v>
      </c>
      <c r="AC38" s="217">
        <f>AC$37</f>
        <v>0</v>
      </c>
    </row>
    <row r="39" spans="1:29">
      <c r="A39">
        <v>4</v>
      </c>
      <c r="B39" t="s">
        <v>37</v>
      </c>
      <c r="D39" s="113">
        <f t="shared" si="24"/>
        <v>13.629000000000003</v>
      </c>
      <c r="E39" s="113"/>
      <c r="F39" s="113"/>
      <c r="G39" s="113"/>
      <c r="H39" s="113"/>
      <c r="I39" s="113">
        <f>I29+0.004+0.001+0.053+0.182+0.296-0.016+0.092</f>
        <v>5.6509999999999998</v>
      </c>
      <c r="J39" s="113">
        <f>J29+0.004+0.001+0.018+0.182+0.296-0.016+0.059</f>
        <v>4.7070000000000007</v>
      </c>
      <c r="K39" s="113"/>
      <c r="L39" s="113"/>
      <c r="M39" s="112"/>
      <c r="O39" t="s">
        <v>205</v>
      </c>
      <c r="Q39" s="67">
        <f t="shared" si="20"/>
        <v>9999999</v>
      </c>
      <c r="R39" s="67">
        <f t="shared" si="20"/>
        <v>9999999</v>
      </c>
      <c r="S39" s="67">
        <f t="shared" ref="S39" si="31">S29</f>
        <v>9999999</v>
      </c>
      <c r="T39" s="67">
        <f t="shared" si="20"/>
        <v>9999999</v>
      </c>
      <c r="U39" s="67">
        <f t="shared" ref="U39" si="32">U29</f>
        <v>9999999</v>
      </c>
      <c r="V39" s="67">
        <f t="shared" si="20"/>
        <v>99999999</v>
      </c>
      <c r="W39" s="67">
        <f t="shared" ref="W39" si="33">W29</f>
        <v>99999999</v>
      </c>
      <c r="Y39" s="217">
        <f t="shared" ref="Y39:AC40" si="34">Y$37</f>
        <v>0</v>
      </c>
      <c r="Z39" s="217">
        <f t="shared" si="34"/>
        <v>0</v>
      </c>
      <c r="AA39" s="217">
        <f t="shared" si="34"/>
        <v>0</v>
      </c>
      <c r="AB39" s="217">
        <f t="shared" si="34"/>
        <v>0</v>
      </c>
      <c r="AC39" s="217">
        <f t="shared" si="34"/>
        <v>0</v>
      </c>
    </row>
    <row r="40" spans="1:29">
      <c r="A40">
        <v>5</v>
      </c>
      <c r="B40" t="s">
        <v>38</v>
      </c>
      <c r="D40" s="113"/>
      <c r="E40" s="113"/>
      <c r="F40" s="113"/>
      <c r="G40" s="113"/>
      <c r="H40" s="113"/>
      <c r="I40" s="113"/>
      <c r="J40" s="113"/>
      <c r="K40" s="113"/>
      <c r="L40" s="113"/>
      <c r="M40" s="112"/>
      <c r="Y40" s="217">
        <f t="shared" si="34"/>
        <v>0</v>
      </c>
      <c r="Z40" s="217">
        <f t="shared" si="34"/>
        <v>0</v>
      </c>
      <c r="AA40" s="217">
        <f t="shared" si="34"/>
        <v>0</v>
      </c>
      <c r="AB40" s="217">
        <f t="shared" si="34"/>
        <v>0</v>
      </c>
      <c r="AC40" s="217">
        <f t="shared" si="34"/>
        <v>0</v>
      </c>
    </row>
    <row r="41" spans="1:29">
      <c r="A41">
        <v>6</v>
      </c>
      <c r="B41" t="s">
        <v>248</v>
      </c>
      <c r="D41" s="111"/>
      <c r="E41" s="111"/>
      <c r="F41" s="111"/>
      <c r="G41" s="111">
        <f t="shared" ref="G41:J42" si="35">G31</f>
        <v>750</v>
      </c>
      <c r="H41" s="111">
        <f t="shared" si="35"/>
        <v>750</v>
      </c>
      <c r="I41" s="111">
        <f t="shared" si="35"/>
        <v>30650</v>
      </c>
      <c r="J41" s="111">
        <f t="shared" si="35"/>
        <v>30650</v>
      </c>
      <c r="K41" s="111"/>
      <c r="L41" s="111"/>
      <c r="M41" s="112"/>
      <c r="Q41" s="67"/>
      <c r="R41" s="67"/>
      <c r="S41" s="67"/>
      <c r="T41" s="67"/>
      <c r="U41" s="67"/>
      <c r="V41" s="67"/>
      <c r="W41" s="67"/>
    </row>
    <row r="42" spans="1:29">
      <c r="A42">
        <v>7</v>
      </c>
      <c r="B42" t="s">
        <v>40</v>
      </c>
      <c r="D42" s="111"/>
      <c r="E42" s="111">
        <f>E32</f>
        <v>9</v>
      </c>
      <c r="F42" s="111">
        <f>F32</f>
        <v>0</v>
      </c>
      <c r="G42" s="111">
        <f t="shared" si="35"/>
        <v>9</v>
      </c>
      <c r="H42" s="111">
        <f t="shared" si="35"/>
        <v>0</v>
      </c>
      <c r="I42" s="111">
        <f t="shared" si="35"/>
        <v>9</v>
      </c>
      <c r="J42" s="111">
        <f t="shared" si="35"/>
        <v>9</v>
      </c>
      <c r="K42" s="111"/>
      <c r="L42" s="111"/>
      <c r="M42" s="112"/>
      <c r="Q42" s="67">
        <f t="shared" ref="Q42:W42" si="36">Q32</f>
        <v>0</v>
      </c>
      <c r="R42" s="67">
        <f t="shared" si="36"/>
        <v>20</v>
      </c>
      <c r="S42" s="67">
        <f t="shared" si="36"/>
        <v>20</v>
      </c>
      <c r="T42" s="67">
        <f t="shared" si="36"/>
        <v>50</v>
      </c>
      <c r="U42" s="67">
        <f t="shared" si="36"/>
        <v>50</v>
      </c>
      <c r="V42" s="67">
        <f t="shared" si="36"/>
        <v>3000</v>
      </c>
      <c r="W42" s="67">
        <f t="shared" si="36"/>
        <v>3000</v>
      </c>
    </row>
    <row r="43" spans="1:29">
      <c r="C43" s="223"/>
      <c r="D43" s="224"/>
      <c r="E43" s="224"/>
      <c r="F43" s="224"/>
      <c r="G43" s="224"/>
      <c r="H43" s="224"/>
      <c r="I43" s="224"/>
      <c r="J43" s="224"/>
      <c r="K43" s="224"/>
      <c r="L43" s="112"/>
      <c r="M43" s="112"/>
    </row>
    <row r="44" spans="1:29">
      <c r="C44" s="223"/>
      <c r="D44" s="231"/>
      <c r="E44" s="231"/>
      <c r="F44" s="231"/>
      <c r="G44" s="231"/>
      <c r="H44" s="231"/>
      <c r="I44" s="231"/>
      <c r="J44" s="231"/>
      <c r="K44" s="231"/>
    </row>
    <row r="45" spans="1:29" ht="13">
      <c r="C45" s="223"/>
      <c r="D45" s="238">
        <v>0</v>
      </c>
      <c r="E45" s="239" t="s">
        <v>390</v>
      </c>
      <c r="F45" s="239"/>
      <c r="G45" s="239"/>
      <c r="H45" s="239"/>
      <c r="I45" s="231"/>
      <c r="J45" s="231"/>
      <c r="K45" s="231"/>
    </row>
    <row r="46" spans="1:29">
      <c r="D46" s="231"/>
      <c r="E46" s="231"/>
      <c r="F46" s="231"/>
      <c r="G46" s="231"/>
      <c r="H46" s="231"/>
      <c r="I46" s="231"/>
      <c r="J46" s="231"/>
      <c r="K46" s="231"/>
    </row>
    <row r="47" spans="1:29" ht="13">
      <c r="A47" t="s">
        <v>1</v>
      </c>
      <c r="B47" s="97" t="s">
        <v>220</v>
      </c>
      <c r="C47" s="97"/>
    </row>
    <row r="49" spans="1:16">
      <c r="B49" t="s">
        <v>17</v>
      </c>
    </row>
    <row r="50" spans="1:16">
      <c r="B50" s="121" t="s">
        <v>18</v>
      </c>
      <c r="C50" s="64">
        <f>SUM(D50:K50)</f>
        <v>3546238286.4698129</v>
      </c>
      <c r="D50" s="64">
        <f>'Pres &amp; Prop Rev'!D31</f>
        <v>1718630296.2747939</v>
      </c>
      <c r="E50" s="64">
        <f>'Pres &amp; Prop Rev'!E31</f>
        <v>466372572.30339468</v>
      </c>
      <c r="F50" s="64">
        <f>'Pres &amp; Prop Rev'!F31</f>
        <v>92517.214073099996</v>
      </c>
      <c r="G50" s="64">
        <f>'Pres &amp; Prop Rev'!G31</f>
        <v>1181273588.82234</v>
      </c>
      <c r="H50" s="64">
        <f>'Pres &amp; Prop Rev'!H31</f>
        <v>109802.19577130998</v>
      </c>
      <c r="I50" s="64">
        <f>'Pres &amp; Prop Rev'!I31</f>
        <v>126000000</v>
      </c>
      <c r="J50" s="64">
        <f>'Pres &amp; Prop Rev'!J31</f>
        <v>6000000</v>
      </c>
      <c r="K50" s="64">
        <f>'Pres &amp; Prop Rev'!K31</f>
        <v>47759509.659440003</v>
      </c>
    </row>
    <row r="51" spans="1:16">
      <c r="B51" s="121" t="s">
        <v>19</v>
      </c>
      <c r="C51" s="64">
        <f>SUM(D51:K51)</f>
        <v>1606568238.7397215</v>
      </c>
      <c r="D51" s="64">
        <f>'Pres &amp; Prop Rev'!D32</f>
        <v>577659306.88565063</v>
      </c>
      <c r="E51" s="64">
        <f>'Pres &amp; Prop Rev'!E32</f>
        <v>234380452.38748533</v>
      </c>
      <c r="F51" s="64">
        <f>'Pres &amp; Prop Rev'!F32</f>
        <v>278100.15592689998</v>
      </c>
      <c r="G51" s="64">
        <f>'Pres &amp; Prop Rev'!G32</f>
        <v>144121754.80867997</v>
      </c>
      <c r="H51" s="64">
        <f>'Pres &amp; Prop Rev'!H32</f>
        <v>341841.23422868992</v>
      </c>
      <c r="I51" s="64">
        <f>'Pres &amp; Prop Rev'!I32</f>
        <v>484064827.46600002</v>
      </c>
      <c r="J51" s="64">
        <f>'Pres &amp; Prop Rev'!J32</f>
        <v>66000000</v>
      </c>
      <c r="K51" s="64">
        <f>'Pres &amp; Prop Rev'!K32</f>
        <v>99721955.801750004</v>
      </c>
    </row>
    <row r="52" spans="1:16">
      <c r="B52" s="121" t="s">
        <v>20</v>
      </c>
      <c r="C52" s="64">
        <f>SUM(D52:K52)</f>
        <v>749663530.03283548</v>
      </c>
      <c r="D52" s="64">
        <f>'Pres &amp; Prop Rev'!D33</f>
        <v>374095139.33183551</v>
      </c>
      <c r="E52" s="64">
        <f>'Pres &amp; Prop Rev'!E33</f>
        <v>0</v>
      </c>
      <c r="F52" s="64">
        <f>'Pres &amp; Prop Rev'!F33</f>
        <v>0</v>
      </c>
      <c r="G52" s="64">
        <f>'Pres &amp; Prop Rev'!G33</f>
        <v>0</v>
      </c>
      <c r="H52" s="64">
        <f>'Pres &amp; Prop Rev'!H33</f>
        <v>0</v>
      </c>
      <c r="I52" s="64">
        <f>'Pres &amp; Prop Rev'!I33</f>
        <v>17780158.700999975</v>
      </c>
      <c r="J52" s="64">
        <f>'Pres &amp; Prop Rev'!J33</f>
        <v>357788232</v>
      </c>
      <c r="K52" s="64">
        <f>'Pres &amp; Prop Rev'!K33</f>
        <v>0</v>
      </c>
    </row>
    <row r="53" spans="1:16">
      <c r="B53" s="121" t="s">
        <v>400</v>
      </c>
      <c r="C53" s="64">
        <f>SUM(D53:K53)</f>
        <v>0</v>
      </c>
      <c r="D53" s="64">
        <f>'Pres &amp; Prop Rev'!D41+'Pres &amp; Prop Rev'!D38</f>
        <v>0</v>
      </c>
      <c r="E53" s="64">
        <f>'Pres &amp; Prop Rev'!E41+'Pres &amp; Prop Rev'!E38</f>
        <v>0</v>
      </c>
      <c r="F53" s="64">
        <f>'Pres &amp; Prop Rev'!F41+'Pres &amp; Prop Rev'!F38</f>
        <v>0</v>
      </c>
      <c r="G53" s="64">
        <f>'Pres &amp; Prop Rev'!G41+'Pres &amp; Prop Rev'!G38</f>
        <v>0</v>
      </c>
      <c r="H53" s="64">
        <f>'Pres &amp; Prop Rev'!H41+'Pres &amp; Prop Rev'!H38</f>
        <v>0</v>
      </c>
      <c r="I53" s="64">
        <f>'Pres &amp; Prop Rev'!I41+'Pres &amp; Prop Rev'!I38</f>
        <v>0</v>
      </c>
      <c r="J53" s="64">
        <f>'Pres &amp; Prop Rev'!J41+'Pres &amp; Prop Rev'!J38</f>
        <v>0</v>
      </c>
      <c r="K53" s="64">
        <f>'Pres &amp; Prop Rev'!K41+'Pres &amp; Prop Rev'!K38</f>
        <v>0</v>
      </c>
    </row>
    <row r="54" spans="1:16">
      <c r="B54" s="121" t="s">
        <v>212</v>
      </c>
      <c r="C54" s="64">
        <f>SUM(D54:K54)</f>
        <v>-154699972</v>
      </c>
      <c r="D54" s="64">
        <f>'Pres &amp; Prop Rev'!D44</f>
        <v>-83426247</v>
      </c>
      <c r="E54" s="64">
        <f>'Pres &amp; Prop Rev'!E44</f>
        <v>-23053465</v>
      </c>
      <c r="F54" s="64">
        <f>'Pres &amp; Prop Rev'!F44</f>
        <v>0</v>
      </c>
      <c r="G54" s="64">
        <f>'Pres &amp; Prop Rev'!G44</f>
        <v>-41470151</v>
      </c>
      <c r="H54" s="64">
        <f>'Pres &amp; Prop Rev'!H44</f>
        <v>0</v>
      </c>
      <c r="I54" s="64">
        <f>'Pres &amp; Prop Rev'!I44</f>
        <v>0</v>
      </c>
      <c r="J54" s="64">
        <f>'Pres &amp; Prop Rev'!J44</f>
        <v>0</v>
      </c>
      <c r="K54" s="64">
        <f>'Pres &amp; Prop Rev'!K44</f>
        <v>-6750109</v>
      </c>
    </row>
    <row r="55" spans="1:16">
      <c r="B55" t="s">
        <v>27</v>
      </c>
      <c r="C55" s="69">
        <f>IF(ROUND(SUM(D55:L55),3)&lt;&gt;ROUND(SUM(C50:C54),3),#VALUE!,SUM(D55:L55))</f>
        <v>5747770083.2423697</v>
      </c>
      <c r="D55" s="69">
        <f t="shared" ref="D55:K55" si="37">SUM(D50:D54)</f>
        <v>2586958495.49228</v>
      </c>
      <c r="E55" s="69">
        <f t="shared" si="37"/>
        <v>677699559.69088006</v>
      </c>
      <c r="F55" s="69">
        <f t="shared" si="37"/>
        <v>370617.37</v>
      </c>
      <c r="G55" s="69">
        <f t="shared" si="37"/>
        <v>1283925192.6310201</v>
      </c>
      <c r="H55" s="69">
        <f t="shared" si="37"/>
        <v>451643.42999999993</v>
      </c>
      <c r="I55" s="69">
        <f t="shared" si="37"/>
        <v>627844986.16700006</v>
      </c>
      <c r="J55" s="69">
        <f t="shared" si="37"/>
        <v>429788232</v>
      </c>
      <c r="K55" s="69">
        <f t="shared" si="37"/>
        <v>140731356.46119002</v>
      </c>
    </row>
    <row r="56" spans="1:16">
      <c r="B56" t="s">
        <v>28</v>
      </c>
      <c r="C56" s="64"/>
      <c r="D56" s="64">
        <f>'Pres &amp; Prop Rev'!D48</f>
        <v>2738172</v>
      </c>
      <c r="E56" s="64">
        <f>'Pres &amp; Prop Rev'!E48</f>
        <v>416737</v>
      </c>
      <c r="F56" s="64">
        <f>'Pres &amp; Prop Rev'!F48</f>
        <v>152</v>
      </c>
      <c r="G56" s="64">
        <f>'Pres &amp; Prop Rev'!G48</f>
        <v>20410</v>
      </c>
      <c r="H56" s="64">
        <f>'Pres &amp; Prop Rev'!H48</f>
        <v>37</v>
      </c>
      <c r="I56" s="64">
        <f>'Pres &amp; Prop Rev'!I48</f>
        <v>252</v>
      </c>
      <c r="J56" s="64">
        <f>'Pres &amp; Prop Rev'!J48</f>
        <v>12</v>
      </c>
      <c r="K56" s="64">
        <f>'Pres &amp; Prop Rev'!K48</f>
        <v>30627</v>
      </c>
    </row>
    <row r="57" spans="1:16">
      <c r="B57" t="s">
        <v>30</v>
      </c>
      <c r="C57" s="64"/>
      <c r="D57" s="64">
        <f>'Pres &amp; Prop Rev'!D50</f>
        <v>0</v>
      </c>
      <c r="E57" s="64">
        <f>'Pres &amp; Prop Rev'!E50</f>
        <v>566912.83238095231</v>
      </c>
      <c r="F57" s="64">
        <f>'Pres &amp; Prop Rev'!F50</f>
        <v>0</v>
      </c>
      <c r="G57" s="64">
        <f>'Pres &amp; Prop Rev'!G50</f>
        <v>2600000.3744761907</v>
      </c>
      <c r="H57" s="64">
        <f>'Pres &amp; Prop Rev'!H50</f>
        <v>0</v>
      </c>
      <c r="I57" s="64">
        <f>'Pres &amp; Prop Rev'!I50</f>
        <v>600031.76899999997</v>
      </c>
      <c r="J57" s="64">
        <f>'Pres &amp; Prop Rev'!J50</f>
        <v>709647.84</v>
      </c>
      <c r="K57" s="64">
        <f>'Pres &amp; Prop Rev'!K50</f>
        <v>0</v>
      </c>
    </row>
    <row r="58" spans="1:16" ht="13">
      <c r="M58" t="s">
        <v>253</v>
      </c>
      <c r="N58" s="139" t="s">
        <v>232</v>
      </c>
      <c r="O58" s="139"/>
      <c r="P58" s="139"/>
    </row>
    <row r="59" spans="1:16" ht="13">
      <c r="A59" s="218"/>
      <c r="B59" s="97" t="s">
        <v>209</v>
      </c>
      <c r="C59" s="175">
        <f ca="1">SUM(D59:L59)</f>
        <v>659254415.21666002</v>
      </c>
      <c r="D59" s="175">
        <f ca="1">'Rate Spread GRC'!H15*1000</f>
        <v>316510771.74420458</v>
      </c>
      <c r="E59" s="175">
        <f ca="1">'Rate Spread GRC'!H17*1000</f>
        <v>101374717.34512602</v>
      </c>
      <c r="F59" s="175">
        <f ca="1">'Rate Spread GRC'!H19*1000</f>
        <v>54508.711248932894</v>
      </c>
      <c r="G59" s="175">
        <f ca="1">'Rate Spread GRC'!H21*1000</f>
        <v>149748839.33876371</v>
      </c>
      <c r="H59" s="175">
        <f ca="1">'Rate Spread GRC'!H23*1000</f>
        <v>72861.676778784706</v>
      </c>
      <c r="I59" s="175">
        <f ca="1">'Rate Spread GRC'!H25*1000</f>
        <v>52342603.130158357</v>
      </c>
      <c r="J59" s="175">
        <f ca="1">'Rate Spread GRC'!H27*1000</f>
        <v>23797612.557763178</v>
      </c>
      <c r="K59" s="175">
        <f ca="1">'Rate Spread GRC'!H29*1000</f>
        <v>15352500.712616483</v>
      </c>
      <c r="M59" s="155" t="s">
        <v>251</v>
      </c>
      <c r="N59" s="54" t="s">
        <v>233</v>
      </c>
      <c r="O59" s="54" t="s">
        <v>234</v>
      </c>
      <c r="P59" s="54" t="s">
        <v>235</v>
      </c>
    </row>
    <row r="60" spans="1:16" ht="13">
      <c r="B60" s="97" t="s">
        <v>318</v>
      </c>
      <c r="C60" s="153">
        <f ca="1">'Rate Spread GRC'!F33</f>
        <v>0.13049744663770299</v>
      </c>
      <c r="D60" s="153">
        <f ca="1">'Rate Spread GRC'!F15</f>
        <v>0.13060300561525151</v>
      </c>
      <c r="E60" s="153">
        <f ca="1">'Rate Spread GRC'!F17</f>
        <v>0.13060300561525151</v>
      </c>
      <c r="F60" s="153">
        <f ca="1">'Rate Spread GRC'!F19</f>
        <v>0.13060300561525151</v>
      </c>
      <c r="G60" s="153">
        <f ca="1">'Rate Spread GRC'!F21</f>
        <v>0.13060300561525151</v>
      </c>
      <c r="H60" s="153">
        <f ca="1">'Rate Spread GRC'!F23</f>
        <v>0.13060300561525151</v>
      </c>
      <c r="I60" s="153">
        <f ca="1">'Rate Spread GRC'!F25</f>
        <v>0.13060300561525151</v>
      </c>
      <c r="J60" s="153">
        <f ca="1">'Rate Spread GRC'!F27</f>
        <v>0.12765153107799584</v>
      </c>
      <c r="K60" s="153">
        <f ca="1">'Rate Spread GRC'!F31</f>
        <v>0.13060300561525151</v>
      </c>
      <c r="M60" s="156" t="s">
        <v>252</v>
      </c>
    </row>
    <row r="61" spans="1:16">
      <c r="B61" s="123" t="s">
        <v>216</v>
      </c>
      <c r="C61" s="142"/>
      <c r="D61" s="124">
        <f t="shared" ref="D61:J61" si="38">D4</f>
        <v>9</v>
      </c>
      <c r="E61" s="124">
        <f t="shared" si="38"/>
        <v>21</v>
      </c>
      <c r="F61" s="124">
        <f t="shared" si="38"/>
        <v>21</v>
      </c>
      <c r="G61" s="124">
        <f t="shared" si="38"/>
        <v>0</v>
      </c>
      <c r="H61" s="124">
        <f t="shared" si="38"/>
        <v>0</v>
      </c>
      <c r="I61" s="124">
        <f t="shared" si="38"/>
        <v>0</v>
      </c>
      <c r="J61" s="124">
        <f t="shared" si="38"/>
        <v>0</v>
      </c>
      <c r="K61" s="124">
        <f>K4</f>
        <v>21</v>
      </c>
      <c r="L61" s="125"/>
    </row>
    <row r="62" spans="1:16">
      <c r="B62" s="135" t="s">
        <v>33</v>
      </c>
      <c r="D62" s="154">
        <v>15</v>
      </c>
      <c r="E62" s="154">
        <v>25</v>
      </c>
      <c r="F62" s="154">
        <v>25</v>
      </c>
      <c r="G62" s="154">
        <v>0</v>
      </c>
      <c r="H62" s="154">
        <v>0</v>
      </c>
      <c r="I62" s="154">
        <v>0</v>
      </c>
      <c r="J62" s="154">
        <v>0</v>
      </c>
      <c r="K62" s="154">
        <v>25</v>
      </c>
      <c r="L62" s="136"/>
      <c r="N62">
        <f>FLOOR(N61*(1+N$60),$N63)</f>
        <v>0</v>
      </c>
      <c r="O62">
        <f>CEILING(O61*(1+O$60),$O63)</f>
        <v>0</v>
      </c>
      <c r="P62">
        <f>P61*(1+P$60)</f>
        <v>0</v>
      </c>
    </row>
    <row r="63" spans="1:16">
      <c r="B63" s="126" t="s">
        <v>229</v>
      </c>
      <c r="C63" s="143"/>
      <c r="D63" s="137">
        <f t="shared" ref="D63:K63" si="39">IF(D61,D62/D61-1,0)</f>
        <v>0.66666666666666674</v>
      </c>
      <c r="E63" s="137">
        <f t="shared" si="39"/>
        <v>0.19047619047619047</v>
      </c>
      <c r="F63" s="137">
        <f t="shared" si="39"/>
        <v>0.19047619047619047</v>
      </c>
      <c r="G63" s="137">
        <f t="shared" si="39"/>
        <v>0</v>
      </c>
      <c r="H63" s="137">
        <f t="shared" si="39"/>
        <v>0</v>
      </c>
      <c r="I63" s="137">
        <f t="shared" si="39"/>
        <v>0</v>
      </c>
      <c r="J63" s="137">
        <f t="shared" si="39"/>
        <v>0</v>
      </c>
      <c r="K63" s="137">
        <f t="shared" si="39"/>
        <v>0.19047619047619047</v>
      </c>
      <c r="L63" s="127"/>
      <c r="N63" s="138">
        <v>0.05</v>
      </c>
      <c r="O63" s="138">
        <v>0.05</v>
      </c>
    </row>
    <row r="64" spans="1:16">
      <c r="B64" s="121" t="s">
        <v>213</v>
      </c>
      <c r="C64" s="65">
        <f>SUM(D64:L64)</f>
        <v>52260480</v>
      </c>
      <c r="D64" s="65">
        <f t="shared" ref="D64:K64" si="40">D56*D62</f>
        <v>41072580</v>
      </c>
      <c r="E64" s="65">
        <f t="shared" si="40"/>
        <v>10418425</v>
      </c>
      <c r="F64" s="65">
        <f t="shared" si="40"/>
        <v>3800</v>
      </c>
      <c r="G64" s="65">
        <f t="shared" si="40"/>
        <v>0</v>
      </c>
      <c r="H64" s="65">
        <f t="shared" si="40"/>
        <v>0</v>
      </c>
      <c r="I64" s="65">
        <f t="shared" si="40"/>
        <v>0</v>
      </c>
      <c r="J64" s="65">
        <f t="shared" si="40"/>
        <v>0</v>
      </c>
      <c r="K64" s="65">
        <f t="shared" si="40"/>
        <v>765675</v>
      </c>
      <c r="L64" s="65"/>
    </row>
    <row r="65" spans="2:16">
      <c r="B65" s="123" t="s">
        <v>217</v>
      </c>
      <c r="C65" s="142"/>
      <c r="D65" s="124">
        <f t="shared" ref="D65:K65" si="41">D9</f>
        <v>0</v>
      </c>
      <c r="E65" s="124">
        <f t="shared" si="41"/>
        <v>0</v>
      </c>
      <c r="F65" s="124">
        <f t="shared" si="41"/>
        <v>0</v>
      </c>
      <c r="G65" s="124">
        <f t="shared" si="41"/>
        <v>600</v>
      </c>
      <c r="H65" s="124">
        <f t="shared" si="41"/>
        <v>600</v>
      </c>
      <c r="I65" s="124">
        <f t="shared" si="41"/>
        <v>30650</v>
      </c>
      <c r="J65" s="124">
        <f t="shared" si="41"/>
        <v>30650</v>
      </c>
      <c r="K65" s="124">
        <f t="shared" si="41"/>
        <v>0</v>
      </c>
      <c r="L65" s="128"/>
      <c r="M65" s="237"/>
    </row>
    <row r="66" spans="2:16">
      <c r="B66" s="135" t="s">
        <v>40</v>
      </c>
      <c r="D66" s="134"/>
      <c r="E66" s="134"/>
      <c r="F66" s="134"/>
      <c r="G66" s="154">
        <v>750</v>
      </c>
      <c r="H66" s="154">
        <v>750</v>
      </c>
      <c r="I66" s="154">
        <v>30650</v>
      </c>
      <c r="J66" s="154">
        <v>30650</v>
      </c>
      <c r="K66" s="134"/>
      <c r="L66" s="136"/>
      <c r="N66">
        <f>FLOOR(N65*(1+N$60),$N67)</f>
        <v>0</v>
      </c>
      <c r="O66">
        <f>CEILING(O65*(1+O$60),$O67)</f>
        <v>0</v>
      </c>
      <c r="P66">
        <f>P65*(1+P$60)</f>
        <v>0</v>
      </c>
    </row>
    <row r="67" spans="2:16">
      <c r="B67" s="126" t="s">
        <v>230</v>
      </c>
      <c r="C67" s="143"/>
      <c r="D67" s="137">
        <f t="shared" ref="D67:K67" si="42">IF(D65,D66/D65-1,0)</f>
        <v>0</v>
      </c>
      <c r="E67" s="137">
        <f t="shared" si="42"/>
        <v>0</v>
      </c>
      <c r="F67" s="137">
        <f t="shared" si="42"/>
        <v>0</v>
      </c>
      <c r="G67" s="137">
        <f t="shared" si="42"/>
        <v>0.25</v>
      </c>
      <c r="H67" s="137">
        <f t="shared" si="42"/>
        <v>0.25</v>
      </c>
      <c r="I67" s="137">
        <f t="shared" si="42"/>
        <v>0</v>
      </c>
      <c r="J67" s="137">
        <f t="shared" si="42"/>
        <v>0</v>
      </c>
      <c r="K67" s="137">
        <f t="shared" si="42"/>
        <v>0</v>
      </c>
      <c r="L67" s="127"/>
      <c r="N67" s="138">
        <v>5</v>
      </c>
      <c r="O67" s="138">
        <v>10</v>
      </c>
    </row>
    <row r="68" spans="2:16">
      <c r="B68" s="123" t="s">
        <v>218</v>
      </c>
      <c r="C68" s="142"/>
      <c r="D68" s="124">
        <f>D10</f>
        <v>0</v>
      </c>
      <c r="E68" s="124">
        <f>E10</f>
        <v>7.5</v>
      </c>
      <c r="F68" s="124">
        <v>0</v>
      </c>
      <c r="G68" s="124">
        <f>G10</f>
        <v>7.5</v>
      </c>
      <c r="H68" s="124">
        <v>0</v>
      </c>
      <c r="I68" s="124">
        <f>I10</f>
        <v>8.3000000000000007</v>
      </c>
      <c r="J68" s="124">
        <f>J10</f>
        <v>8.3000000000000007</v>
      </c>
      <c r="K68" s="124">
        <f>K10</f>
        <v>0</v>
      </c>
      <c r="L68" s="125"/>
    </row>
    <row r="69" spans="2:16">
      <c r="B69" s="135" t="s">
        <v>41</v>
      </c>
      <c r="D69" s="134"/>
      <c r="E69" s="154">
        <v>9</v>
      </c>
      <c r="F69" s="134"/>
      <c r="G69" s="154">
        <v>9</v>
      </c>
      <c r="H69" s="134"/>
      <c r="I69" s="154">
        <v>9</v>
      </c>
      <c r="J69" s="154">
        <v>9</v>
      </c>
      <c r="K69" s="154"/>
      <c r="L69" s="136"/>
      <c r="N69">
        <f>FLOOR(N68*(1+N$60),$N70)</f>
        <v>0</v>
      </c>
      <c r="O69">
        <f>CEILING(O68*(1+O$60),$O70)</f>
        <v>0</v>
      </c>
      <c r="P69">
        <f>P68*(1+P$60)</f>
        <v>0</v>
      </c>
    </row>
    <row r="70" spans="2:16">
      <c r="B70" s="126" t="s">
        <v>231</v>
      </c>
      <c r="C70" s="143"/>
      <c r="D70" s="137">
        <f t="shared" ref="D70:K70" si="43">IF(D68,D69/D68-1,0)</f>
        <v>0</v>
      </c>
      <c r="E70" s="137">
        <f t="shared" si="43"/>
        <v>0.19999999999999996</v>
      </c>
      <c r="F70" s="137">
        <f t="shared" si="43"/>
        <v>0</v>
      </c>
      <c r="G70" s="137">
        <f t="shared" si="43"/>
        <v>0.19999999999999996</v>
      </c>
      <c r="H70" s="137">
        <f t="shared" si="43"/>
        <v>0</v>
      </c>
      <c r="I70" s="137">
        <f t="shared" si="43"/>
        <v>8.43373493975903E-2</v>
      </c>
      <c r="J70" s="137">
        <f t="shared" si="43"/>
        <v>8.43373493975903E-2</v>
      </c>
      <c r="K70" s="137">
        <f t="shared" si="43"/>
        <v>0</v>
      </c>
      <c r="L70" s="127"/>
      <c r="N70" s="138">
        <v>0.05</v>
      </c>
      <c r="O70" s="138">
        <v>0.05</v>
      </c>
    </row>
    <row r="71" spans="2:16">
      <c r="B71" s="121" t="s">
        <v>215</v>
      </c>
      <c r="C71" s="65">
        <f>SUM(D71:L71)</f>
        <v>63716185.342714295</v>
      </c>
      <c r="D71" s="65">
        <f t="shared" ref="D71:K71" si="44">D56*D66+D57*D69</f>
        <v>0</v>
      </c>
      <c r="E71" s="65">
        <f t="shared" si="44"/>
        <v>5102215.4914285708</v>
      </c>
      <c r="F71" s="65">
        <f t="shared" si="44"/>
        <v>0</v>
      </c>
      <c r="G71" s="65">
        <f t="shared" si="44"/>
        <v>38707503.37028572</v>
      </c>
      <c r="H71" s="65">
        <f t="shared" si="44"/>
        <v>27750</v>
      </c>
      <c r="I71" s="65">
        <f t="shared" si="44"/>
        <v>13124085.921</v>
      </c>
      <c r="J71" s="65">
        <f t="shared" si="44"/>
        <v>6754630.5599999996</v>
      </c>
      <c r="K71" s="65">
        <f t="shared" si="44"/>
        <v>0</v>
      </c>
      <c r="L71" s="65"/>
    </row>
    <row r="72" spans="2:16">
      <c r="B72" s="121" t="s">
        <v>219</v>
      </c>
      <c r="C72" s="65">
        <f>SUM(D72:L72)</f>
        <v>-1532746.0326</v>
      </c>
      <c r="D72" s="65">
        <f>'Pres &amp; Prop Rev'!D172+'Pres &amp; Prop Rev'!D173</f>
        <v>0</v>
      </c>
      <c r="E72" s="65">
        <f>'Pres &amp; Prop Rev'!E172+'Pres &amp; Prop Rev'!E173</f>
        <v>0</v>
      </c>
      <c r="F72" s="65">
        <f>'Pres &amp; Prop Rev'!F172+'Pres &amp; Prop Rev'!F173</f>
        <v>0</v>
      </c>
      <c r="G72" s="65">
        <f>'Pres &amp; Prop Rev'!G172+'Pres &amp; Prop Rev'!G173</f>
        <v>95987.739999999962</v>
      </c>
      <c r="H72" s="65">
        <f>'Pres &amp; Prop Rev'!H172+'Pres &amp; Prop Rev'!H173</f>
        <v>0</v>
      </c>
      <c r="I72" s="65">
        <f>'Pres &amp; Prop Rev'!I172+'Pres &amp; Prop Rev'!I173</f>
        <v>-230075.97100000002</v>
      </c>
      <c r="J72" s="65">
        <f>'Pres &amp; Prop Rev'!J172+'Pres &amp; Prop Rev'!J173</f>
        <v>-1398657.8015999999</v>
      </c>
      <c r="K72" s="65">
        <f>'Pres &amp; Prop Rev'!K172+'Pres &amp; Prop Rev'!K173</f>
        <v>0</v>
      </c>
      <c r="L72" s="65"/>
    </row>
    <row r="73" spans="2:16">
      <c r="B73" s="121"/>
      <c r="C73" s="121"/>
      <c r="D73" s="122"/>
      <c r="E73" s="122"/>
      <c r="F73" s="122"/>
      <c r="G73" s="122"/>
      <c r="H73" s="122"/>
      <c r="I73" s="122"/>
      <c r="J73" s="122"/>
      <c r="L73" s="122"/>
    </row>
    <row r="74" spans="2:16">
      <c r="B74" t="s">
        <v>312</v>
      </c>
      <c r="D74" s="129">
        <f t="shared" ref="D74:K76" si="45">D5</f>
        <v>9.0670000000000002</v>
      </c>
      <c r="E74" s="129">
        <f t="shared" si="45"/>
        <v>12.385</v>
      </c>
      <c r="F74" s="129">
        <f t="shared" si="45"/>
        <v>22.149000000000001</v>
      </c>
      <c r="G74" s="129">
        <f t="shared" si="45"/>
        <v>7.9139999999999997</v>
      </c>
      <c r="H74" s="129">
        <f t="shared" si="45"/>
        <v>17.039000000000001</v>
      </c>
      <c r="I74" s="129">
        <f t="shared" si="45"/>
        <v>5.8949999999999996</v>
      </c>
      <c r="J74" s="129">
        <f t="shared" si="45"/>
        <v>4.7839999999999998</v>
      </c>
      <c r="K74" s="129">
        <f t="shared" si="45"/>
        <v>11.464</v>
      </c>
      <c r="L74" s="129"/>
    </row>
    <row r="75" spans="2:16">
      <c r="B75" t="s">
        <v>313</v>
      </c>
      <c r="D75" s="129">
        <f t="shared" si="45"/>
        <v>10.653</v>
      </c>
      <c r="E75" s="129">
        <f t="shared" si="45"/>
        <v>9.0150000000000006</v>
      </c>
      <c r="F75" s="129">
        <f t="shared" si="45"/>
        <v>8.82</v>
      </c>
      <c r="G75" s="129">
        <f t="shared" si="45"/>
        <v>7.0540000000000003</v>
      </c>
      <c r="H75" s="129">
        <f t="shared" si="45"/>
        <v>6.8849999999999998</v>
      </c>
      <c r="I75" s="129">
        <f t="shared" si="45"/>
        <v>5.2939999999999996</v>
      </c>
      <c r="J75" s="129">
        <f t="shared" si="45"/>
        <v>4.2990000000000004</v>
      </c>
      <c r="K75" s="129">
        <f t="shared" si="45"/>
        <v>8.0229999999999997</v>
      </c>
      <c r="L75" s="129"/>
    </row>
    <row r="76" spans="2:16">
      <c r="B76" t="s">
        <v>314</v>
      </c>
      <c r="D76" s="129">
        <f t="shared" si="45"/>
        <v>12.606</v>
      </c>
      <c r="E76" s="129">
        <f t="shared" si="45"/>
        <v>0</v>
      </c>
      <c r="F76" s="129">
        <f t="shared" si="45"/>
        <v>0</v>
      </c>
      <c r="G76" s="129">
        <f t="shared" si="45"/>
        <v>0</v>
      </c>
      <c r="H76" s="129">
        <f t="shared" si="45"/>
        <v>0</v>
      </c>
      <c r="I76" s="129">
        <f t="shared" si="45"/>
        <v>4.32</v>
      </c>
      <c r="J76" s="129">
        <f t="shared" si="45"/>
        <v>3.6669999999999998</v>
      </c>
      <c r="K76" s="129">
        <f t="shared" si="45"/>
        <v>0</v>
      </c>
      <c r="L76" s="129"/>
    </row>
    <row r="77" spans="2:16">
      <c r="D77" s="129"/>
      <c r="E77" s="129"/>
      <c r="F77" s="129"/>
      <c r="G77" s="129"/>
      <c r="H77" s="129"/>
      <c r="I77" s="129"/>
      <c r="J77" s="129"/>
      <c r="K77" s="129"/>
      <c r="L77" s="129"/>
      <c r="N77" s="32"/>
    </row>
    <row r="78" spans="2:16">
      <c r="B78" t="s">
        <v>225</v>
      </c>
      <c r="D78" s="131">
        <v>1</v>
      </c>
      <c r="E78" s="131">
        <v>1</v>
      </c>
      <c r="F78" s="131">
        <v>1</v>
      </c>
      <c r="G78" s="131">
        <v>1</v>
      </c>
      <c r="H78" s="131">
        <v>1</v>
      </c>
      <c r="I78" s="131">
        <v>1</v>
      </c>
      <c r="J78" s="131">
        <v>1</v>
      </c>
      <c r="K78" s="131">
        <v>1</v>
      </c>
      <c r="L78" s="129"/>
    </row>
    <row r="79" spans="2:16">
      <c r="B79" t="s">
        <v>224</v>
      </c>
      <c r="D79" s="132">
        <v>7.8858745196937446E-2</v>
      </c>
      <c r="E79" s="132">
        <v>0.11991875039307359</v>
      </c>
      <c r="F79" s="132">
        <v>0.12635785688183429</v>
      </c>
      <c r="G79" s="132">
        <v>0.10274459132717653</v>
      </c>
      <c r="H79" s="132">
        <v>6.7859250372722155E-2</v>
      </c>
      <c r="I79" s="132">
        <v>0.1663522544248511</v>
      </c>
      <c r="J79" s="132">
        <v>0.13525616580130814</v>
      </c>
      <c r="K79" s="132">
        <v>0.12762641486708673</v>
      </c>
      <c r="L79" s="129"/>
      <c r="P79">
        <f>P$60</f>
        <v>0</v>
      </c>
    </row>
    <row r="80" spans="2:16" ht="13">
      <c r="B80" t="s">
        <v>226</v>
      </c>
      <c r="D80" s="140">
        <v>2</v>
      </c>
      <c r="E80" s="140">
        <v>2</v>
      </c>
      <c r="F80" s="140">
        <v>2</v>
      </c>
      <c r="G80" s="140">
        <v>2</v>
      </c>
      <c r="H80" s="140">
        <v>2</v>
      </c>
      <c r="I80" s="140">
        <v>2</v>
      </c>
      <c r="J80" s="140">
        <v>2</v>
      </c>
      <c r="K80" s="140">
        <v>2</v>
      </c>
      <c r="L80" s="130"/>
    </row>
    <row r="81" spans="1:17">
      <c r="D81" s="129"/>
      <c r="E81" s="129"/>
      <c r="F81" s="129"/>
      <c r="G81" s="129"/>
      <c r="H81" s="129"/>
      <c r="I81" s="129"/>
      <c r="J81" s="129"/>
      <c r="K81" s="129"/>
      <c r="L81" s="129"/>
    </row>
    <row r="82" spans="1:17">
      <c r="A82" t="s">
        <v>227</v>
      </c>
      <c r="B82" t="s">
        <v>35</v>
      </c>
      <c r="D82" s="129">
        <f>CHOOSE(D$80,D74+D$78,D74*(1+D$79))</f>
        <v>9.7820122427006311</v>
      </c>
      <c r="E82" s="129">
        <f t="shared" ref="E82:J82" si="46">CHOOSE(E$80,E74+E$78,E74*(1+E$79))</f>
        <v>13.870193723618216</v>
      </c>
      <c r="F82" s="129">
        <f t="shared" si="46"/>
        <v>24.947700172075749</v>
      </c>
      <c r="G82" s="129">
        <f t="shared" si="46"/>
        <v>8.7271206957632739</v>
      </c>
      <c r="H82" s="129">
        <f t="shared" si="46"/>
        <v>18.195253767100816</v>
      </c>
      <c r="I82" s="129">
        <f t="shared" si="46"/>
        <v>6.8756465398344959</v>
      </c>
      <c r="J82" s="129">
        <f t="shared" si="46"/>
        <v>5.4310654971934573</v>
      </c>
      <c r="K82" s="129">
        <f t="shared" ref="D82:K84" si="47">CHOOSE(K$80,K74+K$78,K74*(1+K$79))</f>
        <v>12.927109220036282</v>
      </c>
      <c r="L82" s="129"/>
    </row>
    <row r="83" spans="1:17">
      <c r="B83" t="s">
        <v>36</v>
      </c>
      <c r="D83" s="129">
        <f t="shared" si="47"/>
        <v>11.493082212582975</v>
      </c>
      <c r="E83" s="129">
        <f>CHOOSE(E$80,E75+E$78,E75*(1+E$79))</f>
        <v>10.09606753479356</v>
      </c>
      <c r="F83" s="129">
        <f>CHOOSE(F$80,F75+F$78,F75*(1+F$79))</f>
        <v>9.9344762976977776</v>
      </c>
      <c r="G83" s="129">
        <f t="shared" si="47"/>
        <v>7.7787603472219038</v>
      </c>
      <c r="H83" s="129">
        <f t="shared" ref="H83" si="48">CHOOSE(H$80,H75+H$78,H75*(1+H$79))</f>
        <v>7.3522109388161923</v>
      </c>
      <c r="I83" s="129">
        <f>CHOOSE(I$80,I75+I$78,I75*(1+I$79))</f>
        <v>6.1746688349251606</v>
      </c>
      <c r="J83" s="129">
        <f>CHOOSE(J$80,J75+J$78,J75*(1+J$79))</f>
        <v>4.8804662567798234</v>
      </c>
      <c r="K83" s="129">
        <f>CHOOSE(K$80,K75+K$78,K75*(1+K$79))</f>
        <v>9.0469467264786356</v>
      </c>
      <c r="L83" s="129"/>
      <c r="N83" s="129"/>
      <c r="P83">
        <f>0.75*P82</f>
        <v>0</v>
      </c>
    </row>
    <row r="84" spans="1:17">
      <c r="B84" t="s">
        <v>37</v>
      </c>
      <c r="D84" s="129">
        <f t="shared" si="47"/>
        <v>13.600093341952592</v>
      </c>
      <c r="E84" s="129">
        <f t="shared" si="47"/>
        <v>0</v>
      </c>
      <c r="F84" s="129">
        <f t="shared" ref="F84" si="49">CHOOSE(F$80,F76+F$78,F76*(1+F$79))</f>
        <v>0</v>
      </c>
      <c r="G84" s="129">
        <f t="shared" si="47"/>
        <v>0</v>
      </c>
      <c r="H84" s="129">
        <f t="shared" ref="H84" si="50">CHOOSE(H$80,H76+H$78,H76*(1+H$79))</f>
        <v>0</v>
      </c>
      <c r="I84" s="129">
        <f>CHOOSE(I$80,I76+I$78,I76*(1+I$79))</f>
        <v>5.0386417391153566</v>
      </c>
      <c r="J84" s="129">
        <f>CHOOSE(J$80,J76+J$78,J76*(1+J$79))</f>
        <v>4.1629843599933967</v>
      </c>
      <c r="K84" s="129">
        <f t="shared" si="47"/>
        <v>0</v>
      </c>
      <c r="L84" s="129"/>
    </row>
    <row r="85" spans="1:17">
      <c r="A85" t="s">
        <v>228</v>
      </c>
      <c r="B85" s="123" t="s">
        <v>35</v>
      </c>
      <c r="C85" s="142"/>
      <c r="D85" s="160">
        <f>D82</f>
        <v>9.7820122427006311</v>
      </c>
      <c r="E85" s="160">
        <f>E82</f>
        <v>13.870193723618216</v>
      </c>
      <c r="F85" s="160">
        <f t="shared" ref="F85" si="51">F82</f>
        <v>24.947700172075749</v>
      </c>
      <c r="G85" s="160">
        <f>G82</f>
        <v>8.7271206957632739</v>
      </c>
      <c r="H85" s="160">
        <f t="shared" ref="H85:J87" si="52">H82</f>
        <v>18.195253767100816</v>
      </c>
      <c r="I85" s="160">
        <f t="shared" si="52"/>
        <v>6.8756465398344959</v>
      </c>
      <c r="J85" s="160">
        <f t="shared" si="52"/>
        <v>5.4310654971934573</v>
      </c>
      <c r="K85" s="160">
        <f>K82+0.001</f>
        <v>12.928109220036282</v>
      </c>
      <c r="L85" s="157"/>
      <c r="P85">
        <f>P82</f>
        <v>0</v>
      </c>
    </row>
    <row r="86" spans="1:17">
      <c r="B86" s="135" t="s">
        <v>36</v>
      </c>
      <c r="D86" s="161">
        <f>D83</f>
        <v>11.493082212582975</v>
      </c>
      <c r="E86" s="161">
        <f>E83</f>
        <v>10.09606753479356</v>
      </c>
      <c r="F86" s="161">
        <f>F83</f>
        <v>9.9344762976977776</v>
      </c>
      <c r="G86" s="161">
        <f>G83+0.001</f>
        <v>7.7797603472219041</v>
      </c>
      <c r="H86" s="161">
        <f t="shared" si="52"/>
        <v>7.3522109388161923</v>
      </c>
      <c r="I86" s="161">
        <f t="shared" si="52"/>
        <v>6.1746688349251606</v>
      </c>
      <c r="J86" s="161">
        <f t="shared" si="52"/>
        <v>4.8804662567798234</v>
      </c>
      <c r="K86" s="161">
        <f>K83</f>
        <v>9.0469467264786356</v>
      </c>
      <c r="L86" s="158"/>
      <c r="M86" s="48">
        <f>I86-I85</f>
        <v>-0.70097770490933531</v>
      </c>
      <c r="P86">
        <f>P83</f>
        <v>0</v>
      </c>
      <c r="Q86">
        <f>0.75*(Q85-Q74)+Q75</f>
        <v>0</v>
      </c>
    </row>
    <row r="87" spans="1:17">
      <c r="B87" s="126" t="s">
        <v>37</v>
      </c>
      <c r="C87" s="143"/>
      <c r="D87" s="162">
        <f>D84</f>
        <v>13.600093341952592</v>
      </c>
      <c r="E87" s="141">
        <f t="shared" ref="E87:G87" si="53">E84</f>
        <v>0</v>
      </c>
      <c r="F87" s="141">
        <f t="shared" ref="F87" si="54">F84</f>
        <v>0</v>
      </c>
      <c r="G87" s="141">
        <f t="shared" si="53"/>
        <v>0</v>
      </c>
      <c r="H87" s="141">
        <f t="shared" ref="H87" si="55">H84</f>
        <v>0</v>
      </c>
      <c r="I87" s="162">
        <f t="shared" si="52"/>
        <v>5.0386417391153566</v>
      </c>
      <c r="J87" s="162">
        <f>J84</f>
        <v>4.1629843599933967</v>
      </c>
      <c r="K87" s="141">
        <f>K84</f>
        <v>0</v>
      </c>
      <c r="L87" s="159"/>
      <c r="M87" s="48">
        <f>I87-I86</f>
        <v>-1.136027095809804</v>
      </c>
      <c r="P87">
        <f>P84</f>
        <v>0</v>
      </c>
    </row>
    <row r="88" spans="1:17">
      <c r="B88" t="s">
        <v>221</v>
      </c>
      <c r="C88" s="65">
        <f>SUM(D88:L88)</f>
        <v>561220507.31919038</v>
      </c>
      <c r="D88" s="122">
        <f>SUMPRODUCT(D50:D52,D85:D87)/100</f>
        <v>285384773.17420453</v>
      </c>
      <c r="E88" s="122">
        <f t="shared" ref="E88:K88" si="56">SUMPRODUCT(E50:E52,E85:E87)/100</f>
        <v>88349988.013697445</v>
      </c>
      <c r="F88" s="122">
        <f t="shared" si="56"/>
        <v>50708.711248932901</v>
      </c>
      <c r="G88" s="122">
        <f t="shared" si="56"/>
        <v>114303498.97602606</v>
      </c>
      <c r="H88" s="122">
        <f t="shared" si="56"/>
        <v>45111.676778784713</v>
      </c>
      <c r="I88" s="122">
        <f t="shared" si="56"/>
        <v>39448593.180158354</v>
      </c>
      <c r="J88" s="122">
        <f t="shared" si="56"/>
        <v>18441639.799363181</v>
      </c>
      <c r="K88" s="122">
        <f t="shared" si="56"/>
        <v>15196193.787713075</v>
      </c>
      <c r="L88" s="122"/>
    </row>
    <row r="89" spans="1:17">
      <c r="B89" t="s">
        <v>222</v>
      </c>
      <c r="C89" s="65">
        <f ca="1">SUM(D89:L89)</f>
        <v>0</v>
      </c>
      <c r="D89" s="122">
        <f ca="1">'Pres &amp; Prop Rev'!D181+'Pres &amp; Prop Rev'!D178</f>
        <v>0</v>
      </c>
      <c r="E89" s="122">
        <f ca="1">'Pres &amp; Prop Rev'!E181+'Pres &amp; Prop Rev'!E178</f>
        <v>0</v>
      </c>
      <c r="F89" s="122">
        <f>'Pres &amp; Prop Rev'!F181+'Pres &amp; Prop Rev'!F178</f>
        <v>0</v>
      </c>
      <c r="G89" s="122">
        <f ca="1">'Pres &amp; Prop Rev'!G181+'Pres &amp; Prop Rev'!G178</f>
        <v>0</v>
      </c>
      <c r="H89" s="122">
        <f>'Pres &amp; Prop Rev'!H181+'Pres &amp; Prop Rev'!H178</f>
        <v>0</v>
      </c>
      <c r="I89" s="122">
        <f ca="1">'Pres &amp; Prop Rev'!I181+'Pres &amp; Prop Rev'!I178+'Pres &amp; Prop Rev'!I174</f>
        <v>0</v>
      </c>
      <c r="J89" s="122">
        <f ca="1">'Pres &amp; Prop Rev'!J181+'Pres &amp; Prop Rev'!J178+'Pres &amp; Prop Rev'!J174</f>
        <v>0</v>
      </c>
      <c r="K89" s="122">
        <f ca="1">'Pres &amp; Prop Rev'!K181+'Pres &amp; Prop Rev'!K178</f>
        <v>0</v>
      </c>
      <c r="L89" s="122"/>
    </row>
    <row r="90" spans="1:17">
      <c r="B90" t="s">
        <v>223</v>
      </c>
      <c r="C90" s="65">
        <f ca="1">SUM(D90:L90)</f>
        <v>-16408368.93</v>
      </c>
      <c r="D90" s="122">
        <f ca="1">'Pres &amp; Prop Rev'!D202</f>
        <v>-9946581.4299999997</v>
      </c>
      <c r="E90" s="122">
        <f ca="1">'Pres &amp; Prop Rev'!E202</f>
        <v>-2495911.16</v>
      </c>
      <c r="F90" s="122">
        <f>'Pres &amp; Prop Rev'!F202</f>
        <v>0</v>
      </c>
      <c r="G90" s="122">
        <f ca="1">'Pres &amp; Prop Rev'!G202</f>
        <v>-3356986.3200000003</v>
      </c>
      <c r="H90" s="122">
        <f>'Pres &amp; Prop Rev'!H202</f>
        <v>0</v>
      </c>
      <c r="I90" s="122">
        <f>'Pres &amp; Prop Rev'!I202</f>
        <v>0</v>
      </c>
      <c r="J90" s="122">
        <f>'Pres &amp; Prop Rev'!J202</f>
        <v>0</v>
      </c>
      <c r="K90" s="122">
        <f ca="1">'Pres &amp; Prop Rev'!K202</f>
        <v>-608890.02</v>
      </c>
      <c r="L90" s="122"/>
    </row>
    <row r="91" spans="1:17">
      <c r="D91" s="122"/>
    </row>
    <row r="92" spans="1:17" ht="13">
      <c r="A92" t="s">
        <v>1</v>
      </c>
      <c r="B92" s="97" t="s">
        <v>214</v>
      </c>
      <c r="C92" s="122">
        <f ca="1">IF(ROUND(C59-C64-C71-C72-SUM(C88:C90),3)&lt;&gt;ROUND(SUM(D92:L92),3),#VALUE!,SUM(D92:L92))</f>
        <v>-1642.4826446585357</v>
      </c>
      <c r="D92" s="122">
        <f ca="1">D59-D64-D71-D72-SUM(D88:D90)</f>
        <v>0</v>
      </c>
      <c r="E92" s="122">
        <f t="shared" ref="E92:K92" ca="1" si="57">E59-E64-E71-E72-SUM(E88:E90)</f>
        <v>0</v>
      </c>
      <c r="F92" s="122">
        <f t="shared" ca="1" si="57"/>
        <v>0</v>
      </c>
      <c r="G92" s="122">
        <f t="shared" ca="1" si="57"/>
        <v>-1164.4275480657816</v>
      </c>
      <c r="H92" s="122">
        <f ca="1">H59-H64-H71-H72-SUM(H88:H90)</f>
        <v>0</v>
      </c>
      <c r="I92" s="122">
        <f t="shared" ca="1" si="57"/>
        <v>0</v>
      </c>
      <c r="J92" s="122">
        <f t="shared" ca="1" si="57"/>
        <v>0</v>
      </c>
      <c r="K92" s="122">
        <f t="shared" ca="1" si="57"/>
        <v>-478.05509659275413</v>
      </c>
      <c r="M92" t="s">
        <v>277</v>
      </c>
    </row>
    <row r="93" spans="1:17">
      <c r="B93" t="s">
        <v>245</v>
      </c>
      <c r="C93" s="152">
        <f t="shared" ref="C93:K93" ca="1" si="58">C92/C55*100</f>
        <v>-2.8575997662940552E-5</v>
      </c>
      <c r="D93" s="152">
        <f ca="1">D92/D55*100</f>
        <v>0</v>
      </c>
      <c r="E93" s="152">
        <f t="shared" ca="1" si="58"/>
        <v>0</v>
      </c>
      <c r="F93" s="152">
        <f t="shared" ref="F93" ca="1" si="59">F92/F55*100</f>
        <v>0</v>
      </c>
      <c r="G93" s="152">
        <f t="shared" ca="1" si="58"/>
        <v>-9.069278761324374E-5</v>
      </c>
      <c r="H93" s="152">
        <f t="shared" ref="H93" ca="1" si="60">H92/H55*100</f>
        <v>0</v>
      </c>
      <c r="I93" s="152">
        <f t="shared" ca="1" si="58"/>
        <v>0</v>
      </c>
      <c r="J93" s="152">
        <f t="shared" ref="J93" ca="1" si="61">J92/J55*100</f>
        <v>0</v>
      </c>
      <c r="K93" s="152">
        <f t="shared" ca="1" si="58"/>
        <v>-3.3969337652521602E-4</v>
      </c>
    </row>
    <row r="94" spans="1:17">
      <c r="B94" t="s">
        <v>321</v>
      </c>
      <c r="C94" s="122">
        <f ca="1">SUM(D94:L94)</f>
        <v>1321.2919046944953</v>
      </c>
      <c r="D94" s="122">
        <f ca="1">D59-'Pres &amp; Prop Rev'!D204-D92</f>
        <v>1034.5042045712471</v>
      </c>
      <c r="E94" s="122">
        <f ca="1">E59-'Pres &amp; Prop Rev'!E204-E92</f>
        <v>1061.7651260197163</v>
      </c>
      <c r="F94" s="122">
        <f ca="1">F59-'Pres &amp; Prop Rev'!F204-F92</f>
        <v>1.051248932890303</v>
      </c>
      <c r="G94" s="122">
        <f ca="1">G59-'Pres &amp; Prop Rev'!G204-G92</f>
        <v>1080.3563117831945</v>
      </c>
      <c r="H94" s="122">
        <f ca="1">H59-'Pres &amp; Prop Rev'!H204-H92</f>
        <v>0.99677878471266013</v>
      </c>
      <c r="I94" s="122">
        <f ca="1">I59-'Pres &amp; Prop Rev'!I204-I92</f>
        <v>-2112.1188416481018</v>
      </c>
      <c r="J94" s="122">
        <f ca="1">J59-'Pres &amp; Prop Rev'!J204-J92</f>
        <v>255.69936317577958</v>
      </c>
      <c r="K94" s="122">
        <f ca="1">K59-'Pres &amp; Prop Rev'!K204-K92</f>
        <v>-0.9622869249433279</v>
      </c>
      <c r="L94" s="122"/>
    </row>
    <row r="95" spans="1:17" ht="13">
      <c r="A95" s="187" t="str">
        <f>IF(Base1_Billing2=2,"MAKE SURE TO CHANGE Base1_Billing2 to '1' before designing Base Rates","")</f>
        <v/>
      </c>
      <c r="C95" s="122"/>
      <c r="D95" s="122"/>
      <c r="E95" s="122"/>
      <c r="F95" s="122"/>
      <c r="G95" s="122"/>
      <c r="H95" s="122"/>
      <c r="I95" s="122"/>
      <c r="J95" s="122"/>
      <c r="K95" s="122"/>
      <c r="L95" s="122"/>
    </row>
    <row r="96" spans="1:17" ht="13">
      <c r="B96" s="97" t="s">
        <v>309</v>
      </c>
      <c r="C96" s="175">
        <f ca="1">SUM(D96:L96)</f>
        <v>659254415.21666002</v>
      </c>
      <c r="D96" s="122">
        <f ca="1">D59</f>
        <v>316510771.74420458</v>
      </c>
      <c r="E96" s="122">
        <f t="shared" ref="E96:K96" ca="1" si="62">E59</f>
        <v>101374717.34512602</v>
      </c>
      <c r="F96" s="122">
        <f t="shared" ca="1" si="62"/>
        <v>54508.711248932894</v>
      </c>
      <c r="G96" s="122">
        <f t="shared" ca="1" si="62"/>
        <v>149748839.33876371</v>
      </c>
      <c r="H96" s="122">
        <f t="shared" ca="1" si="62"/>
        <v>72861.676778784706</v>
      </c>
      <c r="I96" s="122">
        <f t="shared" ca="1" si="62"/>
        <v>52342603.130158357</v>
      </c>
      <c r="J96" s="122">
        <f ca="1">J59</f>
        <v>23797612.557763178</v>
      </c>
      <c r="K96" s="122">
        <f t="shared" ca="1" si="62"/>
        <v>15352500.712616483</v>
      </c>
      <c r="L96" s="122"/>
    </row>
    <row r="97" spans="2:15" ht="13">
      <c r="B97" s="97" t="s">
        <v>310</v>
      </c>
      <c r="C97" s="175">
        <f ca="1">SUM(D97:L97)</f>
        <v>659254736.40739989</v>
      </c>
      <c r="D97" s="190">
        <f ca="1">'Pres &amp; Prop Rev'!D204</f>
        <v>316509737.24000001</v>
      </c>
      <c r="E97" s="190">
        <f ca="1">'Pres &amp; Prop Rev'!E204</f>
        <v>101373655.58</v>
      </c>
      <c r="F97" s="190">
        <f ca="1">'Pres &amp; Prop Rev'!F204</f>
        <v>54507.66</v>
      </c>
      <c r="G97" s="190">
        <f ca="1">'Pres &amp; Prop Rev'!G204</f>
        <v>149748923.41</v>
      </c>
      <c r="H97" s="190">
        <f ca="1">'Pres &amp; Prop Rev'!H204</f>
        <v>72860.679999999993</v>
      </c>
      <c r="I97" s="190">
        <f ca="1">'Pres &amp; Prop Rev'!I204</f>
        <v>52344715.249000005</v>
      </c>
      <c r="J97" s="190">
        <f ca="1">'Pres &amp; Prop Rev'!J204</f>
        <v>23797356.858400002</v>
      </c>
      <c r="K97" s="190">
        <f ca="1">'Pres &amp; Prop Rev'!K204</f>
        <v>15352979.73</v>
      </c>
      <c r="L97" s="190"/>
    </row>
    <row r="98" spans="2:15">
      <c r="C98" s="192">
        <f ca="1">SUM(D98:K98)</f>
        <v>321.1907399640404</v>
      </c>
      <c r="D98" s="191">
        <f t="shared" ref="D98:K98" ca="1" si="63">D97-D96</f>
        <v>-1034.5042045712471</v>
      </c>
      <c r="E98" s="191">
        <f t="shared" ca="1" si="63"/>
        <v>-1061.7651260197163</v>
      </c>
      <c r="F98" s="191">
        <f t="shared" ca="1" si="63"/>
        <v>-1.051248932890303</v>
      </c>
      <c r="G98" s="191">
        <f t="shared" ca="1" si="63"/>
        <v>84.071236282587051</v>
      </c>
      <c r="H98" s="191">
        <f t="shared" ca="1" si="63"/>
        <v>-0.99677878471266013</v>
      </c>
      <c r="I98" s="191">
        <f t="shared" ca="1" si="63"/>
        <v>2112.1188416481018</v>
      </c>
      <c r="J98" s="191">
        <f t="shared" ca="1" si="63"/>
        <v>-255.69936317577958</v>
      </c>
      <c r="K98" s="191">
        <f t="shared" ca="1" si="63"/>
        <v>479.01738351769745</v>
      </c>
      <c r="L98" s="191"/>
    </row>
    <row r="99" spans="2:15">
      <c r="B99" s="72" t="s">
        <v>236</v>
      </c>
      <c r="C99" s="72"/>
    </row>
    <row r="100" spans="2:15">
      <c r="B100" s="121" t="s">
        <v>237</v>
      </c>
      <c r="C100" s="133">
        <f ca="1">'Pres &amp; Prop Rev'!C164/'Pres &amp; Prop Rev'!C111-1</f>
        <v>0.53520432659259676</v>
      </c>
      <c r="D100" s="133">
        <f ca="1">'Pres &amp; Prop Rev'!D164/'Pres &amp; Prop Rev'!D111-1</f>
        <v>0.66666666666666674</v>
      </c>
      <c r="E100" s="133">
        <f ca="1">'Pres &amp; Prop Rev'!E164/'Pres &amp; Prop Rev'!E111-1</f>
        <v>0.19047619047619047</v>
      </c>
      <c r="F100" s="133">
        <f ca="1">'Pres &amp; Prop Rev'!F164/'Pres &amp; Prop Rev'!F111-1</f>
        <v>0.19047619047619047</v>
      </c>
      <c r="G100" s="133" t="e">
        <f>'Pres &amp; Prop Rev'!G164/'Pres &amp; Prop Rev'!G111-1</f>
        <v>#DIV/0!</v>
      </c>
      <c r="H100" s="133" t="e">
        <f ca="1">'Pres &amp; Prop Rev'!H164/'Pres &amp; Prop Rev'!H111-1</f>
        <v>#DIV/0!</v>
      </c>
      <c r="I100" s="133" t="e">
        <f>'Pres &amp; Prop Rev'!I164/'Pres &amp; Prop Rev'!I111-1</f>
        <v>#DIV/0!</v>
      </c>
      <c r="J100" s="133" t="e">
        <f>'Pres &amp; Prop Rev'!J164/'Pres &amp; Prop Rev'!J111-1</f>
        <v>#DIV/0!</v>
      </c>
      <c r="K100" s="133">
        <f ca="1">'Pres &amp; Prop Rev'!K164/'Pres &amp; Prop Rev'!K111-1</f>
        <v>0.19047619047619047</v>
      </c>
      <c r="L100" s="133"/>
    </row>
    <row r="101" spans="2:15">
      <c r="B101" s="121" t="s">
        <v>238</v>
      </c>
      <c r="C101" s="133">
        <f ca="1">SUM('Pres &amp; Prop Rev'!C170:C171)/SUM('Pres &amp; Prop Rev'!C117:C118)-1</f>
        <v>0.15885557370093339</v>
      </c>
      <c r="D101" s="133" t="e">
        <f>SUM('Pres &amp; Prop Rev'!D170:D171)/SUM('Pres &amp; Prop Rev'!D117:D118)-1</f>
        <v>#DIV/0!</v>
      </c>
      <c r="E101" s="133">
        <f ca="1">SUM('Pres &amp; Prop Rev'!E170:E171)/SUM('Pres &amp; Prop Rev'!E117:E118)-1</f>
        <v>0.19999999966401161</v>
      </c>
      <c r="F101" s="133" t="e">
        <f>SUM('Pres &amp; Prop Rev'!F170:F171)/SUM('Pres &amp; Prop Rev'!F117:F118)-1</f>
        <v>#DIV/0!</v>
      </c>
      <c r="G101" s="133">
        <f ca="1">SUM('Pres &amp; Prop Rev'!G170:G171)/SUM('Pres &amp; Prop Rev'!G117:G118)-1</f>
        <v>0.21928746757210549</v>
      </c>
      <c r="H101" s="133">
        <f ca="1">SUM('Pres &amp; Prop Rev'!H170:H171)/SUM('Pres &amp; Prop Rev'!H117:H118)-1</f>
        <v>0.25</v>
      </c>
      <c r="I101" s="133">
        <f ca="1">SUM('Pres &amp; Prop Rev'!I170:I171)/SUM('Pres &amp; Prop Rev'!I117:I118)-1</f>
        <v>3.3062038084079592E-2</v>
      </c>
      <c r="J101" s="133">
        <f ca="1">SUM('Pres &amp; Prop Rev'!J170:J171)/SUM('Pres &amp; Prop Rev'!J117:J118)-1</f>
        <v>7.9380512318251384E-2</v>
      </c>
      <c r="K101" s="133" t="e">
        <f>SUM('Pres &amp; Prop Rev'!K170:K171)/SUM('Pres &amp; Prop Rev'!K117:K118)-1</f>
        <v>#DIV/0!</v>
      </c>
    </row>
    <row r="102" spans="2:15">
      <c r="B102" s="121" t="s">
        <v>222</v>
      </c>
      <c r="C102" s="133" t="e">
        <f ca="1">'Pres &amp; Prop Rev'!C181/'Pres &amp; Prop Rev'!C128-1</f>
        <v>#DIV/0!</v>
      </c>
      <c r="D102" s="133" t="e">
        <f ca="1">'Pres &amp; Prop Rev'!D181/'Pres &amp; Prop Rev'!D128-1</f>
        <v>#DIV/0!</v>
      </c>
      <c r="E102" s="133" t="e">
        <f ca="1">'Pres &amp; Prop Rev'!E181/'Pres &amp; Prop Rev'!E128-1</f>
        <v>#DIV/0!</v>
      </c>
      <c r="F102" s="133" t="e">
        <f>'Pres &amp; Prop Rev'!F181/'Pres &amp; Prop Rev'!F128-1</f>
        <v>#DIV/0!</v>
      </c>
      <c r="G102" s="133" t="e">
        <f ca="1">'Pres &amp; Prop Rev'!G181/'Pres &amp; Prop Rev'!G128-1</f>
        <v>#DIV/0!</v>
      </c>
      <c r="H102" s="133" t="e">
        <f>'Pres &amp; Prop Rev'!H181/'Pres &amp; Prop Rev'!H128-1</f>
        <v>#DIV/0!</v>
      </c>
      <c r="I102" s="133" t="e">
        <f>'Pres &amp; Prop Rev'!I181/'Pres &amp; Prop Rev'!I128-1</f>
        <v>#DIV/0!</v>
      </c>
      <c r="J102" s="133" t="e">
        <f>'Pres &amp; Prop Rev'!J181/'Pres &amp; Prop Rev'!J128-1</f>
        <v>#DIV/0!</v>
      </c>
      <c r="K102" s="133" t="e">
        <f ca="1">'Pres &amp; Prop Rev'!K181/'Pres &amp; Prop Rev'!K128-1</f>
        <v>#DIV/0!</v>
      </c>
    </row>
    <row r="103" spans="2:15">
      <c r="B103" s="121" t="s">
        <v>223</v>
      </c>
      <c r="C103" s="133">
        <f ca="1">'Pres &amp; Prop Rev'!C202/'Pres &amp; Prop Rev'!C149-1</f>
        <v>9.1551197453701771E-2</v>
      </c>
      <c r="D103" s="133">
        <f ca="1">'Pres &amp; Prop Rev'!D202/'Pres &amp; Prop Rev'!D149-1</f>
        <v>7.8851966213711266E-2</v>
      </c>
      <c r="E103" s="133">
        <f ca="1">'Pres &amp; Prop Rev'!E202/'Pres &amp; Prop Rev'!E149-1</f>
        <v>0.11990923961194833</v>
      </c>
      <c r="F103" s="133" t="e">
        <f>'Pres &amp; Prop Rev'!F202/'Pres &amp; Prop Rev'!F149-1</f>
        <v>#DIV/0!</v>
      </c>
      <c r="G103" s="133">
        <f ca="1">'Pres &amp; Prop Rev'!G202/'Pres &amp; Prop Rev'!G149-1</f>
        <v>0.10285184325205732</v>
      </c>
      <c r="H103" s="133" t="e">
        <f>'Pres &amp; Prop Rev'!H202/'Pres &amp; Prop Rev'!H149-1</f>
        <v>#DIV/0!</v>
      </c>
      <c r="I103" s="133" t="e">
        <f>'Pres &amp; Prop Rev'!I202/'Pres &amp; Prop Rev'!I149-1</f>
        <v>#DIV/0!</v>
      </c>
      <c r="J103" s="133" t="e">
        <f>'Pres &amp; Prop Rev'!J202/'Pres &amp; Prop Rev'!J149-1</f>
        <v>#DIV/0!</v>
      </c>
      <c r="K103" s="133">
        <f ca="1">'Pres &amp; Prop Rev'!K202/'Pres &amp; Prop Rev'!K149-1</f>
        <v>0.12763235123384442</v>
      </c>
    </row>
    <row r="104" spans="2:15">
      <c r="B104" s="121" t="s">
        <v>239</v>
      </c>
      <c r="C104" s="133">
        <f ca="1">SUM('Pres &amp; Prop Rev'!C166:C169)/SUM('Pres &amp; Prop Rev'!C113:C116)-1</f>
        <v>9.8929099464526216E-2</v>
      </c>
      <c r="D104" s="133">
        <f ca="1">SUM('Pres &amp; Prop Rev'!D166:D169)/SUM('Pres &amp; Prop Rev'!D113:D116)-1</f>
        <v>7.8854834433473187E-2</v>
      </c>
      <c r="E104" s="133">
        <f ca="1">SUM('Pres &amp; Prop Rev'!E166:E169)/SUM('Pres &amp; Prop Rev'!E113:E116)-1</f>
        <v>0.11990529158050989</v>
      </c>
      <c r="F104" s="133">
        <f ca="1">SUM('Pres &amp; Prop Rev'!F166:F169)/SUM('Pres &amp; Prop Rev'!F113:F116)-1</f>
        <v>0.1263345436824066</v>
      </c>
      <c r="G104" s="133">
        <f ca="1">SUM('Pres &amp; Prop Rev'!G166:G169)/SUM('Pres &amp; Prop Rev'!G113:G116)-1</f>
        <v>0.10274807282595622</v>
      </c>
      <c r="H104" s="133">
        <f ca="1">SUM('Pres &amp; Prop Rev'!H166:H169)/SUM('Pres &amp; Prop Rev'!H113:H116)-1</f>
        <v>6.7835531662112425E-2</v>
      </c>
      <c r="I104" s="133">
        <f ca="1">SUM('Pres &amp; Prop Rev'!I166:I169)/SUM('Pres &amp; Prop Rev'!I113:I116)-1</f>
        <v>0.16641470189295826</v>
      </c>
      <c r="J104" s="133">
        <f ca="1">SUM('Pres &amp; Prop Rev'!J166:J169)/SUM('Pres &amp; Prop Rev'!J113:J116)-1</f>
        <v>0.13524042492462374</v>
      </c>
      <c r="K104" s="133">
        <f ca="1">SUM('Pres &amp; Prop Rev'!K166:K169)/SUM('Pres &amp; Prop Rev'!K113:K116)-1</f>
        <v>0.12766192722032899</v>
      </c>
    </row>
    <row r="105" spans="2:15" ht="13">
      <c r="B105" s="120" t="s">
        <v>240</v>
      </c>
      <c r="C105" s="153">
        <f ca="1">'Pres &amp; Prop Rev'!C208</f>
        <v>0.13049715144957635</v>
      </c>
      <c r="D105" s="153">
        <f ca="1">'Pres &amp; Prop Rev'!D208</f>
        <v>0.13059931027952393</v>
      </c>
      <c r="E105" s="153">
        <f ca="1">'Pres &amp; Prop Rev'!E208</f>
        <v>0.13059116405480947</v>
      </c>
      <c r="F105" s="153">
        <f ca="1">'Pres &amp; Prop Rev'!F208</f>
        <v>0.130581200931634</v>
      </c>
      <c r="G105" s="153">
        <f ca="1">'Pres &amp; Prop Rev'!G208</f>
        <v>0.13060364035267491</v>
      </c>
      <c r="H105" s="153">
        <f ca="1">'Pres &amp; Prop Rev'!H208</f>
        <v>0.13058753848438431</v>
      </c>
      <c r="I105" s="153">
        <f ca="1">'Pres &amp; Prop Rev'!I208</f>
        <v>0.13064862749432871</v>
      </c>
      <c r="J105" s="153">
        <f ca="1">'Pres &amp; Prop Rev'!J208</f>
        <v>0.12763941474583515</v>
      </c>
      <c r="K105" s="153">
        <f ca="1">'Pres &amp; Prop Rev'!K208</f>
        <v>0.13063828185484835</v>
      </c>
    </row>
    <row r="107" spans="2:15">
      <c r="B107" t="s">
        <v>241</v>
      </c>
      <c r="D107" s="144">
        <f t="shared" ref="D107:K107" si="64">D55/D56</f>
        <v>944.77574655364231</v>
      </c>
      <c r="E107" s="144">
        <f t="shared" si="64"/>
        <v>1626.2044399486488</v>
      </c>
      <c r="F107" s="144">
        <f t="shared" si="64"/>
        <v>2438.2721710526316</v>
      </c>
      <c r="G107" s="144">
        <f t="shared" si="64"/>
        <v>62906.672838364531</v>
      </c>
      <c r="H107" s="144">
        <f t="shared" si="64"/>
        <v>12206.579189189188</v>
      </c>
      <c r="I107" s="144">
        <f t="shared" si="64"/>
        <v>2491448.3578055557</v>
      </c>
      <c r="J107" s="144">
        <f t="shared" si="64"/>
        <v>35815686</v>
      </c>
      <c r="K107" s="144">
        <f t="shared" si="64"/>
        <v>4595.009516478598</v>
      </c>
    </row>
    <row r="108" spans="2:15" ht="13">
      <c r="B108" s="142" t="s">
        <v>242</v>
      </c>
      <c r="C108" s="148" t="str">
        <f>INDEX($D$2:$L$2,N108)</f>
        <v>SCH. 1</v>
      </c>
      <c r="D108" s="145"/>
      <c r="E108" s="142"/>
      <c r="F108" s="148" t="str">
        <f>INDEX($D$2:$L$2,O108)</f>
        <v>SCH. 11,12</v>
      </c>
      <c r="G108" s="145"/>
      <c r="H108" s="145"/>
      <c r="I108" s="145"/>
      <c r="J108" s="145"/>
      <c r="K108" s="142"/>
      <c r="L108" s="151"/>
      <c r="M108" s="151"/>
      <c r="N108" s="147">
        <v>1</v>
      </c>
      <c r="O108" s="147">
        <v>2</v>
      </c>
    </row>
    <row r="109" spans="2:15" ht="13">
      <c r="B109" s="187" t="str">
        <f>IF(Base1_Billing2=2,"BILLING RATES","BASE RATES")</f>
        <v>BASE RATES</v>
      </c>
      <c r="C109" s="54" t="s">
        <v>243</v>
      </c>
      <c r="D109" s="54" t="s">
        <v>244</v>
      </c>
      <c r="E109" s="54" t="s">
        <v>249</v>
      </c>
      <c r="F109" s="54" t="s">
        <v>243</v>
      </c>
      <c r="G109" s="54" t="s">
        <v>244</v>
      </c>
      <c r="H109" s="54" t="s">
        <v>249</v>
      </c>
      <c r="I109" s="54"/>
      <c r="J109" s="54"/>
    </row>
    <row r="110" spans="2:15">
      <c r="B110" s="146">
        <v>100</v>
      </c>
      <c r="C110" s="122"/>
      <c r="D110" s="122"/>
      <c r="E110" s="133"/>
      <c r="F110" s="122"/>
      <c r="G110" s="122"/>
      <c r="H110" s="133"/>
      <c r="I110" s="133"/>
      <c r="J110" s="133"/>
    </row>
    <row r="111" spans="2:15">
      <c r="B111" s="146">
        <v>200</v>
      </c>
      <c r="C111" s="122"/>
      <c r="D111" s="122"/>
      <c r="E111" s="133"/>
      <c r="F111" s="122"/>
      <c r="G111" s="122"/>
      <c r="H111" s="133"/>
      <c r="I111" s="133"/>
      <c r="J111" s="133"/>
    </row>
    <row r="112" spans="2:15">
      <c r="B112" s="146">
        <v>300</v>
      </c>
      <c r="C112" s="122"/>
      <c r="D112" s="122"/>
      <c r="E112" s="133"/>
      <c r="F112" s="122"/>
      <c r="G112" s="122"/>
      <c r="H112" s="133"/>
      <c r="I112" s="133"/>
      <c r="J112" s="133"/>
    </row>
    <row r="113" spans="2:10">
      <c r="B113" s="146">
        <v>400</v>
      </c>
      <c r="C113" s="122"/>
      <c r="D113" s="122"/>
      <c r="E113" s="133"/>
      <c r="F113" s="122"/>
      <c r="G113" s="122"/>
      <c r="H113" s="133"/>
      <c r="I113" s="133"/>
      <c r="J113" s="133"/>
    </row>
    <row r="114" spans="2:10">
      <c r="B114" s="146">
        <v>500</v>
      </c>
      <c r="C114" s="122"/>
      <c r="D114" s="122"/>
      <c r="E114" s="133"/>
      <c r="F114" s="122"/>
      <c r="G114" s="122"/>
      <c r="H114" s="133"/>
      <c r="I114" s="133"/>
      <c r="J114" s="133"/>
    </row>
    <row r="115" spans="2:10">
      <c r="B115" s="146">
        <v>600</v>
      </c>
      <c r="C115" s="122"/>
      <c r="D115" s="122"/>
      <c r="E115" s="133"/>
      <c r="F115" s="122"/>
      <c r="G115" s="122"/>
      <c r="H115" s="133"/>
      <c r="I115" s="133"/>
      <c r="J115" s="133"/>
    </row>
    <row r="116" spans="2:10">
      <c r="B116" s="146">
        <v>700</v>
      </c>
      <c r="C116" s="122"/>
      <c r="D116" s="122"/>
      <c r="E116" s="133"/>
      <c r="F116" s="122"/>
      <c r="G116" s="122"/>
      <c r="H116" s="133"/>
      <c r="I116" s="133"/>
      <c r="J116" s="133"/>
    </row>
    <row r="117" spans="2:10">
      <c r="B117" s="146">
        <v>800</v>
      </c>
      <c r="C117" s="122"/>
      <c r="D117" s="122"/>
      <c r="E117" s="133"/>
      <c r="F117" s="122"/>
      <c r="G117" s="122"/>
      <c r="H117" s="133"/>
      <c r="I117" s="133"/>
      <c r="J117" s="133"/>
    </row>
    <row r="118" spans="2:10">
      <c r="B118" s="146">
        <v>900</v>
      </c>
      <c r="C118" s="122"/>
      <c r="D118" s="122"/>
      <c r="E118" s="133"/>
      <c r="F118" s="122"/>
      <c r="G118" s="122"/>
      <c r="H118" s="133"/>
      <c r="I118" s="133"/>
      <c r="J118" s="133"/>
    </row>
    <row r="119" spans="2:10">
      <c r="B119" s="146">
        <v>1000</v>
      </c>
      <c r="C119" s="49">
        <f>ROUND(D14+600*D15/100+400*D16/100,2)</f>
        <v>106.3</v>
      </c>
      <c r="D119" s="49">
        <f>ROUND(D36+600*D37/100+400*D38/100,2)</f>
        <v>119.95</v>
      </c>
      <c r="E119" s="235">
        <f>D119/C119-1</f>
        <v>0.12841015992474136</v>
      </c>
      <c r="F119" s="49">
        <f>D119-C119</f>
        <v>13.650000000000006</v>
      </c>
      <c r="G119" s="122"/>
      <c r="H119" s="133"/>
      <c r="I119" s="133"/>
      <c r="J119" s="133"/>
    </row>
    <row r="120" spans="2:10">
      <c r="B120" s="146">
        <v>1100</v>
      </c>
      <c r="C120" s="49"/>
      <c r="D120" s="49"/>
      <c r="E120" s="235"/>
      <c r="F120" s="49"/>
      <c r="G120" s="122"/>
      <c r="H120" s="133"/>
      <c r="I120" s="133"/>
      <c r="J120" s="133"/>
    </row>
    <row r="121" spans="2:10">
      <c r="B121" s="146">
        <v>1200</v>
      </c>
      <c r="C121" s="122"/>
      <c r="D121" s="122"/>
      <c r="E121" s="133"/>
      <c r="F121" s="122"/>
      <c r="G121" s="122"/>
      <c r="H121" s="133"/>
      <c r="I121" s="133"/>
      <c r="J121" s="133"/>
    </row>
    <row r="122" spans="2:10">
      <c r="B122" s="146">
        <v>1300</v>
      </c>
      <c r="C122" s="122"/>
      <c r="D122" s="122"/>
      <c r="E122" s="133"/>
      <c r="F122" s="122"/>
      <c r="G122" s="122"/>
      <c r="H122" s="133"/>
      <c r="I122" s="133"/>
      <c r="J122" s="133"/>
    </row>
    <row r="123" spans="2:10">
      <c r="B123" s="146">
        <v>1400</v>
      </c>
      <c r="C123" s="122"/>
      <c r="D123" s="122"/>
      <c r="E123" s="133"/>
      <c r="F123" s="122"/>
      <c r="G123" s="122"/>
      <c r="H123" s="133"/>
      <c r="I123" s="133"/>
      <c r="J123" s="133"/>
    </row>
    <row r="124" spans="2:10">
      <c r="B124" s="146">
        <v>1500</v>
      </c>
      <c r="C124" s="122"/>
      <c r="D124" s="122"/>
      <c r="E124" s="133"/>
      <c r="F124" s="122"/>
      <c r="G124" s="122"/>
      <c r="H124" s="133"/>
      <c r="I124" s="133"/>
      <c r="J124" s="133"/>
    </row>
  </sheetData>
  <phoneticPr fontId="15" type="noConversion"/>
  <conditionalFormatting sqref="C95:K95">
    <cfRule type="expression" dxfId="26" priority="43" stopIfTrue="1">
      <formula>ABS(C95)&gt;4000</formula>
    </cfRule>
  </conditionalFormatting>
  <conditionalFormatting sqref="D62:K62 G66:J66 I69:K69">
    <cfRule type="expression" dxfId="25" priority="40" stopIfTrue="1">
      <formula>ABS(D62-D61)&gt;0.001</formula>
    </cfRule>
  </conditionalFormatting>
  <conditionalFormatting sqref="D14:L20">
    <cfRule type="expression" dxfId="24" priority="10" stopIfTrue="1">
      <formula>D14-D4&lt;0</formula>
    </cfRule>
  </conditionalFormatting>
  <conditionalFormatting sqref="D36:L42">
    <cfRule type="expression" dxfId="23" priority="1" stopIfTrue="1">
      <formula>D36-D26&lt;0</formula>
    </cfRule>
  </conditionalFormatting>
  <conditionalFormatting sqref="D85:L87">
    <cfRule type="expression" dxfId="22" priority="41" stopIfTrue="1">
      <formula>ABS(D85-D74)&gt;0.000001</formula>
    </cfRule>
  </conditionalFormatting>
  <conditionalFormatting sqref="D92:L92">
    <cfRule type="expression" dxfId="21" priority="42" stopIfTrue="1">
      <formula>ABS(D92)&gt;1000</formula>
    </cfRule>
  </conditionalFormatting>
  <conditionalFormatting sqref="E69 G69">
    <cfRule type="expression" dxfId="20" priority="64" stopIfTrue="1">
      <formula>ABS(E69-E68)&gt;0.001</formula>
    </cfRule>
  </conditionalFormatting>
  <conditionalFormatting sqref="I37:K38 D39:K40">
    <cfRule type="expression" dxfId="19" priority="9" stopIfTrue="1">
      <formula>D37-D27&lt;0</formula>
    </cfRule>
  </conditionalFormatting>
  <conditionalFormatting sqref="L94:L95">
    <cfRule type="expression" dxfId="18" priority="66" stopIfTrue="1">
      <formula>ABS(L94)&gt;0.1</formula>
    </cfRule>
  </conditionalFormatting>
  <pageMargins left="0.25" right="0.25" top="0.5" bottom="0.5" header="0.5" footer="0.25"/>
  <pageSetup scale="71" orientation="landscape" r:id="rId1"/>
  <headerFooter alignWithMargins="0">
    <oddFooter>&amp;L&amp;F</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pageSetUpPr fitToPage="1"/>
  </sheetPr>
  <dimension ref="A1:AB111"/>
  <sheetViews>
    <sheetView showGridLines="0" view="pageBreakPreview" topLeftCell="A7" zoomScale="130" zoomScaleNormal="100" zoomScaleSheetLayoutView="130" workbookViewId="0">
      <selection activeCell="F27" sqref="F27"/>
    </sheetView>
  </sheetViews>
  <sheetFormatPr defaultColWidth="11.453125" defaultRowHeight="13"/>
  <cols>
    <col min="1" max="1" width="5" style="180" customWidth="1"/>
    <col min="2" max="2" width="42.1796875" style="41" customWidth="1"/>
    <col min="3" max="3" width="8.7265625" style="180" customWidth="1"/>
    <col min="4" max="5" width="12.453125" style="223" customWidth="1"/>
    <col min="6" max="6" width="15" style="223" bestFit="1" customWidth="1"/>
    <col min="7" max="7" width="10.453125" style="171" bestFit="1" customWidth="1"/>
    <col min="8" max="8" width="14.453125" style="171" hidden="1" customWidth="1"/>
    <col min="9" max="9" width="12.26953125" style="41" customWidth="1"/>
    <col min="10" max="10" width="15" style="41" hidden="1" customWidth="1"/>
    <col min="11" max="11" width="12.26953125" style="41" hidden="1" customWidth="1"/>
    <col min="12" max="12" width="13.26953125" style="41" bestFit="1" customWidth="1"/>
    <col min="13" max="13" width="15" style="41" hidden="1" customWidth="1"/>
    <col min="14" max="14" width="10.1796875" style="41" customWidth="1"/>
    <col min="15" max="15" width="9.7265625" style="41" customWidth="1"/>
    <col min="16" max="16" width="12.26953125" style="41" hidden="1" customWidth="1"/>
    <col min="17" max="17" width="8.26953125" style="41" hidden="1" customWidth="1"/>
    <col min="18" max="18" width="10.7265625" style="97" bestFit="1" customWidth="1"/>
    <col min="19" max="19" width="9.26953125" style="41" bestFit="1" customWidth="1"/>
    <col min="20" max="20" width="1.7265625" style="41" customWidth="1"/>
    <col min="21" max="21" width="11.453125" style="41" customWidth="1"/>
    <col min="22" max="22" width="13.453125" style="41" customWidth="1"/>
    <col min="23" max="16384" width="11.453125" style="41"/>
  </cols>
  <sheetData>
    <row r="1" spans="1:28" s="180" customFormat="1">
      <c r="A1" s="704" t="s">
        <v>78</v>
      </c>
      <c r="B1" s="704"/>
      <c r="C1" s="704"/>
      <c r="D1" s="704"/>
      <c r="E1" s="704"/>
      <c r="F1" s="704"/>
      <c r="G1" s="704"/>
      <c r="H1" s="704"/>
      <c r="I1" s="704"/>
      <c r="J1" s="704"/>
      <c r="K1" s="704"/>
      <c r="L1" s="704"/>
      <c r="M1" s="704"/>
      <c r="N1" s="704"/>
      <c r="O1" s="704"/>
      <c r="P1" s="704"/>
      <c r="Q1" s="704"/>
      <c r="R1" s="704"/>
      <c r="S1" s="704"/>
      <c r="T1" s="41"/>
      <c r="V1" s="705" t="s">
        <v>317</v>
      </c>
      <c r="W1" s="705"/>
    </row>
    <row r="2" spans="1:28" s="180" customFormat="1">
      <c r="A2" s="704" t="s">
        <v>366</v>
      </c>
      <c r="B2" s="704"/>
      <c r="C2" s="704"/>
      <c r="D2" s="704"/>
      <c r="E2" s="704"/>
      <c r="F2" s="704"/>
      <c r="G2" s="704"/>
      <c r="H2" s="704"/>
      <c r="I2" s="704"/>
      <c r="J2" s="704"/>
      <c r="K2" s="704"/>
      <c r="L2" s="704"/>
      <c r="M2" s="704"/>
      <c r="N2" s="704"/>
      <c r="O2" s="704"/>
      <c r="P2" s="704"/>
      <c r="Q2" s="704"/>
      <c r="R2" s="704"/>
      <c r="S2" s="704"/>
      <c r="T2" s="41"/>
      <c r="V2" s="705"/>
      <c r="W2" s="705"/>
    </row>
    <row r="3" spans="1:28" s="180" customFormat="1">
      <c r="A3" s="704" t="s">
        <v>278</v>
      </c>
      <c r="B3" s="704"/>
      <c r="C3" s="704"/>
      <c r="D3" s="704"/>
      <c r="E3" s="704"/>
      <c r="F3" s="704"/>
      <c r="G3" s="704"/>
      <c r="H3" s="704"/>
      <c r="I3" s="704"/>
      <c r="J3" s="704"/>
      <c r="K3" s="704"/>
      <c r="L3" s="704"/>
      <c r="M3" s="704"/>
      <c r="N3" s="704"/>
      <c r="O3" s="704"/>
      <c r="P3" s="704"/>
      <c r="Q3" s="704"/>
      <c r="R3" s="704"/>
      <c r="S3" s="704"/>
      <c r="T3" s="41"/>
      <c r="V3" s="705"/>
      <c r="W3" s="705"/>
    </row>
    <row r="4" spans="1:28" s="180" customFormat="1">
      <c r="A4" s="704" t="s">
        <v>813</v>
      </c>
      <c r="B4" s="704"/>
      <c r="C4" s="704"/>
      <c r="D4" s="704"/>
      <c r="E4" s="704"/>
      <c r="F4" s="704"/>
      <c r="G4" s="704"/>
      <c r="H4" s="704"/>
      <c r="I4" s="704"/>
      <c r="J4" s="704"/>
      <c r="K4" s="704"/>
      <c r="L4" s="704"/>
      <c r="M4" s="704"/>
      <c r="N4" s="704"/>
      <c r="O4" s="704"/>
      <c r="P4" s="704"/>
      <c r="Q4" s="704"/>
      <c r="R4" s="704"/>
      <c r="S4" s="704"/>
      <c r="T4" s="41"/>
    </row>
    <row r="5" spans="1:28" s="180" customFormat="1">
      <c r="A5" s="704" t="s">
        <v>279</v>
      </c>
      <c r="B5" s="704"/>
      <c r="C5" s="704"/>
      <c r="D5" s="704"/>
      <c r="E5" s="704"/>
      <c r="F5" s="704"/>
      <c r="G5" s="704"/>
      <c r="H5" s="704"/>
      <c r="I5" s="704"/>
      <c r="J5" s="704"/>
      <c r="K5" s="704"/>
      <c r="L5" s="704"/>
      <c r="M5" s="704"/>
      <c r="N5" s="704"/>
      <c r="O5" s="704"/>
      <c r="P5" s="704"/>
      <c r="Q5" s="704"/>
      <c r="R5" s="704"/>
      <c r="S5" s="704"/>
      <c r="T5" s="41"/>
    </row>
    <row r="6" spans="1:28" s="180" customFormat="1">
      <c r="C6" s="41"/>
      <c r="D6" s="258"/>
      <c r="E6" s="258"/>
      <c r="F6" s="253"/>
      <c r="G6" s="168"/>
      <c r="H6" s="168"/>
      <c r="S6" s="42"/>
      <c r="T6" s="41"/>
    </row>
    <row r="7" spans="1:28" s="180" customFormat="1" ht="15.5">
      <c r="A7" s="334"/>
      <c r="C7" s="41"/>
      <c r="D7" s="258"/>
      <c r="E7" s="258"/>
      <c r="F7" s="253"/>
      <c r="G7" s="168"/>
      <c r="H7" s="168"/>
      <c r="S7" s="42"/>
      <c r="T7" s="41"/>
    </row>
    <row r="8" spans="1:28" s="180" customFormat="1" ht="15.5">
      <c r="A8" s="334"/>
      <c r="C8" s="41"/>
      <c r="D8" s="258"/>
      <c r="E8" s="258"/>
      <c r="F8" s="253"/>
      <c r="G8" s="168"/>
      <c r="H8" s="168"/>
      <c r="S8" s="42"/>
      <c r="T8" s="41"/>
    </row>
    <row r="9" spans="1:28" s="180" customFormat="1" ht="15.5">
      <c r="A9" s="334"/>
      <c r="C9" s="41"/>
      <c r="D9" s="258"/>
      <c r="E9" s="258"/>
      <c r="F9" s="253"/>
      <c r="G9" s="168"/>
      <c r="H9" s="168"/>
      <c r="S9" s="42"/>
      <c r="T9" s="41"/>
    </row>
    <row r="10" spans="1:28" s="180" customFormat="1">
      <c r="D10" s="258" t="s">
        <v>200</v>
      </c>
      <c r="E10" s="258"/>
      <c r="F10" s="258" t="s">
        <v>200</v>
      </c>
      <c r="G10" s="168" t="s">
        <v>254</v>
      </c>
      <c r="H10" s="168" t="s">
        <v>200</v>
      </c>
      <c r="I10" s="180" t="s">
        <v>280</v>
      </c>
      <c r="K10" s="180" t="s">
        <v>645</v>
      </c>
      <c r="L10" s="180" t="s">
        <v>716</v>
      </c>
      <c r="M10" s="180" t="s">
        <v>711</v>
      </c>
      <c r="O10" s="42" t="s">
        <v>285</v>
      </c>
      <c r="P10" s="42"/>
    </row>
    <row r="11" spans="1:28" s="180" customFormat="1">
      <c r="D11" s="180" t="s">
        <v>83</v>
      </c>
      <c r="E11" s="258"/>
      <c r="F11" s="180" t="s">
        <v>83</v>
      </c>
      <c r="G11" s="42" t="s">
        <v>256</v>
      </c>
      <c r="H11" s="168" t="s">
        <v>285</v>
      </c>
      <c r="I11" s="180" t="s">
        <v>83</v>
      </c>
      <c r="J11" s="180" t="s">
        <v>666</v>
      </c>
      <c r="K11" s="180" t="s">
        <v>83</v>
      </c>
      <c r="L11" s="258" t="s">
        <v>246</v>
      </c>
      <c r="M11" s="258" t="s">
        <v>708</v>
      </c>
      <c r="N11" s="253" t="s">
        <v>64</v>
      </c>
      <c r="O11" s="42" t="s">
        <v>263</v>
      </c>
      <c r="P11" s="180" t="s">
        <v>477</v>
      </c>
      <c r="Q11" s="180" t="s">
        <v>488</v>
      </c>
    </row>
    <row r="12" spans="1:28" s="180" customFormat="1">
      <c r="B12" s="180" t="s">
        <v>258</v>
      </c>
      <c r="C12" s="180" t="s">
        <v>281</v>
      </c>
      <c r="D12" s="258" t="s">
        <v>282</v>
      </c>
      <c r="E12" s="258" t="s">
        <v>283</v>
      </c>
      <c r="F12" s="258" t="s">
        <v>284</v>
      </c>
      <c r="G12" s="168" t="s">
        <v>285</v>
      </c>
      <c r="H12" s="168" t="s">
        <v>672</v>
      </c>
      <c r="I12" s="180" t="s">
        <v>286</v>
      </c>
      <c r="J12" s="180" t="s">
        <v>644</v>
      </c>
      <c r="K12" s="180" t="s">
        <v>286</v>
      </c>
      <c r="L12" s="258" t="s">
        <v>283</v>
      </c>
      <c r="M12" s="258" t="s">
        <v>295</v>
      </c>
      <c r="N12" s="253" t="s">
        <v>715</v>
      </c>
      <c r="O12" s="42" t="s">
        <v>287</v>
      </c>
      <c r="P12" s="180" t="s">
        <v>478</v>
      </c>
      <c r="Q12" s="180" t="s">
        <v>487</v>
      </c>
    </row>
    <row r="13" spans="1:28" s="251" customFormat="1">
      <c r="A13" s="251" t="s">
        <v>260</v>
      </c>
      <c r="B13" s="251" t="s">
        <v>261</v>
      </c>
      <c r="C13" s="251" t="s">
        <v>262</v>
      </c>
      <c r="D13" s="259" t="s">
        <v>288</v>
      </c>
      <c r="E13" s="259" t="s">
        <v>263</v>
      </c>
      <c r="F13" s="259" t="s">
        <v>288</v>
      </c>
      <c r="G13" s="169" t="s">
        <v>263</v>
      </c>
      <c r="H13" s="169" t="s">
        <v>785</v>
      </c>
      <c r="I13" s="251" t="s">
        <v>401</v>
      </c>
      <c r="J13" s="251" t="s">
        <v>672</v>
      </c>
      <c r="K13" s="251" t="s">
        <v>401</v>
      </c>
      <c r="L13" s="259" t="s">
        <v>263</v>
      </c>
      <c r="M13" s="259" t="s">
        <v>646</v>
      </c>
      <c r="N13" s="372" t="s">
        <v>415</v>
      </c>
      <c r="O13" s="170" t="s">
        <v>83</v>
      </c>
      <c r="P13" s="251" t="s">
        <v>374</v>
      </c>
      <c r="Q13" s="251" t="s">
        <v>263</v>
      </c>
      <c r="R13" s="180"/>
      <c r="S13" s="180"/>
      <c r="T13" s="180"/>
      <c r="U13" s="180"/>
      <c r="V13" s="180"/>
      <c r="W13" s="180"/>
      <c r="X13" s="180"/>
      <c r="Y13" s="180"/>
      <c r="Z13" s="180"/>
      <c r="AA13" s="180"/>
      <c r="AB13" s="180"/>
    </row>
    <row r="14" spans="1:28" s="180" customFormat="1">
      <c r="B14" s="180" t="s">
        <v>264</v>
      </c>
      <c r="C14" s="180" t="s">
        <v>265</v>
      </c>
      <c r="D14" s="258" t="s">
        <v>266</v>
      </c>
      <c r="E14" s="180" t="s">
        <v>267</v>
      </c>
      <c r="F14" s="180" t="s">
        <v>268</v>
      </c>
      <c r="G14" s="168" t="s">
        <v>269</v>
      </c>
      <c r="H14" s="180" t="s">
        <v>290</v>
      </c>
      <c r="I14" s="180" t="s">
        <v>270</v>
      </c>
      <c r="J14" s="180" t="s">
        <v>289</v>
      </c>
      <c r="K14" s="180" t="s">
        <v>289</v>
      </c>
      <c r="L14" s="180" t="s">
        <v>290</v>
      </c>
      <c r="M14" s="180" t="s">
        <v>389</v>
      </c>
      <c r="N14" s="42" t="s">
        <v>343</v>
      </c>
      <c r="O14" s="42" t="s">
        <v>389</v>
      </c>
      <c r="P14" s="180" t="s">
        <v>343</v>
      </c>
      <c r="Q14" s="180" t="s">
        <v>389</v>
      </c>
    </row>
    <row r="15" spans="1:28">
      <c r="D15" s="189" t="str">
        <f>IF(Base1_Billing2&lt;&gt;1,"ERROR","")</f>
        <v/>
      </c>
      <c r="E15" s="171"/>
      <c r="N15" s="97"/>
      <c r="R15" s="180"/>
      <c r="S15" s="180"/>
      <c r="T15" s="180"/>
      <c r="U15" s="180"/>
      <c r="V15" s="180"/>
      <c r="W15" s="180"/>
      <c r="X15" s="180"/>
      <c r="Y15" s="180"/>
      <c r="Z15" s="180"/>
      <c r="AA15" s="180"/>
    </row>
    <row r="16" spans="1:28">
      <c r="A16" s="180">
        <v>1</v>
      </c>
      <c r="B16" s="41" t="s">
        <v>271</v>
      </c>
      <c r="C16" s="279" t="s">
        <v>1027</v>
      </c>
      <c r="D16" s="258">
        <f ca="1">'Pres &amp; Prop Rev'!$D$152/1000</f>
        <v>279948.63818000001</v>
      </c>
      <c r="E16" s="258">
        <f ca="1">'Pres &amp; Prop Rev'!D207/1000</f>
        <v>36561.09906</v>
      </c>
      <c r="F16" s="258">
        <f ca="1">D16+E16</f>
        <v>316509.73723999999</v>
      </c>
      <c r="G16" s="247">
        <f ca="1">E16/D16</f>
        <v>0.13059931027952393</v>
      </c>
      <c r="H16" s="247">
        <f ca="1">E16/F16</f>
        <v>0.1155133468525071</v>
      </c>
      <c r="I16" s="258">
        <f>280698.86-16271.728</f>
        <v>264427.13199999998</v>
      </c>
      <c r="J16" s="252">
        <v>0</v>
      </c>
      <c r="K16" s="258">
        <f>I16+J16</f>
        <v>264427.13199999998</v>
      </c>
      <c r="L16" s="252">
        <f ca="1">E16</f>
        <v>36561.09906</v>
      </c>
      <c r="M16" s="252">
        <v>0</v>
      </c>
      <c r="N16" s="373">
        <f ca="1">L16+M16</f>
        <v>36561.09906</v>
      </c>
      <c r="O16" s="248">
        <f ca="1">(L16+M16)/K16</f>
        <v>0.13826530879592192</v>
      </c>
      <c r="P16" s="262" t="e">
        <f>#REF!/1000</f>
        <v>#REF!</v>
      </c>
      <c r="Q16" s="223">
        <f>('Pres &amp; Prop Rev'!D23*(0))/1000</f>
        <v>0</v>
      </c>
      <c r="R16" s="180"/>
      <c r="S16" s="180"/>
      <c r="T16" s="180"/>
      <c r="U16" s="180"/>
      <c r="V16" s="180"/>
      <c r="W16" s="180"/>
      <c r="X16" s="180"/>
      <c r="Y16" s="180"/>
      <c r="Z16" s="180"/>
      <c r="AA16" s="180"/>
      <c r="AB16" s="267"/>
    </row>
    <row r="17" spans="1:28">
      <c r="D17" s="258"/>
      <c r="E17" s="258"/>
      <c r="F17" s="258"/>
      <c r="G17" s="247"/>
      <c r="H17" s="247"/>
      <c r="I17" s="258"/>
      <c r="J17" s="252"/>
      <c r="K17" s="258"/>
      <c r="L17" s="252"/>
      <c r="M17" s="252"/>
      <c r="N17" s="373"/>
      <c r="O17" s="248"/>
      <c r="P17" s="262"/>
      <c r="Q17" s="223"/>
      <c r="R17" s="180"/>
      <c r="S17" s="180"/>
      <c r="T17" s="180"/>
      <c r="U17" s="180"/>
      <c r="V17" s="180"/>
      <c r="W17" s="180"/>
      <c r="X17" s="180"/>
      <c r="Y17" s="180"/>
      <c r="Z17" s="180"/>
      <c r="AA17" s="180"/>
      <c r="AB17" s="267"/>
    </row>
    <row r="18" spans="1:28">
      <c r="A18" s="180">
        <v>2</v>
      </c>
      <c r="B18" s="41" t="s">
        <v>272</v>
      </c>
      <c r="C18" s="279" t="s">
        <v>419</v>
      </c>
      <c r="D18" s="258">
        <f ca="1">'Pres &amp; Prop Rev'!$E$152/1000+0.4</f>
        <v>89664.691392857145</v>
      </c>
      <c r="E18" s="258">
        <f ca="1">'Pres &amp; Prop Rev'!E207/1000</f>
        <v>11709.364187142848</v>
      </c>
      <c r="F18" s="258">
        <f ca="1">D18+E18</f>
        <v>101374.05557999999</v>
      </c>
      <c r="G18" s="247">
        <f ca="1">E18/D18</f>
        <v>0.13059058147916225</v>
      </c>
      <c r="H18" s="247">
        <f ca="1">E18/F18</f>
        <v>0.1155065181140191</v>
      </c>
      <c r="I18" s="258">
        <f>99104.65-272</f>
        <v>98832.65</v>
      </c>
      <c r="J18" s="252">
        <v>0</v>
      </c>
      <c r="K18" s="258">
        <f t="shared" ref="K18:K34" si="0">I18+J18</f>
        <v>98832.65</v>
      </c>
      <c r="L18" s="252">
        <f ca="1">E18</f>
        <v>11709.364187142848</v>
      </c>
      <c r="M18" s="252">
        <v>0</v>
      </c>
      <c r="N18" s="373">
        <f ca="1">L18+M18</f>
        <v>11709.364187142848</v>
      </c>
      <c r="O18" s="248">
        <f ca="1">(L18+M18)/K18</f>
        <v>0.11847667938826743</v>
      </c>
      <c r="P18" s="262" t="e">
        <f>#REF!/1000</f>
        <v>#REF!</v>
      </c>
      <c r="Q18" s="223">
        <f>('Pres &amp; Prop Rev'!E23*(0))/1000</f>
        <v>0</v>
      </c>
      <c r="R18" s="180"/>
      <c r="S18" s="180"/>
      <c r="T18" s="180"/>
      <c r="U18" s="180"/>
      <c r="V18" s="180"/>
      <c r="W18" s="180"/>
      <c r="X18" s="180"/>
      <c r="Y18" s="180"/>
      <c r="Z18" s="180"/>
      <c r="AA18" s="180"/>
      <c r="AB18" s="267"/>
    </row>
    <row r="19" spans="1:28">
      <c r="C19" s="279"/>
      <c r="D19" s="258"/>
      <c r="E19" s="258"/>
      <c r="F19" s="258"/>
      <c r="G19" s="247"/>
      <c r="H19" s="247"/>
      <c r="I19" s="258"/>
      <c r="J19" s="252"/>
      <c r="K19" s="258"/>
      <c r="L19" s="252"/>
      <c r="M19" s="252"/>
      <c r="N19" s="373"/>
      <c r="O19" s="248"/>
      <c r="P19" s="262"/>
      <c r="Q19" s="223"/>
      <c r="R19" s="180"/>
      <c r="S19" s="180"/>
      <c r="T19" s="180"/>
      <c r="U19" s="180"/>
      <c r="V19" s="180"/>
      <c r="W19" s="180"/>
      <c r="X19" s="180"/>
      <c r="Y19" s="180"/>
      <c r="Z19" s="180"/>
      <c r="AA19" s="180"/>
      <c r="AB19" s="267"/>
    </row>
    <row r="20" spans="1:28">
      <c r="A20" s="180">
        <v>3</v>
      </c>
      <c r="B20" s="41" t="s">
        <v>770</v>
      </c>
      <c r="C20" s="280">
        <v>13</v>
      </c>
      <c r="D20" s="258">
        <f ca="1">'Pres &amp; Prop Rev'!$F$152/1000</f>
        <v>48.212069999999997</v>
      </c>
      <c r="E20" s="258">
        <f ca="1">'Pres &amp; Prop Rev'!F207/1000</f>
        <v>6.2955900000000034</v>
      </c>
      <c r="F20" s="258">
        <f ca="1">D20+E20-0.2</f>
        <v>54.307659999999998</v>
      </c>
      <c r="G20" s="247">
        <f t="shared" ref="G20" ca="1" si="1">E20/D20</f>
        <v>0.130581200931634</v>
      </c>
      <c r="H20" s="247">
        <f ca="1">IF(F20=0,H18,E20/F20)</f>
        <v>0.11592453071997584</v>
      </c>
      <c r="I20" s="258">
        <v>53.374770000000005</v>
      </c>
      <c r="J20" s="252">
        <v>0</v>
      </c>
      <c r="K20" s="258">
        <f t="shared" ref="K20" si="2">I20+J20</f>
        <v>53.374770000000005</v>
      </c>
      <c r="L20" s="252">
        <f ca="1">E20</f>
        <v>6.2955900000000034</v>
      </c>
      <c r="M20" s="252">
        <v>0</v>
      </c>
      <c r="N20" s="373">
        <f ca="1">L20+M20</f>
        <v>6.2955900000000034</v>
      </c>
      <c r="O20" s="248">
        <f t="shared" ref="O20" ca="1" si="3">(L20+M20)/K20</f>
        <v>0.11795067219961797</v>
      </c>
      <c r="P20" s="262" t="e">
        <f>#REF!/1000</f>
        <v>#REF!</v>
      </c>
      <c r="Q20" s="223">
        <f>('Pres &amp; Prop Rev'!G21*(0))/1000</f>
        <v>0</v>
      </c>
      <c r="R20" s="180"/>
      <c r="S20" s="180"/>
      <c r="T20" s="180"/>
      <c r="U20" s="180"/>
      <c r="V20" s="180"/>
      <c r="W20" s="180"/>
      <c r="X20" s="180"/>
      <c r="Y20" s="180"/>
      <c r="Z20" s="180"/>
      <c r="AA20" s="180"/>
      <c r="AB20" s="267"/>
    </row>
    <row r="21" spans="1:28">
      <c r="D21" s="258"/>
      <c r="E21" s="258"/>
      <c r="F21" s="258"/>
      <c r="G21" s="247"/>
      <c r="H21" s="247"/>
      <c r="I21" s="258"/>
      <c r="J21" s="252"/>
      <c r="K21" s="258"/>
      <c r="L21" s="252"/>
      <c r="M21" s="252"/>
      <c r="N21" s="373"/>
      <c r="O21" s="248"/>
      <c r="P21" s="262"/>
      <c r="Q21" s="223"/>
      <c r="R21" s="180"/>
      <c r="S21" s="180"/>
      <c r="T21" s="180"/>
      <c r="U21" s="180"/>
      <c r="V21" s="180"/>
      <c r="W21" s="180"/>
      <c r="X21" s="180"/>
      <c r="Y21" s="180"/>
      <c r="Z21" s="180"/>
      <c r="AA21" s="180"/>
      <c r="AB21" s="267"/>
    </row>
    <row r="22" spans="1:28">
      <c r="A22" s="180">
        <v>4</v>
      </c>
      <c r="B22" s="41" t="s">
        <v>273</v>
      </c>
      <c r="C22" s="280" t="s">
        <v>420</v>
      </c>
      <c r="D22" s="258">
        <f ca="1">'Pres &amp; Prop Rev'!$G$152/1000</f>
        <v>132450.41680857143</v>
      </c>
      <c r="E22" s="258">
        <f ca="1">'Pres &amp; Prop Rev'!G207/1000</f>
        <v>17298.506601428555</v>
      </c>
      <c r="F22" s="258">
        <f ca="1">D22+E22</f>
        <v>149748.92340999999</v>
      </c>
      <c r="G22" s="247">
        <f ca="1">E22/D22</f>
        <v>0.13060364035267494</v>
      </c>
      <c r="H22" s="247">
        <f ca="1">E22/F22</f>
        <v>0.11551673432781012</v>
      </c>
      <c r="I22" s="258">
        <f>147664.93-126</f>
        <v>147538.93</v>
      </c>
      <c r="J22" s="252">
        <v>0</v>
      </c>
      <c r="K22" s="258">
        <f t="shared" si="0"/>
        <v>147538.93</v>
      </c>
      <c r="L22" s="252">
        <f ca="1">E22</f>
        <v>17298.506601428555</v>
      </c>
      <c r="M22" s="252">
        <v>0</v>
      </c>
      <c r="N22" s="373">
        <f ca="1">L22+M22</f>
        <v>17298.506601428555</v>
      </c>
      <c r="O22" s="248">
        <f ca="1">(L22+M22)/K22</f>
        <v>0.11724706558078302</v>
      </c>
      <c r="P22" s="262" t="e">
        <f>#REF!/1000</f>
        <v>#REF!</v>
      </c>
      <c r="Q22" s="223">
        <f>('Pres &amp; Prop Rev'!G23*(0))/1000</f>
        <v>0</v>
      </c>
      <c r="R22" s="180"/>
      <c r="S22" s="180"/>
      <c r="T22" s="180"/>
      <c r="U22" s="180"/>
      <c r="V22" s="180"/>
      <c r="W22" s="180"/>
      <c r="X22" s="180"/>
      <c r="Y22" s="180"/>
      <c r="Z22" s="180"/>
      <c r="AA22" s="180"/>
      <c r="AB22" s="267"/>
    </row>
    <row r="23" spans="1:28">
      <c r="C23" s="280"/>
      <c r="D23" s="258"/>
      <c r="E23" s="258"/>
      <c r="F23" s="258"/>
      <c r="G23" s="247"/>
      <c r="H23" s="247"/>
      <c r="I23" s="258"/>
      <c r="J23" s="252"/>
      <c r="K23" s="258"/>
      <c r="L23" s="252"/>
      <c r="M23" s="252"/>
      <c r="N23" s="373"/>
      <c r="O23" s="248"/>
      <c r="P23" s="262"/>
      <c r="Q23" s="223"/>
      <c r="R23" s="258"/>
      <c r="S23" s="153"/>
      <c r="W23" s="153"/>
      <c r="X23" s="223"/>
      <c r="Z23" s="267"/>
      <c r="AA23" s="267"/>
      <c r="AB23" s="267"/>
    </row>
    <row r="24" spans="1:28">
      <c r="A24" s="180">
        <v>5</v>
      </c>
      <c r="B24" s="41" t="s">
        <v>769</v>
      </c>
      <c r="C24" s="280">
        <v>23</v>
      </c>
      <c r="D24" s="258">
        <f ca="1">'Pres &amp; Prop Rev'!$H$152/1000</f>
        <v>64.444969999999998</v>
      </c>
      <c r="E24" s="258">
        <f ca="1">'Pres &amp; Prop Rev'!H207/1000</f>
        <v>8.4157099999999918</v>
      </c>
      <c r="F24" s="258">
        <f ca="1">D24+E24-0.4</f>
        <v>72.460679999999982</v>
      </c>
      <c r="G24" s="247">
        <f t="shared" ref="G24" ca="1" si="4">E24/D24</f>
        <v>0.13058753848438431</v>
      </c>
      <c r="H24" s="247">
        <f ca="1">IF(F24=0,H22,E24/F24)</f>
        <v>0.11614174749671123</v>
      </c>
      <c r="I24" s="258">
        <v>69.8</v>
      </c>
      <c r="J24" s="252">
        <v>0</v>
      </c>
      <c r="K24" s="258">
        <f t="shared" ref="K24" si="5">I24+J24</f>
        <v>69.8</v>
      </c>
      <c r="L24" s="252">
        <f ca="1">E24</f>
        <v>8.4157099999999918</v>
      </c>
      <c r="M24" s="252">
        <v>0</v>
      </c>
      <c r="N24" s="373">
        <f ca="1">L24+M24</f>
        <v>8.4157099999999918</v>
      </c>
      <c r="O24" s="248">
        <f t="shared" ref="O24" ca="1" si="6">(L24+M24)/K24</f>
        <v>0.12056891117478499</v>
      </c>
      <c r="P24" s="262" t="e">
        <f>#REF!/1000</f>
        <v>#REF!</v>
      </c>
      <c r="Q24" s="223">
        <f>('Pres &amp; Prop Rev'!G25*(0))/1000</f>
        <v>0</v>
      </c>
      <c r="R24" s="258"/>
      <c r="S24" s="153"/>
      <c r="W24" s="153"/>
      <c r="X24" s="223"/>
      <c r="Z24" s="267"/>
      <c r="AA24" s="267"/>
      <c r="AB24" s="267"/>
    </row>
    <row r="25" spans="1:28">
      <c r="D25" s="258"/>
      <c r="E25" s="258"/>
      <c r="F25" s="258"/>
      <c r="G25" s="247"/>
      <c r="H25" s="247"/>
      <c r="I25" s="258"/>
      <c r="J25" s="252"/>
      <c r="K25" s="258"/>
      <c r="L25" s="252"/>
      <c r="M25" s="252"/>
      <c r="N25" s="373"/>
      <c r="O25" s="248"/>
      <c r="P25" s="262"/>
      <c r="Q25" s="223"/>
      <c r="R25" s="258"/>
      <c r="S25" s="153"/>
      <c r="X25" s="223"/>
      <c r="Z25" s="267"/>
      <c r="AA25" s="267"/>
      <c r="AB25" s="267"/>
    </row>
    <row r="26" spans="1:28">
      <c r="A26" s="180">
        <v>6</v>
      </c>
      <c r="B26" s="41" t="s">
        <v>291</v>
      </c>
      <c r="C26" s="180">
        <v>25</v>
      </c>
      <c r="D26" s="258">
        <f ca="1">'Pres &amp; Prop Rev'!$I$152/1000</f>
        <v>46296.1825417</v>
      </c>
      <c r="E26" s="258">
        <f ca="1">'Pres &amp; Prop Rev'!I207/1000</f>
        <v>6048.5327073000071</v>
      </c>
      <c r="F26" s="258">
        <f ca="1">D26+E26</f>
        <v>52344.715249000008</v>
      </c>
      <c r="G26" s="247">
        <f ca="1">E26/D26</f>
        <v>0.13064862749432871</v>
      </c>
      <c r="H26" s="247">
        <f ca="1">E26/F26</f>
        <v>0.11555192684739188</v>
      </c>
      <c r="I26" s="258">
        <v>51578.346841700004</v>
      </c>
      <c r="J26" s="252">
        <v>0</v>
      </c>
      <c r="K26" s="258">
        <f t="shared" si="0"/>
        <v>51578.346841700004</v>
      </c>
      <c r="L26" s="252">
        <f ca="1">E26</f>
        <v>6048.5327073000071</v>
      </c>
      <c r="M26" s="252">
        <v>0</v>
      </c>
      <c r="N26" s="373">
        <f ca="1">L26+M26</f>
        <v>6048.5327073000071</v>
      </c>
      <c r="O26" s="248">
        <f ca="1">(L26+M26)/K26</f>
        <v>0.11726883620104506</v>
      </c>
      <c r="P26" s="262" t="e">
        <f>#REF!/1000</f>
        <v>#REF!</v>
      </c>
      <c r="Q26" s="223">
        <f>('Pres &amp; Prop Rev'!I23*(0))/1000</f>
        <v>0</v>
      </c>
      <c r="R26" s="258"/>
      <c r="S26" s="153"/>
      <c r="W26" s="153"/>
      <c r="X26" s="223"/>
      <c r="Z26" s="267"/>
      <c r="AA26" s="267"/>
      <c r="AB26" s="267"/>
    </row>
    <row r="27" spans="1:28">
      <c r="D27" s="258"/>
      <c r="E27" s="258"/>
      <c r="F27" s="258"/>
      <c r="G27" s="247"/>
      <c r="H27" s="247"/>
      <c r="I27" s="258"/>
      <c r="J27" s="252"/>
      <c r="K27" s="258"/>
      <c r="L27" s="252"/>
      <c r="M27" s="252"/>
      <c r="N27" s="373"/>
      <c r="O27" s="248"/>
      <c r="P27" s="262"/>
      <c r="Q27" s="223"/>
      <c r="R27" s="258"/>
      <c r="S27" s="153"/>
      <c r="W27" s="153"/>
      <c r="X27" s="223"/>
      <c r="Z27" s="267"/>
      <c r="AA27" s="267"/>
      <c r="AB27" s="267"/>
    </row>
    <row r="28" spans="1:28">
      <c r="A28" s="180">
        <v>7</v>
      </c>
      <c r="B28" s="41" t="s">
        <v>791</v>
      </c>
      <c r="C28" s="180" t="s">
        <v>756</v>
      </c>
      <c r="D28" s="258">
        <f ca="1">'Pres &amp; Prop Rev'!$J$152/1000</f>
        <v>21103.693740400002</v>
      </c>
      <c r="E28" s="258">
        <f ca="1">'Pres &amp; Prop Rev'!J207/1000</f>
        <v>2693.6631180000008</v>
      </c>
      <c r="F28" s="258">
        <f ca="1">D28+E28+0.3</f>
        <v>23797.656858400002</v>
      </c>
      <c r="G28" s="247">
        <f ca="1">E28/D28</f>
        <v>0.12763941474583515</v>
      </c>
      <c r="H28" s="247">
        <f ca="1">E28/F28</f>
        <v>0.11319026633704916</v>
      </c>
      <c r="I28" s="258">
        <v>23611.661720399999</v>
      </c>
      <c r="J28" s="252">
        <v>0</v>
      </c>
      <c r="K28" s="258">
        <f t="shared" ref="K28" si="7">I28+J28</f>
        <v>23611.661720399999</v>
      </c>
      <c r="L28" s="252">
        <f ca="1">E28</f>
        <v>2693.6631180000008</v>
      </c>
      <c r="M28" s="252">
        <v>0</v>
      </c>
      <c r="N28" s="373">
        <f ca="1">L28+M28</f>
        <v>2693.6631180000008</v>
      </c>
      <c r="O28" s="248">
        <f ca="1">(L28+M28)/K28</f>
        <v>0.11408189520489065</v>
      </c>
      <c r="P28" s="262" t="e">
        <f>#REF!/1000</f>
        <v>#REF!</v>
      </c>
      <c r="Q28" s="223">
        <f>('Pres &amp; Prop Rev'!I25*(0))/1000</f>
        <v>0</v>
      </c>
      <c r="R28" s="258"/>
      <c r="S28" s="153"/>
      <c r="W28" s="153"/>
      <c r="X28" s="223"/>
      <c r="Z28" s="267"/>
      <c r="AA28" s="267"/>
      <c r="AB28" s="267"/>
    </row>
    <row r="29" spans="1:28">
      <c r="D29" s="258"/>
      <c r="E29" s="258"/>
      <c r="F29" s="258"/>
      <c r="G29" s="247"/>
      <c r="H29" s="247"/>
      <c r="I29" s="258"/>
      <c r="J29" s="252"/>
      <c r="K29" s="258"/>
      <c r="L29" s="252"/>
      <c r="M29" s="252"/>
      <c r="N29" s="373"/>
      <c r="O29" s="248"/>
      <c r="P29" s="262"/>
      <c r="Q29" s="223"/>
      <c r="R29" s="258"/>
      <c r="S29" s="153"/>
      <c r="X29" s="223"/>
      <c r="Z29" s="267"/>
      <c r="AA29" s="267"/>
      <c r="AB29" s="267"/>
    </row>
    <row r="30" spans="1:28">
      <c r="A30" s="180">
        <v>8</v>
      </c>
      <c r="B30" s="41" t="s">
        <v>274</v>
      </c>
      <c r="C30" s="280" t="s">
        <v>421</v>
      </c>
      <c r="D30" s="258">
        <f ca="1">'Pres &amp; Prop Rev'!$K$152/1000</f>
        <v>13579.03759</v>
      </c>
      <c r="E30" s="258">
        <f ca="1">'Pres &amp; Prop Rev'!K207/1000+0.1</f>
        <v>1774.0421400000005</v>
      </c>
      <c r="F30" s="258">
        <f ca="1">D30+E30</f>
        <v>15353.079730000001</v>
      </c>
      <c r="G30" s="247">
        <f ca="1">E30/D30</f>
        <v>0.13064564614700361</v>
      </c>
      <c r="H30" s="247">
        <f ca="1">E30/F30</f>
        <v>0.11554959468708499</v>
      </c>
      <c r="I30" s="258">
        <f>15076.42-35</f>
        <v>15041.42</v>
      </c>
      <c r="J30" s="252">
        <v>0</v>
      </c>
      <c r="K30" s="258">
        <f t="shared" si="0"/>
        <v>15041.42</v>
      </c>
      <c r="L30" s="252">
        <f ca="1">E30</f>
        <v>1774.0421400000005</v>
      </c>
      <c r="M30" s="252">
        <v>0</v>
      </c>
      <c r="N30" s="373">
        <f ca="1">L30+M30</f>
        <v>1774.0421400000005</v>
      </c>
      <c r="O30" s="248">
        <f ca="1">(L30+M30)/K30</f>
        <v>0.11794379387052556</v>
      </c>
      <c r="P30" s="262" t="e">
        <f>#REF!/1000</f>
        <v>#REF!</v>
      </c>
      <c r="Q30" s="223">
        <f>('Pres &amp; Prop Rev'!K23*(0))/1000</f>
        <v>0</v>
      </c>
      <c r="R30" s="258"/>
      <c r="S30" s="153"/>
      <c r="W30" s="153"/>
      <c r="X30" s="223"/>
      <c r="Z30" s="267"/>
      <c r="AA30" s="267"/>
      <c r="AB30" s="267"/>
    </row>
    <row r="31" spans="1:28">
      <c r="D31" s="258"/>
      <c r="E31" s="258"/>
      <c r="F31" s="258"/>
      <c r="G31" s="247"/>
      <c r="H31" s="247"/>
      <c r="I31" s="258"/>
      <c r="J31" s="252"/>
      <c r="K31" s="258"/>
      <c r="L31" s="252"/>
      <c r="M31" s="252"/>
      <c r="N31" s="373"/>
      <c r="O31" s="248"/>
      <c r="P31" s="262"/>
      <c r="Q31" s="223"/>
      <c r="R31" s="258"/>
      <c r="S31" s="153"/>
      <c r="X31" s="223"/>
      <c r="Z31" s="267"/>
      <c r="AA31" s="267"/>
      <c r="AB31" s="267"/>
    </row>
    <row r="32" spans="1:28">
      <c r="A32" s="180">
        <v>9</v>
      </c>
      <c r="B32" s="41" t="s">
        <v>275</v>
      </c>
      <c r="C32" s="180" t="s">
        <v>322</v>
      </c>
      <c r="D32" s="260">
        <f>'Pres &amp; Prop Rev'!$L$152/1000</f>
        <v>7407.9618023400008</v>
      </c>
      <c r="E32" s="260">
        <f>'Pres &amp; Prop Rev'!L207/1000</f>
        <v>966.95436000000029</v>
      </c>
      <c r="F32" s="260">
        <f>D32+E32</f>
        <v>8374.9161623400014</v>
      </c>
      <c r="G32" s="434">
        <f>E32/D32</f>
        <v>0.13052906937162692</v>
      </c>
      <c r="H32" s="247">
        <f>E32/F32</f>
        <v>0.11545839280734095</v>
      </c>
      <c r="I32" s="260">
        <f>7408.11636234+719</f>
        <v>8127.1163623399998</v>
      </c>
      <c r="J32" s="353">
        <v>0</v>
      </c>
      <c r="K32" s="260">
        <f>I32+J32</f>
        <v>8127.1163623399998</v>
      </c>
      <c r="L32" s="353">
        <f>E32</f>
        <v>966.95436000000029</v>
      </c>
      <c r="M32" s="353">
        <v>0</v>
      </c>
      <c r="N32" s="435">
        <f>L32+M32</f>
        <v>966.95436000000029</v>
      </c>
      <c r="O32" s="436">
        <f>(L32+M32)/K32</f>
        <v>0.11897877634442901</v>
      </c>
      <c r="P32" s="309" t="e">
        <f>#REF!/1000</f>
        <v>#REF!</v>
      </c>
      <c r="Q32" s="261">
        <f>('Pres &amp; Prop Rev'!L23*(0))/1000</f>
        <v>0</v>
      </c>
      <c r="R32" s="260"/>
      <c r="S32" s="153"/>
      <c r="W32" s="153"/>
      <c r="X32" s="223"/>
      <c r="Z32" s="267"/>
      <c r="AA32" s="267"/>
      <c r="AB32" s="267"/>
    </row>
    <row r="33" spans="1:28">
      <c r="D33" s="258"/>
      <c r="E33" s="262"/>
      <c r="F33" s="258"/>
      <c r="G33" s="247"/>
      <c r="H33" s="262"/>
      <c r="I33" s="262"/>
      <c r="J33" s="252"/>
      <c r="K33" s="258"/>
      <c r="L33" s="252"/>
      <c r="M33" s="252"/>
      <c r="N33" s="373"/>
      <c r="O33" s="248"/>
      <c r="P33" s="262"/>
      <c r="Q33" s="263"/>
      <c r="R33" s="258"/>
      <c r="S33" s="153"/>
      <c r="Z33" s="267"/>
      <c r="AA33" s="267"/>
      <c r="AB33" s="267"/>
    </row>
    <row r="34" spans="1:28">
      <c r="A34" s="180">
        <v>10</v>
      </c>
      <c r="B34" s="264" t="s">
        <v>64</v>
      </c>
      <c r="D34" s="258">
        <f ca="1">SUM(D16:D32)</f>
        <v>590563.27909586858</v>
      </c>
      <c r="E34" s="258">
        <f ca="1">SUM(E16:E32)</f>
        <v>77066.873473871412</v>
      </c>
      <c r="F34" s="258">
        <f ca="1">SUM(F16:F32)</f>
        <v>667629.85256973992</v>
      </c>
      <c r="G34" s="247">
        <f ca="1">E34/D34</f>
        <v>0.13049723239118094</v>
      </c>
      <c r="H34" s="247"/>
      <c r="I34" s="258">
        <f>SUM(I16:I32)</f>
        <v>609280.43169444008</v>
      </c>
      <c r="J34" s="252">
        <f>SUM(J16:J32)</f>
        <v>0</v>
      </c>
      <c r="K34" s="258">
        <f t="shared" si="0"/>
        <v>609280.43169444008</v>
      </c>
      <c r="L34" s="252">
        <f ca="1">E34</f>
        <v>77066.873473871412</v>
      </c>
      <c r="M34" s="252">
        <f>SUM(M16:M32)</f>
        <v>0</v>
      </c>
      <c r="N34" s="373">
        <f ca="1">L34+M34</f>
        <v>77066.873473871412</v>
      </c>
      <c r="O34" s="248">
        <f ca="1">(L34+M34)/K34</f>
        <v>0.12648834504588385</v>
      </c>
      <c r="P34" s="262" t="e">
        <f>SUM(P16:P33)</f>
        <v>#REF!</v>
      </c>
      <c r="Q34" s="223">
        <f>SUM(Q16:Q32)</f>
        <v>0</v>
      </c>
      <c r="R34" s="258"/>
      <c r="S34" s="153"/>
      <c r="W34" s="153"/>
      <c r="X34" s="223"/>
      <c r="Z34" s="267"/>
      <c r="AA34" s="267"/>
      <c r="AB34" s="267"/>
    </row>
    <row r="35" spans="1:28">
      <c r="B35" s="180"/>
      <c r="D35" s="265">
        <f ca="1">ROUND(D34-'Pres &amp; Prop Rev'!C205/1000,0)</f>
        <v>0</v>
      </c>
      <c r="E35" s="171"/>
      <c r="F35" s="265"/>
      <c r="I35" s="256"/>
      <c r="J35" s="256"/>
      <c r="K35" s="256"/>
      <c r="L35" s="256"/>
      <c r="M35" s="256"/>
      <c r="N35" s="256"/>
      <c r="Q35" s="256"/>
      <c r="R35" s="256"/>
      <c r="S35" s="256"/>
    </row>
    <row r="36" spans="1:28">
      <c r="B36" s="180"/>
      <c r="D36" s="642"/>
      <c r="E36" s="642"/>
      <c r="P36" s="267"/>
      <c r="Q36" s="267"/>
      <c r="R36" s="256"/>
      <c r="S36" s="97"/>
    </row>
    <row r="37" spans="1:28">
      <c r="A37" s="41"/>
    </row>
    <row r="39" spans="1:28">
      <c r="A39" s="41" t="s">
        <v>1022</v>
      </c>
    </row>
    <row r="40" spans="1:28">
      <c r="A40" s="250" t="s">
        <v>1030</v>
      </c>
    </row>
    <row r="41" spans="1:28">
      <c r="A41" s="250"/>
    </row>
    <row r="42" spans="1:28">
      <c r="A42" s="41" t="s">
        <v>1023</v>
      </c>
    </row>
    <row r="43" spans="1:28">
      <c r="A43" s="250" t="s">
        <v>1030</v>
      </c>
    </row>
    <row r="44" spans="1:28">
      <c r="H44" s="41"/>
      <c r="O44" s="97"/>
      <c r="R44" s="41"/>
    </row>
    <row r="45" spans="1:28">
      <c r="H45" s="41"/>
      <c r="O45" s="97"/>
      <c r="R45" s="41"/>
    </row>
    <row r="46" spans="1:28">
      <c r="B46" s="72" t="s">
        <v>351</v>
      </c>
      <c r="F46" s="258"/>
      <c r="H46" s="258"/>
      <c r="I46" s="258"/>
      <c r="J46" s="258"/>
      <c r="K46" s="258"/>
      <c r="L46" s="258"/>
      <c r="M46" s="258"/>
      <c r="O46" s="97"/>
      <c r="R46" s="41"/>
    </row>
    <row r="47" spans="1:28">
      <c r="F47" s="258" t="s">
        <v>387</v>
      </c>
      <c r="G47" s="72"/>
      <c r="H47" s="258"/>
      <c r="I47" s="258" t="s">
        <v>414</v>
      </c>
      <c r="J47" s="258"/>
      <c r="K47" s="258"/>
      <c r="L47" s="258"/>
      <c r="M47" s="97"/>
      <c r="R47" s="41"/>
    </row>
    <row r="48" spans="1:28">
      <c r="F48" s="260" t="s">
        <v>413</v>
      </c>
      <c r="G48" s="72"/>
      <c r="H48" s="258"/>
      <c r="I48" s="260" t="s">
        <v>415</v>
      </c>
      <c r="J48" s="260"/>
      <c r="K48" s="260"/>
      <c r="L48" s="260"/>
      <c r="M48" s="97"/>
      <c r="R48" s="41"/>
    </row>
    <row r="49" spans="2:18">
      <c r="B49" s="240" t="s">
        <v>348</v>
      </c>
      <c r="F49" s="150">
        <f>'REVRUNS 12ME0623'!P119</f>
        <v>70430456.45397</v>
      </c>
      <c r="G49" s="41"/>
      <c r="H49" s="307"/>
      <c r="I49" s="55">
        <f>F49*-0.00386/1000</f>
        <v>-271.86156191232425</v>
      </c>
      <c r="J49" s="55"/>
      <c r="K49" s="55"/>
      <c r="L49" s="41" t="s">
        <v>784</v>
      </c>
      <c r="M49" s="97"/>
      <c r="R49" s="41"/>
    </row>
    <row r="50" spans="2:18">
      <c r="B50" s="240" t="s">
        <v>349</v>
      </c>
      <c r="F50" s="150">
        <f>'REVRUNS 12ME0623'!P164</f>
        <v>32667663.599999998</v>
      </c>
      <c r="G50" s="41"/>
      <c r="H50" s="307"/>
      <c r="I50" s="55">
        <f t="shared" ref="I50:I52" si="8">F50*-0.00386/1000</f>
        <v>-126.09718149599999</v>
      </c>
      <c r="J50" s="55"/>
      <c r="K50" s="55"/>
      <c r="L50" s="41" t="s">
        <v>784</v>
      </c>
      <c r="M50" s="97"/>
      <c r="R50" s="41"/>
    </row>
    <row r="51" spans="2:18">
      <c r="B51" s="240" t="s">
        <v>350</v>
      </c>
      <c r="F51" s="150">
        <f>'REVRUNS 12ME0623'!P249</f>
        <v>9090892.0460799988</v>
      </c>
      <c r="G51" s="41"/>
      <c r="H51" s="307"/>
      <c r="I51" s="55">
        <f t="shared" si="8"/>
        <v>-35.090843297868801</v>
      </c>
      <c r="J51" s="298"/>
      <c r="K51" s="298"/>
      <c r="L51" s="41" t="s">
        <v>784</v>
      </c>
      <c r="M51" s="97"/>
      <c r="R51" s="41"/>
    </row>
    <row r="52" spans="2:18">
      <c r="B52" s="240" t="s">
        <v>532</v>
      </c>
      <c r="F52" s="150">
        <f>'REVRUNS 12ME0623'!P313</f>
        <v>2143510.44001</v>
      </c>
      <c r="G52" s="41"/>
      <c r="H52" s="307"/>
      <c r="I52" s="55">
        <f t="shared" si="8"/>
        <v>-8.2739502984385993</v>
      </c>
      <c r="J52" s="298"/>
      <c r="K52" s="298"/>
      <c r="L52" s="298"/>
      <c r="M52" s="97"/>
      <c r="R52" s="41">
        <v>-3.8600000000000001E-3</v>
      </c>
    </row>
    <row r="53" spans="2:18">
      <c r="B53" s="240" t="s">
        <v>64</v>
      </c>
      <c r="C53" s="41"/>
      <c r="D53" s="41"/>
      <c r="E53" s="41"/>
      <c r="F53" s="44">
        <f>SUM(F49:F52)</f>
        <v>114332522.54005998</v>
      </c>
      <c r="H53" s="41"/>
      <c r="I53" s="274">
        <f>SUM(I49:I52)</f>
        <v>-441.32353700463165</v>
      </c>
      <c r="J53" s="274"/>
      <c r="K53" s="274"/>
      <c r="R53" s="41"/>
    </row>
    <row r="54" spans="2:18">
      <c r="B54" s="240"/>
      <c r="C54" s="41"/>
      <c r="D54" s="41"/>
      <c r="E54" s="41"/>
      <c r="F54" s="44"/>
      <c r="H54" s="41"/>
      <c r="I54" s="274"/>
      <c r="J54" s="274"/>
      <c r="K54" s="274"/>
      <c r="L54" s="274"/>
      <c r="R54" s="41"/>
    </row>
    <row r="55" spans="2:18">
      <c r="B55" s="240" t="s">
        <v>534</v>
      </c>
      <c r="C55" s="41"/>
      <c r="D55" s="41"/>
      <c r="E55" s="41"/>
      <c r="F55" s="44"/>
      <c r="H55" s="258"/>
      <c r="I55" s="274"/>
      <c r="J55" s="274"/>
      <c r="K55" s="274"/>
      <c r="L55" s="274"/>
      <c r="R55" s="41"/>
    </row>
    <row r="56" spans="2:18" ht="12.5">
      <c r="B56" s="240" t="s">
        <v>533</v>
      </c>
      <c r="F56" s="150">
        <f>'REVRUNS 12ME0623'!P343</f>
        <v>16029420.157809999</v>
      </c>
      <c r="G56" s="41"/>
      <c r="H56" s="307"/>
      <c r="I56" s="298">
        <f>F56*R56/1000</f>
        <v>-2.8852956284058</v>
      </c>
      <c r="J56" s="298"/>
      <c r="K56" s="298"/>
      <c r="R56" s="41">
        <v>-1.8000000000000001E-4</v>
      </c>
    </row>
    <row r="57" spans="2:18" ht="12.5">
      <c r="B57" s="240"/>
      <c r="F57" s="150"/>
      <c r="G57" s="41"/>
      <c r="H57" s="307"/>
      <c r="I57" s="298"/>
      <c r="J57" s="298"/>
      <c r="K57" s="298"/>
      <c r="L57" s="298"/>
      <c r="R57" s="41"/>
    </row>
    <row r="58" spans="2:18">
      <c r="B58" s="240" t="s">
        <v>747</v>
      </c>
      <c r="C58" s="41"/>
      <c r="D58" s="41"/>
      <c r="E58" s="41"/>
      <c r="F58" s="44"/>
      <c r="H58" s="258"/>
      <c r="I58" s="274"/>
      <c r="J58" s="298"/>
      <c r="K58" s="298"/>
      <c r="L58" s="298"/>
      <c r="R58" s="41"/>
    </row>
    <row r="59" spans="2:18" ht="12.5">
      <c r="B59" s="240" t="s">
        <v>533</v>
      </c>
      <c r="F59" s="150">
        <f>F56</f>
        <v>16029420.157809999</v>
      </c>
      <c r="G59" s="41"/>
      <c r="H59" s="307"/>
      <c r="I59" s="298">
        <f>F59*R59/1000</f>
        <v>236.91482993243179</v>
      </c>
      <c r="J59" s="298"/>
      <c r="K59" s="298"/>
      <c r="R59" s="41">
        <v>1.478E-2</v>
      </c>
    </row>
    <row r="60" spans="2:18" ht="12.5">
      <c r="B60" s="240"/>
      <c r="F60" s="150"/>
      <c r="G60" s="41"/>
      <c r="H60" s="307"/>
      <c r="I60" s="298"/>
      <c r="J60" s="298"/>
      <c r="K60" s="298"/>
      <c r="L60" s="298"/>
      <c r="R60" s="41"/>
    </row>
    <row r="61" spans="2:18">
      <c r="B61" s="240" t="s">
        <v>746</v>
      </c>
      <c r="C61" s="41"/>
      <c r="D61" s="41"/>
      <c r="E61" s="41"/>
      <c r="F61" s="44"/>
      <c r="H61" s="258"/>
      <c r="I61" s="274"/>
      <c r="J61" s="298"/>
      <c r="K61" s="298"/>
      <c r="L61" s="298"/>
      <c r="R61" s="41"/>
    </row>
    <row r="62" spans="2:18" ht="12.5">
      <c r="B62" s="240" t="s">
        <v>533</v>
      </c>
      <c r="F62" s="150">
        <f>F56</f>
        <v>16029420.157809999</v>
      </c>
      <c r="G62" s="41"/>
      <c r="H62" s="307"/>
      <c r="I62" s="298">
        <f>F62*R62/1000</f>
        <v>55.301499544444496</v>
      </c>
      <c r="J62" s="298"/>
      <c r="K62" s="298"/>
      <c r="R62" s="41">
        <v>3.4499999999999999E-3</v>
      </c>
    </row>
    <row r="63" spans="2:18" ht="12.5">
      <c r="B63" s="240"/>
      <c r="F63" s="150"/>
      <c r="G63" s="41"/>
      <c r="H63" s="307"/>
      <c r="I63" s="298"/>
      <c r="J63" s="298"/>
      <c r="K63" s="298"/>
      <c r="L63" s="298"/>
      <c r="R63" s="41"/>
    </row>
    <row r="64" spans="2:18">
      <c r="B64" s="240" t="s">
        <v>882</v>
      </c>
      <c r="C64" s="41"/>
      <c r="D64" s="41"/>
      <c r="E64" s="41"/>
      <c r="F64" s="44"/>
      <c r="H64" s="258"/>
      <c r="I64" s="274"/>
      <c r="J64" s="274"/>
      <c r="K64" s="298"/>
      <c r="L64" s="298"/>
      <c r="R64" s="41"/>
    </row>
    <row r="65" spans="2:18" ht="12.5">
      <c r="B65" s="240" t="s">
        <v>533</v>
      </c>
      <c r="F65" s="150">
        <f>F56</f>
        <v>16029420.157809999</v>
      </c>
      <c r="G65" s="41"/>
      <c r="H65" s="307"/>
      <c r="I65" s="298">
        <f>F65*R65/1000</f>
        <v>419.97080813462202</v>
      </c>
      <c r="J65" s="298"/>
      <c r="K65" s="298"/>
      <c r="L65" s="298"/>
      <c r="R65" s="41">
        <v>2.6200000000000001E-2</v>
      </c>
    </row>
    <row r="66" spans="2:18" ht="12.5">
      <c r="B66" s="240"/>
      <c r="F66" s="150"/>
      <c r="G66" s="41"/>
      <c r="H66" s="307"/>
      <c r="I66" s="298"/>
      <c r="J66" s="298"/>
      <c r="K66" s="298"/>
      <c r="L66" s="298"/>
      <c r="R66" s="41"/>
    </row>
    <row r="67" spans="2:18">
      <c r="B67" s="240" t="s">
        <v>883</v>
      </c>
      <c r="C67" s="41"/>
      <c r="D67" s="41"/>
      <c r="E67" s="41"/>
      <c r="F67" s="44"/>
      <c r="H67" s="258"/>
      <c r="I67" s="274"/>
      <c r="J67" s="298"/>
      <c r="K67" s="298"/>
      <c r="L67" s="298"/>
      <c r="R67" s="41"/>
    </row>
    <row r="68" spans="2:18" ht="12.5">
      <c r="B68" s="240" t="s">
        <v>533</v>
      </c>
      <c r="F68" s="150">
        <f>F56</f>
        <v>16029420.157809999</v>
      </c>
      <c r="G68" s="41"/>
      <c r="H68" s="307"/>
      <c r="I68" s="298">
        <f>F68*R68/1000</f>
        <v>165.58391023017731</v>
      </c>
      <c r="J68" s="298"/>
      <c r="K68" s="298"/>
      <c r="L68" s="298"/>
      <c r="R68" s="41">
        <v>1.0330000000000001E-2</v>
      </c>
    </row>
    <row r="69" spans="2:18" ht="12.5">
      <c r="B69" s="240"/>
      <c r="F69" s="150"/>
      <c r="G69" s="41"/>
      <c r="H69" s="307"/>
      <c r="I69" s="298"/>
      <c r="J69" s="298"/>
      <c r="K69" s="298"/>
      <c r="L69" s="298"/>
      <c r="R69" s="41"/>
    </row>
    <row r="70" spans="2:18">
      <c r="B70" s="240" t="s">
        <v>884</v>
      </c>
      <c r="C70" s="41"/>
      <c r="D70" s="41"/>
      <c r="E70" s="41"/>
      <c r="F70" s="44"/>
      <c r="H70" s="258"/>
      <c r="I70" s="274"/>
      <c r="J70" s="298"/>
      <c r="K70" s="298"/>
      <c r="L70" s="298"/>
      <c r="R70" s="41"/>
    </row>
    <row r="71" spans="2:18" ht="12.5">
      <c r="B71" s="240" t="s">
        <v>533</v>
      </c>
      <c r="F71" s="150">
        <f>F56</f>
        <v>16029420.157809999</v>
      </c>
      <c r="G71" s="41"/>
      <c r="H71" s="307"/>
      <c r="I71" s="298">
        <f>F71*R71/1000</f>
        <v>-326.67958281616774</v>
      </c>
      <c r="J71" s="298"/>
      <c r="K71" s="298"/>
      <c r="L71" s="298"/>
      <c r="R71" s="41">
        <v>-2.0379999999999999E-2</v>
      </c>
    </row>
    <row r="72" spans="2:18" ht="12.5">
      <c r="B72" s="240"/>
      <c r="F72" s="150"/>
      <c r="G72" s="41"/>
      <c r="H72" s="307"/>
      <c r="I72" s="298"/>
      <c r="J72" s="298"/>
      <c r="K72" s="298"/>
      <c r="L72" s="298"/>
      <c r="R72" s="41"/>
    </row>
    <row r="73" spans="2:18">
      <c r="B73" s="240" t="s">
        <v>544</v>
      </c>
      <c r="C73" s="41"/>
      <c r="D73" s="41"/>
      <c r="E73" s="41"/>
      <c r="F73" s="44"/>
      <c r="H73" s="258"/>
      <c r="I73" s="274"/>
      <c r="J73" s="274"/>
      <c r="K73" s="274"/>
      <c r="L73" s="274"/>
      <c r="R73" s="41"/>
    </row>
    <row r="74" spans="2:18" ht="12.5">
      <c r="B74" s="240" t="s">
        <v>533</v>
      </c>
      <c r="F74" s="150">
        <f>F56</f>
        <v>16029420.157809999</v>
      </c>
      <c r="G74" s="41"/>
      <c r="H74" s="307"/>
      <c r="I74" s="298">
        <f>F74*R74/1000</f>
        <v>179.20891736431579</v>
      </c>
      <c r="J74" s="298"/>
      <c r="K74" s="298"/>
      <c r="R74" s="41">
        <v>1.1180000000000001E-2</v>
      </c>
    </row>
    <row r="75" spans="2:18">
      <c r="H75" s="41"/>
      <c r="M75" s="97"/>
      <c r="P75" s="41" t="s">
        <v>473</v>
      </c>
      <c r="R75" s="41"/>
    </row>
    <row r="76" spans="2:18">
      <c r="H76" s="258"/>
      <c r="M76" s="97"/>
      <c r="R76" s="41"/>
    </row>
    <row r="77" spans="2:18">
      <c r="B77" s="240" t="s">
        <v>621</v>
      </c>
      <c r="F77" s="44">
        <f>'REVRUNS 12ME0623'!P89</f>
        <v>12328902.924040001</v>
      </c>
      <c r="H77" s="307"/>
      <c r="I77" s="55">
        <v>0</v>
      </c>
      <c r="J77" s="55"/>
      <c r="K77" s="55"/>
      <c r="L77" s="41" t="s">
        <v>784</v>
      </c>
      <c r="M77" s="97"/>
      <c r="R77" s="41"/>
    </row>
    <row r="78" spans="2:18">
      <c r="H78" s="41"/>
      <c r="M78" s="97"/>
      <c r="R78" s="41"/>
    </row>
    <row r="79" spans="2:18">
      <c r="H79" s="41"/>
      <c r="M79" s="97"/>
      <c r="R79" s="41"/>
    </row>
    <row r="80" spans="2:18">
      <c r="H80" s="41"/>
      <c r="M80" s="97"/>
      <c r="R80" s="41"/>
    </row>
    <row r="81" spans="2:19">
      <c r="B81" s="240" t="s">
        <v>641</v>
      </c>
      <c r="H81" s="41"/>
      <c r="I81" s="274">
        <f>I52+I56+I65+I62+I59+I68+I71+I74</f>
        <v>719.14113646297915</v>
      </c>
      <c r="J81" s="274"/>
      <c r="K81" s="274"/>
      <c r="L81" s="41" t="s">
        <v>784</v>
      </c>
      <c r="M81" s="97"/>
      <c r="R81" s="41"/>
    </row>
    <row r="82" spans="2:19">
      <c r="H82" s="41"/>
      <c r="M82" s="97"/>
      <c r="R82" s="41"/>
    </row>
    <row r="83" spans="2:19">
      <c r="H83" s="41"/>
      <c r="M83" s="97"/>
      <c r="R83" s="41"/>
    </row>
    <row r="84" spans="2:19">
      <c r="H84" s="41"/>
      <c r="O84" s="97"/>
      <c r="R84" s="41"/>
    </row>
    <row r="85" spans="2:19">
      <c r="H85" s="41"/>
      <c r="L85" s="55"/>
      <c r="N85" s="275">
        <v>0</v>
      </c>
      <c r="O85" s="97">
        <v>1</v>
      </c>
      <c r="P85" s="276">
        <f ca="1">-D16*$N$86</f>
        <v>0</v>
      </c>
      <c r="R85" s="176">
        <f>0/'Pres &amp; Prop Rev'!D23</f>
        <v>0</v>
      </c>
      <c r="S85" s="178">
        <f ca="1">(D16/$D$34)*$P$91</f>
        <v>0</v>
      </c>
    </row>
    <row r="86" spans="2:19">
      <c r="H86" s="41"/>
      <c r="N86" s="277">
        <f ca="1">N85/D34</f>
        <v>0</v>
      </c>
      <c r="O86" s="97">
        <v>11</v>
      </c>
      <c r="P86" s="276">
        <f ca="1">-D18*N86</f>
        <v>0</v>
      </c>
      <c r="R86" s="41"/>
      <c r="S86" s="178">
        <f ca="1">(D18/$D$34)*$P$91</f>
        <v>0</v>
      </c>
    </row>
    <row r="87" spans="2:19">
      <c r="H87" s="41"/>
      <c r="O87" s="97">
        <v>21</v>
      </c>
      <c r="P87" s="276">
        <f ca="1">-D22*N86</f>
        <v>0</v>
      </c>
      <c r="R87" s="41"/>
      <c r="S87" s="178">
        <f ca="1">(D22/$D$34)*$P$91</f>
        <v>0</v>
      </c>
    </row>
    <row r="88" spans="2:19">
      <c r="H88" s="41"/>
      <c r="O88" s="97">
        <v>25</v>
      </c>
      <c r="P88" s="276">
        <f ca="1">-D26*N86</f>
        <v>0</v>
      </c>
      <c r="R88" s="41"/>
      <c r="S88" s="178">
        <f ca="1">(D26/$D$34)*$P$91</f>
        <v>0</v>
      </c>
    </row>
    <row r="89" spans="2:19">
      <c r="H89" s="41"/>
      <c r="L89" s="274"/>
      <c r="O89" s="97">
        <v>31</v>
      </c>
      <c r="P89" s="276">
        <f ca="1">-D30*N86</f>
        <v>0</v>
      </c>
      <c r="R89" s="41"/>
      <c r="S89" s="178">
        <f ca="1">(D30/$D$34)*$P$91</f>
        <v>0</v>
      </c>
    </row>
    <row r="90" spans="2:19">
      <c r="H90" s="41"/>
      <c r="O90" s="66" t="s">
        <v>322</v>
      </c>
      <c r="P90" s="276">
        <f ca="1">-D32*N86</f>
        <v>0</v>
      </c>
      <c r="R90" s="41"/>
      <c r="S90" s="178">
        <f ca="1">(D32/$D$34)*$P$91</f>
        <v>0</v>
      </c>
    </row>
    <row r="91" spans="2:19">
      <c r="H91" s="41"/>
      <c r="O91" s="97"/>
      <c r="P91" s="276">
        <f ca="1">SUM(P85:P90)</f>
        <v>0</v>
      </c>
      <c r="R91" s="41"/>
      <c r="S91" s="178">
        <f ca="1">SUM(S85:S90)</f>
        <v>0</v>
      </c>
    </row>
    <row r="92" spans="2:19">
      <c r="H92" s="41"/>
      <c r="O92" s="97"/>
      <c r="R92" s="41"/>
    </row>
    <row r="93" spans="2:19">
      <c r="H93" s="41"/>
      <c r="O93" s="97"/>
      <c r="R93" s="41"/>
    </row>
    <row r="94" spans="2:19">
      <c r="H94" s="41"/>
      <c r="O94" s="97"/>
      <c r="R94" s="41"/>
    </row>
    <row r="95" spans="2:19">
      <c r="H95" s="41"/>
      <c r="O95" s="97"/>
      <c r="R95" s="41"/>
    </row>
    <row r="96" spans="2:19">
      <c r="H96" s="41"/>
      <c r="O96" s="97"/>
      <c r="R96" s="41"/>
    </row>
    <row r="97" spans="8:18">
      <c r="H97" s="41"/>
      <c r="O97" s="97"/>
      <c r="R97" s="41"/>
    </row>
    <row r="98" spans="8:18">
      <c r="H98" s="41"/>
      <c r="O98" s="97"/>
      <c r="R98" s="41"/>
    </row>
    <row r="99" spans="8:18">
      <c r="H99" s="41"/>
      <c r="O99" s="97"/>
      <c r="R99" s="41"/>
    </row>
    <row r="100" spans="8:18">
      <c r="H100" s="41"/>
      <c r="O100" s="97"/>
      <c r="R100" s="41"/>
    </row>
    <row r="101" spans="8:18">
      <c r="H101" s="41"/>
      <c r="O101" s="97"/>
      <c r="R101" s="41"/>
    </row>
    <row r="102" spans="8:18">
      <c r="H102" s="41"/>
      <c r="O102" s="97"/>
      <c r="R102" s="41"/>
    </row>
    <row r="103" spans="8:18">
      <c r="H103" s="41"/>
      <c r="O103" s="97"/>
      <c r="R103" s="41"/>
    </row>
    <row r="104" spans="8:18">
      <c r="O104" s="97"/>
      <c r="R104" s="41"/>
    </row>
    <row r="105" spans="8:18">
      <c r="O105" s="97"/>
      <c r="R105" s="41"/>
    </row>
    <row r="106" spans="8:18">
      <c r="O106" s="97"/>
      <c r="R106" s="41"/>
    </row>
    <row r="107" spans="8:18">
      <c r="O107" s="97"/>
      <c r="R107" s="41"/>
    </row>
    <row r="108" spans="8:18">
      <c r="O108" s="97"/>
      <c r="R108" s="41"/>
    </row>
    <row r="109" spans="8:18">
      <c r="O109" s="97"/>
      <c r="R109" s="41"/>
    </row>
    <row r="110" spans="8:18">
      <c r="O110" s="97"/>
      <c r="R110" s="41"/>
    </row>
    <row r="111" spans="8:18">
      <c r="O111" s="97"/>
      <c r="R111" s="41"/>
    </row>
  </sheetData>
  <mergeCells count="6">
    <mergeCell ref="A5:S5"/>
    <mergeCell ref="V1:W3"/>
    <mergeCell ref="A1:S1"/>
    <mergeCell ref="A2:S2"/>
    <mergeCell ref="A3:S3"/>
    <mergeCell ref="A4:S4"/>
  </mergeCells>
  <phoneticPr fontId="0" type="noConversion"/>
  <conditionalFormatting sqref="D35:F35">
    <cfRule type="cellIs" dxfId="17" priority="1" stopIfTrue="1" operator="notEqual">
      <formula>0</formula>
    </cfRule>
  </conditionalFormatting>
  <pageMargins left="0.5" right="0.5" top="1" bottom="1" header="0.5" footer="0.5"/>
  <pageSetup scale="82" orientation="landscape" r:id="rId1"/>
  <headerFooter alignWithMargins="0">
    <oddHeader>&amp;RJDM-4</oddHeader>
    <oddFooter>&amp;RPage 1 of 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rgb="FF00B050"/>
    <pageSetUpPr fitToPage="1"/>
  </sheetPr>
  <dimension ref="A1:Y123"/>
  <sheetViews>
    <sheetView showGridLines="0" view="pageBreakPreview" zoomScale="115" zoomScaleNormal="85" zoomScaleSheetLayoutView="115" workbookViewId="0">
      <pane xSplit="3" ySplit="10" topLeftCell="D11" activePane="bottomRight" state="frozen"/>
      <selection activeCell="M469" sqref="M469"/>
      <selection pane="topRight" activeCell="M469" sqref="M469"/>
      <selection pane="bottomLeft" activeCell="M469" sqref="M469"/>
      <selection pane="bottomRight" activeCell="A121" sqref="A121"/>
    </sheetView>
  </sheetViews>
  <sheetFormatPr defaultColWidth="9.26953125" defaultRowHeight="13"/>
  <cols>
    <col min="1" max="1" width="11.81640625" style="41" customWidth="1"/>
    <col min="2" max="2" width="9.26953125" style="41"/>
    <col min="3" max="3" width="11.1796875" style="41" customWidth="1"/>
    <col min="4" max="4" width="10.26953125" style="41" customWidth="1"/>
    <col min="5" max="5" width="10.7265625" style="41" customWidth="1"/>
    <col min="6" max="6" width="10.26953125" style="41" customWidth="1"/>
    <col min="7" max="7" width="9.54296875" style="97" hidden="1" customWidth="1"/>
    <col min="8" max="8" width="10.26953125" style="41" hidden="1" customWidth="1"/>
    <col min="9" max="9" width="1.7265625" style="41" customWidth="1"/>
    <col min="10" max="10" width="11.7265625" style="97" customWidth="1"/>
    <col min="11" max="11" width="15.26953125" style="97" hidden="1" customWidth="1"/>
    <col min="12" max="12" width="11.26953125" style="97" customWidth="1"/>
    <col min="13" max="13" width="11.7265625" style="97" customWidth="1"/>
    <col min="14" max="14" width="13" style="97" customWidth="1"/>
    <col min="15" max="16" width="13.54296875" style="97" hidden="1" customWidth="1"/>
    <col min="17" max="17" width="17.54296875" style="97" hidden="1" customWidth="1"/>
    <col min="18" max="20" width="9.26953125" style="41"/>
    <col min="21" max="21" width="11.7265625" style="41" bestFit="1" customWidth="1"/>
    <col min="22" max="22" width="11.453125" style="41" bestFit="1" customWidth="1"/>
    <col min="23" max="23" width="10.26953125" style="41" bestFit="1" customWidth="1"/>
    <col min="24" max="24" width="14.54296875" style="41" bestFit="1" customWidth="1"/>
    <col min="25" max="25" width="9.26953125" style="41" bestFit="1" customWidth="1"/>
    <col min="26" max="16384" width="9.26953125" style="41"/>
  </cols>
  <sheetData>
    <row r="1" spans="1:25">
      <c r="A1" s="117" t="s">
        <v>78</v>
      </c>
      <c r="B1" s="254"/>
      <c r="C1" s="254"/>
      <c r="D1" s="254"/>
      <c r="E1" s="254"/>
      <c r="F1" s="254"/>
      <c r="G1" s="117"/>
      <c r="H1" s="254"/>
      <c r="I1" s="254"/>
      <c r="J1" s="117"/>
      <c r="K1" s="117"/>
      <c r="L1" s="117"/>
      <c r="M1" s="117"/>
      <c r="N1" s="117"/>
      <c r="O1" s="117"/>
      <c r="P1" s="117"/>
      <c r="Q1" s="117"/>
      <c r="S1" s="41" t="s">
        <v>316</v>
      </c>
    </row>
    <row r="2" spans="1:25">
      <c r="A2" s="117" t="s">
        <v>366</v>
      </c>
      <c r="B2" s="254"/>
      <c r="C2" s="254"/>
      <c r="D2" s="254"/>
      <c r="E2" s="254"/>
      <c r="F2" s="254"/>
      <c r="G2" s="117"/>
      <c r="H2" s="254"/>
      <c r="I2" s="254"/>
      <c r="J2" s="117"/>
      <c r="K2" s="117"/>
      <c r="L2" s="117"/>
      <c r="M2" s="117"/>
      <c r="N2" s="117"/>
      <c r="O2" s="117"/>
      <c r="P2" s="117"/>
      <c r="Q2" s="117"/>
    </row>
    <row r="3" spans="1:25">
      <c r="A3" s="117" t="s">
        <v>292</v>
      </c>
      <c r="B3" s="254"/>
      <c r="C3" s="254"/>
      <c r="D3" s="254"/>
      <c r="E3" s="254"/>
      <c r="F3" s="254"/>
      <c r="G3" s="117"/>
      <c r="H3" s="254"/>
      <c r="I3" s="254"/>
      <c r="J3" s="117"/>
      <c r="K3" s="117"/>
      <c r="L3" s="117"/>
      <c r="M3" s="117"/>
      <c r="N3" s="117"/>
      <c r="O3" s="117"/>
      <c r="P3" s="117"/>
      <c r="Q3" s="117"/>
    </row>
    <row r="4" spans="1:25">
      <c r="F4" s="42"/>
      <c r="H4" s="42"/>
    </row>
    <row r="5" spans="1:25" ht="18">
      <c r="A5" s="653" t="s">
        <v>1057</v>
      </c>
    </row>
    <row r="6" spans="1:25" ht="15.5">
      <c r="A6" s="334"/>
    </row>
    <row r="7" spans="1:25">
      <c r="D7" s="180"/>
      <c r="E7" s="180"/>
      <c r="F7" s="180"/>
      <c r="G7" s="42" t="s">
        <v>666</v>
      </c>
      <c r="H7" s="180"/>
      <c r="I7" s="180"/>
      <c r="J7" s="42" t="s">
        <v>293</v>
      </c>
      <c r="K7" s="42" t="s">
        <v>709</v>
      </c>
      <c r="L7" s="42" t="s">
        <v>1047</v>
      </c>
      <c r="M7" s="42" t="s">
        <v>259</v>
      </c>
      <c r="N7" s="42" t="s">
        <v>259</v>
      </c>
      <c r="O7" s="42" t="s">
        <v>477</v>
      </c>
      <c r="P7" s="42" t="s">
        <v>475</v>
      </c>
      <c r="Q7" s="42" t="s">
        <v>417</v>
      </c>
    </row>
    <row r="8" spans="1:25">
      <c r="D8" s="180" t="s">
        <v>200</v>
      </c>
      <c r="E8" s="180" t="s">
        <v>255</v>
      </c>
      <c r="F8" s="180" t="s">
        <v>294</v>
      </c>
      <c r="G8" s="42" t="s">
        <v>246</v>
      </c>
      <c r="H8" s="180" t="s">
        <v>647</v>
      </c>
      <c r="I8" s="180"/>
      <c r="J8" s="42" t="s">
        <v>295</v>
      </c>
      <c r="K8" s="42" t="s">
        <v>710</v>
      </c>
      <c r="L8" s="42" t="s">
        <v>1039</v>
      </c>
      <c r="M8" s="42" t="s">
        <v>296</v>
      </c>
      <c r="N8" s="42" t="s">
        <v>200</v>
      </c>
      <c r="O8" s="42" t="s">
        <v>478</v>
      </c>
      <c r="P8" s="42" t="s">
        <v>476</v>
      </c>
      <c r="Q8" s="42" t="s">
        <v>418</v>
      </c>
      <c r="X8" s="180"/>
    </row>
    <row r="9" spans="1:25">
      <c r="A9" s="706" t="s">
        <v>404</v>
      </c>
      <c r="B9" s="706"/>
      <c r="C9" s="706"/>
      <c r="D9" s="255" t="s">
        <v>297</v>
      </c>
      <c r="E9" s="255" t="s">
        <v>298</v>
      </c>
      <c r="F9" s="255" t="s">
        <v>299</v>
      </c>
      <c r="G9" s="118" t="s">
        <v>646</v>
      </c>
      <c r="H9" s="255" t="s">
        <v>299</v>
      </c>
      <c r="I9" s="255"/>
      <c r="J9" s="118" t="s">
        <v>479</v>
      </c>
      <c r="K9" s="118" t="s">
        <v>263</v>
      </c>
      <c r="L9" s="118" t="s">
        <v>295</v>
      </c>
      <c r="M9" s="118" t="s">
        <v>246</v>
      </c>
      <c r="N9" s="118" t="s">
        <v>246</v>
      </c>
      <c r="O9" s="118" t="s">
        <v>374</v>
      </c>
      <c r="P9" s="118" t="s">
        <v>263</v>
      </c>
      <c r="Q9" s="118" t="s">
        <v>422</v>
      </c>
      <c r="R9" s="232" t="s">
        <v>388</v>
      </c>
      <c r="S9" s="232"/>
      <c r="T9" s="180"/>
      <c r="U9" s="180" t="s">
        <v>255</v>
      </c>
      <c r="V9" s="180" t="s">
        <v>257</v>
      </c>
      <c r="W9" s="180" t="s">
        <v>259</v>
      </c>
      <c r="X9" s="180"/>
    </row>
    <row r="10" spans="1:25">
      <c r="B10" s="180" t="s">
        <v>264</v>
      </c>
      <c r="D10" s="180" t="s">
        <v>265</v>
      </c>
      <c r="E10" s="180" t="s">
        <v>266</v>
      </c>
      <c r="F10" s="180" t="s">
        <v>267</v>
      </c>
      <c r="G10" s="42" t="s">
        <v>268</v>
      </c>
      <c r="H10" s="180" t="s">
        <v>268</v>
      </c>
      <c r="I10" s="180"/>
      <c r="J10" s="42" t="s">
        <v>268</v>
      </c>
      <c r="K10" s="42" t="s">
        <v>269</v>
      </c>
      <c r="L10" s="42" t="s">
        <v>269</v>
      </c>
      <c r="M10" s="42" t="s">
        <v>270</v>
      </c>
      <c r="N10" s="42" t="s">
        <v>289</v>
      </c>
      <c r="O10" s="42" t="s">
        <v>289</v>
      </c>
      <c r="P10" s="42" t="s">
        <v>290</v>
      </c>
      <c r="Q10" s="42" t="s">
        <v>343</v>
      </c>
      <c r="R10" s="180" t="s">
        <v>254</v>
      </c>
      <c r="S10" s="180" t="s">
        <v>387</v>
      </c>
      <c r="T10" s="180"/>
      <c r="U10" s="180" t="s">
        <v>387</v>
      </c>
      <c r="V10" s="180" t="s">
        <v>254</v>
      </c>
      <c r="W10" s="180" t="s">
        <v>387</v>
      </c>
      <c r="X10" s="180"/>
    </row>
    <row r="11" spans="1:25">
      <c r="A11" s="172" t="s">
        <v>300</v>
      </c>
      <c r="U11" s="281"/>
    </row>
    <row r="12" spans="1:25">
      <c r="A12" s="41" t="s">
        <v>237</v>
      </c>
      <c r="D12" s="178">
        <f>'Rate Design'!D4</f>
        <v>9</v>
      </c>
      <c r="E12" s="177">
        <f>F12-D12</f>
        <v>0</v>
      </c>
      <c r="F12" s="178">
        <f>'Rate Design'!D14</f>
        <v>9</v>
      </c>
      <c r="G12" s="173"/>
      <c r="H12" s="178"/>
      <c r="J12" s="173">
        <f>IF(ROUND(M12-F12,5)&lt;&gt;ROUND(N12-D12,5),#VALUE!,N12-D12)</f>
        <v>6</v>
      </c>
      <c r="K12" s="173"/>
      <c r="L12" s="173"/>
      <c r="M12" s="173">
        <f>'Rate Design'!D36</f>
        <v>15</v>
      </c>
      <c r="N12" s="173">
        <f>'Rate Design'!D26</f>
        <v>15</v>
      </c>
      <c r="O12" s="173"/>
      <c r="P12" s="173"/>
      <c r="Q12" s="173">
        <f>N12</f>
        <v>15</v>
      </c>
      <c r="R12" s="256">
        <f>J12/D12</f>
        <v>0.66666666666666663</v>
      </c>
      <c r="S12" s="256">
        <f>J12/F12</f>
        <v>0.66666666666666663</v>
      </c>
      <c r="T12" s="256"/>
      <c r="U12" s="282"/>
      <c r="V12" s="282"/>
      <c r="X12" s="298"/>
      <c r="Y12" s="298"/>
    </row>
    <row r="13" spans="1:25">
      <c r="A13" s="41" t="s">
        <v>301</v>
      </c>
      <c r="U13" s="282"/>
      <c r="V13" s="282"/>
      <c r="X13" s="298"/>
      <c r="Y13" s="298"/>
    </row>
    <row r="14" spans="1:25">
      <c r="A14" s="240" t="str">
        <f>"First "&amp;TEXT('Rate Design'!Q5,"#,##0")&amp;" kWhs"</f>
        <v>First 800 kWhs</v>
      </c>
      <c r="D14" s="176">
        <f>'Rate Design'!D5/100</f>
        <v>9.0670000000000001E-2</v>
      </c>
      <c r="E14" s="176">
        <f>F14-D14</f>
        <v>2.9000000000001247E-4</v>
      </c>
      <c r="F14" s="176">
        <f>'Rate Design'!D15/100</f>
        <v>9.0960000000000013E-2</v>
      </c>
      <c r="G14" s="257"/>
      <c r="H14" s="176">
        <f>F14+G14</f>
        <v>9.0960000000000013E-2</v>
      </c>
      <c r="I14" s="176"/>
      <c r="J14" s="174">
        <f>N14-D14</f>
        <v>7.1500000000000036E-3</v>
      </c>
      <c r="K14" s="174">
        <v>0</v>
      </c>
      <c r="L14" s="174">
        <v>0</v>
      </c>
      <c r="M14" s="174">
        <f>F14+J14+K14+L14</f>
        <v>9.8110000000000017E-2</v>
      </c>
      <c r="N14" s="257">
        <f>'Rate Design'!D27/100</f>
        <v>9.7820000000000004E-2</v>
      </c>
      <c r="O14" s="257" t="e">
        <f>#REF!</f>
        <v>#REF!</v>
      </c>
      <c r="P14" s="257">
        <f>0.00164+0.00083</f>
        <v>2.47E-3</v>
      </c>
      <c r="Q14" s="257" t="e">
        <f>M14+O14+P14</f>
        <v>#REF!</v>
      </c>
      <c r="R14" s="256">
        <f>J14/D14</f>
        <v>7.8857394948715159E-2</v>
      </c>
      <c r="S14" s="256">
        <f>(J14+L14)/F14</f>
        <v>7.8605980650835558E-2</v>
      </c>
      <c r="U14" s="176">
        <f>D14+E14-F14</f>
        <v>0</v>
      </c>
      <c r="V14" s="176">
        <f>D14+J14-N14</f>
        <v>0</v>
      </c>
      <c r="W14" s="176">
        <f>F14+G14+J14+K14+L14-M14</f>
        <v>0</v>
      </c>
      <c r="X14" s="298"/>
      <c r="Y14" s="298"/>
    </row>
    <row r="15" spans="1:25">
      <c r="A15" s="240" t="str">
        <f>TEXT('Rate Design'!Q5,"#,##0")&amp;" - "&amp;TEXT('Rate Design'!Q6,"#,##0")&amp;" kWhs"</f>
        <v>800 - 1,500 kWhs</v>
      </c>
      <c r="D15" s="176">
        <f>'Rate Design'!D6/100</f>
        <v>0.10653</v>
      </c>
      <c r="E15" s="176">
        <f>F15-D15</f>
        <v>2.9000000000004023E-4</v>
      </c>
      <c r="F15" s="176">
        <f>'Rate Design'!D16/100</f>
        <v>0.10682000000000004</v>
      </c>
      <c r="G15" s="257"/>
      <c r="H15" s="176">
        <f>F15+G15</f>
        <v>0.10682000000000004</v>
      </c>
      <c r="I15" s="176"/>
      <c r="J15" s="174">
        <f>N15-D15</f>
        <v>8.4000000000000047E-3</v>
      </c>
      <c r="K15" s="174">
        <f>K14</f>
        <v>0</v>
      </c>
      <c r="L15" s="174">
        <v>0</v>
      </c>
      <c r="M15" s="174">
        <f t="shared" ref="M15" si="0">F15+J15+K15+L15</f>
        <v>0.11522000000000004</v>
      </c>
      <c r="N15" s="257">
        <f>'Rate Design'!D28/100</f>
        <v>0.11493</v>
      </c>
      <c r="O15" s="257" t="e">
        <f>O14</f>
        <v>#REF!</v>
      </c>
      <c r="P15" s="257">
        <f>P14</f>
        <v>2.47E-3</v>
      </c>
      <c r="Q15" s="257" t="e">
        <f>M15+O15</f>
        <v>#REF!</v>
      </c>
      <c r="R15" s="256">
        <f>J15/D15</f>
        <v>7.8851027879470612E-2</v>
      </c>
      <c r="S15" s="256">
        <f t="shared" ref="S15:S16" si="1">(J15+L15)/F15</f>
        <v>7.8636959370904341E-2</v>
      </c>
      <c r="U15" s="176">
        <f>D15+E15-F15</f>
        <v>0</v>
      </c>
      <c r="V15" s="176">
        <f>D15+J15-N15</f>
        <v>0</v>
      </c>
      <c r="W15" s="176">
        <f>F15+G15+J15+K15+L15-M15</f>
        <v>0</v>
      </c>
      <c r="X15" s="298"/>
      <c r="Y15" s="298"/>
    </row>
    <row r="16" spans="1:25">
      <c r="A16" s="240" t="str">
        <f>"All over "&amp;TEXT('Rate Design'!Q6,"#,##0")&amp;" kWhs"</f>
        <v>All over 1,500 kWhs</v>
      </c>
      <c r="D16" s="176">
        <f>'Rate Design'!D7/100</f>
        <v>0.12606000000000001</v>
      </c>
      <c r="E16" s="176">
        <f>F16-D16</f>
        <v>2.9000000000004023E-4</v>
      </c>
      <c r="F16" s="176">
        <f>'Rate Design'!D17/100</f>
        <v>0.12635000000000005</v>
      </c>
      <c r="G16" s="257"/>
      <c r="H16" s="176">
        <f>F16+G16</f>
        <v>0.12635000000000005</v>
      </c>
      <c r="I16" s="176"/>
      <c r="J16" s="174">
        <f>N16-D16</f>
        <v>9.9400000000000044E-3</v>
      </c>
      <c r="K16" s="174">
        <f>K14</f>
        <v>0</v>
      </c>
      <c r="L16" s="174">
        <v>0</v>
      </c>
      <c r="M16" s="174">
        <f>F16+J16+K16+L16</f>
        <v>0.13629000000000005</v>
      </c>
      <c r="N16" s="257">
        <f>'Rate Design'!D29/100</f>
        <v>0.13600000000000001</v>
      </c>
      <c r="O16" s="257" t="e">
        <f>O14</f>
        <v>#REF!</v>
      </c>
      <c r="P16" s="257">
        <f>P14</f>
        <v>2.47E-3</v>
      </c>
      <c r="Q16" s="257" t="e">
        <f>M16+O16</f>
        <v>#REF!</v>
      </c>
      <c r="R16" s="256">
        <f>J16/D16</f>
        <v>7.8851340631445374E-2</v>
      </c>
      <c r="S16" s="256">
        <f t="shared" si="1"/>
        <v>7.8670360110803333E-2</v>
      </c>
      <c r="U16" s="176">
        <f>D16+E16-F16</f>
        <v>0</v>
      </c>
      <c r="V16" s="176">
        <f>D16+J16-N16</f>
        <v>0</v>
      </c>
      <c r="W16" s="176">
        <f>F16+G16+J16+K16+L16-M16</f>
        <v>0</v>
      </c>
      <c r="X16" s="298"/>
      <c r="Y16" s="298"/>
    </row>
    <row r="17" spans="1:25">
      <c r="D17" s="176"/>
      <c r="E17" s="176"/>
      <c r="F17" s="176"/>
      <c r="G17" s="174"/>
      <c r="H17" s="176"/>
      <c r="I17" s="176"/>
      <c r="J17" s="174"/>
      <c r="K17" s="174"/>
      <c r="L17" s="174"/>
      <c r="M17" s="174"/>
      <c r="U17" s="176"/>
      <c r="V17" s="176"/>
      <c r="W17" s="176"/>
      <c r="X17" s="298"/>
      <c r="Y17" s="298"/>
    </row>
    <row r="18" spans="1:25">
      <c r="A18" s="172" t="s">
        <v>1042</v>
      </c>
      <c r="U18" s="281"/>
      <c r="X18" s="298"/>
      <c r="Y18" s="298"/>
    </row>
    <row r="19" spans="1:25">
      <c r="A19" s="41" t="s">
        <v>237</v>
      </c>
      <c r="D19" s="178">
        <f>D12</f>
        <v>9</v>
      </c>
      <c r="E19" s="177">
        <f>F19-D19</f>
        <v>0</v>
      </c>
      <c r="F19" s="178">
        <f>F12</f>
        <v>9</v>
      </c>
      <c r="G19" s="173"/>
      <c r="H19" s="178"/>
      <c r="J19" s="173">
        <f>IF(ROUND(M19-F19,5)&lt;&gt;ROUND(N19-D19,5),#VALUE!,N19-D19)</f>
        <v>6</v>
      </c>
      <c r="K19" s="173"/>
      <c r="L19" s="173"/>
      <c r="M19" s="173">
        <f>M12</f>
        <v>15</v>
      </c>
      <c r="N19" s="173">
        <f>N12</f>
        <v>15</v>
      </c>
      <c r="O19" s="173"/>
      <c r="P19" s="173"/>
      <c r="Q19" s="173">
        <f>N19</f>
        <v>15</v>
      </c>
      <c r="R19" s="256">
        <f>J19/D19</f>
        <v>0.66666666666666663</v>
      </c>
      <c r="S19" s="256">
        <f>J19/F19</f>
        <v>0.66666666666666663</v>
      </c>
      <c r="T19" s="256"/>
      <c r="U19" s="282"/>
      <c r="V19" s="282"/>
      <c r="X19" s="298"/>
      <c r="Y19" s="298"/>
    </row>
    <row r="20" spans="1:25">
      <c r="A20" s="41" t="s">
        <v>301</v>
      </c>
      <c r="U20" s="282"/>
      <c r="V20" s="282"/>
      <c r="X20" s="298"/>
      <c r="Y20" s="298"/>
    </row>
    <row r="21" spans="1:25">
      <c r="A21" s="240" t="s">
        <v>773</v>
      </c>
      <c r="D21" s="176">
        <v>0.22408</v>
      </c>
      <c r="E21" s="176">
        <f>E14</f>
        <v>2.9000000000001247E-4</v>
      </c>
      <c r="F21" s="176">
        <f>D21+E21</f>
        <v>0.22437000000000001</v>
      </c>
      <c r="G21" s="257"/>
      <c r="H21" s="176">
        <f>F21+G21</f>
        <v>0.22437000000000001</v>
      </c>
      <c r="I21" s="176"/>
      <c r="J21" s="174">
        <f>N21-D21</f>
        <v>1.7670365060108106E-2</v>
      </c>
      <c r="K21" s="174">
        <v>0</v>
      </c>
      <c r="L21" s="174">
        <v>0</v>
      </c>
      <c r="M21" s="174">
        <f>F21+J21+K21+L21</f>
        <v>0.24204036506010812</v>
      </c>
      <c r="N21" s="257">
        <f>D21*(1+R14)</f>
        <v>0.24175036506010811</v>
      </c>
      <c r="O21" s="257" t="e">
        <f>#REF!</f>
        <v>#REF!</v>
      </c>
      <c r="P21" s="257">
        <f>0.00164+0.00083</f>
        <v>2.47E-3</v>
      </c>
      <c r="Q21" s="257" t="e">
        <f>M21+O21+P21</f>
        <v>#REF!</v>
      </c>
      <c r="R21" s="256">
        <f>J21/D21</f>
        <v>7.8857394948715215E-2</v>
      </c>
      <c r="S21" s="256">
        <f>(J21+L21)/F21</f>
        <v>7.8755471141900013E-2</v>
      </c>
      <c r="U21" s="176">
        <f>D21+E21-F21</f>
        <v>0</v>
      </c>
      <c r="V21" s="176">
        <f>D21+J21-N21</f>
        <v>0</v>
      </c>
      <c r="W21" s="176">
        <f>F21+G21+J21+K21+L21-M21</f>
        <v>0</v>
      </c>
      <c r="X21" s="298"/>
      <c r="Y21" s="298"/>
    </row>
    <row r="22" spans="1:25">
      <c r="A22" s="240" t="s">
        <v>774</v>
      </c>
      <c r="D22" s="176">
        <v>6.5860000000000002E-2</v>
      </c>
      <c r="E22" s="176">
        <f>E14</f>
        <v>2.9000000000001247E-4</v>
      </c>
      <c r="F22" s="176">
        <f>D22+E22</f>
        <v>6.6150000000000014E-2</v>
      </c>
      <c r="G22" s="257"/>
      <c r="H22" s="176">
        <f>F22+G22</f>
        <v>6.6150000000000014E-2</v>
      </c>
      <c r="I22" s="176"/>
      <c r="J22" s="174">
        <f>N22-D22</f>
        <v>5.1931286961419271E-3</v>
      </c>
      <c r="K22" s="174">
        <f>K21</f>
        <v>0</v>
      </c>
      <c r="L22" s="174">
        <v>0</v>
      </c>
      <c r="M22" s="174">
        <f t="shared" ref="M22" si="2">F22+J22+K22+L22</f>
        <v>7.1343128696141941E-2</v>
      </c>
      <c r="N22" s="257">
        <f>D22*(1+R15)</f>
        <v>7.1053128696141929E-2</v>
      </c>
      <c r="O22" s="257" t="e">
        <f>O21</f>
        <v>#REF!</v>
      </c>
      <c r="P22" s="257">
        <f>P21</f>
        <v>2.47E-3</v>
      </c>
      <c r="Q22" s="257" t="e">
        <f>M22+O22</f>
        <v>#REF!</v>
      </c>
      <c r="R22" s="256">
        <f>J22/D22</f>
        <v>7.8851027879470501E-2</v>
      </c>
      <c r="S22" s="256">
        <f t="shared" ref="S22" si="3">(J22+L22)/F22</f>
        <v>7.8505346880452395E-2</v>
      </c>
      <c r="U22" s="176">
        <f>D22+E22-F22</f>
        <v>0</v>
      </c>
      <c r="V22" s="176">
        <f>D22+J22-N22</f>
        <v>0</v>
      </c>
      <c r="W22" s="176">
        <f>F22+G22+J22+K22+L22-M22</f>
        <v>0</v>
      </c>
      <c r="X22" s="298"/>
      <c r="Y22" s="298"/>
    </row>
    <row r="23" spans="1:25">
      <c r="A23" s="240"/>
      <c r="D23" s="176"/>
      <c r="E23" s="176"/>
      <c r="F23" s="176"/>
      <c r="G23" s="257"/>
      <c r="H23" s="176"/>
      <c r="I23" s="176"/>
      <c r="J23" s="174"/>
      <c r="K23" s="174"/>
      <c r="L23" s="174"/>
      <c r="M23" s="174"/>
      <c r="N23" s="257"/>
      <c r="O23" s="257"/>
      <c r="P23" s="257"/>
      <c r="Q23" s="257"/>
      <c r="R23" s="256"/>
      <c r="S23" s="256"/>
      <c r="U23" s="176"/>
      <c r="V23" s="176"/>
      <c r="W23" s="176"/>
      <c r="X23" s="298"/>
      <c r="Y23" s="298"/>
    </row>
    <row r="24" spans="1:25">
      <c r="A24" s="172" t="s">
        <v>1044</v>
      </c>
      <c r="U24" s="281"/>
      <c r="X24" s="298"/>
      <c r="Y24" s="298"/>
    </row>
    <row r="25" spans="1:25">
      <c r="A25" s="41" t="s">
        <v>237</v>
      </c>
      <c r="D25" s="178">
        <f>D12</f>
        <v>9</v>
      </c>
      <c r="E25" s="177">
        <f>F25-D25</f>
        <v>0</v>
      </c>
      <c r="F25" s="178">
        <f>F12</f>
        <v>9</v>
      </c>
      <c r="G25" s="173"/>
      <c r="H25" s="178"/>
      <c r="J25" s="173">
        <f>IF(ROUND(M25-F25,5)&lt;&gt;ROUND(N25-D25,5),#VALUE!,N25-D25)</f>
        <v>6</v>
      </c>
      <c r="K25" s="173"/>
      <c r="L25" s="173"/>
      <c r="M25" s="173">
        <f>M12</f>
        <v>15</v>
      </c>
      <c r="N25" s="173">
        <f>N12</f>
        <v>15</v>
      </c>
      <c r="O25" s="173"/>
      <c r="P25" s="173"/>
      <c r="Q25" s="173">
        <f>N25</f>
        <v>15</v>
      </c>
      <c r="R25" s="256">
        <f>J25/D25</f>
        <v>0.66666666666666663</v>
      </c>
      <c r="S25" s="256">
        <f>J25/F25</f>
        <v>0.66666666666666663</v>
      </c>
      <c r="T25" s="256"/>
      <c r="U25" s="282"/>
      <c r="V25" s="282"/>
      <c r="X25" s="298"/>
      <c r="Y25" s="298"/>
    </row>
    <row r="26" spans="1:25">
      <c r="A26" s="41" t="s">
        <v>301</v>
      </c>
      <c r="U26" s="282"/>
      <c r="V26" s="282"/>
      <c r="X26" s="298"/>
      <c r="Y26" s="298"/>
    </row>
    <row r="27" spans="1:25">
      <c r="A27" s="240" t="s">
        <v>773</v>
      </c>
      <c r="D27" s="176">
        <v>0.18310000000000001</v>
      </c>
      <c r="E27" s="176">
        <f>E14</f>
        <v>2.9000000000001247E-4</v>
      </c>
      <c r="F27" s="176">
        <f>D27+E27</f>
        <v>0.18339000000000003</v>
      </c>
      <c r="G27" s="257"/>
      <c r="H27" s="176">
        <f>F27+G27</f>
        <v>0.18339000000000003</v>
      </c>
      <c r="I27" s="176"/>
      <c r="J27" s="174">
        <f>N27-D27</f>
        <v>1.4438789015109754E-2</v>
      </c>
      <c r="K27" s="174">
        <v>0</v>
      </c>
      <c r="L27" s="174">
        <v>0</v>
      </c>
      <c r="M27" s="174">
        <f>F27+J27+K27+L27</f>
        <v>0.19782878901510978</v>
      </c>
      <c r="N27" s="257">
        <f>D27*(1+R14)</f>
        <v>0.19753878901510977</v>
      </c>
      <c r="O27" s="257" t="e">
        <f>#REF!</f>
        <v>#REF!</v>
      </c>
      <c r="P27" s="257">
        <f>0.00164+0.00083</f>
        <v>2.47E-3</v>
      </c>
      <c r="Q27" s="257" t="e">
        <f>M27+O27+P27</f>
        <v>#REF!</v>
      </c>
      <c r="R27" s="256">
        <f>J27/D27</f>
        <v>7.8857394948715201E-2</v>
      </c>
      <c r="S27" s="256">
        <f>(J27+L27)/F27</f>
        <v>7.8732695431101757E-2</v>
      </c>
      <c r="U27" s="176">
        <f>D27+E27-F27</f>
        <v>0</v>
      </c>
      <c r="V27" s="176">
        <f>D27+J27-N27</f>
        <v>0</v>
      </c>
      <c r="W27" s="176">
        <f>F27+G27+J27+K27+L27-M27</f>
        <v>0</v>
      </c>
      <c r="X27" s="298"/>
      <c r="Y27" s="298"/>
    </row>
    <row r="28" spans="1:25">
      <c r="A28" s="240" t="s">
        <v>774</v>
      </c>
      <c r="D28" s="176">
        <v>6.5860000000000002E-2</v>
      </c>
      <c r="E28" s="176">
        <f t="shared" ref="E28:E29" si="4">E15</f>
        <v>2.9000000000004023E-4</v>
      </c>
      <c r="F28" s="176">
        <f>D28+E28</f>
        <v>6.6150000000000042E-2</v>
      </c>
      <c r="G28" s="257"/>
      <c r="H28" s="176">
        <f>F28+G28</f>
        <v>6.6150000000000042E-2</v>
      </c>
      <c r="I28" s="176"/>
      <c r="J28" s="174">
        <f>N28-D28</f>
        <v>5.1931286961419271E-3</v>
      </c>
      <c r="K28" s="174">
        <f>K27</f>
        <v>0</v>
      </c>
      <c r="L28" s="174">
        <v>0</v>
      </c>
      <c r="M28" s="174">
        <f t="shared" ref="M28" si="5">F28+J28+K28+L28</f>
        <v>7.1343128696141969E-2</v>
      </c>
      <c r="N28" s="257">
        <f t="shared" ref="N28:N29" si="6">D28*(1+R15)</f>
        <v>7.1053128696141929E-2</v>
      </c>
      <c r="O28" s="257" t="e">
        <f>O27</f>
        <v>#REF!</v>
      </c>
      <c r="P28" s="257">
        <f>P27</f>
        <v>2.47E-3</v>
      </c>
      <c r="Q28" s="257" t="e">
        <f>M28+O28</f>
        <v>#REF!</v>
      </c>
      <c r="R28" s="256">
        <f>J28/D28</f>
        <v>7.8851027879470501E-2</v>
      </c>
      <c r="S28" s="256">
        <f t="shared" ref="S28" si="7">(J28+L28)/F28</f>
        <v>7.8505346880452367E-2</v>
      </c>
      <c r="U28" s="176">
        <f>D28+E28-F28</f>
        <v>0</v>
      </c>
      <c r="V28" s="176">
        <f>D28+J28-N28</f>
        <v>0</v>
      </c>
      <c r="W28" s="176">
        <f>F28+G28+J28+K28+L28-M28</f>
        <v>0</v>
      </c>
      <c r="X28" s="298"/>
      <c r="Y28" s="298"/>
    </row>
    <row r="29" spans="1:25">
      <c r="A29" s="240" t="s">
        <v>1043</v>
      </c>
      <c r="D29" s="176">
        <v>4.3909999999999998E-2</v>
      </c>
      <c r="E29" s="176">
        <f t="shared" si="4"/>
        <v>2.9000000000004023E-4</v>
      </c>
      <c r="F29" s="176">
        <f>D29+E29</f>
        <v>4.4200000000000038E-2</v>
      </c>
      <c r="G29" s="257"/>
      <c r="H29" s="176">
        <f>F29+G29</f>
        <v>4.4200000000000038E-2</v>
      </c>
      <c r="I29" s="176"/>
      <c r="J29" s="174">
        <f>N29-D29</f>
        <v>3.4623623671267631E-3</v>
      </c>
      <c r="K29" s="174">
        <f>K28</f>
        <v>0</v>
      </c>
      <c r="L29" s="174">
        <v>0</v>
      </c>
      <c r="M29" s="174">
        <f>F29+J29+K29+L29</f>
        <v>4.7662362367126801E-2</v>
      </c>
      <c r="N29" s="257">
        <f t="shared" si="6"/>
        <v>4.7372362367126761E-2</v>
      </c>
      <c r="O29" s="257"/>
      <c r="P29" s="257"/>
      <c r="Q29" s="257"/>
      <c r="R29" s="256">
        <f>J29/D29</f>
        <v>7.8851340631445305E-2</v>
      </c>
      <c r="S29" s="256">
        <f t="shared" ref="S29" si="8">(J29+L29)/F29</f>
        <v>7.8333990206487791E-2</v>
      </c>
      <c r="U29" s="176">
        <f>D29+E29-F29</f>
        <v>0</v>
      </c>
      <c r="V29" s="176">
        <f>D29+J29-N29</f>
        <v>0</v>
      </c>
      <c r="W29" s="176">
        <f>F29+G29+J29+K29+L29-M29</f>
        <v>0</v>
      </c>
      <c r="X29" s="298"/>
      <c r="Y29" s="298"/>
    </row>
    <row r="30" spans="1:25">
      <c r="A30" s="240"/>
      <c r="D30" s="176"/>
      <c r="E30" s="176"/>
      <c r="F30" s="176"/>
      <c r="G30" s="257"/>
      <c r="H30" s="176"/>
      <c r="I30" s="176"/>
      <c r="J30" s="174"/>
      <c r="K30" s="174"/>
      <c r="L30" s="174"/>
      <c r="M30" s="174"/>
      <c r="N30" s="257"/>
      <c r="O30" s="257"/>
      <c r="P30" s="257"/>
      <c r="Q30" s="257"/>
      <c r="R30" s="256"/>
      <c r="S30" s="256"/>
      <c r="U30" s="176"/>
      <c r="V30" s="176"/>
      <c r="W30" s="176"/>
      <c r="X30" s="298"/>
      <c r="Y30" s="298"/>
    </row>
    <row r="31" spans="1:25">
      <c r="A31" s="172" t="s">
        <v>302</v>
      </c>
      <c r="K31" s="174"/>
      <c r="U31" s="176"/>
      <c r="V31" s="176"/>
      <c r="W31" s="176"/>
      <c r="X31" s="298"/>
      <c r="Y31" s="298"/>
    </row>
    <row r="32" spans="1:25">
      <c r="A32" s="41" t="s">
        <v>237</v>
      </c>
      <c r="D32" s="178">
        <f>'Rate Design'!E4</f>
        <v>21</v>
      </c>
      <c r="E32" s="177">
        <f>F32-D32</f>
        <v>0</v>
      </c>
      <c r="F32" s="178">
        <f>'Rate Design'!E14</f>
        <v>21</v>
      </c>
      <c r="G32" s="173"/>
      <c r="H32" s="178"/>
      <c r="J32" s="173">
        <f>IF(ROUND(M32-F32,5)&lt;&gt;ROUND(N32-D32,5),#VALUE!,N32-D32)</f>
        <v>4</v>
      </c>
      <c r="K32" s="174"/>
      <c r="L32" s="173"/>
      <c r="M32" s="173">
        <f>'Rate Design'!E36</f>
        <v>25</v>
      </c>
      <c r="N32" s="173">
        <f>'Rate Design'!E26</f>
        <v>25</v>
      </c>
      <c r="O32" s="173"/>
      <c r="P32" s="173"/>
      <c r="Q32" s="173">
        <f>N32</f>
        <v>25</v>
      </c>
      <c r="R32" s="256">
        <f>J32/D32</f>
        <v>0.19047619047619047</v>
      </c>
      <c r="S32" s="256">
        <f>J32/F32</f>
        <v>0.19047619047619047</v>
      </c>
      <c r="U32" s="176"/>
      <c r="V32" s="176"/>
      <c r="W32" s="176"/>
      <c r="X32" s="298"/>
      <c r="Y32" s="298"/>
    </row>
    <row r="33" spans="1:25">
      <c r="A33" s="41" t="s">
        <v>301</v>
      </c>
      <c r="K33" s="174"/>
      <c r="U33" s="176"/>
      <c r="V33" s="176"/>
      <c r="W33" s="176"/>
      <c r="X33" s="298"/>
      <c r="Y33" s="298"/>
    </row>
    <row r="34" spans="1:25">
      <c r="A34" s="240" t="str">
        <f>"First "&amp;TEXT('Rate Design'!R5,"#,##0")&amp;" kWhs"</f>
        <v>First 3,650 kWhs</v>
      </c>
      <c r="D34" s="176">
        <f>'Rate Design'!E5/100</f>
        <v>0.12385</v>
      </c>
      <c r="E34" s="176">
        <f>F34-D34</f>
        <v>1.3930000000000012E-2</v>
      </c>
      <c r="F34" s="176">
        <f>'Rate Design'!E15/100</f>
        <v>0.13778000000000001</v>
      </c>
      <c r="G34" s="174"/>
      <c r="H34" s="176">
        <f>F34+G34</f>
        <v>0.13778000000000001</v>
      </c>
      <c r="I34" s="176"/>
      <c r="J34" s="174">
        <f>N34-D34</f>
        <v>1.4849999999999988E-2</v>
      </c>
      <c r="K34" s="174">
        <v>0</v>
      </c>
      <c r="L34" s="174">
        <v>0</v>
      </c>
      <c r="M34" s="174">
        <f>F34+J34+K34+L34</f>
        <v>0.15262999999999999</v>
      </c>
      <c r="N34" s="257">
        <f>'Rate Design'!E27/100</f>
        <v>0.13869999999999999</v>
      </c>
      <c r="O34" s="257" t="e">
        <f>O14</f>
        <v>#REF!</v>
      </c>
      <c r="P34" s="257">
        <f>P14</f>
        <v>2.47E-3</v>
      </c>
      <c r="Q34" s="257" t="e">
        <f>M34+O34</f>
        <v>#REF!</v>
      </c>
      <c r="R34" s="256">
        <f>J34/D34</f>
        <v>0.11990310859911173</v>
      </c>
      <c r="S34" s="256">
        <f>(J34+L34)/F34</f>
        <v>0.1077805196690375</v>
      </c>
      <c r="U34" s="176">
        <f>D34+E34-F34</f>
        <v>0</v>
      </c>
      <c r="V34" s="176">
        <f>D34+J34-N34</f>
        <v>0</v>
      </c>
      <c r="W34" s="176">
        <f>F34+G34+J34+K34+L34-M34</f>
        <v>0</v>
      </c>
      <c r="X34" s="298"/>
      <c r="Y34" s="298"/>
    </row>
    <row r="35" spans="1:25">
      <c r="A35" s="240" t="str">
        <f>"All over "&amp;TEXT('Rate Design'!R5,"#,##0")&amp;" kWhs"</f>
        <v>All over 3,650 kWhs</v>
      </c>
      <c r="D35" s="176">
        <f>'Rate Design'!E6/100</f>
        <v>9.0150000000000008E-2</v>
      </c>
      <c r="E35" s="176">
        <f>F35-D35</f>
        <v>1.3930000000000026E-2</v>
      </c>
      <c r="F35" s="176">
        <f>'Rate Design'!E16/100</f>
        <v>0.10408000000000003</v>
      </c>
      <c r="G35" s="174"/>
      <c r="H35" s="176">
        <f>F35+G35</f>
        <v>0.10408000000000003</v>
      </c>
      <c r="I35" s="176"/>
      <c r="J35" s="174">
        <f>N35-D35</f>
        <v>1.0809999999999986E-2</v>
      </c>
      <c r="K35" s="174">
        <f>K34</f>
        <v>0</v>
      </c>
      <c r="L35" s="174">
        <v>0</v>
      </c>
      <c r="M35" s="174">
        <f>F35+J35+K35+L35</f>
        <v>0.11489000000000002</v>
      </c>
      <c r="N35" s="257">
        <f>'Rate Design'!E28/100</f>
        <v>0.10095999999999999</v>
      </c>
      <c r="O35" s="257" t="e">
        <f>O34</f>
        <v>#REF!</v>
      </c>
      <c r="P35" s="257">
        <f>P34</f>
        <v>2.47E-3</v>
      </c>
      <c r="Q35" s="257" t="e">
        <f>M35+O35</f>
        <v>#REF!</v>
      </c>
      <c r="R35" s="256">
        <f>J35/D35</f>
        <v>0.11991125901275636</v>
      </c>
      <c r="S35" s="256">
        <f>(J35+L35)/F35</f>
        <v>0.10386241352805518</v>
      </c>
      <c r="U35" s="176">
        <f>D35+E35-F35</f>
        <v>0</v>
      </c>
      <c r="V35" s="176">
        <f>D35+J35-N35</f>
        <v>0</v>
      </c>
      <c r="W35" s="176">
        <f>F35+G35+J35+K35+L35-M35</f>
        <v>0</v>
      </c>
      <c r="X35" s="298"/>
      <c r="Y35" s="298"/>
    </row>
    <row r="36" spans="1:25">
      <c r="A36" s="41" t="s">
        <v>303</v>
      </c>
      <c r="K36" s="174"/>
      <c r="U36" s="176"/>
      <c r="V36" s="176"/>
      <c r="W36" s="176"/>
      <c r="X36" s="298"/>
      <c r="Y36" s="298"/>
    </row>
    <row r="37" spans="1:25">
      <c r="A37" s="240" t="str">
        <f>TEXT('Rate Design'!R10,"#,##0")&amp;" kW or less"</f>
        <v>20 kW or less</v>
      </c>
      <c r="D37" s="181" t="s">
        <v>304</v>
      </c>
      <c r="E37" s="180"/>
      <c r="F37" s="181" t="s">
        <v>304</v>
      </c>
      <c r="H37" s="181"/>
      <c r="J37" s="66" t="s">
        <v>304</v>
      </c>
      <c r="K37" s="310"/>
      <c r="N37" s="66" t="s">
        <v>304</v>
      </c>
      <c r="O37" s="66"/>
      <c r="P37" s="66"/>
      <c r="Q37" s="66" t="s">
        <v>304</v>
      </c>
      <c r="U37" s="176"/>
      <c r="V37" s="176"/>
      <c r="W37" s="176"/>
      <c r="X37" s="298"/>
      <c r="Y37" s="298"/>
    </row>
    <row r="38" spans="1:25" ht="12.5">
      <c r="A38" s="240" t="str">
        <f>"Over "&amp;TEXT('Rate Design'!R10,"#,##0")&amp;" kW"</f>
        <v>Over 20 kW</v>
      </c>
      <c r="D38" s="179">
        <f>'Rate Design'!E10</f>
        <v>7.5</v>
      </c>
      <c r="E38" s="179">
        <f>F38-D38</f>
        <v>0</v>
      </c>
      <c r="F38" s="179">
        <f>'Rate Design'!E20</f>
        <v>7.5</v>
      </c>
      <c r="G38" s="179"/>
      <c r="H38" s="179"/>
      <c r="J38" s="179">
        <f>IF(ROUND(M38-F38,5)&lt;&gt;ROUND(N38-D38,5),#VALUE!,N38-D38)</f>
        <v>1.5</v>
      </c>
      <c r="K38" s="311"/>
      <c r="L38" s="179"/>
      <c r="M38" s="179">
        <f>'Rate Design'!E42</f>
        <v>9</v>
      </c>
      <c r="N38" s="179">
        <f>'Rate Design'!E32</f>
        <v>9</v>
      </c>
      <c r="O38" s="179"/>
      <c r="P38" s="179"/>
      <c r="Q38" s="179">
        <f>'Rate Design'!E32</f>
        <v>9</v>
      </c>
      <c r="R38" s="256">
        <f>J38/D38</f>
        <v>0.2</v>
      </c>
      <c r="S38" s="256">
        <f>J38/F38</f>
        <v>0.2</v>
      </c>
      <c r="U38" s="176"/>
      <c r="V38" s="176"/>
      <c r="W38" s="176"/>
      <c r="X38" s="298"/>
      <c r="Y38" s="298"/>
    </row>
    <row r="39" spans="1:25" ht="12.5">
      <c r="A39" s="41" t="s">
        <v>519</v>
      </c>
      <c r="D39" s="333" t="s">
        <v>881</v>
      </c>
      <c r="E39" s="179"/>
      <c r="F39" s="179"/>
      <c r="G39" s="179"/>
      <c r="H39" s="179"/>
      <c r="J39" s="332"/>
      <c r="K39" s="311"/>
      <c r="L39" s="179"/>
      <c r="M39" s="333" t="s">
        <v>1019</v>
      </c>
      <c r="N39" s="179"/>
      <c r="O39" s="179"/>
      <c r="P39" s="179"/>
      <c r="Q39" s="179"/>
      <c r="R39" s="256"/>
      <c r="S39" s="256"/>
      <c r="U39" s="176"/>
      <c r="V39" s="176"/>
      <c r="W39" s="176"/>
      <c r="X39" s="298"/>
      <c r="Y39" s="298"/>
    </row>
    <row r="40" spans="1:25">
      <c r="D40" s="333" t="s">
        <v>1020</v>
      </c>
      <c r="K40" s="174"/>
      <c r="M40" s="333" t="s">
        <v>1021</v>
      </c>
      <c r="U40" s="176"/>
      <c r="V40" s="176"/>
      <c r="W40" s="176"/>
      <c r="X40" s="298"/>
      <c r="Y40" s="298"/>
    </row>
    <row r="41" spans="1:25">
      <c r="D41" s="333"/>
      <c r="K41" s="174"/>
      <c r="M41" s="333"/>
      <c r="U41" s="176"/>
      <c r="V41" s="176"/>
      <c r="W41" s="176"/>
      <c r="X41" s="298"/>
      <c r="Y41" s="298"/>
    </row>
    <row r="42" spans="1:25">
      <c r="A42" s="172" t="s">
        <v>771</v>
      </c>
      <c r="K42" s="174"/>
      <c r="U42" s="176"/>
      <c r="V42" s="176"/>
      <c r="W42" s="176"/>
      <c r="X42" s="298"/>
      <c r="Y42" s="298"/>
    </row>
    <row r="43" spans="1:25">
      <c r="A43" s="41" t="s">
        <v>237</v>
      </c>
      <c r="D43" s="178">
        <f>'Rate Design'!F4</f>
        <v>21</v>
      </c>
      <c r="E43" s="177">
        <f>F43-D43</f>
        <v>0</v>
      </c>
      <c r="F43" s="178">
        <f>'Rate Design'!F14</f>
        <v>21</v>
      </c>
      <c r="G43" s="173"/>
      <c r="H43" s="178"/>
      <c r="J43" s="173">
        <f>IF(ROUND(M43-F43,5)&lt;&gt;ROUND(N43-D43,5),#VALUE!,N43-D43)</f>
        <v>4</v>
      </c>
      <c r="K43" s="174"/>
      <c r="L43" s="173"/>
      <c r="M43" s="173">
        <f>'Rate Design'!F36</f>
        <v>25</v>
      </c>
      <c r="N43" s="173">
        <f>'Rate Design'!F26</f>
        <v>25</v>
      </c>
      <c r="O43" s="173"/>
      <c r="P43" s="173"/>
      <c r="Q43" s="173">
        <f>N43</f>
        <v>25</v>
      </c>
      <c r="R43" s="256">
        <f>J43/D43</f>
        <v>0.19047619047619047</v>
      </c>
      <c r="S43" s="256">
        <f>J43/F43</f>
        <v>0.19047619047619047</v>
      </c>
      <c r="U43" s="176"/>
      <c r="V43" s="176"/>
      <c r="W43" s="176"/>
      <c r="X43" s="298"/>
      <c r="Y43" s="298"/>
    </row>
    <row r="44" spans="1:25">
      <c r="A44" s="41" t="s">
        <v>301</v>
      </c>
      <c r="K44" s="174"/>
      <c r="U44" s="176"/>
      <c r="V44" s="176"/>
      <c r="W44" s="176"/>
      <c r="X44" s="298"/>
      <c r="Y44" s="298"/>
    </row>
    <row r="45" spans="1:25">
      <c r="A45" s="240" t="s">
        <v>773</v>
      </c>
      <c r="D45" s="176">
        <f>'Rate Design'!F5/100</f>
        <v>0.22149000000000002</v>
      </c>
      <c r="E45" s="176">
        <f>F45-D45</f>
        <v>1.3929999999999998E-2</v>
      </c>
      <c r="F45" s="176">
        <f>'Rate Design'!F15/100</f>
        <v>0.23542000000000002</v>
      </c>
      <c r="G45" s="174"/>
      <c r="H45" s="176">
        <f>F45+G45</f>
        <v>0.23542000000000002</v>
      </c>
      <c r="I45" s="176"/>
      <c r="J45" s="174">
        <f>N45-D45</f>
        <v>2.7989999999999987E-2</v>
      </c>
      <c r="K45" s="174">
        <v>0</v>
      </c>
      <c r="L45" s="174">
        <v>0</v>
      </c>
      <c r="M45" s="174">
        <f>F45+J45+K45+L45</f>
        <v>0.26341000000000003</v>
      </c>
      <c r="N45" s="257">
        <f>'Rate Design'!F27/100</f>
        <v>0.24948000000000001</v>
      </c>
      <c r="O45" s="257">
        <f>O38</f>
        <v>0</v>
      </c>
      <c r="P45" s="257">
        <f>P38</f>
        <v>0</v>
      </c>
      <c r="Q45" s="257">
        <f>M45+O45</f>
        <v>0.26341000000000003</v>
      </c>
      <c r="R45" s="256">
        <f>J45/D45</f>
        <v>0.12637139374238107</v>
      </c>
      <c r="S45" s="256">
        <f>(J45+L45)/F45</f>
        <v>0.1188938917679041</v>
      </c>
      <c r="U45" s="176">
        <f>D45+E45-F45</f>
        <v>0</v>
      </c>
      <c r="V45" s="176">
        <f>D45+J45-N45</f>
        <v>0</v>
      </c>
      <c r="W45" s="176">
        <f>F45+G45+J45+K45+L45-M45</f>
        <v>0</v>
      </c>
      <c r="X45" s="298"/>
      <c r="Y45" s="298"/>
    </row>
    <row r="46" spans="1:25">
      <c r="A46" s="240" t="s">
        <v>774</v>
      </c>
      <c r="D46" s="176">
        <f>'Rate Design'!F6/100</f>
        <v>8.8200000000000001E-2</v>
      </c>
      <c r="E46" s="176">
        <f>F46-D46</f>
        <v>1.3930000000000026E-2</v>
      </c>
      <c r="F46" s="176">
        <f>'Rate Design'!F16/100</f>
        <v>0.10213000000000003</v>
      </c>
      <c r="G46" s="174"/>
      <c r="H46" s="176">
        <f>F46+G46</f>
        <v>0.10213000000000003</v>
      </c>
      <c r="I46" s="176"/>
      <c r="J46" s="174">
        <f>N46-D46</f>
        <v>1.1139999999999997E-2</v>
      </c>
      <c r="K46" s="174">
        <f>K45</f>
        <v>0</v>
      </c>
      <c r="L46" s="174">
        <v>0</v>
      </c>
      <c r="M46" s="174">
        <f>F46+J46+K46+L46</f>
        <v>0.11327000000000002</v>
      </c>
      <c r="N46" s="257">
        <f>'Rate Design'!F28/100</f>
        <v>9.9339999999999998E-2</v>
      </c>
      <c r="O46" s="257">
        <f>O45</f>
        <v>0</v>
      </c>
      <c r="P46" s="257">
        <f>P45</f>
        <v>0</v>
      </c>
      <c r="Q46" s="257">
        <f>M46+O46</f>
        <v>0.11327000000000002</v>
      </c>
      <c r="R46" s="256">
        <f>J46/D46</f>
        <v>0.12630385487528342</v>
      </c>
      <c r="S46" s="256">
        <f>(J46+L46)/F46</f>
        <v>0.10907666699304802</v>
      </c>
      <c r="U46" s="176">
        <f>D46+E46-F46</f>
        <v>0</v>
      </c>
      <c r="V46" s="176">
        <f>D46+J46-N46</f>
        <v>0</v>
      </c>
      <c r="W46" s="176">
        <f>F46+G46+J46+K46+L46-M46</f>
        <v>0</v>
      </c>
      <c r="X46" s="298"/>
      <c r="Y46" s="298"/>
    </row>
    <row r="47" spans="1:25" ht="12.5">
      <c r="A47" s="41" t="s">
        <v>519</v>
      </c>
      <c r="D47" s="333" t="s">
        <v>881</v>
      </c>
      <c r="E47" s="179"/>
      <c r="F47" s="179"/>
      <c r="G47" s="179"/>
      <c r="H47" s="179"/>
      <c r="J47" s="332"/>
      <c r="K47" s="311"/>
      <c r="L47" s="179"/>
      <c r="M47" s="333" t="s">
        <v>1019</v>
      </c>
      <c r="N47" s="179"/>
      <c r="O47" s="179"/>
      <c r="P47" s="179"/>
      <c r="Q47" s="179"/>
      <c r="R47" s="256"/>
      <c r="S47" s="256"/>
      <c r="U47" s="176"/>
      <c r="V47" s="176"/>
      <c r="W47" s="176"/>
      <c r="X47" s="298"/>
      <c r="Y47" s="298"/>
    </row>
    <row r="48" spans="1:25">
      <c r="D48" s="333" t="s">
        <v>1020</v>
      </c>
      <c r="K48" s="174"/>
      <c r="M48" s="333" t="s">
        <v>1021</v>
      </c>
      <c r="U48" s="176"/>
      <c r="V48" s="176"/>
      <c r="W48" s="176"/>
      <c r="X48" s="298"/>
      <c r="Y48" s="298"/>
    </row>
    <row r="49" spans="1:25">
      <c r="D49" s="333"/>
      <c r="K49" s="174"/>
      <c r="M49" s="333"/>
      <c r="U49" s="176"/>
      <c r="V49" s="176"/>
      <c r="W49" s="176"/>
      <c r="X49" s="298"/>
      <c r="Y49" s="298"/>
    </row>
    <row r="50" spans="1:25">
      <c r="A50" s="172" t="s">
        <v>1045</v>
      </c>
      <c r="U50" s="281"/>
      <c r="X50" s="298"/>
      <c r="Y50" s="298"/>
    </row>
    <row r="51" spans="1:25">
      <c r="A51" s="41" t="s">
        <v>237</v>
      </c>
      <c r="D51" s="178">
        <f>D32</f>
        <v>21</v>
      </c>
      <c r="E51" s="177">
        <f>F51-D51</f>
        <v>0</v>
      </c>
      <c r="F51" s="178">
        <f>F32</f>
        <v>21</v>
      </c>
      <c r="G51" s="173"/>
      <c r="H51" s="178"/>
      <c r="J51" s="173">
        <f>IF(ROUND(M51-F51,5)&lt;&gt;ROUND(N51-D51,5),#VALUE!,N51-D51)</f>
        <v>4</v>
      </c>
      <c r="K51" s="173"/>
      <c r="L51" s="173"/>
      <c r="M51" s="173">
        <f>M32</f>
        <v>25</v>
      </c>
      <c r="N51" s="173">
        <f>N32</f>
        <v>25</v>
      </c>
      <c r="O51" s="173"/>
      <c r="P51" s="173"/>
      <c r="Q51" s="173">
        <f>N51</f>
        <v>25</v>
      </c>
      <c r="R51" s="256">
        <f>J51/D51</f>
        <v>0.19047619047619047</v>
      </c>
      <c r="S51" s="256">
        <f>J51/F51</f>
        <v>0.19047619047619047</v>
      </c>
      <c r="T51" s="256"/>
      <c r="U51" s="282"/>
      <c r="V51" s="282"/>
      <c r="X51" s="298"/>
      <c r="Y51" s="298"/>
    </row>
    <row r="52" spans="1:25">
      <c r="A52" s="41" t="s">
        <v>301</v>
      </c>
      <c r="U52" s="282"/>
      <c r="V52" s="282"/>
      <c r="X52" s="298"/>
      <c r="Y52" s="298"/>
    </row>
    <row r="53" spans="1:25">
      <c r="A53" s="240" t="s">
        <v>773</v>
      </c>
      <c r="D53" s="176">
        <v>0.23021</v>
      </c>
      <c r="E53" s="176">
        <f>E34</f>
        <v>1.3930000000000012E-2</v>
      </c>
      <c r="F53" s="176">
        <f>D53+E53</f>
        <v>0.24414000000000002</v>
      </c>
      <c r="G53" s="257"/>
      <c r="H53" s="176">
        <f>F53+G53</f>
        <v>0.24414000000000002</v>
      </c>
      <c r="I53" s="176"/>
      <c r="J53" s="174">
        <f>N53-D53</f>
        <v>2.7602894630601532E-2</v>
      </c>
      <c r="K53" s="174">
        <v>0</v>
      </c>
      <c r="L53" s="174">
        <v>0</v>
      </c>
      <c r="M53" s="174">
        <f>F53+J53+K53+L53</f>
        <v>0.27174289463060153</v>
      </c>
      <c r="N53" s="257">
        <f>D53*(1+R34)</f>
        <v>0.25781289463060153</v>
      </c>
      <c r="O53" s="257" t="e">
        <f>#REF!</f>
        <v>#REF!</v>
      </c>
      <c r="P53" s="257">
        <f>0.00164+0.00083</f>
        <v>2.47E-3</v>
      </c>
      <c r="Q53" s="257" t="e">
        <f>M53+O53+P53</f>
        <v>#REF!</v>
      </c>
      <c r="R53" s="256">
        <f>J53/D53</f>
        <v>0.11990310859911182</v>
      </c>
      <c r="S53" s="256">
        <f>(J53+L53)/F53</f>
        <v>0.11306174584501323</v>
      </c>
      <c r="U53" s="176">
        <f>D53+E53-F53</f>
        <v>0</v>
      </c>
      <c r="V53" s="176">
        <f>D53+J53-N53</f>
        <v>0</v>
      </c>
      <c r="W53" s="176">
        <f>F53+G53+J53+K53+L53-M53</f>
        <v>0</v>
      </c>
      <c r="X53" s="298"/>
      <c r="Y53" s="298"/>
    </row>
    <row r="54" spans="1:25">
      <c r="A54" s="240" t="s">
        <v>774</v>
      </c>
      <c r="D54" s="176">
        <v>9.1649999999999995E-2</v>
      </c>
      <c r="E54" s="176">
        <f>E35</f>
        <v>1.3930000000000026E-2</v>
      </c>
      <c r="F54" s="176">
        <f>D54+E54</f>
        <v>0.10558000000000002</v>
      </c>
      <c r="G54" s="257"/>
      <c r="H54" s="176">
        <f>F54+G54</f>
        <v>0.10558000000000002</v>
      </c>
      <c r="I54" s="176"/>
      <c r="J54" s="174">
        <f>N54-D54</f>
        <v>1.0989866888519134E-2</v>
      </c>
      <c r="K54" s="174">
        <f>K53</f>
        <v>0</v>
      </c>
      <c r="L54" s="174">
        <v>0</v>
      </c>
      <c r="M54" s="174">
        <f t="shared" ref="M54" si="9">F54+J54+K54+L54</f>
        <v>0.11656986688851916</v>
      </c>
      <c r="N54" s="257">
        <f>D54*(1+R35)</f>
        <v>0.10263986688851913</v>
      </c>
      <c r="O54" s="257" t="e">
        <f>O53</f>
        <v>#REF!</v>
      </c>
      <c r="P54" s="257">
        <f>P53</f>
        <v>2.47E-3</v>
      </c>
      <c r="Q54" s="257" t="e">
        <f>M54+O54</f>
        <v>#REF!</v>
      </c>
      <c r="R54" s="256">
        <f>J54/D54</f>
        <v>0.11991125901275651</v>
      </c>
      <c r="S54" s="256">
        <f t="shared" ref="S54" si="10">(J54+L54)/F54</f>
        <v>0.10409042326689839</v>
      </c>
      <c r="U54" s="176">
        <f>D54+E54-F54</f>
        <v>0</v>
      </c>
      <c r="V54" s="176">
        <f>D54+J54-N54</f>
        <v>0</v>
      </c>
      <c r="W54" s="176">
        <f>F54+G54+J54+K54+L54-M54</f>
        <v>0</v>
      </c>
      <c r="X54" s="298"/>
      <c r="Y54" s="298"/>
    </row>
    <row r="55" spans="1:25">
      <c r="A55" s="240"/>
      <c r="D55" s="176"/>
      <c r="E55" s="176"/>
      <c r="F55" s="176"/>
      <c r="G55" s="257"/>
      <c r="H55" s="176"/>
      <c r="I55" s="176"/>
      <c r="J55" s="174"/>
      <c r="K55" s="174"/>
      <c r="L55" s="174"/>
      <c r="M55" s="174"/>
      <c r="N55" s="257"/>
      <c r="O55" s="257"/>
      <c r="P55" s="257"/>
      <c r="Q55" s="257"/>
      <c r="R55" s="256"/>
      <c r="S55" s="256"/>
      <c r="U55" s="176"/>
      <c r="V55" s="176"/>
      <c r="W55" s="176"/>
      <c r="X55" s="298"/>
      <c r="Y55" s="298"/>
    </row>
    <row r="56" spans="1:25">
      <c r="A56" s="172" t="s">
        <v>1046</v>
      </c>
      <c r="U56" s="281"/>
      <c r="X56" s="298"/>
      <c r="Y56" s="298"/>
    </row>
    <row r="57" spans="1:25">
      <c r="A57" s="41" t="s">
        <v>237</v>
      </c>
      <c r="D57" s="178">
        <f>D32</f>
        <v>21</v>
      </c>
      <c r="E57" s="177">
        <f>F57-D57</f>
        <v>0</v>
      </c>
      <c r="F57" s="178">
        <f>F32</f>
        <v>21</v>
      </c>
      <c r="G57" s="173"/>
      <c r="H57" s="178"/>
      <c r="J57" s="173">
        <f>IF(ROUND(M57-F57,5)&lt;&gt;ROUND(N57-D57,5),#VALUE!,N57-D57)</f>
        <v>4</v>
      </c>
      <c r="K57" s="173"/>
      <c r="L57" s="173"/>
      <c r="M57" s="173">
        <f>M32</f>
        <v>25</v>
      </c>
      <c r="N57" s="173">
        <f>N32</f>
        <v>25</v>
      </c>
      <c r="O57" s="173"/>
      <c r="P57" s="173"/>
      <c r="Q57" s="173">
        <f>N57</f>
        <v>25</v>
      </c>
      <c r="R57" s="256">
        <f>J57/D57</f>
        <v>0.19047619047619047</v>
      </c>
      <c r="S57" s="256">
        <f>J57/F57</f>
        <v>0.19047619047619047</v>
      </c>
      <c r="T57" s="256"/>
      <c r="U57" s="282"/>
      <c r="V57" s="282"/>
      <c r="X57" s="298"/>
      <c r="Y57" s="298"/>
    </row>
    <row r="58" spans="1:25">
      <c r="A58" s="41" t="s">
        <v>301</v>
      </c>
      <c r="U58" s="282"/>
      <c r="V58" s="282"/>
      <c r="X58" s="298"/>
      <c r="Y58" s="298"/>
    </row>
    <row r="59" spans="1:25">
      <c r="A59" s="240" t="s">
        <v>773</v>
      </c>
      <c r="D59" s="176">
        <v>0.19327</v>
      </c>
      <c r="E59" s="176">
        <f>E34</f>
        <v>1.3930000000000012E-2</v>
      </c>
      <c r="F59" s="176">
        <f>D59+E59</f>
        <v>0.2072</v>
      </c>
      <c r="G59" s="257"/>
      <c r="H59" s="176">
        <f>F59+G59</f>
        <v>0.2072</v>
      </c>
      <c r="I59" s="176"/>
      <c r="J59" s="174">
        <f>N59-D59</f>
        <v>2.3173673798950328E-2</v>
      </c>
      <c r="K59" s="174">
        <v>0</v>
      </c>
      <c r="L59" s="174">
        <v>0</v>
      </c>
      <c r="M59" s="174">
        <f>F59+J59+K59+L59</f>
        <v>0.23037367379895032</v>
      </c>
      <c r="N59" s="257">
        <f>D59*(1+R34)</f>
        <v>0.21644367379895033</v>
      </c>
      <c r="O59" s="257" t="e">
        <f>#REF!</f>
        <v>#REF!</v>
      </c>
      <c r="P59" s="257">
        <f>0.00164+0.00083</f>
        <v>2.47E-3</v>
      </c>
      <c r="Q59" s="257" t="e">
        <f>M59+O59+P59</f>
        <v>#REF!</v>
      </c>
      <c r="R59" s="256">
        <f>J59/D59</f>
        <v>0.11990310859911175</v>
      </c>
      <c r="S59" s="256">
        <f>(J59+L59)/F59</f>
        <v>0.11184205501423904</v>
      </c>
      <c r="U59" s="176">
        <f>D59+E59-F59</f>
        <v>0</v>
      </c>
      <c r="V59" s="176">
        <f>D59+J59-N59</f>
        <v>0</v>
      </c>
      <c r="W59" s="176">
        <f>F59+G59+J59+K59+L59-M59</f>
        <v>0</v>
      </c>
      <c r="X59" s="298"/>
      <c r="Y59" s="298"/>
    </row>
    <row r="60" spans="1:25">
      <c r="A60" s="240" t="s">
        <v>774</v>
      </c>
      <c r="D60" s="176">
        <v>9.1649999999999995E-2</v>
      </c>
      <c r="E60" s="176">
        <f>E34</f>
        <v>1.3930000000000012E-2</v>
      </c>
      <c r="F60" s="176">
        <f>D60+E60</f>
        <v>0.10558000000000001</v>
      </c>
      <c r="G60" s="257"/>
      <c r="H60" s="176">
        <f>F60+G60</f>
        <v>0.10558000000000001</v>
      </c>
      <c r="I60" s="176"/>
      <c r="J60" s="174">
        <f>N60-D60</f>
        <v>1.0989119903108593E-2</v>
      </c>
      <c r="K60" s="174">
        <f>K59</f>
        <v>0</v>
      </c>
      <c r="L60" s="174">
        <v>0</v>
      </c>
      <c r="M60" s="174">
        <f t="shared" ref="M60" si="11">F60+J60+K60+L60</f>
        <v>0.1165691199031086</v>
      </c>
      <c r="N60" s="257">
        <f>D60*(1+R34)</f>
        <v>0.10263911990310859</v>
      </c>
      <c r="O60" s="257" t="e">
        <f>O59</f>
        <v>#REF!</v>
      </c>
      <c r="P60" s="257">
        <f>P59</f>
        <v>2.47E-3</v>
      </c>
      <c r="Q60" s="257" t="e">
        <f>M60+O60</f>
        <v>#REF!</v>
      </c>
      <c r="R60" s="256">
        <f>J60/D60</f>
        <v>0.11990310859911177</v>
      </c>
      <c r="S60" s="256">
        <f t="shared" ref="S60:S61" si="12">(J60+L60)/F60</f>
        <v>0.10408334820144528</v>
      </c>
      <c r="U60" s="176">
        <f>D60+E60-F60</f>
        <v>0</v>
      </c>
      <c r="V60" s="176">
        <f>D60+J60-N60</f>
        <v>0</v>
      </c>
      <c r="W60" s="176">
        <f>F60+G60+J60+K60+L60-M60</f>
        <v>0</v>
      </c>
      <c r="X60" s="298"/>
      <c r="Y60" s="298"/>
    </row>
    <row r="61" spans="1:25">
      <c r="A61" s="240" t="s">
        <v>1043</v>
      </c>
      <c r="D61" s="176">
        <v>6.1100000000000002E-2</v>
      </c>
      <c r="E61" s="176">
        <f>E34</f>
        <v>1.3930000000000012E-2</v>
      </c>
      <c r="F61" s="176">
        <f>D61+E61</f>
        <v>7.5030000000000013E-2</v>
      </c>
      <c r="G61" s="257"/>
      <c r="H61" s="176">
        <f>F61+G61</f>
        <v>7.5030000000000013E-2</v>
      </c>
      <c r="I61" s="176"/>
      <c r="J61" s="174">
        <f>N61-D61</f>
        <v>7.3260799354057243E-3</v>
      </c>
      <c r="K61" s="174">
        <f>K60</f>
        <v>0</v>
      </c>
      <c r="L61" s="174">
        <v>0</v>
      </c>
      <c r="M61" s="174">
        <f>F61+J61+K61+L61</f>
        <v>8.2356079935405738E-2</v>
      </c>
      <c r="N61" s="257">
        <f>D61*(1+R34)</f>
        <v>6.8426079935405726E-2</v>
      </c>
      <c r="O61" s="257"/>
      <c r="P61" s="257"/>
      <c r="Q61" s="257"/>
      <c r="R61" s="256">
        <f>J61/D61</f>
        <v>0.11990310859911169</v>
      </c>
      <c r="S61" s="256">
        <f t="shared" si="12"/>
        <v>9.7642009001808916E-2</v>
      </c>
      <c r="U61" s="176">
        <f>D61+E61-F61</f>
        <v>0</v>
      </c>
      <c r="V61" s="176">
        <f>D61+J61-N61</f>
        <v>0</v>
      </c>
      <c r="W61" s="176">
        <f>F61+G61+J61+K61+L61-M61</f>
        <v>0</v>
      </c>
      <c r="X61" s="298"/>
      <c r="Y61" s="298"/>
    </row>
    <row r="62" spans="1:25">
      <c r="D62" s="333"/>
      <c r="K62" s="174"/>
      <c r="M62" s="333"/>
      <c r="U62" s="176"/>
      <c r="V62" s="176"/>
      <c r="W62" s="176"/>
      <c r="X62" s="298"/>
      <c r="Y62" s="298"/>
    </row>
    <row r="63" spans="1:25" hidden="1">
      <c r="D63" s="333"/>
      <c r="K63" s="174"/>
      <c r="M63" s="333"/>
      <c r="U63" s="176"/>
      <c r="V63" s="176"/>
      <c r="W63" s="176"/>
      <c r="X63" s="298"/>
      <c r="Y63" s="298"/>
    </row>
    <row r="64" spans="1:25" hidden="1">
      <c r="D64" s="333"/>
      <c r="K64" s="174"/>
      <c r="M64" s="333"/>
      <c r="U64" s="176"/>
      <c r="V64" s="176"/>
      <c r="W64" s="176"/>
      <c r="X64" s="298"/>
      <c r="Y64" s="298"/>
    </row>
    <row r="65" spans="1:25" hidden="1">
      <c r="D65" s="333"/>
      <c r="K65" s="174"/>
      <c r="M65" s="333"/>
      <c r="U65" s="176"/>
      <c r="V65" s="176"/>
      <c r="W65" s="176"/>
      <c r="X65" s="298"/>
      <c r="Y65" s="298"/>
    </row>
    <row r="66" spans="1:25" hidden="1">
      <c r="D66" s="333"/>
      <c r="K66" s="174"/>
      <c r="M66" s="333"/>
      <c r="U66" s="176"/>
      <c r="V66" s="176"/>
      <c r="W66" s="176"/>
      <c r="X66" s="298"/>
      <c r="Y66" s="298"/>
    </row>
    <row r="67" spans="1:25">
      <c r="A67" s="172" t="s">
        <v>305</v>
      </c>
      <c r="K67" s="174"/>
      <c r="U67" s="176"/>
      <c r="V67" s="176"/>
      <c r="W67" s="176"/>
      <c r="X67" s="298"/>
      <c r="Y67" s="298"/>
    </row>
    <row r="68" spans="1:25">
      <c r="A68" s="41" t="s">
        <v>301</v>
      </c>
      <c r="K68" s="174"/>
      <c r="U68" s="176"/>
      <c r="V68" s="176"/>
      <c r="W68" s="176"/>
      <c r="X68" s="298"/>
      <c r="Y68" s="298"/>
    </row>
    <row r="69" spans="1:25">
      <c r="A69" s="240" t="str">
        <f>"First "&amp;TEXT('Rate Design'!T5,"#,##0")&amp;" kWhs"</f>
        <v>First 250,000 kWhs</v>
      </c>
      <c r="D69" s="176">
        <f>'Rate Design'!G5/100</f>
        <v>7.9140000000000002E-2</v>
      </c>
      <c r="E69" s="176">
        <f>F69-D69</f>
        <v>1.1850000000000013E-2</v>
      </c>
      <c r="F69" s="176">
        <f>'Rate Design'!G15/100</f>
        <v>9.0990000000000015E-2</v>
      </c>
      <c r="G69" s="174"/>
      <c r="H69" s="176">
        <f>F69+G69</f>
        <v>9.0990000000000015E-2</v>
      </c>
      <c r="I69" s="176"/>
      <c r="J69" s="174">
        <f>N69-D69</f>
        <v>8.1299999999999983E-3</v>
      </c>
      <c r="K69" s="174">
        <v>0</v>
      </c>
      <c r="L69" s="174">
        <v>0</v>
      </c>
      <c r="M69" s="174">
        <f>F69+J69+K69+L69</f>
        <v>9.9120000000000014E-2</v>
      </c>
      <c r="N69" s="257">
        <f>'Rate Design'!G27/100</f>
        <v>8.727E-2</v>
      </c>
      <c r="O69" s="257" t="e">
        <f>O14</f>
        <v>#REF!</v>
      </c>
      <c r="P69" s="257">
        <f>P14</f>
        <v>2.47E-3</v>
      </c>
      <c r="Q69" s="257" t="e">
        <f>M69+O69</f>
        <v>#REF!</v>
      </c>
      <c r="R69" s="256">
        <f>J69/D69</f>
        <v>0.10272934040940104</v>
      </c>
      <c r="S69" s="256">
        <f>(J69+L69)/F69</f>
        <v>8.9350478074513656E-2</v>
      </c>
      <c r="U69" s="176">
        <f>D69+E69-F69</f>
        <v>0</v>
      </c>
      <c r="V69" s="176">
        <f>D69+J69-N69</f>
        <v>0</v>
      </c>
      <c r="W69" s="176">
        <f>F69+G69+J69+K69+L69-M69</f>
        <v>0</v>
      </c>
      <c r="X69" s="298"/>
      <c r="Y69" s="298"/>
    </row>
    <row r="70" spans="1:25">
      <c r="A70" s="240" t="str">
        <f>"All over "&amp;TEXT('Rate Design'!T5,"#,##0")&amp;" kWhs"</f>
        <v>All over 250,000 kWhs</v>
      </c>
      <c r="D70" s="176">
        <f>'Rate Design'!G6/100</f>
        <v>7.0540000000000005E-2</v>
      </c>
      <c r="E70" s="176">
        <f>F70-D70</f>
        <v>1.1849999999999986E-2</v>
      </c>
      <c r="F70" s="176">
        <f>'Rate Design'!G16/100</f>
        <v>8.2389999999999991E-2</v>
      </c>
      <c r="G70" s="174"/>
      <c r="H70" s="176">
        <f>F70+G70</f>
        <v>8.2389999999999991E-2</v>
      </c>
      <c r="I70" s="176"/>
      <c r="J70" s="174">
        <f>N70-D70</f>
        <v>7.2600000000000026E-3</v>
      </c>
      <c r="K70" s="174">
        <f>K69</f>
        <v>0</v>
      </c>
      <c r="L70" s="174">
        <v>0</v>
      </c>
      <c r="M70" s="174">
        <f>F70+J70+K70+L70</f>
        <v>8.9649999999999994E-2</v>
      </c>
      <c r="N70" s="257">
        <f>'Rate Design'!G28/100</f>
        <v>7.7800000000000008E-2</v>
      </c>
      <c r="O70" s="257" t="e">
        <f>O69</f>
        <v>#REF!</v>
      </c>
      <c r="P70" s="257">
        <f>P69</f>
        <v>2.47E-3</v>
      </c>
      <c r="Q70" s="257" t="e">
        <f>M70+O70</f>
        <v>#REF!</v>
      </c>
      <c r="R70" s="256">
        <f>J70/D70</f>
        <v>0.10292032889140916</v>
      </c>
      <c r="S70" s="256">
        <f>(J70+L70)/F70</f>
        <v>8.8117489986648909E-2</v>
      </c>
      <c r="U70" s="176">
        <f>D70+E70-F70</f>
        <v>0</v>
      </c>
      <c r="V70" s="176">
        <f>D70+J70-N70</f>
        <v>0</v>
      </c>
      <c r="W70" s="176">
        <f>F70+G70+J70+K70+L70-M70</f>
        <v>0</v>
      </c>
      <c r="X70" s="298"/>
      <c r="Y70" s="298"/>
    </row>
    <row r="71" spans="1:25">
      <c r="A71" s="41" t="s">
        <v>303</v>
      </c>
      <c r="K71" s="174"/>
      <c r="U71" s="176"/>
      <c r="V71" s="176"/>
      <c r="W71" s="176"/>
      <c r="X71" s="298"/>
      <c r="Y71" s="298"/>
    </row>
    <row r="72" spans="1:25">
      <c r="A72" s="240" t="str">
        <f>TEXT('Rate Design'!T10,"#,##0")&amp;" kW or less"</f>
        <v>50 kW or less</v>
      </c>
      <c r="D72" s="178">
        <f>'Rate Design'!G9</f>
        <v>600</v>
      </c>
      <c r="E72" s="177">
        <f>F72-D72</f>
        <v>0</v>
      </c>
      <c r="F72" s="178">
        <f>'Rate Design'!G19</f>
        <v>600</v>
      </c>
      <c r="G72" s="173"/>
      <c r="H72" s="178"/>
      <c r="J72" s="173">
        <f>IF(ROUND(M72-F72,5)&lt;&gt;ROUND(N72-D72,5),#VALUE!,N72-D72)</f>
        <v>150</v>
      </c>
      <c r="K72" s="174"/>
      <c r="L72" s="173"/>
      <c r="M72" s="173">
        <f>'Rate Design'!G41</f>
        <v>750</v>
      </c>
      <c r="N72" s="173">
        <f>'Rate Design'!G31</f>
        <v>750</v>
      </c>
      <c r="O72" s="173"/>
      <c r="P72" s="173"/>
      <c r="Q72" s="173">
        <f>N72</f>
        <v>750</v>
      </c>
      <c r="R72" s="256">
        <f>J72/D72</f>
        <v>0.25</v>
      </c>
      <c r="S72" s="256">
        <f>J72/F72</f>
        <v>0.25</v>
      </c>
      <c r="U72" s="176"/>
      <c r="V72" s="176"/>
      <c r="W72" s="176"/>
      <c r="X72" s="298"/>
      <c r="Y72" s="298"/>
    </row>
    <row r="73" spans="1:25" ht="12.5">
      <c r="A73" s="240" t="str">
        <f>"Over "&amp;TEXT('Rate Design'!T10,"#,##0")&amp;" kW"</f>
        <v>Over 50 kW</v>
      </c>
      <c r="D73" s="179">
        <f>'Rate Design'!G10</f>
        <v>7.5</v>
      </c>
      <c r="E73" s="179">
        <f>F73-D73</f>
        <v>0</v>
      </c>
      <c r="F73" s="179">
        <f>'Rate Design'!G20</f>
        <v>7.5</v>
      </c>
      <c r="G73" s="179"/>
      <c r="H73" s="179"/>
      <c r="J73" s="179">
        <f>IF(ROUND(M73-F73,5)&lt;&gt;ROUND(N73-D73,5),#VALUE!,N73-D73)</f>
        <v>1.5</v>
      </c>
      <c r="K73" s="311"/>
      <c r="L73" s="179"/>
      <c r="M73" s="179">
        <f>'Rate Design'!G42</f>
        <v>9</v>
      </c>
      <c r="N73" s="179">
        <f>'Rate Design'!G32</f>
        <v>9</v>
      </c>
      <c r="O73" s="179"/>
      <c r="P73" s="179"/>
      <c r="Q73" s="179">
        <f>'Rate Design'!G32</f>
        <v>9</v>
      </c>
      <c r="R73" s="256">
        <f>J73/D73</f>
        <v>0.2</v>
      </c>
      <c r="S73" s="256">
        <f>J73/F73</f>
        <v>0.2</v>
      </c>
      <c r="U73" s="176"/>
      <c r="V73" s="176"/>
      <c r="W73" s="176"/>
      <c r="X73" s="298"/>
      <c r="Y73" s="298"/>
    </row>
    <row r="74" spans="1:25" ht="12.5">
      <c r="A74" s="41" t="s">
        <v>74</v>
      </c>
      <c r="D74" s="179">
        <v>0.2</v>
      </c>
      <c r="E74" s="179">
        <f>F74-D74</f>
        <v>0</v>
      </c>
      <c r="F74" s="179">
        <v>0.2</v>
      </c>
      <c r="G74" s="179"/>
      <c r="H74" s="179"/>
      <c r="J74" s="179">
        <f>IF(ROUND(M74-F74,5)&lt;&gt;ROUND(N74-D74,5),#VALUE!,N74-D74)</f>
        <v>0</v>
      </c>
      <c r="K74" s="311"/>
      <c r="L74" s="179"/>
      <c r="M74" s="179">
        <v>0.2</v>
      </c>
      <c r="N74" s="179">
        <v>0.2</v>
      </c>
      <c r="O74" s="179"/>
      <c r="P74" s="179"/>
      <c r="Q74" s="179">
        <v>0.2</v>
      </c>
      <c r="R74" s="256">
        <f>J74/D74</f>
        <v>0</v>
      </c>
      <c r="S74" s="256">
        <f>J74/F74</f>
        <v>0</v>
      </c>
      <c r="U74" s="176"/>
      <c r="V74" s="176"/>
      <c r="W74" s="176"/>
      <c r="X74" s="298"/>
      <c r="Y74" s="298"/>
    </row>
    <row r="75" spans="1:25">
      <c r="D75" s="181"/>
      <c r="E75" s="180"/>
      <c r="F75" s="181"/>
      <c r="G75" s="66"/>
      <c r="H75" s="181"/>
      <c r="J75" s="42"/>
      <c r="K75" s="174"/>
      <c r="L75" s="66"/>
      <c r="M75" s="66"/>
      <c r="U75" s="176"/>
      <c r="V75" s="176"/>
      <c r="W75" s="176"/>
      <c r="X75" s="298"/>
      <c r="Y75" s="298"/>
    </row>
    <row r="76" spans="1:25">
      <c r="A76" s="172" t="s">
        <v>772</v>
      </c>
      <c r="K76" s="174"/>
      <c r="U76" s="176"/>
      <c r="V76" s="176"/>
      <c r="W76" s="176"/>
      <c r="X76" s="298"/>
      <c r="Y76" s="298"/>
    </row>
    <row r="77" spans="1:25">
      <c r="A77" s="41" t="s">
        <v>238</v>
      </c>
      <c r="D77" s="420">
        <f>'Rate Design'!H9</f>
        <v>600</v>
      </c>
      <c r="E77" s="177">
        <f>F77-D77</f>
        <v>0</v>
      </c>
      <c r="F77" s="420">
        <f>'Rate Design'!H19</f>
        <v>600</v>
      </c>
      <c r="G77" s="173"/>
      <c r="H77" s="178"/>
      <c r="J77" s="173">
        <f>IF(ROUND(M77-F77,5)&lt;&gt;ROUND(N77-D77,5),#VALUE!,N77-D77)</f>
        <v>150</v>
      </c>
      <c r="K77" s="174"/>
      <c r="L77" s="173"/>
      <c r="M77" s="419">
        <f>'Rate Design'!H41</f>
        <v>750</v>
      </c>
      <c r="N77" s="173">
        <f>'Rate Design'!H31</f>
        <v>750</v>
      </c>
      <c r="O77" s="173"/>
      <c r="P77" s="173"/>
      <c r="Q77" s="173">
        <f>N77</f>
        <v>750</v>
      </c>
      <c r="R77" s="256">
        <f>J77/D77</f>
        <v>0.25</v>
      </c>
      <c r="S77" s="256">
        <f>J77/F77</f>
        <v>0.25</v>
      </c>
      <c r="U77" s="176"/>
      <c r="V77" s="176"/>
      <c r="W77" s="176"/>
      <c r="X77" s="298"/>
      <c r="Y77" s="298"/>
    </row>
    <row r="78" spans="1:25">
      <c r="A78" s="41" t="s">
        <v>301</v>
      </c>
      <c r="K78" s="174"/>
      <c r="U78" s="176"/>
      <c r="V78" s="176"/>
      <c r="W78" s="176"/>
      <c r="X78" s="298"/>
      <c r="Y78" s="298"/>
    </row>
    <row r="79" spans="1:25">
      <c r="A79" s="240" t="s">
        <v>773</v>
      </c>
      <c r="D79" s="176">
        <f>'Rate Design'!H5/100</f>
        <v>0.17039000000000001</v>
      </c>
      <c r="E79" s="176">
        <f>F79-D79</f>
        <v>1.1850000000000027E-2</v>
      </c>
      <c r="F79" s="176">
        <f>'Rate Design'!H15/100</f>
        <v>0.18224000000000004</v>
      </c>
      <c r="G79" s="174"/>
      <c r="H79" s="176">
        <f>F79+G79</f>
        <v>0.18224000000000004</v>
      </c>
      <c r="I79" s="176"/>
      <c r="J79" s="174">
        <f>N79-D79</f>
        <v>1.1559999999999987E-2</v>
      </c>
      <c r="K79" s="174">
        <v>0</v>
      </c>
      <c r="L79" s="174">
        <v>0</v>
      </c>
      <c r="M79" s="174">
        <f>F79+J79+K79+L79</f>
        <v>0.19380000000000003</v>
      </c>
      <c r="N79" s="257">
        <f>'Rate Design'!H27/100</f>
        <v>0.18195</v>
      </c>
      <c r="O79" s="257">
        <f>O36</f>
        <v>0</v>
      </c>
      <c r="P79" s="257">
        <f>P36</f>
        <v>0</v>
      </c>
      <c r="Q79" s="257">
        <f>M79+O79</f>
        <v>0.19380000000000003</v>
      </c>
      <c r="R79" s="256">
        <f>J79/D79</f>
        <v>6.784435706320785E-2</v>
      </c>
      <c r="S79" s="256">
        <f>(J79+L79)/F79</f>
        <v>6.3432835820895442E-2</v>
      </c>
      <c r="U79" s="176">
        <f>D79+E79-F79</f>
        <v>0</v>
      </c>
      <c r="V79" s="176">
        <f>D79+J79-N79</f>
        <v>0</v>
      </c>
      <c r="W79" s="176">
        <f>F79+G79+J79+K79+L79-M79</f>
        <v>0</v>
      </c>
      <c r="X79" s="298"/>
      <c r="Y79" s="298"/>
    </row>
    <row r="80" spans="1:25">
      <c r="A80" s="240" t="s">
        <v>774</v>
      </c>
      <c r="D80" s="176">
        <f>'Rate Design'!H6/100</f>
        <v>6.8849999999999995E-2</v>
      </c>
      <c r="E80" s="176">
        <f>F80-D80</f>
        <v>1.1850000000000013E-2</v>
      </c>
      <c r="F80" s="176">
        <f>'Rate Design'!H16/100</f>
        <v>8.0700000000000008E-2</v>
      </c>
      <c r="G80" s="174"/>
      <c r="H80" s="176">
        <f>F80+G80</f>
        <v>8.0700000000000008E-2</v>
      </c>
      <c r="I80" s="176"/>
      <c r="J80" s="174">
        <f>N80-D80</f>
        <v>4.6700000000000075E-3</v>
      </c>
      <c r="K80" s="174">
        <f>K79</f>
        <v>0</v>
      </c>
      <c r="L80" s="174">
        <v>0</v>
      </c>
      <c r="M80" s="174">
        <f>F80+J80+K80+L80</f>
        <v>8.5370000000000015E-2</v>
      </c>
      <c r="N80" s="257">
        <f>'Rate Design'!H28/100</f>
        <v>7.3520000000000002E-2</v>
      </c>
      <c r="O80" s="257">
        <f>O79</f>
        <v>0</v>
      </c>
      <c r="P80" s="257">
        <f>P79</f>
        <v>0</v>
      </c>
      <c r="Q80" s="257">
        <f>M80+O80</f>
        <v>8.5370000000000015E-2</v>
      </c>
      <c r="R80" s="256">
        <f>J80/D80</f>
        <v>6.7828612926652251E-2</v>
      </c>
      <c r="S80" s="256">
        <f>(J80+L80)/F80</f>
        <v>5.7868649318463534E-2</v>
      </c>
      <c r="U80" s="176">
        <f>D80+E80-F80</f>
        <v>0</v>
      </c>
      <c r="V80" s="176">
        <f>D80+J80-N80</f>
        <v>0</v>
      </c>
      <c r="W80" s="176">
        <f>F80+G80+J80+K80+L80-M80</f>
        <v>0</v>
      </c>
      <c r="X80" s="298"/>
      <c r="Y80" s="298"/>
    </row>
    <row r="81" spans="1:25" ht="12.5">
      <c r="A81" s="41" t="s">
        <v>74</v>
      </c>
      <c r="D81" s="179">
        <v>0.2</v>
      </c>
      <c r="E81" s="179">
        <f>F81-D81</f>
        <v>0</v>
      </c>
      <c r="F81" s="179">
        <v>0.2</v>
      </c>
      <c r="G81" s="179"/>
      <c r="H81" s="179"/>
      <c r="J81" s="179">
        <f>IF(ROUND(M81-F81,5)&lt;&gt;ROUND(N81-D81,5),#VALUE!,N81-D81)</f>
        <v>0</v>
      </c>
      <c r="K81" s="311"/>
      <c r="L81" s="179"/>
      <c r="M81" s="179">
        <v>0.2</v>
      </c>
      <c r="N81" s="179">
        <v>0.2</v>
      </c>
      <c r="O81" s="179"/>
      <c r="P81" s="179"/>
      <c r="Q81" s="179">
        <v>0.2</v>
      </c>
      <c r="R81" s="256">
        <f>J81/D81</f>
        <v>0</v>
      </c>
      <c r="S81" s="256">
        <f>J81/F81</f>
        <v>0</v>
      </c>
      <c r="U81" s="176"/>
      <c r="V81" s="176"/>
      <c r="W81" s="176"/>
      <c r="X81" s="298"/>
      <c r="Y81" s="298"/>
    </row>
    <row r="82" spans="1:25">
      <c r="D82" s="181"/>
      <c r="E82" s="180"/>
      <c r="F82" s="181"/>
      <c r="G82" s="66"/>
      <c r="H82" s="181"/>
      <c r="J82" s="42"/>
      <c r="K82" s="174"/>
      <c r="L82" s="66"/>
      <c r="M82" s="66"/>
      <c r="U82" s="176"/>
      <c r="V82" s="176"/>
      <c r="W82" s="176"/>
      <c r="X82" s="298"/>
      <c r="Y82" s="298"/>
    </row>
    <row r="83" spans="1:25">
      <c r="A83" s="172" t="s">
        <v>306</v>
      </c>
      <c r="K83" s="174"/>
      <c r="U83" s="176"/>
      <c r="V83" s="176"/>
      <c r="W83" s="176"/>
      <c r="X83" s="298"/>
      <c r="Y83" s="298"/>
    </row>
    <row r="84" spans="1:25">
      <c r="A84" s="41" t="s">
        <v>301</v>
      </c>
      <c r="K84" s="174"/>
      <c r="U84" s="176"/>
      <c r="V84" s="176"/>
      <c r="W84" s="176"/>
      <c r="X84" s="298"/>
      <c r="Y84" s="298"/>
    </row>
    <row r="85" spans="1:25">
      <c r="A85" s="240" t="str">
        <f>"First "&amp;TEXT('Rate Design'!V5,"#,##0")&amp;" kWhs"</f>
        <v>First 500,000 kWhs</v>
      </c>
      <c r="D85" s="176">
        <f>'Rate Design'!I5/100</f>
        <v>5.8949999999999995E-2</v>
      </c>
      <c r="E85" s="176">
        <f>F85-D85</f>
        <v>8.4799999999999945E-3</v>
      </c>
      <c r="F85" s="176">
        <f>'Rate Design'!I15/100</f>
        <v>6.742999999999999E-2</v>
      </c>
      <c r="G85" s="174"/>
      <c r="H85" s="176">
        <f>F85+G85</f>
        <v>6.742999999999999E-2</v>
      </c>
      <c r="I85" s="176"/>
      <c r="J85" s="174">
        <f>N85-D85</f>
        <v>9.8100000000000062E-3</v>
      </c>
      <c r="K85" s="174">
        <v>0</v>
      </c>
      <c r="L85" s="174">
        <v>0</v>
      </c>
      <c r="M85" s="174">
        <f>F85+J85+K85+L85</f>
        <v>7.7240000000000003E-2</v>
      </c>
      <c r="N85" s="257">
        <f>'Rate Design'!I27/100</f>
        <v>6.8760000000000002E-2</v>
      </c>
      <c r="O85" s="257" t="e">
        <f>O14</f>
        <v>#REF!</v>
      </c>
      <c r="P85" s="257">
        <f>P14</f>
        <v>2.47E-3</v>
      </c>
      <c r="Q85" s="257" t="e">
        <f>M85+O85</f>
        <v>#REF!</v>
      </c>
      <c r="R85" s="256">
        <f>J85/D85</f>
        <v>0.16641221374045814</v>
      </c>
      <c r="S85" s="256">
        <f>(J85+L85)/F85</f>
        <v>0.14548420584309665</v>
      </c>
      <c r="U85" s="176">
        <f>D85+E85-F85</f>
        <v>0</v>
      </c>
      <c r="V85" s="176">
        <f>D85+J85-N85</f>
        <v>0</v>
      </c>
      <c r="W85" s="176">
        <f>F85+G85+J85+K85+L85-M85</f>
        <v>0</v>
      </c>
      <c r="X85" s="298"/>
      <c r="Y85" s="298"/>
    </row>
    <row r="86" spans="1:25">
      <c r="A86" s="240" t="str">
        <f>TEXT('Rate Design'!V27,"#,##0")&amp;" - "&amp;TEXT('Rate Design'!V28,"#,##0")&amp;" kWhs"</f>
        <v>500,000 - 6,000,000 kWhs</v>
      </c>
      <c r="D86" s="176">
        <f>'Rate Design'!I6/100</f>
        <v>5.2939999999999994E-2</v>
      </c>
      <c r="E86" s="176">
        <f>F86-D86</f>
        <v>8.4800000000000014E-3</v>
      </c>
      <c r="F86" s="176">
        <f>'Rate Design'!I16/100</f>
        <v>6.1419999999999995E-2</v>
      </c>
      <c r="G86" s="174"/>
      <c r="H86" s="176">
        <f>F86+G86</f>
        <v>6.1419999999999995E-2</v>
      </c>
      <c r="I86" s="176"/>
      <c r="J86" s="174">
        <f>N86-D86</f>
        <v>8.8100000000000053E-3</v>
      </c>
      <c r="K86" s="174">
        <f>K85</f>
        <v>0</v>
      </c>
      <c r="L86" s="174">
        <v>0</v>
      </c>
      <c r="M86" s="174">
        <f t="shared" ref="M86:M87" si="13">F86+J86+K86+L86</f>
        <v>7.0230000000000001E-2</v>
      </c>
      <c r="N86" s="257">
        <f>'Rate Design'!I28/100</f>
        <v>6.1749999999999999E-2</v>
      </c>
      <c r="O86" s="257" t="e">
        <f>O85</f>
        <v>#REF!</v>
      </c>
      <c r="P86" s="257">
        <f>P85</f>
        <v>2.47E-3</v>
      </c>
      <c r="Q86" s="257" t="e">
        <f>M86+O86</f>
        <v>#REF!</v>
      </c>
      <c r="R86" s="256">
        <f>J86/D86</f>
        <v>0.16641480921798274</v>
      </c>
      <c r="S86" s="256">
        <f t="shared" ref="S86:S87" si="14">(J86+L86)/F86</f>
        <v>0.1434386193422339</v>
      </c>
      <c r="U86" s="176">
        <f>D86+E86-F86</f>
        <v>0</v>
      </c>
      <c r="V86" s="176">
        <f>D86+J86-N86</f>
        <v>0</v>
      </c>
      <c r="W86" s="176">
        <f>F86+G86+J86+K86+L86-M86</f>
        <v>0</v>
      </c>
      <c r="X86" s="298"/>
      <c r="Y86" s="298"/>
    </row>
    <row r="87" spans="1:25">
      <c r="A87" s="240" t="str">
        <f>"All over "&amp;TEXT('Rate Design'!V28,"#,##0")&amp;" kWhs"</f>
        <v>All over 6,000,000 kWhs</v>
      </c>
      <c r="D87" s="176">
        <f>'Rate Design'!I7/100</f>
        <v>4.3200000000000002E-2</v>
      </c>
      <c r="E87" s="176">
        <f>F87-D87</f>
        <v>6.1200000000000004E-3</v>
      </c>
      <c r="F87" s="176">
        <f>'Rate Design'!I17/100</f>
        <v>4.9320000000000003E-2</v>
      </c>
      <c r="G87" s="174"/>
      <c r="H87" s="176">
        <f>F87+G87</f>
        <v>4.9320000000000003E-2</v>
      </c>
      <c r="I87" s="176"/>
      <c r="J87" s="174">
        <f>N87-D87</f>
        <v>7.189999999999995E-3</v>
      </c>
      <c r="K87" s="174">
        <v>0</v>
      </c>
      <c r="L87" s="174">
        <v>0</v>
      </c>
      <c r="M87" s="174">
        <f t="shared" si="13"/>
        <v>5.6509999999999998E-2</v>
      </c>
      <c r="N87" s="257">
        <f>'Rate Design'!I29/100</f>
        <v>5.0389999999999997E-2</v>
      </c>
      <c r="O87" s="257" t="e">
        <f>O85</f>
        <v>#REF!</v>
      </c>
      <c r="P87" s="257">
        <f>P85</f>
        <v>2.47E-3</v>
      </c>
      <c r="Q87" s="257" t="e">
        <f>M87+O87</f>
        <v>#REF!</v>
      </c>
      <c r="R87" s="256">
        <f>J87/D87</f>
        <v>0.16643518518518505</v>
      </c>
      <c r="S87" s="256">
        <f t="shared" si="14"/>
        <v>0.14578264395782634</v>
      </c>
      <c r="U87" s="176">
        <f>D87+E87-F87</f>
        <v>0</v>
      </c>
      <c r="V87" s="176">
        <f>D87+J87-N87</f>
        <v>0</v>
      </c>
      <c r="W87" s="176">
        <f>F87+G87+J87+K87+L87-M87</f>
        <v>0</v>
      </c>
      <c r="X87" s="298"/>
      <c r="Y87" s="298"/>
    </row>
    <row r="88" spans="1:25">
      <c r="A88" s="41" t="s">
        <v>303</v>
      </c>
      <c r="K88" s="174"/>
      <c r="U88" s="176"/>
      <c r="V88" s="176"/>
      <c r="W88" s="176"/>
      <c r="X88" s="298"/>
      <c r="Y88" s="298"/>
    </row>
    <row r="89" spans="1:25">
      <c r="A89" s="240" t="str">
        <f>TEXT('Rate Design'!V10,"#,##0")&amp;" kva or less"</f>
        <v>3,000 kva or less</v>
      </c>
      <c r="D89" s="182">
        <f>'Rate Design'!I9</f>
        <v>30650</v>
      </c>
      <c r="E89" s="182">
        <f>F89-D89</f>
        <v>0</v>
      </c>
      <c r="F89" s="182">
        <f>'Rate Design'!I19</f>
        <v>30650</v>
      </c>
      <c r="G89" s="183"/>
      <c r="H89" s="182"/>
      <c r="I89" s="182"/>
      <c r="J89" s="183">
        <f>IF(ROUND(M89-F89,5)&lt;&gt;ROUND(N89-D89,5),#VALUE!,N89-D89)</f>
        <v>0</v>
      </c>
      <c r="K89" s="174"/>
      <c r="L89" s="183"/>
      <c r="M89" s="183">
        <f>'Rate Design'!I41</f>
        <v>30650</v>
      </c>
      <c r="N89" s="183">
        <f>'Rate Design'!I31</f>
        <v>30650</v>
      </c>
      <c r="O89" s="183"/>
      <c r="P89" s="183"/>
      <c r="Q89" s="183">
        <f>'Rate Design'!I31</f>
        <v>30650</v>
      </c>
      <c r="R89" s="256">
        <f>J89/D89</f>
        <v>0</v>
      </c>
      <c r="S89" s="256">
        <f>J89/F89</f>
        <v>0</v>
      </c>
      <c r="U89" s="176"/>
      <c r="V89" s="176"/>
      <c r="W89" s="176"/>
      <c r="X89" s="298"/>
      <c r="Y89" s="298"/>
    </row>
    <row r="90" spans="1:25" ht="12.5">
      <c r="A90" s="240" t="str">
        <f>"Over "&amp;TEXT('Rate Design'!V10,"#,##0")&amp;" kva"</f>
        <v>Over 3,000 kva</v>
      </c>
      <c r="D90" s="184">
        <f>'Rate Design'!I10</f>
        <v>8.3000000000000007</v>
      </c>
      <c r="E90" s="184">
        <f>F90-D90</f>
        <v>0</v>
      </c>
      <c r="F90" s="184">
        <f>'Rate Design'!I20</f>
        <v>8.3000000000000007</v>
      </c>
      <c r="G90" s="184"/>
      <c r="H90" s="184"/>
      <c r="J90" s="184">
        <f>IF(ROUND(M90-F90,5)&lt;&gt;ROUND(N90-D90,5),#VALUE!,N90-D90)</f>
        <v>0.69999999999999929</v>
      </c>
      <c r="K90" s="311"/>
      <c r="L90" s="184"/>
      <c r="M90" s="184">
        <f>'Rate Design'!I42</f>
        <v>9</v>
      </c>
      <c r="N90" s="184">
        <f>'Rate Design'!I32</f>
        <v>9</v>
      </c>
      <c r="O90" s="184"/>
      <c r="P90" s="184"/>
      <c r="Q90" s="184">
        <f>'Rate Design'!I32</f>
        <v>9</v>
      </c>
      <c r="R90" s="256">
        <f>J90/D90</f>
        <v>8.4337349397590272E-2</v>
      </c>
      <c r="S90" s="256">
        <f>J90/F90</f>
        <v>8.4337349397590272E-2</v>
      </c>
      <c r="U90" s="176"/>
      <c r="V90" s="176"/>
      <c r="W90" s="176"/>
      <c r="X90" s="298"/>
      <c r="Y90" s="298"/>
    </row>
    <row r="91" spans="1:25" ht="12.5">
      <c r="A91" s="41" t="s">
        <v>323</v>
      </c>
      <c r="G91" s="41"/>
      <c r="J91" s="41"/>
      <c r="K91" s="176"/>
      <c r="L91" s="41"/>
      <c r="M91" s="41"/>
      <c r="N91" s="41"/>
      <c r="O91" s="41"/>
      <c r="P91" s="41"/>
      <c r="Q91" s="41"/>
      <c r="U91" s="176"/>
      <c r="V91" s="176"/>
      <c r="W91" s="176"/>
      <c r="X91" s="298"/>
      <c r="Y91" s="298"/>
    </row>
    <row r="92" spans="1:25" ht="12.5">
      <c r="A92" s="240" t="s">
        <v>324</v>
      </c>
      <c r="D92" s="184">
        <v>0.2</v>
      </c>
      <c r="E92" s="179">
        <f>F92-D92</f>
        <v>0</v>
      </c>
      <c r="F92" s="184">
        <v>0.2</v>
      </c>
      <c r="G92" s="179"/>
      <c r="H92" s="179"/>
      <c r="J92" s="179">
        <f>IF(ROUND(M92-F92,5)&lt;&gt;ROUND(N92-D92,5),#VALUE!,N92-D92)</f>
        <v>0</v>
      </c>
      <c r="K92" s="311"/>
      <c r="L92" s="179"/>
      <c r="M92" s="184">
        <v>0.2</v>
      </c>
      <c r="N92" s="184">
        <v>0.2</v>
      </c>
      <c r="O92" s="179"/>
      <c r="P92" s="179"/>
      <c r="Q92" s="179">
        <f>N92</f>
        <v>0.2</v>
      </c>
      <c r="R92" s="256">
        <f>J92/D92</f>
        <v>0</v>
      </c>
      <c r="S92" s="256">
        <f>J92/F92</f>
        <v>0</v>
      </c>
      <c r="U92" s="176"/>
      <c r="V92" s="176"/>
      <c r="W92" s="176"/>
      <c r="X92" s="298"/>
      <c r="Y92" s="298"/>
    </row>
    <row r="93" spans="1:25" ht="12.5">
      <c r="A93" s="240" t="s">
        <v>325</v>
      </c>
      <c r="D93" s="184">
        <v>1.52</v>
      </c>
      <c r="E93" s="179">
        <f>F93-D93</f>
        <v>0</v>
      </c>
      <c r="F93" s="184">
        <v>1.52</v>
      </c>
      <c r="G93" s="179"/>
      <c r="H93" s="179"/>
      <c r="J93" s="184">
        <f>IF(ROUND(M93-F93,5)&lt;&gt;ROUND(N93-D93,5),#VALUE!,N93-D93)</f>
        <v>0</v>
      </c>
      <c r="K93" s="311"/>
      <c r="L93" s="179"/>
      <c r="M93" s="184">
        <v>1.52</v>
      </c>
      <c r="N93" s="184">
        <v>1.52</v>
      </c>
      <c r="O93" s="179"/>
      <c r="P93" s="179"/>
      <c r="Q93" s="179">
        <f>N93</f>
        <v>1.52</v>
      </c>
      <c r="R93" s="256">
        <f>J93/D93</f>
        <v>0</v>
      </c>
      <c r="S93" s="256">
        <f>J93/F93</f>
        <v>0</v>
      </c>
      <c r="U93" s="176"/>
      <c r="V93" s="176"/>
      <c r="W93" s="176"/>
      <c r="X93" s="298"/>
      <c r="Y93" s="298"/>
    </row>
    <row r="94" spans="1:25" ht="12.5">
      <c r="A94" s="240" t="s">
        <v>326</v>
      </c>
      <c r="D94" s="184">
        <v>1.93</v>
      </c>
      <c r="E94" s="179">
        <f>F94-D94</f>
        <v>0</v>
      </c>
      <c r="F94" s="184">
        <v>1.93</v>
      </c>
      <c r="G94" s="179"/>
      <c r="H94" s="179"/>
      <c r="J94" s="184">
        <f>IF(ROUND(M94-F94,5)&lt;&gt;ROUND(N94-D94,5),#VALUE!,N94-D94)</f>
        <v>0</v>
      </c>
      <c r="K94" s="311"/>
      <c r="L94" s="179"/>
      <c r="M94" s="184">
        <v>1.93</v>
      </c>
      <c r="N94" s="184">
        <v>1.93</v>
      </c>
      <c r="O94" s="179"/>
      <c r="P94" s="179"/>
      <c r="Q94" s="179">
        <f>N94</f>
        <v>1.93</v>
      </c>
      <c r="R94" s="256">
        <f>J94/D94</f>
        <v>0</v>
      </c>
      <c r="S94" s="256">
        <f>J94/F94</f>
        <v>0</v>
      </c>
      <c r="U94" s="176"/>
      <c r="V94" s="176"/>
      <c r="W94" s="176"/>
      <c r="X94" s="298"/>
      <c r="Y94" s="298"/>
    </row>
    <row r="95" spans="1:25">
      <c r="A95" s="41" t="s">
        <v>307</v>
      </c>
      <c r="D95" s="181" t="s">
        <v>319</v>
      </c>
      <c r="E95" s="223">
        <v>996320</v>
      </c>
      <c r="G95" s="181"/>
      <c r="J95" s="181"/>
      <c r="K95" s="174"/>
      <c r="L95" s="181" t="s">
        <v>320</v>
      </c>
      <c r="M95" s="189">
        <f>6000000*N85+5000000*N86+12*N89</f>
        <v>1089110</v>
      </c>
      <c r="Q95" s="189">
        <f>M95</f>
        <v>1089110</v>
      </c>
      <c r="R95" s="256">
        <f>M95/E95-1</f>
        <v>9.3132728440661561E-2</v>
      </c>
      <c r="S95" s="256"/>
      <c r="U95" s="176"/>
      <c r="V95" s="176"/>
      <c r="W95" s="176"/>
      <c r="X95" s="298"/>
      <c r="Y95" s="298"/>
    </row>
    <row r="96" spans="1:25">
      <c r="K96" s="174"/>
      <c r="U96" s="176"/>
      <c r="V96" s="176"/>
      <c r="W96" s="176"/>
      <c r="X96" s="298"/>
      <c r="Y96" s="298"/>
    </row>
    <row r="97" spans="1:25">
      <c r="A97" s="172" t="s">
        <v>786</v>
      </c>
      <c r="K97" s="174"/>
      <c r="U97" s="176"/>
      <c r="V97" s="176"/>
      <c r="W97" s="176"/>
      <c r="X97" s="298"/>
      <c r="Y97" s="298"/>
    </row>
    <row r="98" spans="1:25">
      <c r="A98" s="41" t="s">
        <v>301</v>
      </c>
      <c r="K98" s="174"/>
      <c r="U98" s="176"/>
      <c r="V98" s="176"/>
      <c r="W98" s="176"/>
      <c r="X98" s="298"/>
      <c r="Y98" s="298"/>
    </row>
    <row r="99" spans="1:25">
      <c r="A99" s="240" t="str">
        <f>"First "&amp;TEXT('Rate Design'!V19,"#,##0")&amp;" kWhs"</f>
        <v>First 0 kWhs</v>
      </c>
      <c r="D99" s="176">
        <f>'Rate Design'!J5/100</f>
        <v>4.7840000000000001E-2</v>
      </c>
      <c r="E99" s="176">
        <f>F99-D99</f>
        <v>7.8000000000000014E-3</v>
      </c>
      <c r="F99" s="176">
        <f>'Rate Design'!J15/100</f>
        <v>5.5640000000000002E-2</v>
      </c>
      <c r="G99" s="174"/>
      <c r="H99" s="176">
        <f>F99+G99</f>
        <v>5.5640000000000002E-2</v>
      </c>
      <c r="I99" s="176"/>
      <c r="J99" s="174">
        <f>N99-D99</f>
        <v>6.4699999999999966E-3</v>
      </c>
      <c r="K99" s="174">
        <v>0</v>
      </c>
      <c r="L99" s="174">
        <v>0</v>
      </c>
      <c r="M99" s="174">
        <f>F99+J99+K99+L99</f>
        <v>6.2109999999999999E-2</v>
      </c>
      <c r="N99" s="257">
        <f>'Rate Design'!J27/100</f>
        <v>5.4309999999999997E-2</v>
      </c>
      <c r="O99" s="257">
        <f>O41</f>
        <v>0</v>
      </c>
      <c r="P99" s="257">
        <f>P41</f>
        <v>0</v>
      </c>
      <c r="Q99" s="257">
        <f>M99+O99</f>
        <v>6.2109999999999999E-2</v>
      </c>
      <c r="R99" s="256">
        <f>J99/D99</f>
        <v>0.13524247491638788</v>
      </c>
      <c r="S99" s="256">
        <f>(J99+L99)/F99</f>
        <v>0.11628324946081948</v>
      </c>
      <c r="U99" s="176">
        <f>D99+E99-F99</f>
        <v>0</v>
      </c>
      <c r="V99" s="176">
        <f>D99+J99-N99</f>
        <v>0</v>
      </c>
      <c r="W99" s="176">
        <f>F99+G99+J99+K99+L99-M99</f>
        <v>0</v>
      </c>
      <c r="X99" s="298"/>
      <c r="Y99" s="298"/>
    </row>
    <row r="100" spans="1:25">
      <c r="A100" s="240" t="str">
        <f>TEXT('Rate Design'!V41,"#,##0")&amp;" - "&amp;TEXT('Rate Design'!V42,"#,##0")&amp;" kWhs"</f>
        <v>0 - 3,000 kWhs</v>
      </c>
      <c r="D100" s="176">
        <f>'Rate Design'!J6/100</f>
        <v>4.299E-2</v>
      </c>
      <c r="E100" s="176">
        <f>F100-D100</f>
        <v>7.8000000000000083E-3</v>
      </c>
      <c r="F100" s="176">
        <f>'Rate Design'!J16/100</f>
        <v>5.0790000000000009E-2</v>
      </c>
      <c r="G100" s="174"/>
      <c r="H100" s="176">
        <f>F100+G100</f>
        <v>5.0790000000000009E-2</v>
      </c>
      <c r="I100" s="176"/>
      <c r="J100" s="174">
        <f>N100-D100</f>
        <v>5.8099999999999957E-3</v>
      </c>
      <c r="K100" s="174">
        <f>K99</f>
        <v>0</v>
      </c>
      <c r="L100" s="174">
        <v>0</v>
      </c>
      <c r="M100" s="174">
        <f t="shared" ref="M100:M101" si="15">F100+J100+K100+L100</f>
        <v>5.6600000000000004E-2</v>
      </c>
      <c r="N100" s="257">
        <f>'Rate Design'!J28/100</f>
        <v>4.8799999999999996E-2</v>
      </c>
      <c r="O100" s="257">
        <f>O99</f>
        <v>0</v>
      </c>
      <c r="P100" s="257">
        <f>P99</f>
        <v>0</v>
      </c>
      <c r="Q100" s="257">
        <f>M100+O100</f>
        <v>5.6600000000000004E-2</v>
      </c>
      <c r="R100" s="256">
        <f>J100/D100</f>
        <v>0.13514770876948118</v>
      </c>
      <c r="S100" s="256">
        <f t="shared" ref="S100:S101" si="16">(J100+L100)/F100</f>
        <v>0.11439259696790696</v>
      </c>
      <c r="U100" s="176">
        <f>D100+E100-F100</f>
        <v>0</v>
      </c>
      <c r="V100" s="176">
        <f>D100+J100-N100</f>
        <v>0</v>
      </c>
      <c r="W100" s="176">
        <f>F100+G100+J100+K100+L100-M100</f>
        <v>0</v>
      </c>
      <c r="X100" s="298"/>
      <c r="Y100" s="298"/>
    </row>
    <row r="101" spans="1:25">
      <c r="A101" s="240" t="str">
        <f>"All over "&amp;TEXT('Rate Design'!V42,"#,##0")&amp;" kWhs"</f>
        <v>All over 3,000 kWhs</v>
      </c>
      <c r="D101" s="176">
        <f>'Rate Design'!J7/100</f>
        <v>3.6670000000000001E-2</v>
      </c>
      <c r="E101" s="176">
        <f>F101-D101</f>
        <v>5.4399999999999935E-3</v>
      </c>
      <c r="F101" s="176">
        <f>'Rate Design'!J17/100</f>
        <v>4.2109999999999995E-2</v>
      </c>
      <c r="G101" s="174"/>
      <c r="H101" s="176">
        <f>F101+G101</f>
        <v>4.2109999999999995E-2</v>
      </c>
      <c r="I101" s="176"/>
      <c r="J101" s="174">
        <f>N101-D101</f>
        <v>4.9599999999999991E-3</v>
      </c>
      <c r="K101" s="174"/>
      <c r="L101" s="174">
        <v>0</v>
      </c>
      <c r="M101" s="174">
        <f t="shared" si="15"/>
        <v>4.7069999999999994E-2</v>
      </c>
      <c r="N101" s="257">
        <f>'Rate Design'!J29/100</f>
        <v>4.163E-2</v>
      </c>
      <c r="O101" s="257">
        <f>O99</f>
        <v>0</v>
      </c>
      <c r="P101" s="257">
        <f>P99</f>
        <v>0</v>
      </c>
      <c r="Q101" s="257">
        <f>M101+O101</f>
        <v>4.7069999999999994E-2</v>
      </c>
      <c r="R101" s="256">
        <f>J101/D101</f>
        <v>0.1352604308699209</v>
      </c>
      <c r="S101" s="256">
        <f t="shared" si="16"/>
        <v>0.11778674899073853</v>
      </c>
      <c r="U101" s="176">
        <f>D101+E101-F101</f>
        <v>0</v>
      </c>
      <c r="V101" s="176">
        <f>D101+J101-N101</f>
        <v>0</v>
      </c>
      <c r="W101" s="176">
        <f>F101+G101+J101+K101+L101-M101</f>
        <v>0</v>
      </c>
      <c r="X101" s="298"/>
      <c r="Y101" s="298"/>
    </row>
    <row r="102" spans="1:25">
      <c r="A102" s="41" t="s">
        <v>303</v>
      </c>
      <c r="K102" s="174"/>
      <c r="U102" s="176"/>
      <c r="V102" s="176"/>
      <c r="W102" s="176"/>
      <c r="X102" s="298"/>
      <c r="Y102" s="298"/>
    </row>
    <row r="103" spans="1:25">
      <c r="A103" s="240" t="str">
        <f>TEXT('Rate Design'!V24,"#,##0")&amp;" kva or less"</f>
        <v>0 kva or less</v>
      </c>
      <c r="D103" s="182">
        <f>'Rate Design'!J9</f>
        <v>30650</v>
      </c>
      <c r="E103" s="182">
        <f>F103-D103</f>
        <v>0</v>
      </c>
      <c r="F103" s="182">
        <f>'Rate Design'!J19</f>
        <v>30650</v>
      </c>
      <c r="G103" s="183"/>
      <c r="H103" s="182"/>
      <c r="I103" s="182"/>
      <c r="J103" s="183">
        <f>IF(ROUND(M103-F103,5)&lt;&gt;ROUND(N103-D103,5),#VALUE!,N103-D103)</f>
        <v>0</v>
      </c>
      <c r="K103" s="174"/>
      <c r="L103" s="183"/>
      <c r="M103" s="183">
        <f>'Rate Design'!J41</f>
        <v>30650</v>
      </c>
      <c r="N103" s="183">
        <f>'Rate Design'!J31</f>
        <v>30650</v>
      </c>
      <c r="O103" s="183"/>
      <c r="P103" s="183"/>
      <c r="Q103" s="183">
        <f>'Rate Design'!I45</f>
        <v>0</v>
      </c>
      <c r="R103" s="256">
        <f>J103/D103</f>
        <v>0</v>
      </c>
      <c r="S103" s="256">
        <f>J103/F103</f>
        <v>0</v>
      </c>
      <c r="U103" s="176"/>
      <c r="V103" s="176"/>
      <c r="W103" s="176"/>
      <c r="X103" s="298"/>
      <c r="Y103" s="298"/>
    </row>
    <row r="104" spans="1:25" ht="12.5">
      <c r="A104" s="240" t="str">
        <f>"Over "&amp;TEXT('Rate Design'!V24,"#,##0")&amp;" kva"</f>
        <v>Over 0 kva</v>
      </c>
      <c r="D104" s="184">
        <f>'Rate Design'!J10</f>
        <v>8.3000000000000007</v>
      </c>
      <c r="E104" s="184">
        <f>F104-D104</f>
        <v>0</v>
      </c>
      <c r="F104" s="184">
        <f>'Rate Design'!J20</f>
        <v>8.3000000000000007</v>
      </c>
      <c r="G104" s="184"/>
      <c r="H104" s="184"/>
      <c r="J104" s="184">
        <f>IF(ROUND(M104-F104,5)&lt;&gt;ROUND(N104-D104,5),#VALUE!,N104-D104)</f>
        <v>0.69999999999999929</v>
      </c>
      <c r="K104" s="311"/>
      <c r="L104" s="184"/>
      <c r="M104" s="184">
        <f>'Rate Design'!J42</f>
        <v>9</v>
      </c>
      <c r="N104" s="184">
        <f>'Rate Design'!J32</f>
        <v>9</v>
      </c>
      <c r="O104" s="184"/>
      <c r="P104" s="184"/>
      <c r="Q104" s="184">
        <f>'Rate Design'!I46</f>
        <v>0</v>
      </c>
      <c r="R104" s="256">
        <f>J104/D104</f>
        <v>8.4337349397590272E-2</v>
      </c>
      <c r="S104" s="256">
        <f>J104/F104</f>
        <v>8.4337349397590272E-2</v>
      </c>
      <c r="U104" s="176"/>
      <c r="V104" s="176"/>
      <c r="W104" s="176"/>
      <c r="X104" s="298"/>
      <c r="Y104" s="298"/>
    </row>
    <row r="105" spans="1:25" ht="12.5">
      <c r="A105" s="41" t="s">
        <v>323</v>
      </c>
      <c r="G105" s="41"/>
      <c r="J105" s="41"/>
      <c r="K105" s="176"/>
      <c r="L105" s="41"/>
      <c r="M105" s="41"/>
      <c r="N105" s="41"/>
      <c r="O105" s="41"/>
      <c r="P105" s="41"/>
      <c r="Q105" s="41"/>
      <c r="U105" s="176"/>
      <c r="V105" s="176"/>
      <c r="W105" s="176"/>
      <c r="X105" s="298"/>
      <c r="Y105" s="298"/>
    </row>
    <row r="106" spans="1:25" ht="12.5">
      <c r="A106" s="240" t="s">
        <v>324</v>
      </c>
      <c r="D106" s="184">
        <v>0.2</v>
      </c>
      <c r="E106" s="179">
        <f>F106-D106</f>
        <v>0</v>
      </c>
      <c r="F106" s="184">
        <v>0.2</v>
      </c>
      <c r="G106" s="179"/>
      <c r="H106" s="179"/>
      <c r="J106" s="179">
        <f>IF(ROUND(M106-F106,5)&lt;&gt;ROUND(N106-D106,5),#VALUE!,N106-D106)</f>
        <v>0</v>
      </c>
      <c r="K106" s="311"/>
      <c r="L106" s="179"/>
      <c r="M106" s="184">
        <v>0.2</v>
      </c>
      <c r="N106" s="184">
        <v>0.2</v>
      </c>
      <c r="O106" s="179"/>
      <c r="P106" s="179"/>
      <c r="Q106" s="179">
        <f>N106</f>
        <v>0.2</v>
      </c>
      <c r="R106" s="256">
        <f>J106/D106</f>
        <v>0</v>
      </c>
      <c r="S106" s="256">
        <f>J106/F106</f>
        <v>0</v>
      </c>
      <c r="U106" s="176"/>
      <c r="V106" s="176"/>
      <c r="W106" s="176"/>
      <c r="X106" s="298"/>
      <c r="Y106" s="298"/>
    </row>
    <row r="107" spans="1:25" ht="12.5">
      <c r="A107" s="240" t="s">
        <v>325</v>
      </c>
      <c r="D107" s="184">
        <v>1.52</v>
      </c>
      <c r="E107" s="179">
        <f>F107-D107</f>
        <v>0</v>
      </c>
      <c r="F107" s="184">
        <v>1.52</v>
      </c>
      <c r="G107" s="179"/>
      <c r="H107" s="179"/>
      <c r="J107" s="184">
        <f>IF(ROUND(M107-F107,5)&lt;&gt;ROUND(N107-D107,5),#VALUE!,N107-D107)</f>
        <v>0</v>
      </c>
      <c r="K107" s="311"/>
      <c r="L107" s="179"/>
      <c r="M107" s="184">
        <v>1.52</v>
      </c>
      <c r="N107" s="184">
        <v>1.52</v>
      </c>
      <c r="O107" s="179"/>
      <c r="P107" s="179"/>
      <c r="Q107" s="179">
        <f>N107</f>
        <v>1.52</v>
      </c>
      <c r="R107" s="256">
        <f>J107/D107</f>
        <v>0</v>
      </c>
      <c r="S107" s="256">
        <f>J107/F107</f>
        <v>0</v>
      </c>
      <c r="U107" s="176"/>
      <c r="V107" s="176"/>
      <c r="W107" s="176"/>
      <c r="X107" s="298"/>
      <c r="Y107" s="298"/>
    </row>
    <row r="108" spans="1:25" ht="12.5">
      <c r="A108" s="240" t="s">
        <v>326</v>
      </c>
      <c r="D108" s="184">
        <v>1.93</v>
      </c>
      <c r="E108" s="179">
        <f>F108-D108</f>
        <v>0</v>
      </c>
      <c r="F108" s="184">
        <v>1.93</v>
      </c>
      <c r="G108" s="179"/>
      <c r="H108" s="179"/>
      <c r="J108" s="184">
        <f>IF(ROUND(M108-F108,5)&lt;&gt;ROUND(N108-D108,5),#VALUE!,N108-D108)</f>
        <v>0</v>
      </c>
      <c r="K108" s="311"/>
      <c r="L108" s="179"/>
      <c r="M108" s="184">
        <v>1.93</v>
      </c>
      <c r="N108" s="184">
        <v>1.93</v>
      </c>
      <c r="O108" s="179"/>
      <c r="P108" s="179"/>
      <c r="Q108" s="179">
        <f>N108</f>
        <v>1.93</v>
      </c>
      <c r="R108" s="256">
        <f>J108/D108</f>
        <v>0</v>
      </c>
      <c r="S108" s="256">
        <f>J108/F108</f>
        <v>0</v>
      </c>
      <c r="U108" s="176"/>
      <c r="V108" s="176"/>
      <c r="W108" s="176"/>
      <c r="X108" s="298"/>
      <c r="Y108" s="298"/>
    </row>
    <row r="109" spans="1:25">
      <c r="D109" s="181"/>
      <c r="E109" s="223"/>
      <c r="G109" s="181"/>
      <c r="J109" s="181"/>
      <c r="K109" s="174"/>
      <c r="L109" s="181"/>
      <c r="M109" s="189"/>
      <c r="Q109" s="189">
        <f>M109</f>
        <v>0</v>
      </c>
      <c r="R109" s="256"/>
      <c r="S109" s="256"/>
      <c r="U109" s="176"/>
      <c r="V109" s="176"/>
      <c r="W109" s="176"/>
      <c r="X109" s="298"/>
      <c r="Y109" s="298"/>
    </row>
    <row r="110" spans="1:25">
      <c r="K110" s="174"/>
      <c r="U110" s="176"/>
      <c r="V110" s="176"/>
      <c r="W110" s="176"/>
      <c r="X110" s="298"/>
      <c r="Y110" s="298"/>
    </row>
    <row r="111" spans="1:25">
      <c r="A111" s="172" t="s">
        <v>308</v>
      </c>
      <c r="K111" s="174"/>
      <c r="U111" s="176"/>
      <c r="V111" s="176"/>
      <c r="W111" s="176"/>
      <c r="X111" s="298"/>
      <c r="Y111" s="298"/>
    </row>
    <row r="112" spans="1:25">
      <c r="A112" s="41" t="s">
        <v>237</v>
      </c>
      <c r="D112" s="178">
        <f>'Rate Design'!K4</f>
        <v>21</v>
      </c>
      <c r="E112" s="177">
        <f>F112-D112</f>
        <v>0</v>
      </c>
      <c r="F112" s="178">
        <f>'Rate Design'!K14</f>
        <v>21</v>
      </c>
      <c r="G112" s="173"/>
      <c r="H112" s="178"/>
      <c r="J112" s="173">
        <f>IF(ROUND(M112-F112,5)&lt;&gt;ROUND(N112-D112,5),#VALUE!,N112-D112)</f>
        <v>4</v>
      </c>
      <c r="K112" s="174"/>
      <c r="L112" s="173"/>
      <c r="M112" s="173">
        <f>'Rate Design'!K36</f>
        <v>25</v>
      </c>
      <c r="N112" s="173">
        <f>'Rate Design'!K26</f>
        <v>25</v>
      </c>
      <c r="O112" s="173"/>
      <c r="P112" s="173"/>
      <c r="Q112" s="173">
        <f>N112</f>
        <v>25</v>
      </c>
      <c r="R112" s="256">
        <f>J112/D112</f>
        <v>0.19047619047619047</v>
      </c>
      <c r="S112" s="256">
        <f>J112/F112</f>
        <v>0.19047619047619047</v>
      </c>
      <c r="U112" s="176"/>
      <c r="V112" s="176"/>
      <c r="W112" s="176"/>
      <c r="X112" s="298"/>
      <c r="Y112" s="298"/>
    </row>
    <row r="113" spans="1:25">
      <c r="A113" s="41" t="s">
        <v>301</v>
      </c>
      <c r="K113" s="174"/>
      <c r="U113" s="176"/>
      <c r="V113" s="176"/>
      <c r="W113" s="176"/>
      <c r="X113" s="298"/>
      <c r="Y113" s="298"/>
    </row>
    <row r="114" spans="1:25">
      <c r="A114" s="240" t="s">
        <v>642</v>
      </c>
      <c r="D114" s="176">
        <f>'Rate Design'!K5/100</f>
        <v>0.11464000000000001</v>
      </c>
      <c r="E114" s="176">
        <f>F114-D114</f>
        <v>1.0640000000000024E-2</v>
      </c>
      <c r="F114" s="176">
        <f>'Rate Design'!K15/100</f>
        <v>0.12528000000000003</v>
      </c>
      <c r="G114" s="174"/>
      <c r="H114" s="176">
        <f>F114+G114</f>
        <v>0.12528000000000003</v>
      </c>
      <c r="I114" s="176"/>
      <c r="J114" s="174">
        <f>N114-D114</f>
        <v>1.464E-2</v>
      </c>
      <c r="K114" s="174">
        <v>0</v>
      </c>
      <c r="L114" s="174">
        <v>0</v>
      </c>
      <c r="M114" s="174">
        <f>F114+J114+K114+L114</f>
        <v>0.13992000000000004</v>
      </c>
      <c r="N114" s="257">
        <f>'Rate Design'!K27/100</f>
        <v>0.12928000000000001</v>
      </c>
      <c r="O114" s="257" t="e">
        <f>O14</f>
        <v>#REF!</v>
      </c>
      <c r="P114" s="257">
        <f>P14</f>
        <v>2.47E-3</v>
      </c>
      <c r="Q114" s="257" t="e">
        <f>M114+O114</f>
        <v>#REF!</v>
      </c>
      <c r="R114" s="256">
        <f>J114/D114</f>
        <v>0.12770411723656663</v>
      </c>
      <c r="S114" s="256">
        <f>(J114+L114)/F114</f>
        <v>0.11685823754789269</v>
      </c>
      <c r="U114" s="176">
        <f>D114+E114-F114</f>
        <v>0</v>
      </c>
      <c r="V114" s="176">
        <f>D114+J114-N114</f>
        <v>0</v>
      </c>
      <c r="W114" s="176">
        <f>F114+G114+J114+K114+L114-M114</f>
        <v>0</v>
      </c>
      <c r="X114" s="298"/>
      <c r="Y114" s="298"/>
    </row>
    <row r="115" spans="1:25">
      <c r="A115" s="240" t="s">
        <v>643</v>
      </c>
      <c r="D115" s="176">
        <f>'Rate Design'!K5/100</f>
        <v>0.11464000000000001</v>
      </c>
      <c r="E115" s="176">
        <f>F114-D114</f>
        <v>1.0640000000000024E-2</v>
      </c>
      <c r="F115" s="176">
        <f>'Rate Design'!K15/100</f>
        <v>0.12528000000000003</v>
      </c>
      <c r="G115" s="174"/>
      <c r="H115" s="176">
        <f>F115+G115</f>
        <v>0.12528000000000003</v>
      </c>
      <c r="I115" s="176"/>
      <c r="J115" s="174">
        <f>N114-D114</f>
        <v>1.464E-2</v>
      </c>
      <c r="K115" s="174">
        <f>K114</f>
        <v>0</v>
      </c>
      <c r="L115" s="174">
        <v>0</v>
      </c>
      <c r="M115" s="174">
        <f t="shared" ref="M115:M116" si="17">F115+J115+K115+L115</f>
        <v>0.13992000000000004</v>
      </c>
      <c r="N115" s="257">
        <f>'Rate Design'!K27/100</f>
        <v>0.12928000000000001</v>
      </c>
      <c r="O115" s="257"/>
      <c r="P115" s="257"/>
      <c r="Q115" s="257"/>
      <c r="R115" s="256">
        <f>J115/D115</f>
        <v>0.12770411723656663</v>
      </c>
      <c r="S115" s="256">
        <f t="shared" ref="S115:S116" si="18">(J115+L115)/F115</f>
        <v>0.11685823754789269</v>
      </c>
      <c r="U115" s="176">
        <f>D115+E115-F115</f>
        <v>0</v>
      </c>
      <c r="V115" s="176">
        <f>D115+J115-N115</f>
        <v>0</v>
      </c>
      <c r="W115" s="176">
        <f>F115+G115+J115+K115+L115-M115</f>
        <v>0</v>
      </c>
      <c r="X115" s="298"/>
      <c r="Y115" s="298"/>
    </row>
    <row r="116" spans="1:25">
      <c r="A116" s="240" t="s">
        <v>311</v>
      </c>
      <c r="D116" s="176">
        <f>'Rate Design'!K6/100</f>
        <v>8.0229999999999996E-2</v>
      </c>
      <c r="E116" s="176">
        <f>F116-D116</f>
        <v>1.0639999999999997E-2</v>
      </c>
      <c r="F116" s="176">
        <f>'Rate Design'!K16/100</f>
        <v>9.0869999999999992E-2</v>
      </c>
      <c r="G116" s="174"/>
      <c r="H116" s="176">
        <f>F116+G116</f>
        <v>9.0869999999999992E-2</v>
      </c>
      <c r="I116" s="176"/>
      <c r="J116" s="174">
        <f>N116-D116</f>
        <v>1.0240000000000013E-2</v>
      </c>
      <c r="K116" s="174">
        <f>K114</f>
        <v>0</v>
      </c>
      <c r="L116" s="174">
        <v>0</v>
      </c>
      <c r="M116" s="174">
        <f t="shared" si="17"/>
        <v>0.10111000000000001</v>
      </c>
      <c r="N116" s="257">
        <f>'Rate Design'!K28/100</f>
        <v>9.0470000000000009E-2</v>
      </c>
      <c r="O116" s="257" t="e">
        <f>O114</f>
        <v>#REF!</v>
      </c>
      <c r="P116" s="257">
        <f>P114</f>
        <v>2.47E-3</v>
      </c>
      <c r="Q116" s="257" t="e">
        <f>M116+O116</f>
        <v>#REF!</v>
      </c>
      <c r="R116" s="256">
        <f>J116/D116</f>
        <v>0.12763305496697014</v>
      </c>
      <c r="S116" s="256">
        <f t="shared" si="18"/>
        <v>0.11268845603609567</v>
      </c>
      <c r="U116" s="176">
        <f>D116+E116-F116</f>
        <v>0</v>
      </c>
      <c r="V116" s="176">
        <f>D116+J116-N116</f>
        <v>0</v>
      </c>
      <c r="W116" s="176">
        <f>F116+G116+J116+K116+L116-M116</f>
        <v>0</v>
      </c>
      <c r="X116" s="298"/>
      <c r="Y116" s="298"/>
    </row>
    <row r="117" spans="1:25">
      <c r="D117" s="176"/>
      <c r="E117" s="176"/>
      <c r="F117" s="176"/>
      <c r="G117" s="174"/>
      <c r="H117" s="176"/>
      <c r="I117" s="176"/>
      <c r="J117" s="174"/>
      <c r="L117" s="174"/>
      <c r="M117" s="174"/>
      <c r="U117" s="283"/>
      <c r="V117" s="283"/>
      <c r="X117" s="298"/>
      <c r="Y117" s="298"/>
    </row>
    <row r="118" spans="1:25">
      <c r="D118" s="176"/>
      <c r="E118" s="176"/>
      <c r="F118" s="176"/>
      <c r="G118" s="174"/>
      <c r="H118" s="176"/>
      <c r="I118" s="176"/>
      <c r="J118" s="174"/>
      <c r="L118" s="174"/>
      <c r="M118" s="174"/>
    </row>
    <row r="119" spans="1:25">
      <c r="A119" s="41" t="s">
        <v>1024</v>
      </c>
      <c r="D119" s="176"/>
      <c r="E119" s="176"/>
      <c r="F119" s="176"/>
      <c r="G119" s="174"/>
      <c r="H119" s="176"/>
      <c r="I119" s="176"/>
      <c r="J119" s="174"/>
      <c r="L119" s="174"/>
      <c r="M119" s="174"/>
    </row>
    <row r="120" spans="1:25" ht="12.75" customHeight="1">
      <c r="A120" s="250" t="s">
        <v>1031</v>
      </c>
      <c r="B120" s="249"/>
      <c r="C120" s="249"/>
      <c r="D120" s="249"/>
      <c r="E120" s="249"/>
      <c r="F120" s="249"/>
      <c r="G120" s="249"/>
      <c r="H120" s="249"/>
      <c r="I120" s="249"/>
      <c r="J120" s="249"/>
      <c r="K120" s="249"/>
      <c r="L120" s="249"/>
      <c r="M120" s="249"/>
      <c r="N120" s="249"/>
      <c r="O120" s="249"/>
      <c r="P120" s="249"/>
      <c r="Q120" s="249"/>
    </row>
    <row r="121" spans="1:25" ht="12.5">
      <c r="A121" s="41" t="s">
        <v>1025</v>
      </c>
      <c r="B121" s="249"/>
      <c r="C121" s="249"/>
      <c r="D121" s="249"/>
      <c r="E121" s="249"/>
      <c r="F121" s="249"/>
      <c r="G121" s="249"/>
      <c r="H121" s="249"/>
      <c r="I121" s="249"/>
      <c r="J121" s="249"/>
      <c r="K121" s="249"/>
      <c r="L121" s="249"/>
      <c r="M121" s="249"/>
      <c r="N121" s="249"/>
      <c r="O121" s="249"/>
      <c r="P121" s="249"/>
      <c r="Q121" s="249"/>
    </row>
    <row r="122" spans="1:25" ht="12.5">
      <c r="A122" s="313"/>
      <c r="B122" s="249"/>
      <c r="C122" s="249"/>
      <c r="D122" s="249"/>
      <c r="E122" s="249"/>
      <c r="F122" s="249"/>
      <c r="G122" s="249"/>
      <c r="H122" s="249"/>
      <c r="I122" s="249"/>
      <c r="J122" s="249"/>
      <c r="K122" s="249"/>
      <c r="L122" s="249"/>
      <c r="M122" s="249"/>
      <c r="N122" s="249"/>
      <c r="O122" s="249"/>
      <c r="P122" s="249"/>
      <c r="Q122" s="249"/>
    </row>
    <row r="123" spans="1:25" ht="12.5">
      <c r="A123" s="312"/>
      <c r="B123" s="249"/>
      <c r="C123" s="249"/>
      <c r="D123" s="249"/>
      <c r="E123" s="249"/>
      <c r="F123" s="249"/>
      <c r="G123" s="249"/>
      <c r="H123" s="249"/>
      <c r="I123" s="249"/>
      <c r="J123" s="249"/>
      <c r="K123" s="249"/>
      <c r="L123" s="249"/>
      <c r="M123" s="249"/>
      <c r="N123" s="249"/>
      <c r="O123" s="249"/>
      <c r="P123" s="249"/>
      <c r="Q123" s="249"/>
    </row>
  </sheetData>
  <mergeCells count="1">
    <mergeCell ref="A9:C9"/>
  </mergeCells>
  <phoneticPr fontId="0" type="noConversion"/>
  <pageMargins left="0.5" right="0.31" top="0.5" bottom="0.75" header="0.5" footer="0.5"/>
  <pageSetup scale="47" orientation="portrait" r:id="rId1"/>
  <headerFooter alignWithMargins="0">
    <oddHeader>&amp;R&amp;12JDM-4</oddHeader>
    <oddFooter>&amp;R&amp;12Page 3 of 4</oddFooter>
  </headerFooter>
  <ignoredErrors>
    <ignoredError sqref="E19 E25 E51 E57 E115 J115"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C282A-7348-4334-AF35-3BB11B135226}">
  <sheetPr>
    <tabColor rgb="FF00B050"/>
    <pageSetUpPr fitToPage="1"/>
  </sheetPr>
  <dimension ref="A1:N24"/>
  <sheetViews>
    <sheetView workbookViewId="0">
      <selection activeCell="N22" sqref="N22"/>
    </sheetView>
  </sheetViews>
  <sheetFormatPr defaultColWidth="11.453125" defaultRowHeight="12.5"/>
  <cols>
    <col min="1" max="1" width="5.7265625" style="41" customWidth="1"/>
    <col min="2" max="2" width="33.26953125" style="41" bestFit="1" customWidth="1"/>
    <col min="3" max="3" width="7.7265625" style="180" customWidth="1"/>
    <col min="4" max="5" width="9.7265625" style="41" customWidth="1"/>
    <col min="6" max="6" width="8.7265625" style="41" customWidth="1"/>
    <col min="7" max="7" width="1.7265625" style="41" customWidth="1"/>
    <col min="8" max="8" width="8.81640625" style="180" customWidth="1"/>
    <col min="9" max="9" width="1.7265625" style="180" customWidth="1"/>
    <col min="10" max="11" width="9.7265625" style="41" customWidth="1"/>
    <col min="12" max="12" width="9" style="41" customWidth="1"/>
    <col min="13" max="16384" width="11.453125" style="41"/>
  </cols>
  <sheetData>
    <row r="1" spans="1:14" ht="13">
      <c r="A1" s="117" t="s">
        <v>78</v>
      </c>
      <c r="B1" s="637"/>
      <c r="C1" s="254"/>
      <c r="D1" s="254"/>
      <c r="E1" s="254"/>
      <c r="F1" s="254"/>
      <c r="G1" s="254"/>
      <c r="H1" s="254"/>
      <c r="I1" s="254"/>
      <c r="J1" s="254"/>
      <c r="K1" s="254"/>
      <c r="L1" s="254"/>
      <c r="N1" t="s">
        <v>1007</v>
      </c>
    </row>
    <row r="2" spans="1:14" ht="13">
      <c r="A2" s="117" t="s">
        <v>366</v>
      </c>
      <c r="B2" s="637"/>
      <c r="C2" s="254"/>
      <c r="D2" s="254"/>
      <c r="E2" s="254"/>
      <c r="F2" s="254"/>
      <c r="G2" s="254"/>
      <c r="H2" s="254"/>
      <c r="I2" s="254"/>
      <c r="J2" s="254"/>
      <c r="K2" s="254"/>
      <c r="L2" s="254"/>
      <c r="N2" s="41" t="s">
        <v>1008</v>
      </c>
    </row>
    <row r="3" spans="1:14" ht="13">
      <c r="A3" s="117" t="s">
        <v>1009</v>
      </c>
      <c r="B3" s="637"/>
      <c r="C3" s="254"/>
      <c r="D3" s="254"/>
      <c r="E3" s="254"/>
      <c r="F3" s="254"/>
      <c r="G3" s="254"/>
      <c r="H3" s="254"/>
      <c r="I3" s="254"/>
      <c r="J3" s="254"/>
      <c r="K3" s="254"/>
      <c r="L3" s="254"/>
    </row>
    <row r="4" spans="1:14" ht="13">
      <c r="A4" s="117" t="s">
        <v>813</v>
      </c>
      <c r="B4" s="637"/>
      <c r="C4" s="254"/>
      <c r="D4" s="254"/>
      <c r="E4" s="254"/>
      <c r="F4" s="254"/>
      <c r="G4" s="254"/>
      <c r="H4" s="254"/>
      <c r="I4" s="254"/>
      <c r="J4" s="254"/>
      <c r="K4" s="254"/>
      <c r="L4" s="254"/>
    </row>
    <row r="6" spans="1:14" s="180" customFormat="1" ht="13">
      <c r="C6" s="41"/>
      <c r="F6" s="42"/>
      <c r="H6" s="41"/>
      <c r="I6" s="41"/>
      <c r="J6"/>
      <c r="K6"/>
      <c r="L6"/>
    </row>
    <row r="7" spans="1:14" s="180" customFormat="1">
      <c r="A7"/>
      <c r="B7"/>
      <c r="C7" s="218"/>
      <c r="D7"/>
      <c r="E7"/>
      <c r="F7"/>
      <c r="G7"/>
      <c r="H7" s="41"/>
      <c r="I7" s="41"/>
      <c r="J7"/>
      <c r="K7"/>
      <c r="L7"/>
    </row>
    <row r="8" spans="1:14" s="180" customFormat="1">
      <c r="J8"/>
      <c r="K8"/>
      <c r="L8"/>
    </row>
    <row r="9" spans="1:14" s="180" customFormat="1" ht="13">
      <c r="C9" s="42"/>
      <c r="D9" s="139" t="s">
        <v>80</v>
      </c>
      <c r="E9" s="139"/>
      <c r="F9" s="254"/>
      <c r="G9" s="254"/>
      <c r="H9" s="180" t="s">
        <v>254</v>
      </c>
      <c r="J9" s="139" t="s">
        <v>81</v>
      </c>
      <c r="K9" s="139"/>
      <c r="L9" s="254"/>
    </row>
    <row r="10" spans="1:14" s="180" customFormat="1" ht="13">
      <c r="C10" s="42"/>
      <c r="D10" s="180" t="s">
        <v>255</v>
      </c>
      <c r="E10" s="42" t="s">
        <v>255</v>
      </c>
      <c r="F10" s="42" t="s">
        <v>255</v>
      </c>
      <c r="G10" s="42"/>
      <c r="H10" s="180" t="s">
        <v>256</v>
      </c>
      <c r="J10" s="180" t="s">
        <v>257</v>
      </c>
      <c r="K10" s="42" t="s">
        <v>257</v>
      </c>
      <c r="L10" s="42" t="s">
        <v>257</v>
      </c>
    </row>
    <row r="11" spans="1:14" s="180" customFormat="1" ht="13">
      <c r="A11" s="180" t="s">
        <v>1010</v>
      </c>
      <c r="B11" s="180" t="s">
        <v>258</v>
      </c>
      <c r="C11" s="180" t="s">
        <v>1011</v>
      </c>
      <c r="D11" s="180" t="s">
        <v>1012</v>
      </c>
      <c r="E11" s="42" t="s">
        <v>1013</v>
      </c>
      <c r="F11" s="42" t="s">
        <v>1014</v>
      </c>
      <c r="G11" s="42"/>
      <c r="H11" s="180" t="s">
        <v>259</v>
      </c>
      <c r="J11" s="180" t="s">
        <v>1012</v>
      </c>
      <c r="K11" s="42" t="s">
        <v>1013</v>
      </c>
      <c r="L11" s="42" t="s">
        <v>1014</v>
      </c>
    </row>
    <row r="12" spans="1:14" s="180" customFormat="1" ht="13">
      <c r="A12" s="255" t="s">
        <v>260</v>
      </c>
      <c r="B12" s="255" t="s">
        <v>261</v>
      </c>
      <c r="C12" s="255" t="s">
        <v>262</v>
      </c>
      <c r="D12" s="255" t="s">
        <v>1014</v>
      </c>
      <c r="E12" s="118" t="s">
        <v>1015</v>
      </c>
      <c r="F12" s="118" t="s">
        <v>1015</v>
      </c>
      <c r="G12" s="118"/>
      <c r="H12" s="255" t="s">
        <v>263</v>
      </c>
      <c r="I12" s="255"/>
      <c r="J12" s="255" t="s">
        <v>1014</v>
      </c>
      <c r="K12" s="118" t="s">
        <v>1015</v>
      </c>
      <c r="L12" s="118" t="s">
        <v>1015</v>
      </c>
    </row>
    <row r="13" spans="1:14" s="180" customFormat="1" ht="13">
      <c r="B13" s="180" t="s">
        <v>264</v>
      </c>
      <c r="C13" s="180" t="s">
        <v>265</v>
      </c>
      <c r="D13" s="180" t="s">
        <v>266</v>
      </c>
      <c r="E13" s="42" t="s">
        <v>267</v>
      </c>
      <c r="F13" s="42" t="s">
        <v>268</v>
      </c>
      <c r="G13" s="42"/>
      <c r="H13" s="180" t="s">
        <v>269</v>
      </c>
      <c r="J13" s="180" t="s">
        <v>270</v>
      </c>
      <c r="K13" s="42" t="s">
        <v>289</v>
      </c>
      <c r="L13" s="42" t="s">
        <v>290</v>
      </c>
    </row>
    <row r="14" spans="1:14" ht="25" customHeight="1">
      <c r="A14" s="180">
        <v>1</v>
      </c>
      <c r="B14" s="41" t="s">
        <v>271</v>
      </c>
      <c r="C14" s="280" t="s">
        <v>1027</v>
      </c>
      <c r="D14" s="638">
        <f>ROR!D20</f>
        <v>2.2099804527491173E-2</v>
      </c>
      <c r="E14" s="639">
        <v>0.86</v>
      </c>
      <c r="F14" s="639">
        <f>ROR!D21</f>
        <v>0.43338345978534021</v>
      </c>
      <c r="G14" s="639"/>
      <c r="H14" s="640">
        <f ca="1">RS!G16</f>
        <v>0.13059931027952393</v>
      </c>
      <c r="I14" s="640"/>
      <c r="J14" s="638">
        <f>ROR!D39</f>
        <v>4.524483629412638E-2</v>
      </c>
      <c r="K14" s="639">
        <f>E14</f>
        <v>0.86</v>
      </c>
      <c r="L14" s="639">
        <f>ROR!D38</f>
        <v>0.59454136487154319</v>
      </c>
      <c r="N14" s="41" t="s">
        <v>1058</v>
      </c>
    </row>
    <row r="15" spans="1:14" ht="25" customHeight="1">
      <c r="A15" s="180">
        <v>2</v>
      </c>
      <c r="B15" s="41" t="s">
        <v>272</v>
      </c>
      <c r="C15" s="280" t="s">
        <v>419</v>
      </c>
      <c r="D15" s="638">
        <f>ROR!E20</f>
        <v>8.8946182625271264E-2</v>
      </c>
      <c r="E15" s="639">
        <v>1.18</v>
      </c>
      <c r="F15" s="639">
        <f>ROR!E21</f>
        <v>1.7442599690366953</v>
      </c>
      <c r="G15" s="639"/>
      <c r="H15" s="640">
        <f ca="1">RS!G18</f>
        <v>0.13059058147916225</v>
      </c>
      <c r="I15" s="640"/>
      <c r="J15" s="638">
        <f>ROR!E39</f>
        <v>0.11589621962317957</v>
      </c>
      <c r="K15" s="639">
        <f t="shared" ref="K15:K22" si="0">E15</f>
        <v>1.18</v>
      </c>
      <c r="L15" s="639">
        <f>ROR!E38</f>
        <v>1.5229383558884146</v>
      </c>
    </row>
    <row r="16" spans="1:14" ht="25" customHeight="1">
      <c r="A16" s="180">
        <v>3</v>
      </c>
      <c r="B16" s="41" t="s">
        <v>770</v>
      </c>
      <c r="C16" s="180">
        <v>13</v>
      </c>
      <c r="D16" s="638">
        <f>ROR!K20</f>
        <v>-7.6254262418235838E-2</v>
      </c>
      <c r="E16" s="639">
        <v>0.27</v>
      </c>
      <c r="F16" s="639">
        <f>ROR!K21</f>
        <v>-1.4953677997054171</v>
      </c>
      <c r="G16" s="639"/>
      <c r="H16" s="640">
        <f ca="1">RS!G20</f>
        <v>0.130581200931634</v>
      </c>
      <c r="I16" s="640"/>
      <c r="J16" s="638">
        <f>ROR!K39</f>
        <v>-6.4347074718909686E-2</v>
      </c>
      <c r="K16" s="639">
        <f t="shared" si="0"/>
        <v>0.27</v>
      </c>
      <c r="L16" s="639">
        <f>ROR!K38</f>
        <v>-0.84555500168398678</v>
      </c>
    </row>
    <row r="17" spans="1:12" ht="25" customHeight="1">
      <c r="A17" s="180">
        <v>4</v>
      </c>
      <c r="B17" s="41" t="s">
        <v>273</v>
      </c>
      <c r="C17" s="280" t="s">
        <v>420</v>
      </c>
      <c r="D17" s="638">
        <f>ROR!F20</f>
        <v>9.4396277588494171E-2</v>
      </c>
      <c r="E17" s="639">
        <v>1.21</v>
      </c>
      <c r="F17" s="639">
        <f>ROR!F21</f>
        <v>1.8511378832002348</v>
      </c>
      <c r="G17" s="639"/>
      <c r="H17" s="640">
        <f ca="1">RS!G22</f>
        <v>0.13060364035267494</v>
      </c>
      <c r="I17" s="640"/>
      <c r="J17" s="638">
        <f>ROR!F39</f>
        <v>0.12236926628122347</v>
      </c>
      <c r="K17" s="639">
        <f t="shared" si="0"/>
        <v>1.21</v>
      </c>
      <c r="L17" s="639">
        <f>ROR!F38</f>
        <v>1.6079976534827836</v>
      </c>
    </row>
    <row r="18" spans="1:12" ht="25" customHeight="1">
      <c r="A18" s="180">
        <v>5</v>
      </c>
      <c r="B18" s="41" t="s">
        <v>769</v>
      </c>
      <c r="C18" s="180">
        <v>23</v>
      </c>
      <c r="D18" s="638">
        <f>ROR!L20</f>
        <v>-9.5610411104091908E-2</v>
      </c>
      <c r="E18" s="639">
        <v>0.14000000000000001</v>
      </c>
      <c r="F18" s="639">
        <f>ROR!L21</f>
        <v>-1.8749473871701243</v>
      </c>
      <c r="G18" s="639"/>
      <c r="H18" s="640">
        <f ca="1">RS!G24</f>
        <v>0.13058753848438431</v>
      </c>
      <c r="I18" s="640"/>
      <c r="J18" s="638">
        <f>ROR!L39</f>
        <v>-8.5444408433866026E-2</v>
      </c>
      <c r="K18" s="639">
        <f t="shared" si="0"/>
        <v>0.14000000000000001</v>
      </c>
      <c r="L18" s="639">
        <f>ROR!L38</f>
        <v>-1.1227852584253268</v>
      </c>
    </row>
    <row r="19" spans="1:12" ht="25" customHeight="1">
      <c r="A19" s="180">
        <v>6</v>
      </c>
      <c r="B19" s="41" t="s">
        <v>1016</v>
      </c>
      <c r="C19" s="180">
        <v>25</v>
      </c>
      <c r="D19" s="638">
        <f>ROR!G20</f>
        <v>9.4731691026646275E-2</v>
      </c>
      <c r="E19" s="639">
        <v>1.2</v>
      </c>
      <c r="F19" s="639">
        <f>ROR!G21</f>
        <v>1.8577154362326169</v>
      </c>
      <c r="G19" s="639"/>
      <c r="H19" s="640">
        <f ca="1">RS!G26</f>
        <v>0.13064862749432871</v>
      </c>
      <c r="I19" s="640"/>
      <c r="J19" s="638">
        <f>ROR!G39</f>
        <v>0.12850483585209349</v>
      </c>
      <c r="K19" s="639">
        <f t="shared" si="0"/>
        <v>1.2</v>
      </c>
      <c r="L19" s="639">
        <f>ROR!G38</f>
        <v>1.6886223215270117</v>
      </c>
    </row>
    <row r="20" spans="1:12" ht="25" customHeight="1">
      <c r="A20" s="180">
        <v>7</v>
      </c>
      <c r="B20" s="41" t="s">
        <v>274</v>
      </c>
      <c r="C20" s="280" t="s">
        <v>421</v>
      </c>
      <c r="D20" s="638">
        <f>ROR!H20</f>
        <v>6.1207745890970361E-2</v>
      </c>
      <c r="E20" s="639">
        <v>1.05</v>
      </c>
      <c r="F20" s="639">
        <f>ROR!H21</f>
        <v>1.2003013260543993</v>
      </c>
      <c r="G20" s="639"/>
      <c r="H20" s="640">
        <f ca="1">RS!G30</f>
        <v>0.13064564614700361</v>
      </c>
      <c r="I20" s="640"/>
      <c r="J20" s="638">
        <f>ROR!H39</f>
        <v>8.6268572689982032E-2</v>
      </c>
      <c r="K20" s="639">
        <f t="shared" si="0"/>
        <v>1.05</v>
      </c>
      <c r="L20" s="639">
        <f>ROR!H38</f>
        <v>1.1336152178603478</v>
      </c>
    </row>
    <row r="21" spans="1:12" ht="25" customHeight="1">
      <c r="A21" s="180">
        <v>8</v>
      </c>
      <c r="B21" s="41" t="s">
        <v>275</v>
      </c>
      <c r="C21" s="180" t="s">
        <v>322</v>
      </c>
      <c r="D21" s="638">
        <f>ROR!I20</f>
        <v>6.951677383965911E-2</v>
      </c>
      <c r="E21" s="639">
        <v>1.06</v>
      </c>
      <c r="F21" s="639">
        <f>ROR!I21</f>
        <v>1.3632437301546863</v>
      </c>
      <c r="G21" s="639"/>
      <c r="H21" s="640">
        <f>RS!G32</f>
        <v>0.13052906937162692</v>
      </c>
      <c r="I21" s="640"/>
      <c r="J21" s="638">
        <f>ROR!I39</f>
        <v>8.5445126042654876E-2</v>
      </c>
      <c r="K21" s="639">
        <f t="shared" si="0"/>
        <v>1.06</v>
      </c>
      <c r="L21" s="639">
        <f>ROR!I38</f>
        <v>1.1227946881888915</v>
      </c>
    </row>
    <row r="22" spans="1:12" ht="25" customHeight="1">
      <c r="A22" s="180">
        <v>9</v>
      </c>
      <c r="B22" s="264" t="s">
        <v>64</v>
      </c>
      <c r="D22" s="638">
        <f>ROR!C20</f>
        <v>5.0993650146310292E-2</v>
      </c>
      <c r="E22" s="639">
        <v>1</v>
      </c>
      <c r="F22" s="639">
        <f>ROR!C21</f>
        <v>1</v>
      </c>
      <c r="G22" s="639"/>
      <c r="H22" s="640">
        <f ca="1">RS!G34</f>
        <v>0.13049723239118094</v>
      </c>
      <c r="I22" s="640"/>
      <c r="J22" s="638">
        <f>ROR!C39</f>
        <v>7.6100401027440701E-2</v>
      </c>
      <c r="K22" s="639">
        <f t="shared" si="0"/>
        <v>1</v>
      </c>
      <c r="L22" s="639">
        <f>ROR!C38</f>
        <v>1</v>
      </c>
    </row>
    <row r="24" spans="1:12">
      <c r="D24"/>
      <c r="E24"/>
      <c r="F24"/>
      <c r="G24"/>
      <c r="H24"/>
      <c r="I24"/>
      <c r="J24"/>
      <c r="K24"/>
      <c r="L24"/>
    </row>
  </sheetData>
  <phoneticPr fontId="15" type="noConversion"/>
  <pageMargins left="0.7" right="0.7" top="0.75" bottom="0.75" header="0.3" footer="0.3"/>
  <pageSetup scale="79" orientation="portrait" r:id="rId1"/>
  <headerFooter>
    <oddHeader>&amp;RJDM-4</oddHeader>
    <oddFooter>&amp;RPage 2 of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T89"/>
  <sheetViews>
    <sheetView zoomScale="85" zoomScaleNormal="85" workbookViewId="0">
      <selection activeCell="L40" sqref="L39:L40"/>
    </sheetView>
  </sheetViews>
  <sheetFormatPr defaultRowHeight="12.5"/>
  <cols>
    <col min="1" max="1" width="3.7265625" bestFit="1" customWidth="1"/>
    <col min="2" max="2" width="43.7265625" customWidth="1"/>
    <col min="3" max="3" width="8.7265625" bestFit="1" customWidth="1"/>
    <col min="4" max="4" width="16.81640625" customWidth="1"/>
    <col min="5" max="6" width="12.7265625" customWidth="1"/>
    <col min="7" max="7" width="14.26953125" bestFit="1" customWidth="1"/>
    <col min="8" max="8" width="13.453125" bestFit="1" customWidth="1"/>
    <col min="9" max="9" width="4.54296875" customWidth="1"/>
    <col min="10" max="10" width="13.54296875" bestFit="1" customWidth="1"/>
    <col min="11" max="11" width="13.54296875" hidden="1" customWidth="1"/>
    <col min="12" max="12" width="15" bestFit="1" customWidth="1"/>
    <col min="16" max="16" width="17.26953125" bestFit="1" customWidth="1"/>
    <col min="18" max="18" width="11.54296875" bestFit="1" customWidth="1"/>
  </cols>
  <sheetData>
    <row r="3" spans="1:17" ht="13">
      <c r="A3" s="97" t="s">
        <v>855</v>
      </c>
    </row>
    <row r="4" spans="1:17" ht="13">
      <c r="A4" s="97" t="s">
        <v>856</v>
      </c>
    </row>
    <row r="5" spans="1:17" ht="13">
      <c r="A5" s="97" t="s">
        <v>857</v>
      </c>
    </row>
    <row r="6" spans="1:17" ht="15.5">
      <c r="A6" s="334"/>
      <c r="B6" s="180"/>
      <c r="C6" s="41"/>
      <c r="D6" s="258"/>
      <c r="E6" s="258"/>
      <c r="F6" s="258"/>
      <c r="G6" s="253"/>
    </row>
    <row r="7" spans="1:17" ht="15.5">
      <c r="A7" s="334"/>
      <c r="B7" s="180"/>
      <c r="C7" s="41"/>
      <c r="D7" s="258"/>
      <c r="E7" s="258"/>
      <c r="F7" s="258"/>
      <c r="G7" s="253"/>
    </row>
    <row r="8" spans="1:17" ht="15.5">
      <c r="A8" s="334"/>
      <c r="B8" s="180"/>
      <c r="C8" s="41"/>
      <c r="D8" s="258"/>
      <c r="E8" s="258"/>
      <c r="F8" s="258"/>
      <c r="G8" s="253"/>
    </row>
    <row r="9" spans="1:17" ht="13">
      <c r="A9" s="180"/>
      <c r="B9" s="180"/>
      <c r="C9" s="180"/>
      <c r="D9" s="258" t="s">
        <v>200</v>
      </c>
      <c r="E9" s="258"/>
      <c r="F9" s="168" t="s">
        <v>254</v>
      </c>
      <c r="G9" s="258"/>
      <c r="J9" s="180" t="s">
        <v>645</v>
      </c>
      <c r="K9" s="180"/>
      <c r="L9" s="180"/>
      <c r="M9" s="42" t="s">
        <v>285</v>
      </c>
    </row>
    <row r="10" spans="1:17" ht="13">
      <c r="A10" s="180"/>
      <c r="B10" s="180"/>
      <c r="C10" s="180"/>
      <c r="D10" s="180" t="s">
        <v>83</v>
      </c>
      <c r="E10" s="180" t="s">
        <v>858</v>
      </c>
      <c r="F10" s="42" t="s">
        <v>256</v>
      </c>
      <c r="G10" s="258" t="s">
        <v>257</v>
      </c>
      <c r="H10" s="180" t="s">
        <v>257</v>
      </c>
      <c r="J10" s="180" t="s">
        <v>83</v>
      </c>
      <c r="K10" s="180" t="s">
        <v>859</v>
      </c>
      <c r="L10" s="258"/>
      <c r="M10" s="42" t="s">
        <v>263</v>
      </c>
      <c r="O10" s="41" t="s">
        <v>861</v>
      </c>
    </row>
    <row r="11" spans="1:17" ht="13">
      <c r="A11" s="180"/>
      <c r="B11" s="180" t="s">
        <v>258</v>
      </c>
      <c r="C11" s="180" t="s">
        <v>281</v>
      </c>
      <c r="D11" s="258" t="s">
        <v>282</v>
      </c>
      <c r="E11" s="258" t="s">
        <v>862</v>
      </c>
      <c r="F11" s="168" t="s">
        <v>285</v>
      </c>
      <c r="G11" s="258" t="s">
        <v>283</v>
      </c>
      <c r="H11" s="258" t="s">
        <v>200</v>
      </c>
      <c r="J11" s="180" t="s">
        <v>286</v>
      </c>
      <c r="K11" s="180" t="s">
        <v>295</v>
      </c>
      <c r="L11" s="258"/>
      <c r="M11" s="42" t="s">
        <v>287</v>
      </c>
      <c r="O11" s="41" t="s">
        <v>254</v>
      </c>
    </row>
    <row r="12" spans="1:17" ht="13">
      <c r="A12" s="251" t="s">
        <v>260</v>
      </c>
      <c r="B12" s="251" t="s">
        <v>261</v>
      </c>
      <c r="C12" s="251" t="s">
        <v>262</v>
      </c>
      <c r="D12" s="259" t="s">
        <v>288</v>
      </c>
      <c r="E12" s="259" t="s">
        <v>263</v>
      </c>
      <c r="F12" s="169" t="s">
        <v>263</v>
      </c>
      <c r="G12" s="259" t="s">
        <v>263</v>
      </c>
      <c r="H12" s="259" t="s">
        <v>83</v>
      </c>
      <c r="J12" s="251" t="s">
        <v>401</v>
      </c>
      <c r="K12" s="251" t="s">
        <v>672</v>
      </c>
      <c r="L12" s="259" t="s">
        <v>1064</v>
      </c>
      <c r="M12" s="170" t="s">
        <v>83</v>
      </c>
      <c r="O12" s="41" t="s">
        <v>672</v>
      </c>
      <c r="P12" s="97" t="s">
        <v>863</v>
      </c>
      <c r="Q12" s="97" t="s">
        <v>860</v>
      </c>
    </row>
    <row r="13" spans="1:17" ht="13">
      <c r="A13" s="180"/>
      <c r="B13" s="180" t="s">
        <v>264</v>
      </c>
      <c r="C13" s="180" t="s">
        <v>265</v>
      </c>
      <c r="D13" s="258" t="s">
        <v>266</v>
      </c>
      <c r="E13" s="180" t="s">
        <v>267</v>
      </c>
      <c r="F13" s="258" t="s">
        <v>268</v>
      </c>
      <c r="G13" s="180" t="s">
        <v>269</v>
      </c>
      <c r="H13" s="258" t="s">
        <v>270</v>
      </c>
      <c r="J13" s="180" t="s">
        <v>289</v>
      </c>
      <c r="K13" s="180" t="s">
        <v>389</v>
      </c>
      <c r="L13" s="180" t="s">
        <v>290</v>
      </c>
      <c r="M13" s="42" t="s">
        <v>343</v>
      </c>
      <c r="P13" s="97"/>
      <c r="Q13" s="97"/>
    </row>
    <row r="14" spans="1:17" ht="13">
      <c r="A14" s="180"/>
      <c r="B14" s="41"/>
      <c r="C14" s="180"/>
      <c r="D14" s="189"/>
      <c r="E14" s="189"/>
      <c r="F14" s="308"/>
      <c r="G14" s="223"/>
      <c r="J14" s="41"/>
      <c r="K14" s="41"/>
      <c r="L14" s="41"/>
      <c r="M14" s="41"/>
      <c r="P14" s="97"/>
      <c r="Q14" s="97"/>
    </row>
    <row r="15" spans="1:17" ht="13">
      <c r="A15" s="180">
        <v>1</v>
      </c>
      <c r="B15" s="41" t="s">
        <v>271</v>
      </c>
      <c r="C15" s="279" t="s">
        <v>1027</v>
      </c>
      <c r="D15" s="258">
        <f ca="1">'Pres &amp; Prop Rev'!D152/1000</f>
        <v>279948.63818000001</v>
      </c>
      <c r="E15" s="647">
        <v>1.0008088968808837</v>
      </c>
      <c r="F15" s="355">
        <f ca="1">E15*$E$36</f>
        <v>0.13060300561525151</v>
      </c>
      <c r="G15" s="258">
        <f ca="1">F15*D15</f>
        <v>36562.133564204552</v>
      </c>
      <c r="H15" s="194">
        <f ca="1">D15+G15</f>
        <v>316510.77174420457</v>
      </c>
      <c r="J15" s="258">
        <f>RS!I16</f>
        <v>264427.13199999998</v>
      </c>
      <c r="K15" s="258">
        <v>0</v>
      </c>
      <c r="L15" s="252">
        <v>0</v>
      </c>
      <c r="M15" s="248">
        <f ca="1">IF(J15=0,0,(G15+K15+L15)/J15)</f>
        <v>0.13826922104273534</v>
      </c>
      <c r="N15" s="194">
        <f ca="1">+G15+K15+L15</f>
        <v>36562.133564204552</v>
      </c>
      <c r="O15" s="308">
        <f ca="1">(G15)/D15</f>
        <v>0.13060300561525151</v>
      </c>
      <c r="P15" s="308">
        <f ca="1">(G15)/J15</f>
        <v>0.13826922104273534</v>
      </c>
      <c r="Q15" s="308">
        <f>L15/J15</f>
        <v>0</v>
      </c>
    </row>
    <row r="16" spans="1:17" ht="13">
      <c r="A16" s="180"/>
      <c r="B16" s="41"/>
      <c r="C16" s="180"/>
      <c r="D16" s="258"/>
      <c r="E16" s="647"/>
      <c r="F16" s="355"/>
      <c r="G16" s="258"/>
      <c r="H16" s="194"/>
      <c r="J16" s="258"/>
      <c r="K16" s="258"/>
      <c r="L16" s="252"/>
      <c r="M16" s="248"/>
      <c r="N16" s="194"/>
      <c r="O16" s="308"/>
      <c r="P16" s="308"/>
      <c r="Q16" s="308"/>
    </row>
    <row r="17" spans="1:20" ht="13">
      <c r="A17" s="180">
        <v>2</v>
      </c>
      <c r="B17" s="41" t="s">
        <v>272</v>
      </c>
      <c r="C17" s="279" t="s">
        <v>419</v>
      </c>
      <c r="D17" s="258">
        <f ca="1">'Pres &amp; Prop Rev'!E152/1000</f>
        <v>89664.291392857151</v>
      </c>
      <c r="E17" s="647">
        <f>E15</f>
        <v>1.0008088968808837</v>
      </c>
      <c r="F17" s="355">
        <f ca="1">E17*$E$36</f>
        <v>0.13060300561525151</v>
      </c>
      <c r="G17" s="258">
        <f ca="1">F17*D17</f>
        <v>11710.42595226887</v>
      </c>
      <c r="H17" s="194">
        <f ca="1">D17+G17</f>
        <v>101374.71734512602</v>
      </c>
      <c r="J17" s="258">
        <f>RS!I18</f>
        <v>98832.65</v>
      </c>
      <c r="K17" s="258">
        <v>0</v>
      </c>
      <c r="L17" s="252">
        <v>0</v>
      </c>
      <c r="M17" s="248">
        <f t="shared" ref="M17:M31" ca="1" si="0">IF(J17=0,0,(G17+K17+L17)/J17)</f>
        <v>0.11848742244864294</v>
      </c>
      <c r="N17" s="194">
        <f t="shared" ref="N17:N27" ca="1" si="1">+G17+K17+L17</f>
        <v>11710.42595226887</v>
      </c>
      <c r="O17" s="308">
        <f t="shared" ref="O17:O33" ca="1" si="2">(G17)/D17</f>
        <v>0.13060300561525151</v>
      </c>
      <c r="P17" s="308">
        <f t="shared" ref="P17:P33" ca="1" si="3">(G17)/J17</f>
        <v>0.11848742244864294</v>
      </c>
      <c r="Q17" s="308">
        <f t="shared" ref="Q17:Q33" si="4">L17/J17</f>
        <v>0</v>
      </c>
    </row>
    <row r="18" spans="1:20" ht="13">
      <c r="A18" s="180"/>
      <c r="B18" s="41"/>
      <c r="C18" s="279"/>
      <c r="D18" s="258"/>
      <c r="E18" s="647"/>
      <c r="F18" s="355"/>
      <c r="G18" s="258"/>
      <c r="H18" s="194"/>
      <c r="J18" s="258"/>
      <c r="K18" s="258"/>
      <c r="L18" s="252"/>
      <c r="M18" s="248"/>
      <c r="N18" s="194"/>
      <c r="O18" s="308"/>
      <c r="P18" s="308"/>
      <c r="Q18" s="308"/>
    </row>
    <row r="19" spans="1:20" ht="13">
      <c r="A19" s="180">
        <v>3</v>
      </c>
      <c r="B19" s="41" t="s">
        <v>770</v>
      </c>
      <c r="C19" s="280">
        <v>13</v>
      </c>
      <c r="D19" s="258">
        <f ca="1">'Pres &amp; Prop Rev'!F152/1000</f>
        <v>48.212069999999997</v>
      </c>
      <c r="E19" s="647">
        <f>E15</f>
        <v>1.0008088968808837</v>
      </c>
      <c r="F19" s="355">
        <f ca="1">E19*$E$36</f>
        <v>0.13060300561525151</v>
      </c>
      <c r="G19" s="258">
        <f ca="1">F19*D19</f>
        <v>6.2966412489328984</v>
      </c>
      <c r="H19" s="194">
        <f ca="1">D19+G19</f>
        <v>54.508711248932897</v>
      </c>
      <c r="J19" s="258">
        <f>RS!I20</f>
        <v>53.374770000000005</v>
      </c>
      <c r="K19" s="258"/>
      <c r="L19" s="252">
        <v>0</v>
      </c>
      <c r="M19" s="248">
        <f t="shared" ca="1" si="0"/>
        <v>0.11797036781484768</v>
      </c>
      <c r="N19" s="194">
        <f t="shared" ca="1" si="1"/>
        <v>6.2966412489328984</v>
      </c>
      <c r="O19" s="308">
        <f t="shared" ca="1" si="2"/>
        <v>0.13060300561525151</v>
      </c>
      <c r="P19" s="308">
        <f ca="1">(G19)/J19</f>
        <v>0.11797036781484768</v>
      </c>
      <c r="Q19" s="308">
        <f>IF(J19=0,0,L19/J19)</f>
        <v>0</v>
      </c>
    </row>
    <row r="20" spans="1:20" ht="13">
      <c r="A20" s="180"/>
      <c r="B20" s="41"/>
      <c r="C20" s="180"/>
      <c r="D20" s="258"/>
      <c r="E20" s="647"/>
      <c r="F20" s="355"/>
      <c r="G20" s="258"/>
      <c r="H20" s="194"/>
      <c r="J20" s="258"/>
      <c r="K20" s="258"/>
      <c r="L20" s="252"/>
      <c r="M20" s="248"/>
      <c r="N20" s="194"/>
      <c r="O20" s="308"/>
      <c r="P20" s="308"/>
      <c r="Q20" s="308"/>
    </row>
    <row r="21" spans="1:20" ht="13">
      <c r="A21" s="180">
        <v>3</v>
      </c>
      <c r="B21" s="41" t="s">
        <v>273</v>
      </c>
      <c r="C21" s="280" t="s">
        <v>420</v>
      </c>
      <c r="D21" s="258">
        <f ca="1">'Pres &amp; Prop Rev'!G152/1000</f>
        <v>132450.41680857143</v>
      </c>
      <c r="E21" s="647">
        <f>E15</f>
        <v>1.0008088968808837</v>
      </c>
      <c r="F21" s="355">
        <f ca="1">E21*$E$36</f>
        <v>0.13060300561525151</v>
      </c>
      <c r="G21" s="258">
        <f ca="1">F21*D21</f>
        <v>17298.42253019226</v>
      </c>
      <c r="H21" s="194">
        <f ca="1">D21+G21</f>
        <v>149748.8393387637</v>
      </c>
      <c r="J21" s="258">
        <f>RS!I22</f>
        <v>147538.93</v>
      </c>
      <c r="K21" s="258">
        <v>0</v>
      </c>
      <c r="L21" s="252">
        <v>0</v>
      </c>
      <c r="M21" s="248">
        <f t="shared" ca="1" si="0"/>
        <v>0.11724649575669459</v>
      </c>
      <c r="N21" s="194">
        <f t="shared" ca="1" si="1"/>
        <v>17298.42253019226</v>
      </c>
      <c r="O21" s="308">
        <f t="shared" ca="1" si="2"/>
        <v>0.13060300561525151</v>
      </c>
      <c r="P21" s="308">
        <f t="shared" ca="1" si="3"/>
        <v>0.11724649575669459</v>
      </c>
      <c r="Q21" s="308">
        <f t="shared" si="4"/>
        <v>0</v>
      </c>
    </row>
    <row r="22" spans="1:20" ht="13">
      <c r="A22" s="180"/>
      <c r="B22" s="41"/>
      <c r="C22" s="280"/>
      <c r="D22" s="258"/>
      <c r="E22" s="647"/>
      <c r="F22" s="355"/>
      <c r="G22" s="258"/>
      <c r="H22" s="194"/>
      <c r="J22" s="258"/>
      <c r="K22" s="258"/>
      <c r="L22" s="252"/>
      <c r="M22" s="248"/>
      <c r="N22" s="194"/>
      <c r="O22" s="308"/>
      <c r="P22" s="308"/>
      <c r="Q22" s="308"/>
    </row>
    <row r="23" spans="1:20" ht="13">
      <c r="A23" s="180">
        <v>5</v>
      </c>
      <c r="B23" s="41" t="s">
        <v>769</v>
      </c>
      <c r="C23" s="280">
        <v>23</v>
      </c>
      <c r="D23" s="258">
        <f ca="1">'Pres &amp; Prop Rev'!H152/1000</f>
        <v>64.444969999999998</v>
      </c>
      <c r="E23" s="647">
        <f>E15</f>
        <v>1.0008088968808837</v>
      </c>
      <c r="F23" s="355">
        <f t="shared" ref="F23" ca="1" si="5">E23*$E$36</f>
        <v>0.13060300561525151</v>
      </c>
      <c r="G23" s="258">
        <f ca="1">F23*D23</f>
        <v>8.4167067787847145</v>
      </c>
      <c r="H23" s="194">
        <f ca="1">D23+G23</f>
        <v>72.861676778784712</v>
      </c>
      <c r="J23" s="258">
        <f>RS!I24</f>
        <v>69.8</v>
      </c>
      <c r="K23" s="258"/>
      <c r="L23" s="252">
        <v>0</v>
      </c>
      <c r="M23" s="248">
        <f t="shared" ca="1" si="0"/>
        <v>0.12058319167313344</v>
      </c>
      <c r="N23" s="194">
        <f t="shared" ca="1" si="1"/>
        <v>8.4167067787847145</v>
      </c>
      <c r="O23" s="308">
        <f t="shared" ca="1" si="2"/>
        <v>0.13060300561525151</v>
      </c>
      <c r="P23" s="308">
        <f t="shared" ca="1" si="3"/>
        <v>0.12058319167313344</v>
      </c>
      <c r="Q23" s="308">
        <f>IF(J23=0,0,L23/J23)</f>
        <v>0</v>
      </c>
    </row>
    <row r="24" spans="1:20" ht="13">
      <c r="A24" s="180"/>
      <c r="B24" s="41"/>
      <c r="C24" s="180"/>
      <c r="D24" s="258"/>
      <c r="E24" s="647"/>
      <c r="F24" s="355"/>
      <c r="G24" s="258"/>
      <c r="H24" s="194"/>
      <c r="J24" s="258"/>
      <c r="K24" s="258"/>
      <c r="L24" s="252"/>
      <c r="M24" s="248"/>
      <c r="N24" s="194"/>
      <c r="O24" s="308"/>
      <c r="P24" s="308"/>
      <c r="Q24" s="308"/>
    </row>
    <row r="25" spans="1:20" ht="13">
      <c r="A25" s="180">
        <v>4</v>
      </c>
      <c r="B25" s="41" t="s">
        <v>291</v>
      </c>
      <c r="C25" s="180">
        <v>25</v>
      </c>
      <c r="D25" s="258">
        <f ca="1">'Pres &amp; Prop Rev'!I152/1000</f>
        <v>46296.1825417</v>
      </c>
      <c r="E25" s="647">
        <f>E15</f>
        <v>1.0008088968808837</v>
      </c>
      <c r="F25" s="355">
        <f ca="1">E25*$E$36</f>
        <v>0.13060300561525151</v>
      </c>
      <c r="G25" s="258">
        <f ca="1">F25*D25</f>
        <v>6046.4205884583544</v>
      </c>
      <c r="H25" s="194">
        <f ca="1">D25+G25</f>
        <v>52342.603130158357</v>
      </c>
      <c r="J25" s="258">
        <f>RS!I26</f>
        <v>51578.346841700004</v>
      </c>
      <c r="K25" s="258">
        <v>0</v>
      </c>
      <c r="L25" s="252">
        <v>0</v>
      </c>
      <c r="M25" s="248">
        <f t="shared" ca="1" si="0"/>
        <v>0.11722788648142463</v>
      </c>
      <c r="N25" s="194">
        <f t="shared" ca="1" si="1"/>
        <v>6046.4205884583544</v>
      </c>
      <c r="O25" s="308">
        <f t="shared" ca="1" si="2"/>
        <v>0.13060300561525151</v>
      </c>
      <c r="P25" s="308">
        <f t="shared" ca="1" si="3"/>
        <v>0.11722788648142463</v>
      </c>
      <c r="Q25" s="308">
        <f t="shared" si="4"/>
        <v>0</v>
      </c>
    </row>
    <row r="26" spans="1:20" ht="13">
      <c r="A26" s="180"/>
      <c r="B26" s="41"/>
      <c r="C26" s="180"/>
      <c r="D26" s="258"/>
      <c r="E26" s="647"/>
      <c r="F26" s="355"/>
      <c r="G26" s="258"/>
      <c r="H26" s="194"/>
      <c r="J26" s="258"/>
      <c r="K26" s="258"/>
      <c r="L26" s="252"/>
      <c r="M26" s="248"/>
      <c r="N26" s="194"/>
      <c r="O26" s="308"/>
      <c r="P26" s="308"/>
      <c r="Q26" s="308"/>
    </row>
    <row r="27" spans="1:20" ht="13">
      <c r="A27" s="180">
        <v>5</v>
      </c>
      <c r="B27" s="41" t="s">
        <v>864</v>
      </c>
      <c r="C27" s="180" t="s">
        <v>756</v>
      </c>
      <c r="D27" s="258">
        <f ca="1">'Pres &amp; Prop Rev'!J152/1000</f>
        <v>21103.693740400002</v>
      </c>
      <c r="E27" s="647"/>
      <c r="F27" s="355">
        <f ca="1">G27/D27</f>
        <v>0.12765153107799584</v>
      </c>
      <c r="G27" s="258">
        <f ca="1">E66/1000</f>
        <v>2693.9188173631774</v>
      </c>
      <c r="H27" s="194">
        <f ca="1">D27+G27</f>
        <v>23797.612557763179</v>
      </c>
      <c r="J27" s="258">
        <f>RS!I28</f>
        <v>23611.661720399999</v>
      </c>
      <c r="K27" s="258">
        <v>0</v>
      </c>
      <c r="L27" s="252">
        <v>0</v>
      </c>
      <c r="M27" s="248">
        <f t="shared" ca="1" si="0"/>
        <v>0.11409272457243812</v>
      </c>
      <c r="N27" s="194">
        <f t="shared" ca="1" si="1"/>
        <v>2693.9188173631774</v>
      </c>
      <c r="O27" s="308">
        <f t="shared" ca="1" si="2"/>
        <v>0.12765153107799584</v>
      </c>
      <c r="P27" s="308">
        <f t="shared" ca="1" si="3"/>
        <v>0.11409272457243812</v>
      </c>
      <c r="Q27" s="308">
        <f>IF(J27=0,0,L27/J27)</f>
        <v>0</v>
      </c>
    </row>
    <row r="28" spans="1:20" ht="13">
      <c r="A28" s="180"/>
      <c r="B28" s="41"/>
      <c r="C28" s="180"/>
      <c r="D28" s="258"/>
      <c r="E28" s="647"/>
      <c r="F28" s="355"/>
      <c r="G28" s="258"/>
      <c r="H28" s="194"/>
      <c r="J28" s="258"/>
      <c r="K28" s="258"/>
      <c r="L28" s="252"/>
      <c r="M28" s="248"/>
      <c r="N28" s="194"/>
      <c r="O28" s="308"/>
      <c r="P28" s="308"/>
      <c r="Q28" s="308"/>
    </row>
    <row r="29" spans="1:20" ht="13">
      <c r="A29" s="180">
        <v>6</v>
      </c>
      <c r="B29" s="41" t="s">
        <v>274</v>
      </c>
      <c r="C29" s="280" t="s">
        <v>421</v>
      </c>
      <c r="D29" s="258">
        <f ca="1">'Pres &amp; Prop Rev'!K152/1000</f>
        <v>13579.03759</v>
      </c>
      <c r="E29" s="647">
        <f>E15</f>
        <v>1.0008088968808837</v>
      </c>
      <c r="F29" s="355">
        <f ca="1">E29*$E$36</f>
        <v>0.13060300561525151</v>
      </c>
      <c r="G29" s="258">
        <f ca="1">F29*D29</f>
        <v>1773.4631226164813</v>
      </c>
      <c r="H29" s="194">
        <f ca="1">D29+G29</f>
        <v>15352.500712616482</v>
      </c>
      <c r="J29" s="258">
        <f>RS!I30</f>
        <v>15041.42</v>
      </c>
      <c r="K29" s="258">
        <v>0</v>
      </c>
      <c r="L29" s="252">
        <v>0</v>
      </c>
      <c r="M29" s="248">
        <f t="shared" ca="1" si="0"/>
        <v>0.1179052990087692</v>
      </c>
      <c r="N29" s="194">
        <f ca="1">+G29+K29+L29</f>
        <v>1773.4631226164813</v>
      </c>
      <c r="O29" s="308">
        <f t="shared" ca="1" si="2"/>
        <v>0.13060300561525151</v>
      </c>
      <c r="P29" s="308">
        <f t="shared" ca="1" si="3"/>
        <v>0.1179052990087692</v>
      </c>
      <c r="Q29" s="308">
        <f t="shared" si="4"/>
        <v>0</v>
      </c>
    </row>
    <row r="30" spans="1:20" ht="13">
      <c r="A30" s="180"/>
      <c r="B30" s="41"/>
      <c r="C30" s="180"/>
      <c r="D30" s="258"/>
      <c r="E30" s="647"/>
      <c r="F30" s="355"/>
      <c r="G30" s="258"/>
      <c r="H30" s="194"/>
      <c r="J30" s="258"/>
      <c r="K30" s="258"/>
      <c r="L30" s="252"/>
      <c r="M30" s="248"/>
      <c r="N30" s="194"/>
      <c r="O30" s="308"/>
      <c r="P30" s="308"/>
      <c r="Q30" s="308"/>
    </row>
    <row r="31" spans="1:20" ht="13">
      <c r="A31" s="180">
        <v>7</v>
      </c>
      <c r="B31" s="41" t="s">
        <v>275</v>
      </c>
      <c r="C31" s="180" t="s">
        <v>322</v>
      </c>
      <c r="D31" s="260">
        <f>'Pres &amp; Prop Rev'!L152/1000</f>
        <v>7407.9618023400008</v>
      </c>
      <c r="E31" s="647">
        <f>E15</f>
        <v>1.0008088968808837</v>
      </c>
      <c r="F31" s="355">
        <f ca="1">E31*$E$36</f>
        <v>0.13060300561525151</v>
      </c>
      <c r="G31" s="258">
        <f ca="1">F31*D31</f>
        <v>967.50207686857982</v>
      </c>
      <c r="H31" s="194">
        <f ca="1">D31+G31</f>
        <v>8375.4638792085807</v>
      </c>
      <c r="J31" s="258">
        <f>RS!I32</f>
        <v>8127.1163623399998</v>
      </c>
      <c r="K31" s="258">
        <v>0</v>
      </c>
      <c r="L31" s="252">
        <v>0</v>
      </c>
      <c r="M31" s="248">
        <f t="shared" ca="1" si="0"/>
        <v>0.11904617009691883</v>
      </c>
      <c r="N31" s="194">
        <f t="shared" ref="N31" ca="1" si="6">+G31+K31+L31</f>
        <v>967.50207686857982</v>
      </c>
      <c r="O31" s="308">
        <f t="shared" ca="1" si="2"/>
        <v>0.13060300561525151</v>
      </c>
      <c r="P31" s="308">
        <f t="shared" ca="1" si="3"/>
        <v>0.11904617009691883</v>
      </c>
      <c r="Q31" s="308">
        <f t="shared" si="4"/>
        <v>0</v>
      </c>
      <c r="T31" s="306"/>
    </row>
    <row r="32" spans="1:20" ht="13">
      <c r="A32" s="180"/>
      <c r="B32" s="41"/>
      <c r="C32" s="180"/>
      <c r="D32" s="258"/>
      <c r="E32" s="648"/>
      <c r="F32" s="355"/>
      <c r="G32" s="258"/>
      <c r="H32" s="194"/>
      <c r="J32" s="258"/>
      <c r="K32" s="258"/>
      <c r="L32" s="252"/>
      <c r="M32" s="248"/>
      <c r="N32" s="194"/>
      <c r="O32" s="308"/>
      <c r="P32" s="308"/>
      <c r="Q32" s="308"/>
    </row>
    <row r="33" spans="1:17" ht="13">
      <c r="A33" s="180">
        <v>8</v>
      </c>
      <c r="B33" s="264" t="s">
        <v>64</v>
      </c>
      <c r="C33" s="180"/>
      <c r="D33" s="258">
        <f ca="1">SUM(D15:D31)+0.4</f>
        <v>590563.27909586858</v>
      </c>
      <c r="E33" s="258"/>
      <c r="F33" s="355">
        <f ca="1">G36/$D$33</f>
        <v>0.13049744663770299</v>
      </c>
      <c r="G33" s="258">
        <f ca="1">SUM(G15:G31)</f>
        <v>77066.999999999985</v>
      </c>
      <c r="H33" s="194">
        <f ca="1">D33+G33+0.3</f>
        <v>667630.57909586863</v>
      </c>
      <c r="J33" s="258">
        <f>SUM(J15:J31)</f>
        <v>609280.43169444008</v>
      </c>
      <c r="K33" s="258">
        <v>0</v>
      </c>
      <c r="L33" s="252">
        <v>0</v>
      </c>
      <c r="M33" s="248">
        <f ca="1">IF(J33=0,0,(G33+K33+L33)/J33)</f>
        <v>0.12648855271073242</v>
      </c>
      <c r="N33" s="194">
        <f ca="1">+G33+K33+L33</f>
        <v>77066.999999999985</v>
      </c>
      <c r="O33" s="308">
        <f t="shared" ca="1" si="2"/>
        <v>0.13049744663770296</v>
      </c>
      <c r="P33" s="308">
        <f t="shared" ca="1" si="3"/>
        <v>0.12648855271073242</v>
      </c>
      <c r="Q33" s="308">
        <f t="shared" si="4"/>
        <v>0</v>
      </c>
    </row>
    <row r="34" spans="1:17">
      <c r="A34" s="180"/>
      <c r="B34" s="180"/>
      <c r="C34" s="180"/>
      <c r="D34" s="265"/>
      <c r="E34" s="265"/>
      <c r="F34" s="265"/>
      <c r="G34" s="265"/>
      <c r="H34" s="265"/>
    </row>
    <row r="36" spans="1:17">
      <c r="B36" t="s">
        <v>865</v>
      </c>
      <c r="D36" s="275"/>
      <c r="E36" s="306">
        <f ca="1">G36/(D33)</f>
        <v>0.13049744663770299</v>
      </c>
      <c r="F36" s="306"/>
      <c r="G36" s="275">
        <v>77067</v>
      </c>
      <c r="H36" s="41" t="s">
        <v>886</v>
      </c>
      <c r="L36" s="194"/>
    </row>
    <row r="37" spans="1:17">
      <c r="G37" s="275">
        <v>78130</v>
      </c>
      <c r="H37" s="41" t="s">
        <v>887</v>
      </c>
      <c r="L37" s="194"/>
    </row>
    <row r="38" spans="1:17">
      <c r="G38" s="194"/>
    </row>
    <row r="39" spans="1:17" ht="13">
      <c r="D39" s="97"/>
      <c r="E39" s="194"/>
    </row>
    <row r="40" spans="1:17">
      <c r="E40" s="237"/>
    </row>
    <row r="42" spans="1:17">
      <c r="O42" s="41" t="s">
        <v>866</v>
      </c>
    </row>
    <row r="43" spans="1:17">
      <c r="F43" s="289"/>
      <c r="J43" s="41"/>
      <c r="K43" s="41"/>
      <c r="L43" s="41"/>
      <c r="M43" s="41" t="s">
        <v>708</v>
      </c>
    </row>
    <row r="44" spans="1:17">
      <c r="D44" s="41" t="s">
        <v>728</v>
      </c>
      <c r="F44" s="289"/>
      <c r="J44" s="352"/>
      <c r="K44" s="352"/>
      <c r="L44" s="278"/>
      <c r="O44" s="133">
        <f ca="1">O15</f>
        <v>0.13060300561525151</v>
      </c>
    </row>
    <row r="45" spans="1:17">
      <c r="E45" s="41" t="s">
        <v>263</v>
      </c>
      <c r="F45" s="277"/>
      <c r="J45" s="352"/>
      <c r="K45" s="352"/>
      <c r="L45" s="278"/>
      <c r="O45" s="180" t="s">
        <v>867</v>
      </c>
    </row>
    <row r="46" spans="1:17" ht="13">
      <c r="D46" s="41" t="s">
        <v>868</v>
      </c>
      <c r="E46" s="194">
        <f ca="1">ROUND(G25*1000,-3)</f>
        <v>6046000</v>
      </c>
      <c r="F46" s="194"/>
      <c r="L46" s="422"/>
      <c r="O46" s="308">
        <f ca="1">O44*2</f>
        <v>0.26120601123050302</v>
      </c>
    </row>
    <row r="47" spans="1:17">
      <c r="D47" s="41" t="s">
        <v>869</v>
      </c>
      <c r="E47" s="285">
        <f>'Pres &amp; Prop Rev'!I23/1000</f>
        <v>627844.98616700002</v>
      </c>
      <c r="F47" s="40"/>
    </row>
    <row r="49" spans="4:19">
      <c r="D49" s="41" t="s">
        <v>870</v>
      </c>
      <c r="E49" s="327">
        <f ca="1">E46/E47</f>
        <v>9.6297655204844297</v>
      </c>
      <c r="F49" s="327"/>
      <c r="G49" s="443"/>
    </row>
    <row r="50" spans="4:19">
      <c r="E50" s="278">
        <f ca="1">E46/E49</f>
        <v>627844.98616700002</v>
      </c>
      <c r="G50" s="348"/>
      <c r="H50" s="237"/>
    </row>
    <row r="51" spans="4:19">
      <c r="F51" s="327"/>
      <c r="G51" s="443"/>
      <c r="N51" s="41"/>
    </row>
    <row r="52" spans="4:19">
      <c r="E52" s="327"/>
      <c r="G52" s="348"/>
      <c r="N52" s="41"/>
    </row>
    <row r="53" spans="4:19">
      <c r="E53" s="278"/>
    </row>
    <row r="54" spans="4:19">
      <c r="F54" s="289"/>
      <c r="P54" s="41"/>
      <c r="R54" s="41"/>
      <c r="S54" s="41"/>
    </row>
    <row r="55" spans="4:19">
      <c r="D55" s="41" t="s">
        <v>871</v>
      </c>
      <c r="E55" s="194"/>
      <c r="F55" s="289"/>
      <c r="N55" s="41"/>
      <c r="P55" s="194"/>
      <c r="R55" s="421"/>
    </row>
    <row r="56" spans="4:19">
      <c r="R56" s="421"/>
    </row>
    <row r="57" spans="4:19" ht="13">
      <c r="E57" s="172" t="s">
        <v>872</v>
      </c>
      <c r="F57" s="172"/>
      <c r="G57" s="172"/>
      <c r="N57" s="41"/>
      <c r="P57" s="194"/>
      <c r="R57" s="421"/>
    </row>
    <row r="58" spans="4:19">
      <c r="D58" s="41" t="s">
        <v>728</v>
      </c>
    </row>
    <row r="60" spans="4:19">
      <c r="D60" s="41" t="s">
        <v>870</v>
      </c>
      <c r="E60" s="327">
        <f ca="1">E49</f>
        <v>9.6297655204844297</v>
      </c>
      <c r="F60" s="41"/>
      <c r="G60" s="194"/>
      <c r="P60" s="289"/>
      <c r="R60" s="289"/>
      <c r="S60" s="289"/>
    </row>
    <row r="61" spans="4:19">
      <c r="D61" s="41" t="s">
        <v>873</v>
      </c>
      <c r="E61" s="522">
        <f>0.6509</f>
        <v>0.65090000000000003</v>
      </c>
      <c r="F61" s="41"/>
      <c r="G61" s="76"/>
    </row>
    <row r="62" spans="4:19">
      <c r="E62" s="443">
        <f ca="1">E60*E61</f>
        <v>6.2680143772833157</v>
      </c>
    </row>
    <row r="64" spans="4:19">
      <c r="D64" s="41" t="s">
        <v>874</v>
      </c>
      <c r="E64" s="285">
        <f>'Pres &amp; Prop Rev'!J23/1000</f>
        <v>429788.23200000002</v>
      </c>
    </row>
    <row r="66" spans="4:10">
      <c r="D66" s="41" t="s">
        <v>875</v>
      </c>
      <c r="E66" s="278">
        <f ca="1">(E60*E61)*E64</f>
        <v>2693918.8173631774</v>
      </c>
      <c r="F66" s="306">
        <f ca="1">(E66/1000)/D27</f>
        <v>0.12765153107799584</v>
      </c>
      <c r="G66" s="194"/>
      <c r="H66" s="306"/>
    </row>
    <row r="69" spans="4:10" ht="13" thickBot="1"/>
    <row r="70" spans="4:10">
      <c r="D70" s="523" t="s">
        <v>876</v>
      </c>
      <c r="E70" s="384"/>
      <c r="F70" s="384"/>
      <c r="G70" s="384"/>
      <c r="H70" s="384"/>
      <c r="I70" s="384"/>
      <c r="J70" s="386"/>
    </row>
    <row r="71" spans="4:10">
      <c r="D71" s="524" t="s">
        <v>877</v>
      </c>
      <c r="J71" s="390"/>
    </row>
    <row r="72" spans="4:10">
      <c r="D72" s="387"/>
      <c r="J72" s="390"/>
    </row>
    <row r="73" spans="4:10">
      <c r="D73" s="387"/>
      <c r="F73" s="41" t="s">
        <v>878</v>
      </c>
      <c r="H73" s="41" t="s">
        <v>869</v>
      </c>
      <c r="J73" s="525" t="s">
        <v>879</v>
      </c>
    </row>
    <row r="74" spans="4:10">
      <c r="D74" s="524" t="s">
        <v>728</v>
      </c>
      <c r="F74" s="194">
        <v>45108846.983799994</v>
      </c>
      <c r="H74" s="526">
        <v>620117.68591500004</v>
      </c>
      <c r="J74" s="527">
        <f>F74/H74</f>
        <v>72.742397142311304</v>
      </c>
    </row>
    <row r="75" spans="4:10">
      <c r="D75" s="387"/>
      <c r="H75" s="526"/>
      <c r="J75" s="527"/>
    </row>
    <row r="76" spans="4:10">
      <c r="D76" s="524" t="s">
        <v>880</v>
      </c>
      <c r="F76" s="194">
        <v>21357310.436499998</v>
      </c>
      <c r="H76" s="526">
        <v>451099.44799999997</v>
      </c>
      <c r="J76" s="527">
        <f t="shared" ref="J76" si="7">F76/H76</f>
        <v>47.345015674902797</v>
      </c>
    </row>
    <row r="77" spans="4:10">
      <c r="D77" s="387"/>
      <c r="J77" s="390"/>
    </row>
    <row r="78" spans="4:10" ht="13" thickBot="1">
      <c r="D78" s="387"/>
      <c r="J78" s="390"/>
    </row>
    <row r="79" spans="4:10" ht="13.5" thickBot="1">
      <c r="D79" s="394"/>
      <c r="E79" s="326"/>
      <c r="F79" s="326"/>
      <c r="G79" s="326"/>
      <c r="H79" s="326"/>
      <c r="I79" s="326"/>
      <c r="J79" s="528">
        <f>J76/J74</f>
        <v>0.65085861251284116</v>
      </c>
    </row>
    <row r="83" spans="4:11">
      <c r="D83" s="707" t="s">
        <v>1017</v>
      </c>
      <c r="E83" s="708"/>
      <c r="F83" s="708"/>
      <c r="G83" s="708"/>
      <c r="H83" s="708"/>
      <c r="I83" s="708"/>
      <c r="J83" s="708"/>
      <c r="K83" s="708"/>
    </row>
    <row r="84" spans="4:11">
      <c r="D84" s="708"/>
      <c r="E84" s="708"/>
      <c r="F84" s="708"/>
      <c r="G84" s="708"/>
      <c r="H84" s="708"/>
      <c r="I84" s="708"/>
      <c r="J84" s="708"/>
      <c r="K84" s="708"/>
    </row>
    <row r="85" spans="4:11">
      <c r="D85" s="708"/>
      <c r="E85" s="708"/>
      <c r="F85" s="708"/>
      <c r="G85" s="708"/>
      <c r="H85" s="708"/>
      <c r="I85" s="708"/>
      <c r="J85" s="708"/>
      <c r="K85" s="708"/>
    </row>
    <row r="86" spans="4:11">
      <c r="D86" s="708"/>
      <c r="E86" s="708"/>
      <c r="F86" s="708"/>
      <c r="G86" s="708"/>
      <c r="H86" s="708"/>
      <c r="I86" s="708"/>
      <c r="J86" s="708"/>
      <c r="K86" s="708"/>
    </row>
    <row r="87" spans="4:11">
      <c r="D87" s="708"/>
      <c r="E87" s="708"/>
      <c r="F87" s="708"/>
      <c r="G87" s="708"/>
      <c r="H87" s="708"/>
      <c r="I87" s="708"/>
      <c r="J87" s="708"/>
      <c r="K87" s="708"/>
    </row>
    <row r="88" spans="4:11">
      <c r="D88" s="708"/>
      <c r="E88" s="708"/>
      <c r="F88" s="708"/>
      <c r="G88" s="708"/>
      <c r="H88" s="708"/>
      <c r="I88" s="708"/>
      <c r="J88" s="708"/>
      <c r="K88" s="708"/>
    </row>
    <row r="89" spans="4:11" ht="72.75" customHeight="1">
      <c r="D89" s="708"/>
      <c r="E89" s="708"/>
      <c r="F89" s="708"/>
      <c r="G89" s="708"/>
      <c r="H89" s="708"/>
      <c r="I89" s="708"/>
      <c r="J89" s="708"/>
      <c r="K89" s="708"/>
    </row>
  </sheetData>
  <mergeCells count="1">
    <mergeCell ref="D83:K89"/>
  </mergeCells>
  <phoneticPr fontId="15" type="noConversion"/>
  <conditionalFormatting sqref="D34:H34">
    <cfRule type="cellIs" dxfId="16" priority="1" stopIfTrue="1" operator="notEqual">
      <formula>0</formula>
    </cfRule>
  </conditionalFormatting>
  <pageMargins left="0.7" right="0.7" top="0.75" bottom="0.75" header="0.3" footer="0.3"/>
  <pageSetup scale="86" orientation="landscape" r:id="rId1"/>
  <ignoredErrors>
    <ignoredError sqref="C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652E6-4820-4C7D-BE21-669C641D8624}">
  <dimension ref="B1:N84"/>
  <sheetViews>
    <sheetView topLeftCell="A52" workbookViewId="0">
      <selection activeCell="D94" sqref="D94"/>
    </sheetView>
  </sheetViews>
  <sheetFormatPr defaultColWidth="9.1796875" defaultRowHeight="12.5"/>
  <cols>
    <col min="1" max="1" width="1.7265625" style="41" customWidth="1"/>
    <col min="2" max="2" width="41.26953125" style="41" customWidth="1"/>
    <col min="3" max="3" width="13.453125" style="41" bestFit="1" customWidth="1"/>
    <col min="4" max="4" width="13.81640625" style="41" bestFit="1" customWidth="1"/>
    <col min="5" max="5" width="12.7265625" style="41" customWidth="1"/>
    <col min="6" max="6" width="13.81640625" style="41" bestFit="1" customWidth="1"/>
    <col min="7" max="12" width="12.7265625" style="41" customWidth="1"/>
    <col min="13" max="13" width="11" style="41" bestFit="1" customWidth="1"/>
    <col min="14" max="14" width="10.1796875" style="41" bestFit="1" customWidth="1"/>
    <col min="15" max="16384" width="9.1796875" style="41"/>
  </cols>
  <sheetData>
    <row r="1" spans="2:13" ht="13">
      <c r="B1" s="117" t="s">
        <v>78</v>
      </c>
      <c r="C1" s="254"/>
      <c r="D1" s="254"/>
      <c r="E1" s="254"/>
      <c r="F1" s="254"/>
      <c r="G1" s="254"/>
      <c r="H1" s="254"/>
      <c r="I1" s="254"/>
      <c r="J1" s="254"/>
      <c r="K1" s="254"/>
      <c r="L1" s="254"/>
    </row>
    <row r="2" spans="2:13" ht="13">
      <c r="B2" s="117" t="s">
        <v>366</v>
      </c>
      <c r="C2" s="254"/>
      <c r="D2" s="254"/>
      <c r="E2" s="254"/>
      <c r="F2" s="254"/>
      <c r="G2" s="254"/>
      <c r="H2" s="254"/>
      <c r="I2" s="254"/>
      <c r="J2" s="254"/>
      <c r="K2" s="254"/>
      <c r="L2" s="254"/>
    </row>
    <row r="3" spans="2:13" ht="13">
      <c r="B3" s="117" t="s">
        <v>888</v>
      </c>
      <c r="C3" s="254"/>
      <c r="D3" s="254"/>
      <c r="E3" s="254"/>
      <c r="F3" s="254"/>
      <c r="G3" s="254"/>
      <c r="H3" s="254"/>
      <c r="I3" s="254"/>
      <c r="J3" s="254"/>
      <c r="K3" s="254"/>
      <c r="L3" s="254"/>
    </row>
    <row r="4" spans="2:13" ht="13">
      <c r="B4" s="117" t="s">
        <v>813</v>
      </c>
      <c r="C4" s="254"/>
      <c r="D4" s="254"/>
      <c r="E4" s="254"/>
      <c r="F4" s="254"/>
      <c r="G4" s="254"/>
      <c r="H4" s="254"/>
      <c r="I4" s="254"/>
      <c r="J4" s="254"/>
      <c r="K4" s="254"/>
      <c r="L4" s="254"/>
    </row>
    <row r="5" spans="2:13" ht="13">
      <c r="B5" s="117"/>
      <c r="C5" s="254"/>
      <c r="D5" s="254"/>
      <c r="E5" s="254"/>
      <c r="F5" s="254"/>
      <c r="G5" s="254"/>
      <c r="H5" s="254"/>
      <c r="I5" s="254"/>
      <c r="J5" s="254"/>
      <c r="K5" s="254"/>
      <c r="L5" s="254"/>
    </row>
    <row r="7" spans="2:13" ht="13">
      <c r="C7" s="42" t="s">
        <v>64</v>
      </c>
      <c r="D7" s="42" t="s">
        <v>889</v>
      </c>
      <c r="E7" s="42" t="s">
        <v>890</v>
      </c>
      <c r="F7" s="42" t="s">
        <v>891</v>
      </c>
      <c r="G7" s="42" t="s">
        <v>892</v>
      </c>
      <c r="H7" s="42" t="s">
        <v>894</v>
      </c>
      <c r="I7" s="42" t="s">
        <v>895</v>
      </c>
      <c r="J7" s="42" t="s">
        <v>893</v>
      </c>
      <c r="K7" s="42" t="s">
        <v>1054</v>
      </c>
      <c r="L7" s="42" t="s">
        <v>1055</v>
      </c>
    </row>
    <row r="8" spans="2:13">
      <c r="B8" s="41" t="s">
        <v>896</v>
      </c>
      <c r="C8" s="150">
        <f>SUM(D8:L8)</f>
        <v>2309817000</v>
      </c>
      <c r="D8" s="534">
        <v>1316919642.445436</v>
      </c>
      <c r="E8" s="534">
        <v>314000938.18521428</v>
      </c>
      <c r="F8" s="534">
        <v>447021613.25098193</v>
      </c>
      <c r="G8" s="534">
        <v>133121609.86650388</v>
      </c>
      <c r="H8" s="534">
        <v>53837590.527131774</v>
      </c>
      <c r="I8" s="534">
        <v>41955710.319329508</v>
      </c>
      <c r="J8" s="534">
        <v>0</v>
      </c>
      <c r="K8" s="534">
        <v>838527.06213715021</v>
      </c>
      <c r="L8" s="534">
        <v>2121368.3432654389</v>
      </c>
      <c r="M8" s="240" t="s">
        <v>897</v>
      </c>
    </row>
    <row r="10" spans="2:13">
      <c r="B10" s="41" t="s">
        <v>898</v>
      </c>
      <c r="C10" s="150">
        <f>SUM(D10:L10)</f>
        <v>569459000</v>
      </c>
      <c r="D10" s="534">
        <v>279948547.05843699</v>
      </c>
      <c r="E10" s="534">
        <v>89664262.207680777</v>
      </c>
      <c r="F10" s="534">
        <v>132450373.69677392</v>
      </c>
      <c r="G10" s="534">
        <v>46296167.472576812</v>
      </c>
      <c r="H10" s="534">
        <v>13579033.170106631</v>
      </c>
      <c r="I10" s="534">
        <v>7407959.3910939135</v>
      </c>
      <c r="J10" s="534">
        <v>0</v>
      </c>
      <c r="K10" s="534">
        <v>48212.054307267208</v>
      </c>
      <c r="L10" s="534">
        <v>64444.949023557914</v>
      </c>
      <c r="M10" s="240" t="s">
        <v>897</v>
      </c>
    </row>
    <row r="11" spans="2:13">
      <c r="B11" s="41" t="s">
        <v>899</v>
      </c>
      <c r="C11" s="150">
        <f>SUM(D11:L11)</f>
        <v>201250000</v>
      </c>
      <c r="D11" s="534">
        <v>99454494.041802049</v>
      </c>
      <c r="E11" s="534">
        <v>25758506.537181914</v>
      </c>
      <c r="F11" s="534">
        <v>47592815.168835014</v>
      </c>
      <c r="G11" s="534">
        <v>22339813.474607944</v>
      </c>
      <c r="H11" s="534">
        <v>5208085.4098022617</v>
      </c>
      <c r="I11" s="534">
        <v>843949.7680549873</v>
      </c>
      <c r="J11" s="534">
        <v>0</v>
      </c>
      <c r="K11" s="534">
        <v>19253.511982629359</v>
      </c>
      <c r="L11" s="534">
        <v>33082.087733204447</v>
      </c>
      <c r="M11" s="240" t="s">
        <v>897</v>
      </c>
    </row>
    <row r="12" spans="2:13">
      <c r="B12" s="240" t="s">
        <v>900</v>
      </c>
      <c r="C12" s="535">
        <f>IF(ROUND(C10+C11,0)&lt;&gt;ROUND(SUM(D12:L12),0),#VALUE!,SUM(D12:L12))</f>
        <v>770708999.99999988</v>
      </c>
      <c r="D12" s="535">
        <f t="shared" ref="D12:L12" si="0">D10+D11</f>
        <v>379403041.10023904</v>
      </c>
      <c r="E12" s="535">
        <f t="shared" si="0"/>
        <v>115422768.74486269</v>
      </c>
      <c r="F12" s="535">
        <f t="shared" si="0"/>
        <v>180043188.86560893</v>
      </c>
      <c r="G12" s="535">
        <f t="shared" si="0"/>
        <v>68635980.947184756</v>
      </c>
      <c r="H12" s="535">
        <f t="shared" ref="H12" si="1">H10+H11</f>
        <v>18787118.579908893</v>
      </c>
      <c r="I12" s="535">
        <f t="shared" si="0"/>
        <v>8251909.1591489008</v>
      </c>
      <c r="J12" s="535">
        <f t="shared" ref="J12" si="2">J10+J11</f>
        <v>0</v>
      </c>
      <c r="K12" s="535">
        <f t="shared" si="0"/>
        <v>67465.566289896567</v>
      </c>
      <c r="L12" s="535">
        <f t="shared" si="0"/>
        <v>97527.036756762362</v>
      </c>
    </row>
    <row r="13" spans="2:13">
      <c r="C13" s="150"/>
      <c r="D13" s="150"/>
      <c r="E13" s="150"/>
      <c r="F13" s="150"/>
      <c r="G13" s="150"/>
      <c r="H13" s="150"/>
      <c r="I13" s="150"/>
      <c r="J13" s="150"/>
      <c r="K13" s="150"/>
      <c r="L13" s="150"/>
    </row>
    <row r="14" spans="2:13">
      <c r="B14" s="41" t="s">
        <v>901</v>
      </c>
      <c r="C14" s="150">
        <f>SUM(D14:L14)</f>
        <v>617626999.99999988</v>
      </c>
      <c r="D14" s="150">
        <f t="shared" ref="D14:L14" si="3">D17-D15-D16</f>
        <v>337265114.30300242</v>
      </c>
      <c r="E14" s="150">
        <f t="shared" si="3"/>
        <v>80560637.425911203</v>
      </c>
      <c r="F14" s="150">
        <f t="shared" si="3"/>
        <v>127427666.18229093</v>
      </c>
      <c r="G14" s="150">
        <f t="shared" si="3"/>
        <v>52582794.741894379</v>
      </c>
      <c r="H14" s="150">
        <f t="shared" ref="H14" si="4">H17-H15-H16</f>
        <v>14583291.097927572</v>
      </c>
      <c r="I14" s="150">
        <f t="shared" si="3"/>
        <v>4736995.5153220221</v>
      </c>
      <c r="J14" s="150">
        <f t="shared" ref="J14" si="5">J17-J15-J16</f>
        <v>0</v>
      </c>
      <c r="K14" s="150">
        <f t="shared" si="3"/>
        <v>140087.04183780486</v>
      </c>
      <c r="L14" s="150">
        <f t="shared" si="3"/>
        <v>330413.69181360578</v>
      </c>
      <c r="M14" s="150"/>
    </row>
    <row r="15" spans="2:13">
      <c r="B15" s="41" t="s">
        <v>902</v>
      </c>
      <c r="C15" s="150">
        <f>SUM(D15:L15)</f>
        <v>27757999.999999993</v>
      </c>
      <c r="D15" s="536">
        <v>13645954.790859558</v>
      </c>
      <c r="E15" s="536">
        <v>4370640.5384071609</v>
      </c>
      <c r="F15" s="536">
        <v>6456228.5837523863</v>
      </c>
      <c r="G15" s="536">
        <v>2256684.0048252586</v>
      </c>
      <c r="H15" s="536">
        <v>661903.32005608804</v>
      </c>
      <c r="I15" s="536">
        <v>361097.35165830178</v>
      </c>
      <c r="J15" s="536">
        <v>0</v>
      </c>
      <c r="K15" s="536">
        <v>2350.072970066542</v>
      </c>
      <c r="L15" s="536">
        <v>3141.3374711716215</v>
      </c>
      <c r="M15" s="240" t="s">
        <v>897</v>
      </c>
    </row>
    <row r="16" spans="2:13">
      <c r="B16" s="41" t="s">
        <v>903</v>
      </c>
      <c r="C16" s="150">
        <f>SUM(D16:L16)</f>
        <v>7537999.9999999851</v>
      </c>
      <c r="D16" s="534">
        <v>-611694.67008068215</v>
      </c>
      <c r="E16" s="534">
        <v>2562305.9882157389</v>
      </c>
      <c r="F16" s="534">
        <v>3962117.8070694394</v>
      </c>
      <c r="G16" s="534">
        <v>1185666.985621731</v>
      </c>
      <c r="H16" s="534">
        <v>246646.60155843812</v>
      </c>
      <c r="I16" s="534">
        <v>237190.6666174964</v>
      </c>
      <c r="J16" s="534">
        <v>0</v>
      </c>
      <c r="K16" s="534">
        <v>-11030.285876976237</v>
      </c>
      <c r="L16" s="534">
        <v>-33203.093125200081</v>
      </c>
      <c r="M16" s="240" t="s">
        <v>897</v>
      </c>
    </row>
    <row r="17" spans="2:13">
      <c r="B17" s="240" t="s">
        <v>904</v>
      </c>
      <c r="C17" s="535">
        <f>IF(ROUND(SUM(C14:C16),0)&lt;&gt;ROUND(SUM(D17:L17),0),#VALUE!,SUM(D17:L17))</f>
        <v>652923000</v>
      </c>
      <c r="D17" s="537">
        <v>350299374.42378134</v>
      </c>
      <c r="E17" s="537">
        <v>87493583.952534109</v>
      </c>
      <c r="F17" s="537">
        <v>137846012.57311276</v>
      </c>
      <c r="G17" s="537">
        <v>56025145.732341364</v>
      </c>
      <c r="H17" s="537">
        <v>15491841.019542098</v>
      </c>
      <c r="I17" s="537">
        <v>5335283.5335978195</v>
      </c>
      <c r="J17" s="537">
        <v>0</v>
      </c>
      <c r="K17" s="537">
        <v>131406.82893089516</v>
      </c>
      <c r="L17" s="537">
        <v>300351.93615957734</v>
      </c>
      <c r="M17" s="240" t="s">
        <v>897</v>
      </c>
    </row>
    <row r="18" spans="2:13">
      <c r="C18" s="150"/>
      <c r="D18" s="150" t="s">
        <v>905</v>
      </c>
      <c r="E18" s="150"/>
      <c r="F18" s="150"/>
      <c r="G18" s="150"/>
      <c r="H18" s="150"/>
      <c r="I18" s="150"/>
      <c r="J18" s="150"/>
      <c r="K18" s="150"/>
      <c r="L18" s="150"/>
    </row>
    <row r="19" spans="2:13" ht="13">
      <c r="B19" s="97" t="s">
        <v>906</v>
      </c>
      <c r="C19" s="538">
        <f>IF(ROUND(C12-C17,0)&lt;&gt;ROUND(SUM(D19:L19),0),#VALUE!,ROUND(SUM(D19:L19),-3))</f>
        <v>117786000</v>
      </c>
      <c r="D19" s="538">
        <f t="shared" ref="D19:L19" si="6">D12-D17</f>
        <v>29103666.676457703</v>
      </c>
      <c r="E19" s="538">
        <f t="shared" si="6"/>
        <v>27929184.792328581</v>
      </c>
      <c r="F19" s="538">
        <f t="shared" si="6"/>
        <v>42197176.292496175</v>
      </c>
      <c r="G19" s="538">
        <f t="shared" si="6"/>
        <v>12610835.214843392</v>
      </c>
      <c r="H19" s="538">
        <f t="shared" ref="H19" si="7">H12-H17</f>
        <v>3295277.5603667945</v>
      </c>
      <c r="I19" s="538">
        <f t="shared" si="6"/>
        <v>2916625.6255510813</v>
      </c>
      <c r="J19" s="538">
        <f t="shared" ref="J19" si="8">J12-J17</f>
        <v>0</v>
      </c>
      <c r="K19" s="538">
        <f t="shared" si="6"/>
        <v>-63941.262640998597</v>
      </c>
      <c r="L19" s="538">
        <f t="shared" si="6"/>
        <v>-202824.89940281498</v>
      </c>
    </row>
    <row r="20" spans="2:13" ht="13">
      <c r="B20" s="97" t="s">
        <v>907</v>
      </c>
      <c r="C20" s="171">
        <f t="shared" ref="C20:K20" si="9">C19/C8</f>
        <v>5.0993650146310292E-2</v>
      </c>
      <c r="D20" s="171">
        <f t="shared" si="9"/>
        <v>2.2099804527491173E-2</v>
      </c>
      <c r="E20" s="171">
        <f t="shared" si="9"/>
        <v>8.8946182625271264E-2</v>
      </c>
      <c r="F20" s="171">
        <f t="shared" si="9"/>
        <v>9.4396277588494171E-2</v>
      </c>
      <c r="G20" s="171">
        <f t="shared" si="9"/>
        <v>9.4731691026646275E-2</v>
      </c>
      <c r="H20" s="171">
        <f t="shared" ref="H20" si="10">H19/H8</f>
        <v>6.1207745890970361E-2</v>
      </c>
      <c r="I20" s="171">
        <f t="shared" si="9"/>
        <v>6.951677383965911E-2</v>
      </c>
      <c r="J20" s="171" t="e">
        <f t="shared" ref="J20" si="11">J19/J8</f>
        <v>#DIV/0!</v>
      </c>
      <c r="K20" s="171">
        <f t="shared" si="9"/>
        <v>-7.6254262418235838E-2</v>
      </c>
      <c r="L20" s="171">
        <f>L19/L8</f>
        <v>-9.5610411104091908E-2</v>
      </c>
    </row>
    <row r="21" spans="2:13" ht="13">
      <c r="B21" s="97" t="s">
        <v>908</v>
      </c>
      <c r="C21" s="539">
        <f t="shared" ref="C21:L21" si="12">C20/$C20</f>
        <v>1</v>
      </c>
      <c r="D21" s="539">
        <f t="shared" si="12"/>
        <v>0.43338345978534021</v>
      </c>
      <c r="E21" s="539">
        <f t="shared" si="12"/>
        <v>1.7442599690366953</v>
      </c>
      <c r="F21" s="539">
        <f t="shared" si="12"/>
        <v>1.8511378832002348</v>
      </c>
      <c r="G21" s="539">
        <f t="shared" si="12"/>
        <v>1.8577154362326169</v>
      </c>
      <c r="H21" s="539">
        <f t="shared" ref="H21" si="13">H20/$C20</f>
        <v>1.2003013260543993</v>
      </c>
      <c r="I21" s="539">
        <f t="shared" si="12"/>
        <v>1.3632437301546863</v>
      </c>
      <c r="J21" s="539" t="e">
        <f t="shared" ref="J21" si="14">J20/$C20</f>
        <v>#DIV/0!</v>
      </c>
      <c r="K21" s="539">
        <f t="shared" si="12"/>
        <v>-1.4953677997054171</v>
      </c>
      <c r="L21" s="539">
        <f t="shared" si="12"/>
        <v>-1.8749473871701243</v>
      </c>
    </row>
    <row r="23" spans="2:13">
      <c r="B23" s="41" t="s">
        <v>909</v>
      </c>
      <c r="C23" s="150">
        <f>SUM(D23:L23)</f>
        <v>59362000.000000015</v>
      </c>
      <c r="D23" s="534">
        <v>33844665.536207408</v>
      </c>
      <c r="E23" s="534">
        <v>8069783.7502064854</v>
      </c>
      <c r="F23" s="534">
        <v>11488398.001142424</v>
      </c>
      <c r="G23" s="534">
        <v>3421208.2623408712</v>
      </c>
      <c r="H23" s="534">
        <v>1383619.1563537696</v>
      </c>
      <c r="I23" s="534">
        <v>1078256.3622901894</v>
      </c>
      <c r="J23" s="534">
        <v>0</v>
      </c>
      <c r="K23" s="534">
        <v>21550.037714063721</v>
      </c>
      <c r="L23" s="534">
        <v>54518.893744795816</v>
      </c>
      <c r="M23" s="240" t="s">
        <v>897</v>
      </c>
    </row>
    <row r="25" spans="2:13" ht="13">
      <c r="B25" s="41" t="s">
        <v>910</v>
      </c>
      <c r="C25" s="538">
        <v>0</v>
      </c>
    </row>
    <row r="26" spans="2:13" ht="13">
      <c r="B26" s="41" t="s">
        <v>911</v>
      </c>
      <c r="C26" s="540">
        <f>77067000-2694000</f>
        <v>74373000</v>
      </c>
      <c r="D26" s="541">
        <f>C26/C10</f>
        <v>0.13060290556475532</v>
      </c>
    </row>
    <row r="27" spans="2:13" ht="13">
      <c r="B27" s="41" t="s">
        <v>1056</v>
      </c>
      <c r="C27" s="540">
        <v>2694000</v>
      </c>
      <c r="D27" s="541"/>
    </row>
    <row r="28" spans="2:13" ht="13">
      <c r="B28" s="41" t="s">
        <v>912</v>
      </c>
      <c r="C28" s="542">
        <f>C25+C26+C27</f>
        <v>77067000</v>
      </c>
    </row>
    <row r="29" spans="2:13" ht="13">
      <c r="C29" s="538"/>
      <c r="D29" s="215" t="s">
        <v>913</v>
      </c>
    </row>
    <row r="30" spans="2:13" ht="13">
      <c r="B30" s="41" t="s">
        <v>914</v>
      </c>
      <c r="C30" s="538">
        <f>C10+C26+C27</f>
        <v>646526000</v>
      </c>
      <c r="D30" s="150">
        <f>C30-C10</f>
        <v>77067000</v>
      </c>
      <c r="F30" s="41" t="s">
        <v>915</v>
      </c>
      <c r="G30" s="543">
        <v>4.9519999999999998E-3</v>
      </c>
      <c r="H30" s="543"/>
      <c r="I30" s="543"/>
    </row>
    <row r="31" spans="2:13" ht="13">
      <c r="B31" s="41" t="s">
        <v>916</v>
      </c>
      <c r="C31" s="538">
        <f>ROUND(C28*G30,-3)+ROUND(C28*G31,-3)+ROUND(C28*G32,-3)</f>
        <v>3660000</v>
      </c>
      <c r="F31" s="41" t="s">
        <v>917</v>
      </c>
      <c r="G31" s="543">
        <v>4.0000000000000001E-3</v>
      </c>
      <c r="H31" s="543"/>
      <c r="I31" s="543"/>
    </row>
    <row r="32" spans="2:13" ht="13">
      <c r="B32" s="41" t="s">
        <v>918</v>
      </c>
      <c r="C32" s="538">
        <f>ROUND(C28*G33,-3)</f>
        <v>15415000</v>
      </c>
      <c r="D32" s="150"/>
      <c r="F32" s="41" t="s">
        <v>919</v>
      </c>
      <c r="G32" s="543">
        <v>3.8542E-2</v>
      </c>
      <c r="H32" s="543"/>
      <c r="I32" s="543"/>
    </row>
    <row r="33" spans="2:14" ht="13">
      <c r="B33" s="41" t="s">
        <v>920</v>
      </c>
      <c r="C33" s="538">
        <f>C19+C28-C31-C32</f>
        <v>175778000</v>
      </c>
      <c r="D33" s="150">
        <f>C33-C19</f>
        <v>57992000</v>
      </c>
      <c r="F33" s="41" t="s">
        <v>921</v>
      </c>
      <c r="G33" s="543">
        <v>0.20002600000000001</v>
      </c>
      <c r="H33" s="543"/>
      <c r="I33" s="543"/>
    </row>
    <row r="34" spans="2:14" ht="13">
      <c r="B34" s="41" t="s">
        <v>922</v>
      </c>
      <c r="C34" s="171">
        <f>C33/C8</f>
        <v>7.6100401027440701E-2</v>
      </c>
      <c r="G34" s="544"/>
      <c r="H34" s="544"/>
      <c r="I34" s="544"/>
    </row>
    <row r="35" spans="2:14" ht="13">
      <c r="C35" s="171"/>
      <c r="G35" s="544"/>
      <c r="H35" s="544"/>
      <c r="I35" s="544"/>
    </row>
    <row r="36" spans="2:14">
      <c r="B36" s="41" t="s">
        <v>923</v>
      </c>
      <c r="C36" s="222">
        <f>SUM(D36:L36)</f>
        <v>0.99999999999999989</v>
      </c>
      <c r="D36" s="222">
        <v>0.52261132208470562</v>
      </c>
      <c r="E36" s="222">
        <v>0.1284808118428275</v>
      </c>
      <c r="F36" s="222">
        <v>0.22820780662939244</v>
      </c>
      <c r="G36" s="222">
        <v>9.7172658599921885E-2</v>
      </c>
      <c r="H36" s="222">
        <v>2.1920890511708119E-2</v>
      </c>
      <c r="I36" s="222">
        <v>1.4527127774017587E-3</v>
      </c>
      <c r="J36" s="222">
        <v>0</v>
      </c>
      <c r="K36" s="222">
        <v>5.0468934572125497E-5</v>
      </c>
      <c r="L36" s="222">
        <v>1.0332861947050134E-4</v>
      </c>
      <c r="M36" s="240" t="s">
        <v>897</v>
      </c>
    </row>
    <row r="37" spans="2:14">
      <c r="C37" s="222"/>
      <c r="D37" s="45"/>
      <c r="E37" s="45"/>
      <c r="F37" s="45"/>
      <c r="G37" s="45"/>
      <c r="H37" s="45"/>
      <c r="I37" s="45"/>
      <c r="J37" s="45"/>
      <c r="K37" s="45"/>
      <c r="L37" s="222"/>
    </row>
    <row r="38" spans="2:14" ht="13">
      <c r="B38" s="97" t="s">
        <v>924</v>
      </c>
      <c r="C38" s="545">
        <f>C39/C34</f>
        <v>1</v>
      </c>
      <c r="D38" s="545">
        <f>D40/D8/C34</f>
        <v>0.59454136487154319</v>
      </c>
      <c r="E38" s="546">
        <v>1.5229383558884146</v>
      </c>
      <c r="F38" s="546">
        <v>1.6079976534827836</v>
      </c>
      <c r="G38" s="546">
        <v>1.6886223215270117</v>
      </c>
      <c r="H38" s="546">
        <v>1.1336152178603478</v>
      </c>
      <c r="I38" s="546">
        <v>1.1227946881888915</v>
      </c>
      <c r="J38" s="546">
        <v>0</v>
      </c>
      <c r="K38" s="546">
        <v>-0.84555500168398678</v>
      </c>
      <c r="L38" s="546">
        <v>-1.1227852584253268</v>
      </c>
      <c r="M38" s="240" t="s">
        <v>228</v>
      </c>
      <c r="N38" s="547">
        <f>D26</f>
        <v>0.13060290556475532</v>
      </c>
    </row>
    <row r="39" spans="2:14">
      <c r="B39" s="41" t="s">
        <v>925</v>
      </c>
      <c r="C39" s="541">
        <f t="shared" ref="C39:L39" si="15">C40/C8</f>
        <v>7.6100401027440701E-2</v>
      </c>
      <c r="D39" s="541">
        <f>D40/D8</f>
        <v>4.524483629412638E-2</v>
      </c>
      <c r="E39" s="541">
        <f t="shared" si="15"/>
        <v>0.11589621962317957</v>
      </c>
      <c r="F39" s="541">
        <f t="shared" si="15"/>
        <v>0.12236926628122347</v>
      </c>
      <c r="G39" s="541">
        <f t="shared" si="15"/>
        <v>0.12850483585209349</v>
      </c>
      <c r="H39" s="541">
        <f t="shared" ref="H39" si="16">H40/H8</f>
        <v>8.6268572689982032E-2</v>
      </c>
      <c r="I39" s="541">
        <f t="shared" si="15"/>
        <v>8.5445126042654876E-2</v>
      </c>
      <c r="J39" s="541" t="e">
        <f t="shared" ref="J39" si="17">J40/J8</f>
        <v>#DIV/0!</v>
      </c>
      <c r="K39" s="541">
        <f t="shared" si="15"/>
        <v>-6.4347074718909686E-2</v>
      </c>
      <c r="L39" s="541">
        <f t="shared" si="15"/>
        <v>-8.5444408433866026E-2</v>
      </c>
    </row>
    <row r="40" spans="2:14">
      <c r="B40" s="41" t="s">
        <v>926</v>
      </c>
      <c r="C40" s="150">
        <f>C33</f>
        <v>175778000</v>
      </c>
      <c r="D40" s="150">
        <f>$C$33-SUM(E40:L40)</f>
        <v>59583813.634963199</v>
      </c>
      <c r="E40" s="150">
        <f t="shared" ref="E40:L40" si="18">E8*E38*$C$33/$C$8</f>
        <v>36391521.693798028</v>
      </c>
      <c r="F40" s="150">
        <f t="shared" si="18"/>
        <v>54701706.825371496</v>
      </c>
      <c r="G40" s="150">
        <f t="shared" si="18"/>
        <v>17106770.62426151</v>
      </c>
      <c r="H40" s="150">
        <f t="shared" ref="H40" si="19">H8*H38*$C$33/$C$8</f>
        <v>4644492.0918433554</v>
      </c>
      <c r="I40" s="150">
        <f t="shared" si="18"/>
        <v>3584910.9564442257</v>
      </c>
      <c r="J40" s="150">
        <f t="shared" ref="J40" si="20">J8*J38*$C$33/$C$8</f>
        <v>0</v>
      </c>
      <c r="K40" s="150">
        <f t="shared" si="18"/>
        <v>-53956.763521167035</v>
      </c>
      <c r="L40" s="150">
        <f t="shared" si="18"/>
        <v>-181259.06316064586</v>
      </c>
      <c r="M40" s="548">
        <f t="shared" ref="M40:M47" si="21">ROUND(C40-SUM(D40:L40),0)</f>
        <v>0</v>
      </c>
    </row>
    <row r="41" spans="2:14">
      <c r="B41" s="41" t="s">
        <v>927</v>
      </c>
      <c r="C41" s="150">
        <f t="shared" ref="C41:L41" si="22">C40-C23</f>
        <v>116415999.99999999</v>
      </c>
      <c r="D41" s="150">
        <f>D40-D23</f>
        <v>25739148.098755792</v>
      </c>
      <c r="E41" s="150">
        <f t="shared" si="22"/>
        <v>28321737.943591543</v>
      </c>
      <c r="F41" s="150">
        <f t="shared" si="22"/>
        <v>43213308.824229077</v>
      </c>
      <c r="G41" s="150">
        <f t="shared" si="22"/>
        <v>13685562.361920638</v>
      </c>
      <c r="H41" s="150">
        <f t="shared" ref="H41" si="23">H40-H23</f>
        <v>3260872.9354895856</v>
      </c>
      <c r="I41" s="150">
        <f t="shared" si="22"/>
        <v>2506654.5941540366</v>
      </c>
      <c r="J41" s="150">
        <f t="shared" ref="J41" si="24">J40-J23</f>
        <v>0</v>
      </c>
      <c r="K41" s="150">
        <f t="shared" si="22"/>
        <v>-75506.801235230756</v>
      </c>
      <c r="L41" s="150">
        <f t="shared" si="22"/>
        <v>-235777.95690544168</v>
      </c>
      <c r="M41" s="548">
        <f t="shared" si="21"/>
        <v>0</v>
      </c>
    </row>
    <row r="42" spans="2:14">
      <c r="B42" s="41" t="s">
        <v>928</v>
      </c>
      <c r="C42" s="150">
        <f>C41+C16+C32+C23</f>
        <v>198731000</v>
      </c>
      <c r="D42" s="150">
        <f t="shared" ref="D42:L42" si="25">D41+D23+D41/$C41*SUM($C$16,$C$32)</f>
        <v>64658637.252943039</v>
      </c>
      <c r="E42" s="150">
        <f t="shared" si="25"/>
        <v>41975538.074873276</v>
      </c>
      <c r="F42" s="150">
        <f t="shared" si="25"/>
        <v>63221799.230560906</v>
      </c>
      <c r="G42" s="150">
        <f t="shared" si="25"/>
        <v>19805065.642928738</v>
      </c>
      <c r="H42" s="150">
        <f t="shared" ref="H42" si="26">H41+H23+H41/$C41*SUM($C$16,$C$32)</f>
        <v>5287417.6045588963</v>
      </c>
      <c r="I42" s="150">
        <f t="shared" si="25"/>
        <v>4079132.0506204353</v>
      </c>
      <c r="J42" s="150">
        <f t="shared" ref="J42" si="27">J41+J23+J41/$C41*SUM($C$16,$C$32)</f>
        <v>0</v>
      </c>
      <c r="K42" s="150">
        <f t="shared" si="25"/>
        <v>-68843.957796457806</v>
      </c>
      <c r="L42" s="150">
        <f t="shared" si="25"/>
        <v>-227745.89868884301</v>
      </c>
      <c r="M42" s="548">
        <f t="shared" si="21"/>
        <v>0</v>
      </c>
    </row>
    <row r="43" spans="2:14">
      <c r="B43" s="41" t="s">
        <v>929</v>
      </c>
      <c r="C43" s="150">
        <f t="shared" ref="C43:L43" si="28">C42-C11-$C$25*C36</f>
        <v>-2519000</v>
      </c>
      <c r="D43" s="150">
        <f>D42-D11-$C$25*D36</f>
        <v>-34795856.78885901</v>
      </c>
      <c r="E43" s="150">
        <f t="shared" si="28"/>
        <v>16217031.537691362</v>
      </c>
      <c r="F43" s="150">
        <f t="shared" si="28"/>
        <v>15628984.061725892</v>
      </c>
      <c r="G43" s="150">
        <f t="shared" si="28"/>
        <v>-2534747.8316792063</v>
      </c>
      <c r="H43" s="150">
        <f t="shared" ref="H43" si="29">H42-H11-$C$25*H36</f>
        <v>79332.194756634533</v>
      </c>
      <c r="I43" s="150">
        <f t="shared" si="28"/>
        <v>3235182.282565448</v>
      </c>
      <c r="J43" s="150">
        <f t="shared" ref="J43" si="30">J42-J11-$C$25*J36</f>
        <v>0</v>
      </c>
      <c r="K43" s="150">
        <f t="shared" si="28"/>
        <v>-88097.469779087172</v>
      </c>
      <c r="L43" s="150">
        <f t="shared" si="28"/>
        <v>-260827.98642204746</v>
      </c>
      <c r="M43" s="548">
        <f t="shared" si="21"/>
        <v>0</v>
      </c>
    </row>
    <row r="44" spans="2:14">
      <c r="B44" s="41" t="str">
        <f t="shared" ref="B44:K44" si="31">B14</f>
        <v>Total Operating Exp b4 conv items &amp; taxes</v>
      </c>
      <c r="C44" s="150">
        <f t="shared" si="31"/>
        <v>617626999.99999988</v>
      </c>
      <c r="D44" s="150">
        <f>D14</f>
        <v>337265114.30300242</v>
      </c>
      <c r="E44" s="150">
        <f t="shared" si="31"/>
        <v>80560637.425911203</v>
      </c>
      <c r="F44" s="150">
        <f t="shared" si="31"/>
        <v>127427666.18229093</v>
      </c>
      <c r="G44" s="150">
        <f t="shared" si="31"/>
        <v>52582794.741894379</v>
      </c>
      <c r="H44" s="150">
        <f t="shared" ref="H44" si="32">H14</f>
        <v>14583291.097927572</v>
      </c>
      <c r="I44" s="150">
        <f t="shared" si="31"/>
        <v>4736995.5153220221</v>
      </c>
      <c r="J44" s="150">
        <f t="shared" ref="J44" si="33">J14</f>
        <v>0</v>
      </c>
      <c r="K44" s="150">
        <f t="shared" si="31"/>
        <v>140087.04183780486</v>
      </c>
      <c r="L44" s="150">
        <f>L14</f>
        <v>330413.69181360578</v>
      </c>
      <c r="M44" s="548">
        <f t="shared" si="21"/>
        <v>0</v>
      </c>
    </row>
    <row r="45" spans="2:14">
      <c r="B45" s="41" t="s">
        <v>930</v>
      </c>
      <c r="C45" s="150">
        <f>C15+C31</f>
        <v>31417999.999999993</v>
      </c>
      <c r="D45" s="150">
        <f t="shared" ref="D45:L45" si="34">$C45*D47/$C47</f>
        <v>15449285.544293612</v>
      </c>
      <c r="E45" s="150">
        <f t="shared" si="34"/>
        <v>4943133.2440782199</v>
      </c>
      <c r="F45" s="150">
        <f t="shared" si="34"/>
        <v>7306934.452757109</v>
      </c>
      <c r="G45" s="150">
        <f t="shared" si="34"/>
        <v>2556314.5623616343</v>
      </c>
      <c r="H45" s="150">
        <f t="shared" ref="H45" si="35">$C45*H47/$C47</f>
        <v>748925.87742242403</v>
      </c>
      <c r="I45" s="150">
        <f t="shared" si="34"/>
        <v>407196.5932064426</v>
      </c>
      <c r="J45" s="150">
        <f t="shared" ref="J45" si="36">$C45*J47/$C47</f>
        <v>0</v>
      </c>
      <c r="K45" s="150">
        <f t="shared" si="34"/>
        <v>2655.4822485495101</v>
      </c>
      <c r="L45" s="150">
        <f t="shared" si="34"/>
        <v>3554.24363199955</v>
      </c>
      <c r="M45" s="548">
        <f t="shared" si="21"/>
        <v>0</v>
      </c>
    </row>
    <row r="46" spans="2:14" ht="13">
      <c r="B46" s="97" t="s">
        <v>931</v>
      </c>
      <c r="C46" s="538">
        <f>C28</f>
        <v>77067000</v>
      </c>
      <c r="D46" s="538">
        <f>(D43-D10+D14+($C$45*D10)/$C$30)/(1-$C$45/$C$30)</f>
        <v>37969996.00000003</v>
      </c>
      <c r="E46" s="538">
        <f t="shared" ref="E46:L46" si="37">(E43-E10+E14+($C$45*E10)/$C$30)/(1-$C$45/$C$30)</f>
        <v>12056540.000000017</v>
      </c>
      <c r="F46" s="538">
        <f t="shared" si="37"/>
        <v>17913211.000000004</v>
      </c>
      <c r="G46" s="538">
        <f t="shared" si="37"/>
        <v>6308193.9999999916</v>
      </c>
      <c r="H46" s="538">
        <f t="shared" ref="H46" si="38">(H43-H10+H14+($C$45*H10)/$C$30)/(1-$C$45/$C$30)</f>
        <v>1832515.9999999998</v>
      </c>
      <c r="I46" s="538">
        <f t="shared" si="37"/>
        <v>971414.99999999919</v>
      </c>
      <c r="J46" s="538">
        <f t="shared" si="37"/>
        <v>0</v>
      </c>
      <c r="K46" s="538">
        <f t="shared" si="37"/>
        <v>6432.9999999999854</v>
      </c>
      <c r="L46" s="538">
        <f t="shared" si="37"/>
        <v>8694.99999999996</v>
      </c>
      <c r="M46" s="548">
        <f t="shared" si="21"/>
        <v>0</v>
      </c>
      <c r="N46" s="41" t="s">
        <v>1059</v>
      </c>
    </row>
    <row r="47" spans="2:14" ht="13">
      <c r="B47" s="97" t="s">
        <v>932</v>
      </c>
      <c r="C47" s="538">
        <f>C43+C44+C45</f>
        <v>646525999.99999988</v>
      </c>
      <c r="D47" s="538">
        <f t="shared" ref="D47:L47" si="39">D10+D46</f>
        <v>317918543.05843699</v>
      </c>
      <c r="E47" s="538">
        <f t="shared" si="39"/>
        <v>101720802.20768079</v>
      </c>
      <c r="F47" s="538">
        <f t="shared" si="39"/>
        <v>150363584.69677392</v>
      </c>
      <c r="G47" s="538">
        <f t="shared" si="39"/>
        <v>52604361.472576804</v>
      </c>
      <c r="H47" s="538">
        <f t="shared" ref="H47" si="40">H10+H46</f>
        <v>15411549.170106631</v>
      </c>
      <c r="I47" s="538">
        <f t="shared" si="39"/>
        <v>8379374.3910939125</v>
      </c>
      <c r="J47" s="538">
        <f t="shared" ref="J47" si="41">J10+J46</f>
        <v>0</v>
      </c>
      <c r="K47" s="538">
        <f t="shared" si="39"/>
        <v>54645.054307267194</v>
      </c>
      <c r="L47" s="538">
        <f t="shared" si="39"/>
        <v>73139.949023557871</v>
      </c>
      <c r="M47" s="548">
        <f t="shared" si="21"/>
        <v>0</v>
      </c>
      <c r="N47" s="41" t="s">
        <v>1059</v>
      </c>
    </row>
    <row r="48" spans="2:14" ht="13">
      <c r="B48" s="97" t="s">
        <v>933</v>
      </c>
      <c r="C48" s="171">
        <f t="shared" ref="C48:L48" si="42">C47/C10-1</f>
        <v>0.13533371147000905</v>
      </c>
      <c r="D48" s="171">
        <f t="shared" si="42"/>
        <v>0.13563205238594822</v>
      </c>
      <c r="E48" s="171">
        <f t="shared" si="42"/>
        <v>0.13446315960393007</v>
      </c>
      <c r="F48" s="171">
        <f t="shared" si="42"/>
        <v>0.13524469958091423</v>
      </c>
      <c r="G48" s="171">
        <f t="shared" si="42"/>
        <v>0.13625736954871281</v>
      </c>
      <c r="H48" s="171">
        <f t="shared" ref="H48" si="43">H47/H10-1</f>
        <v>0.13495187595786762</v>
      </c>
      <c r="I48" s="171">
        <f t="shared" si="42"/>
        <v>0.13113125338779064</v>
      </c>
      <c r="J48" s="171" t="e">
        <f t="shared" ref="J48" si="44">J47/J10-1</f>
        <v>#DIV/0!</v>
      </c>
      <c r="K48" s="171">
        <f t="shared" si="42"/>
        <v>0.13343136052657911</v>
      </c>
      <c r="L48" s="171">
        <f t="shared" si="42"/>
        <v>0.13492135740260247</v>
      </c>
      <c r="M48" s="548"/>
      <c r="N48" s="41" t="s">
        <v>1059</v>
      </c>
    </row>
    <row r="49" spans="2:14">
      <c r="D49" s="150"/>
    </row>
    <row r="50" spans="2:14">
      <c r="B50" s="41" t="s">
        <v>934</v>
      </c>
      <c r="C50" s="150">
        <f>SUM(D50:L50)</f>
        <v>77068000</v>
      </c>
      <c r="D50" s="150">
        <f>ROUND(D46,-3)+1000</f>
        <v>37971000</v>
      </c>
      <c r="E50" s="150">
        <f t="shared" ref="E50:L51" si="45">ROUND(E46,-3)</f>
        <v>12057000</v>
      </c>
      <c r="F50" s="150">
        <f t="shared" si="45"/>
        <v>17913000</v>
      </c>
      <c r="G50" s="150">
        <f t="shared" si="45"/>
        <v>6308000</v>
      </c>
      <c r="H50" s="150">
        <f t="shared" ref="H50" si="46">ROUND(H46,-3)</f>
        <v>1833000</v>
      </c>
      <c r="I50" s="150">
        <f t="shared" si="45"/>
        <v>971000</v>
      </c>
      <c r="J50" s="150">
        <f t="shared" ref="J50" si="47">ROUND(J46,-3)</f>
        <v>0</v>
      </c>
      <c r="K50" s="150">
        <f t="shared" si="45"/>
        <v>6000</v>
      </c>
      <c r="L50" s="150">
        <f t="shared" si="45"/>
        <v>9000</v>
      </c>
    </row>
    <row r="51" spans="2:14">
      <c r="B51" s="41" t="s">
        <v>935</v>
      </c>
      <c r="C51" s="150">
        <f>SUM(D51:L51)</f>
        <v>646527000</v>
      </c>
      <c r="D51" s="150">
        <f>ROUND(D47,-3)</f>
        <v>317919000</v>
      </c>
      <c r="E51" s="150">
        <f t="shared" si="45"/>
        <v>101721000</v>
      </c>
      <c r="F51" s="150">
        <f t="shared" si="45"/>
        <v>150364000</v>
      </c>
      <c r="G51" s="150">
        <f t="shared" si="45"/>
        <v>52604000</v>
      </c>
      <c r="H51" s="150">
        <f t="shared" ref="H51" si="48">ROUND(H47,-3)</f>
        <v>15412000</v>
      </c>
      <c r="I51" s="150">
        <f t="shared" si="45"/>
        <v>8379000</v>
      </c>
      <c r="J51" s="150">
        <f t="shared" ref="J51" si="49">ROUND(J47,-3)</f>
        <v>0</v>
      </c>
      <c r="K51" s="150">
        <f t="shared" si="45"/>
        <v>55000</v>
      </c>
      <c r="L51" s="150">
        <f t="shared" si="45"/>
        <v>73000</v>
      </c>
    </row>
    <row r="52" spans="2:14">
      <c r="C52" s="150"/>
      <c r="D52" s="150"/>
      <c r="E52" s="150"/>
      <c r="F52" s="150"/>
      <c r="G52" s="150"/>
      <c r="H52" s="150"/>
      <c r="I52" s="150"/>
      <c r="J52" s="150"/>
      <c r="K52" s="150"/>
      <c r="L52" s="150"/>
    </row>
    <row r="53" spans="2:14" hidden="1">
      <c r="B53" s="41" t="s">
        <v>936</v>
      </c>
      <c r="C53" s="150">
        <f>SUM(D53:L53)</f>
        <v>0</v>
      </c>
      <c r="D53" s="536">
        <v>0</v>
      </c>
      <c r="E53" s="536">
        <v>0</v>
      </c>
      <c r="F53" s="536">
        <v>0</v>
      </c>
      <c r="G53" s="536">
        <v>0</v>
      </c>
      <c r="H53" s="536">
        <v>0</v>
      </c>
      <c r="I53" s="536">
        <v>1</v>
      </c>
      <c r="J53" s="536">
        <v>-1</v>
      </c>
      <c r="K53" s="536">
        <v>0</v>
      </c>
      <c r="L53" s="536">
        <v>0</v>
      </c>
    </row>
    <row r="54" spans="2:14" hidden="1">
      <c r="B54" s="41" t="s">
        <v>937</v>
      </c>
      <c r="C54" s="150">
        <f>SUM(D54:L54)</f>
        <v>77067000.00000003</v>
      </c>
      <c r="D54" s="150">
        <f t="shared" ref="D54:L54" si="50">D46+D53</f>
        <v>37969996.00000003</v>
      </c>
      <c r="E54" s="150">
        <f t="shared" si="50"/>
        <v>12056540.000000017</v>
      </c>
      <c r="F54" s="150">
        <f t="shared" si="50"/>
        <v>17913211.000000004</v>
      </c>
      <c r="G54" s="150">
        <f t="shared" si="50"/>
        <v>6308193.9999999916</v>
      </c>
      <c r="H54" s="150">
        <f t="shared" ref="H54" si="51">H46+H53</f>
        <v>1832515.9999999998</v>
      </c>
      <c r="I54" s="150">
        <f t="shared" si="50"/>
        <v>971415.99999999919</v>
      </c>
      <c r="J54" s="150">
        <f t="shared" ref="J54" si="52">J46+J53</f>
        <v>-1</v>
      </c>
      <c r="K54" s="150">
        <f t="shared" si="50"/>
        <v>6432.9999999999854</v>
      </c>
      <c r="L54" s="150">
        <f t="shared" si="50"/>
        <v>8694.99999999996</v>
      </c>
    </row>
    <row r="55" spans="2:14" hidden="1">
      <c r="B55" s="41" t="s">
        <v>938</v>
      </c>
      <c r="C55" s="150">
        <f>SUM(D55:L55)</f>
        <v>617882000</v>
      </c>
      <c r="D55" s="536">
        <v>204738000</v>
      </c>
      <c r="E55" s="536">
        <v>66923000</v>
      </c>
      <c r="F55" s="536">
        <v>129127000</v>
      </c>
      <c r="G55" s="536">
        <v>62716000</v>
      </c>
      <c r="H55" s="536">
        <v>62716000</v>
      </c>
      <c r="I55" s="536">
        <v>62716001</v>
      </c>
      <c r="J55" s="536">
        <v>10908999</v>
      </c>
      <c r="K55" s="536">
        <v>10909000</v>
      </c>
      <c r="L55" s="536">
        <v>7128000</v>
      </c>
    </row>
    <row r="56" spans="2:14" hidden="1">
      <c r="B56" s="41" t="s">
        <v>939</v>
      </c>
      <c r="C56" s="541">
        <f t="shared" ref="C56:L56" si="53">C54/C55</f>
        <v>0.12472769881627889</v>
      </c>
      <c r="D56" s="541">
        <f t="shared" si="53"/>
        <v>0.18545651515595557</v>
      </c>
      <c r="E56" s="541">
        <f t="shared" si="53"/>
        <v>0.18015540247747436</v>
      </c>
      <c r="F56" s="541">
        <f t="shared" si="53"/>
        <v>0.13872552603251065</v>
      </c>
      <c r="G56" s="541">
        <f t="shared" si="53"/>
        <v>0.10058348746731283</v>
      </c>
      <c r="H56" s="541">
        <f t="shared" ref="H56" si="54">H54/H55</f>
        <v>2.9219274188404868E-2</v>
      </c>
      <c r="I56" s="541">
        <f t="shared" si="53"/>
        <v>1.5489125335016165E-2</v>
      </c>
      <c r="J56" s="541">
        <f t="shared" ref="J56" si="55">J54/J55</f>
        <v>-9.1667438964839941E-8</v>
      </c>
      <c r="K56" s="541">
        <f t="shared" si="53"/>
        <v>5.896965808048387E-4</v>
      </c>
      <c r="L56" s="541">
        <f t="shared" si="53"/>
        <v>1.2198372615039226E-3</v>
      </c>
    </row>
    <row r="57" spans="2:14">
      <c r="B57" s="41" t="s">
        <v>940</v>
      </c>
      <c r="C57" s="45">
        <f>SUM(D57:L57)</f>
        <v>609280431.69443989</v>
      </c>
      <c r="D57" s="652">
        <f>RS!I16*1000</f>
        <v>264427131.99999997</v>
      </c>
      <c r="E57" s="652">
        <f>RS!I18*1000</f>
        <v>98832650</v>
      </c>
      <c r="F57" s="652">
        <f>RS!I22*1000</f>
        <v>147538930</v>
      </c>
      <c r="G57" s="652">
        <f>RS!I26*1000</f>
        <v>51578346.841700003</v>
      </c>
      <c r="H57" s="652">
        <f>RS!I30*1000</f>
        <v>15041420</v>
      </c>
      <c r="I57" s="652">
        <f>RS!I32*1000</f>
        <v>8127116.3623399995</v>
      </c>
      <c r="J57" s="652">
        <f>RS!I28*1000</f>
        <v>23611661.720399998</v>
      </c>
      <c r="K57" s="652">
        <f>RS!I20*1000</f>
        <v>53374.770000000004</v>
      </c>
      <c r="L57" s="652">
        <f>RS!I24*1000</f>
        <v>69800</v>
      </c>
    </row>
    <row r="58" spans="2:14">
      <c r="B58" s="41" t="s">
        <v>941</v>
      </c>
      <c r="C58" s="256">
        <f>C46/C57</f>
        <v>0.12648855271073248</v>
      </c>
      <c r="D58" s="256">
        <f t="shared" ref="D58:L58" si="56">D46/D57</f>
        <v>0.14359341915034662</v>
      </c>
      <c r="E58" s="256">
        <f t="shared" si="56"/>
        <v>0.12198944377187111</v>
      </c>
      <c r="F58" s="256">
        <f t="shared" si="56"/>
        <v>0.12141345338481174</v>
      </c>
      <c r="G58" s="256">
        <f>G46/G57</f>
        <v>0.12230314436716204</v>
      </c>
      <c r="H58" s="256">
        <f>H46/H57</f>
        <v>0.12183131645815354</v>
      </c>
      <c r="I58" s="256">
        <f>I46/I57</f>
        <v>0.11952763522636516</v>
      </c>
      <c r="J58" s="256">
        <f t="shared" ref="J58" si="57">J46/J57</f>
        <v>0</v>
      </c>
      <c r="K58" s="256">
        <f t="shared" si="56"/>
        <v>0.12052510952271991</v>
      </c>
      <c r="L58" s="256">
        <f t="shared" si="56"/>
        <v>0.12457020057306532</v>
      </c>
      <c r="N58" s="41" t="s">
        <v>1059</v>
      </c>
    </row>
    <row r="59" spans="2:14">
      <c r="C59" s="541"/>
      <c r="D59" s="541"/>
      <c r="E59" s="541"/>
      <c r="F59" s="541"/>
      <c r="G59" s="541"/>
      <c r="H59" s="541"/>
      <c r="I59" s="541"/>
      <c r="J59" s="541"/>
      <c r="K59" s="541"/>
      <c r="L59" s="541"/>
    </row>
    <row r="60" spans="2:14">
      <c r="B60" s="41" t="s">
        <v>942</v>
      </c>
      <c r="C60" s="541"/>
      <c r="D60" s="541">
        <f t="shared" ref="D60:L60" si="58">(D38-D21)/(1-D21)</f>
        <v>0.28442146257352308</v>
      </c>
      <c r="E60" s="541">
        <f t="shared" si="58"/>
        <v>0.29737137875995123</v>
      </c>
      <c r="F60" s="541">
        <f t="shared" si="58"/>
        <v>0.28566491342537403</v>
      </c>
      <c r="G60" s="541">
        <f t="shared" si="58"/>
        <v>0.1971436067984513</v>
      </c>
      <c r="H60" s="541">
        <f t="shared" ref="H60" si="59">(H38-H21)/(1-H21)</f>
        <v>0.33292894015060293</v>
      </c>
      <c r="I60" s="541">
        <f t="shared" si="58"/>
        <v>0.66194960024058846</v>
      </c>
      <c r="J60" s="541" t="e">
        <f t="shared" ref="J60" si="60">(J38-J21)/(1-J21)</f>
        <v>#DIV/0!</v>
      </c>
      <c r="K60" s="541">
        <f t="shared" si="58"/>
        <v>0.26040762331634715</v>
      </c>
      <c r="L60" s="541">
        <f t="shared" si="58"/>
        <v>0.26162639779128888</v>
      </c>
    </row>
    <row r="61" spans="2:14">
      <c r="G61" s="256"/>
      <c r="H61" s="256"/>
      <c r="I61" s="256"/>
    </row>
    <row r="62" spans="2:14" hidden="1">
      <c r="B62" s="41" t="s">
        <v>943</v>
      </c>
      <c r="D62" s="549">
        <f t="shared" ref="D62:L62" si="61">(D38-D21)/(1-D21)</f>
        <v>0.28442146257352308</v>
      </c>
      <c r="E62" s="549">
        <f t="shared" si="61"/>
        <v>0.29737137875995123</v>
      </c>
      <c r="F62" s="549">
        <f t="shared" si="61"/>
        <v>0.28566491342537403</v>
      </c>
      <c r="G62" s="549">
        <f t="shared" si="61"/>
        <v>0.1971436067984513</v>
      </c>
      <c r="H62" s="549">
        <f t="shared" ref="H62" si="62">(H38-H21)/(1-H21)</f>
        <v>0.33292894015060293</v>
      </c>
      <c r="I62" s="549">
        <f t="shared" si="61"/>
        <v>0.66194960024058846</v>
      </c>
      <c r="J62" s="549" t="e">
        <f t="shared" ref="J62" si="63">(J38-J21)/(1-J21)</f>
        <v>#DIV/0!</v>
      </c>
      <c r="K62" s="549">
        <f t="shared" si="61"/>
        <v>0.26040762331634715</v>
      </c>
      <c r="L62" s="549">
        <f t="shared" si="61"/>
        <v>0.26162639779128888</v>
      </c>
    </row>
    <row r="63" spans="2:14" hidden="1">
      <c r="D63" s="550"/>
      <c r="E63" s="550"/>
      <c r="F63" s="550"/>
      <c r="G63" s="550"/>
      <c r="H63" s="550"/>
      <c r="I63" s="550"/>
      <c r="J63" s="550"/>
      <c r="K63" s="550"/>
      <c r="L63" s="550"/>
    </row>
    <row r="64" spans="2:14">
      <c r="C64" s="541"/>
      <c r="D64" s="551"/>
      <c r="E64" s="551"/>
      <c r="F64" s="551"/>
      <c r="G64" s="551"/>
      <c r="H64" s="551"/>
      <c r="I64" s="551"/>
      <c r="J64" s="551"/>
      <c r="K64" s="551"/>
      <c r="L64" s="551"/>
    </row>
    <row r="65" spans="2:12">
      <c r="B65" s="41" t="s">
        <v>944</v>
      </c>
      <c r="C65" s="150">
        <f>C19</f>
        <v>117786000</v>
      </c>
      <c r="D65" s="552">
        <f>$C65*D$8/$C$8</f>
        <v>67154539.517666593</v>
      </c>
      <c r="E65" s="552">
        <f t="shared" ref="D65:L66" si="64">$C65*E$8/$C$8</f>
        <v>16012053.987430021</v>
      </c>
      <c r="F65" s="552">
        <f t="shared" si="64"/>
        <v>22795263.753959797</v>
      </c>
      <c r="G65" s="552">
        <f t="shared" si="64"/>
        <v>6788356.8004461071</v>
      </c>
      <c r="H65" s="552">
        <f t="shared" si="64"/>
        <v>2745375.2560608666</v>
      </c>
      <c r="I65" s="552">
        <f t="shared" si="64"/>
        <v>2139474.8136638291</v>
      </c>
      <c r="J65" s="552">
        <f t="shared" si="64"/>
        <v>0</v>
      </c>
      <c r="K65" s="552">
        <f t="shared" si="64"/>
        <v>42759.555644835229</v>
      </c>
      <c r="L65" s="552">
        <f t="shared" si="64"/>
        <v>108176.31512793568</v>
      </c>
    </row>
    <row r="66" spans="2:12">
      <c r="B66" s="41" t="s">
        <v>945</v>
      </c>
      <c r="C66" s="150">
        <f>C16</f>
        <v>7537999.9999999851</v>
      </c>
      <c r="D66" s="552">
        <f t="shared" si="64"/>
        <v>4297717.2064945735</v>
      </c>
      <c r="E66" s="552">
        <f t="shared" si="64"/>
        <v>1024730.1288544246</v>
      </c>
      <c r="F66" s="552">
        <f t="shared" si="64"/>
        <v>1458838.0467742227</v>
      </c>
      <c r="G66" s="552">
        <f t="shared" si="64"/>
        <v>434437.31480619643</v>
      </c>
      <c r="H66" s="552">
        <f t="shared" si="64"/>
        <v>175696.93070642327</v>
      </c>
      <c r="I66" s="552">
        <f t="shared" si="64"/>
        <v>136920.86619290843</v>
      </c>
      <c r="J66" s="552">
        <f t="shared" si="64"/>
        <v>0</v>
      </c>
      <c r="K66" s="552">
        <f t="shared" si="64"/>
        <v>2736.5012009132438</v>
      </c>
      <c r="L66" s="552">
        <f t="shared" si="64"/>
        <v>6923.0049703222585</v>
      </c>
    </row>
    <row r="67" spans="2:12">
      <c r="B67" s="41" t="s">
        <v>946</v>
      </c>
      <c r="C67" s="150">
        <f>SUM(D67:L67)</f>
        <v>617626999.99999988</v>
      </c>
      <c r="D67" s="552">
        <f t="shared" ref="D67:L67" si="65">D14</f>
        <v>337265114.30300242</v>
      </c>
      <c r="E67" s="552">
        <f t="shared" si="65"/>
        <v>80560637.425911203</v>
      </c>
      <c r="F67" s="552">
        <f t="shared" si="65"/>
        <v>127427666.18229093</v>
      </c>
      <c r="G67" s="552">
        <f t="shared" si="65"/>
        <v>52582794.741894379</v>
      </c>
      <c r="H67" s="552">
        <f t="shared" ref="H67" si="66">H14</f>
        <v>14583291.097927572</v>
      </c>
      <c r="I67" s="552">
        <f t="shared" si="65"/>
        <v>4736995.5153220221</v>
      </c>
      <c r="J67" s="552">
        <f t="shared" ref="J67" si="67">J14</f>
        <v>0</v>
      </c>
      <c r="K67" s="552">
        <f t="shared" si="65"/>
        <v>140087.04183780486</v>
      </c>
      <c r="L67" s="552">
        <f t="shared" si="65"/>
        <v>330413.69181360578</v>
      </c>
    </row>
    <row r="68" spans="2:12">
      <c r="B68" s="41" t="s">
        <v>947</v>
      </c>
      <c r="C68" s="150">
        <f>SUM(D68:L68)</f>
        <v>-201250000</v>
      </c>
      <c r="D68" s="552">
        <f t="shared" ref="D68:L68" si="68">-D11</f>
        <v>-99454494.041802049</v>
      </c>
      <c r="E68" s="552">
        <f t="shared" si="68"/>
        <v>-25758506.537181914</v>
      </c>
      <c r="F68" s="552">
        <f t="shared" si="68"/>
        <v>-47592815.168835014</v>
      </c>
      <c r="G68" s="552">
        <f t="shared" si="68"/>
        <v>-22339813.474607944</v>
      </c>
      <c r="H68" s="552">
        <f t="shared" ref="H68" si="69">-H11</f>
        <v>-5208085.4098022617</v>
      </c>
      <c r="I68" s="552">
        <f t="shared" si="68"/>
        <v>-843949.7680549873</v>
      </c>
      <c r="J68" s="552">
        <f t="shared" ref="J68" si="70">-J11</f>
        <v>0</v>
      </c>
      <c r="K68" s="552">
        <f t="shared" si="68"/>
        <v>-19253.511982629359</v>
      </c>
      <c r="L68" s="552">
        <f t="shared" si="68"/>
        <v>-33082.087733204447</v>
      </c>
    </row>
    <row r="69" spans="2:12">
      <c r="B69" s="41" t="s">
        <v>948</v>
      </c>
      <c r="C69" s="150">
        <f>C15</f>
        <v>27757999.999999993</v>
      </c>
      <c r="D69" s="552">
        <f t="shared" ref="D69:L69" si="71">$C69*SUM(D65:D68)/SUM($C$65:$C$68)</f>
        <v>15847338.179843983</v>
      </c>
      <c r="E69" s="552">
        <f t="shared" si="71"/>
        <v>3681190.5510773864</v>
      </c>
      <c r="F69" s="552">
        <f t="shared" si="71"/>
        <v>5333756.3567656036</v>
      </c>
      <c r="G69" s="552">
        <f t="shared" si="71"/>
        <v>1919832.1455351019</v>
      </c>
      <c r="H69" s="552">
        <f t="shared" ref="H69:I69" si="72">$C69*SUM(H65:H68)/SUM($C$65:$C$68)</f>
        <v>630089.44279458362</v>
      </c>
      <c r="I69" s="552">
        <f t="shared" si="72"/>
        <v>316136.3097614767</v>
      </c>
      <c r="J69" s="552">
        <f t="shared" ref="J69" si="73">$C69*SUM(J65:J68)/SUM($C$65:$C$68)</f>
        <v>0</v>
      </c>
      <c r="K69" s="552">
        <f t="shared" si="71"/>
        <v>8523.1089985882372</v>
      </c>
      <c r="L69" s="552">
        <f t="shared" si="71"/>
        <v>21133.90522327118</v>
      </c>
    </row>
    <row r="70" spans="2:12">
      <c r="B70" s="41" t="s">
        <v>949</v>
      </c>
      <c r="C70" s="535">
        <f>SUM(C65:C69)</f>
        <v>569458999.99999988</v>
      </c>
      <c r="D70" s="535">
        <f t="shared" ref="D70:L70" si="74">SUM(D65:D69)</f>
        <v>325110215.16520548</v>
      </c>
      <c r="E70" s="535">
        <f t="shared" si="74"/>
        <v>75520105.556091115</v>
      </c>
      <c r="F70" s="535">
        <f t="shared" si="74"/>
        <v>109422709.17095554</v>
      </c>
      <c r="G70" s="535">
        <f t="shared" si="74"/>
        <v>39385607.52807384</v>
      </c>
      <c r="H70" s="535">
        <f t="shared" ref="H70" si="75">SUM(H65:H69)</f>
        <v>12926367.317687184</v>
      </c>
      <c r="I70" s="535">
        <f t="shared" si="74"/>
        <v>6485577.7368852496</v>
      </c>
      <c r="J70" s="535">
        <f t="shared" ref="J70" si="76">SUM(J65:J69)</f>
        <v>0</v>
      </c>
      <c r="K70" s="535">
        <f t="shared" si="74"/>
        <v>174852.6956995122</v>
      </c>
      <c r="L70" s="535">
        <f t="shared" si="74"/>
        <v>433564.82940193039</v>
      </c>
    </row>
    <row r="71" spans="2:12">
      <c r="C71" s="549"/>
      <c r="D71" s="549"/>
      <c r="E71" s="549"/>
      <c r="F71" s="549"/>
      <c r="G71" s="549"/>
      <c r="H71" s="549"/>
      <c r="I71" s="549"/>
      <c r="J71" s="549"/>
      <c r="K71" s="549"/>
      <c r="L71" s="549"/>
    </row>
    <row r="72" spans="2:12">
      <c r="B72" s="41" t="s">
        <v>950</v>
      </c>
      <c r="C72" s="150">
        <f>C33</f>
        <v>175778000</v>
      </c>
      <c r="D72" s="552">
        <f>$C72*D$8/$C$8</f>
        <v>100218112.9110115</v>
      </c>
      <c r="E72" s="552">
        <f>$C72*E$8/$C$8</f>
        <v>23895597.318887424</v>
      </c>
      <c r="F72" s="552">
        <f t="shared" ref="D72:L73" si="77">$C72*F$8/$C$8</f>
        <v>34018524.036333226</v>
      </c>
      <c r="G72" s="552">
        <f t="shared" si="77"/>
        <v>10130607.896259453</v>
      </c>
      <c r="H72" s="552">
        <f t="shared" si="77"/>
        <v>4097062.2294658702</v>
      </c>
      <c r="I72" s="552">
        <f t="shared" si="77"/>
        <v>3192846.3806921076</v>
      </c>
      <c r="J72" s="552">
        <f t="shared" si="77"/>
        <v>0</v>
      </c>
      <c r="K72" s="552">
        <f t="shared" si="77"/>
        <v>63812.245700998821</v>
      </c>
      <c r="L72" s="552">
        <f t="shared" si="77"/>
        <v>161436.98164941737</v>
      </c>
    </row>
    <row r="73" spans="2:12">
      <c r="B73" s="41" t="s">
        <v>951</v>
      </c>
      <c r="C73" s="150">
        <f>C16+C32</f>
        <v>22952999.999999985</v>
      </c>
      <c r="D73" s="552">
        <f t="shared" si="77"/>
        <v>13086429.164323438</v>
      </c>
      <c r="E73" s="552">
        <f t="shared" si="77"/>
        <v>3120274.6945603131</v>
      </c>
      <c r="F73" s="552">
        <f t="shared" si="77"/>
        <v>4442121.2108793827</v>
      </c>
      <c r="G73" s="552">
        <f t="shared" si="77"/>
        <v>1322849.5206615336</v>
      </c>
      <c r="H73" s="552">
        <f t="shared" si="77"/>
        <v>534992.25928688492</v>
      </c>
      <c r="I73" s="552">
        <f t="shared" si="77"/>
        <v>416920.22309973888</v>
      </c>
      <c r="J73" s="552">
        <f t="shared" si="77"/>
        <v>0</v>
      </c>
      <c r="K73" s="552">
        <f t="shared" si="77"/>
        <v>8332.5699210084586</v>
      </c>
      <c r="L73" s="552">
        <f t="shared" si="77"/>
        <v>21080.357267684663</v>
      </c>
    </row>
    <row r="74" spans="2:12">
      <c r="B74" s="41" t="s">
        <v>946</v>
      </c>
      <c r="C74" s="150">
        <f>SUM(D74:L74)</f>
        <v>617626999.99999988</v>
      </c>
      <c r="D74" s="552">
        <f t="shared" ref="D74:L74" si="78">D14</f>
        <v>337265114.30300242</v>
      </c>
      <c r="E74" s="552">
        <f t="shared" si="78"/>
        <v>80560637.425911203</v>
      </c>
      <c r="F74" s="552">
        <f t="shared" si="78"/>
        <v>127427666.18229093</v>
      </c>
      <c r="G74" s="552">
        <f t="shared" si="78"/>
        <v>52582794.741894379</v>
      </c>
      <c r="H74" s="552">
        <f t="shared" ref="H74" si="79">H14</f>
        <v>14583291.097927572</v>
      </c>
      <c r="I74" s="552">
        <f t="shared" si="78"/>
        <v>4736995.5153220221</v>
      </c>
      <c r="J74" s="552">
        <f t="shared" ref="J74" si="80">J14</f>
        <v>0</v>
      </c>
      <c r="K74" s="552">
        <f t="shared" si="78"/>
        <v>140087.04183780486</v>
      </c>
      <c r="L74" s="552">
        <f t="shared" si="78"/>
        <v>330413.69181360578</v>
      </c>
    </row>
    <row r="75" spans="2:12">
      <c r="B75" s="41" t="s">
        <v>947</v>
      </c>
      <c r="C75" s="150">
        <f>SUM(D75:L75)</f>
        <v>-201250000</v>
      </c>
      <c r="D75" s="552">
        <f t="shared" ref="D75:L75" si="81">-D11-$C$25*D36</f>
        <v>-99454494.041802049</v>
      </c>
      <c r="E75" s="552">
        <f t="shared" si="81"/>
        <v>-25758506.537181914</v>
      </c>
      <c r="F75" s="552">
        <f t="shared" si="81"/>
        <v>-47592815.168835014</v>
      </c>
      <c r="G75" s="552">
        <f t="shared" si="81"/>
        <v>-22339813.474607944</v>
      </c>
      <c r="H75" s="552">
        <f t="shared" ref="H75" si="82">-H11-$C$25*H36</f>
        <v>-5208085.4098022617</v>
      </c>
      <c r="I75" s="552">
        <f t="shared" si="81"/>
        <v>-843949.7680549873</v>
      </c>
      <c r="J75" s="552">
        <f t="shared" ref="J75" si="83">-J11-$C$25*J36</f>
        <v>0</v>
      </c>
      <c r="K75" s="552">
        <f t="shared" si="81"/>
        <v>-19253.511982629359</v>
      </c>
      <c r="L75" s="552">
        <f t="shared" si="81"/>
        <v>-33082.087733204447</v>
      </c>
    </row>
    <row r="76" spans="2:12">
      <c r="B76" s="41" t="s">
        <v>952</v>
      </c>
      <c r="C76" s="150">
        <f>C15+C31</f>
        <v>31417999.999999993</v>
      </c>
      <c r="D76" s="552">
        <f t="shared" ref="D76:L76" si="84">$C76*SUM(D72:D75)/SUM($C$72:$C$75)</f>
        <v>17933982.601899613</v>
      </c>
      <c r="E76" s="552">
        <f t="shared" si="84"/>
        <v>4179035.2510138014</v>
      </c>
      <c r="F76" s="552">
        <f t="shared" si="84"/>
        <v>6042203.8105790904</v>
      </c>
      <c r="G76" s="552">
        <f t="shared" si="84"/>
        <v>2129737.7217991455</v>
      </c>
      <c r="H76" s="552">
        <f t="shared" ref="H76:I76" si="85">$C76*SUM(H72:H75)/SUM($C$72:$C$75)</f>
        <v>715451.75845080055</v>
      </c>
      <c r="I76" s="552">
        <f t="shared" si="85"/>
        <v>383222.71608492802</v>
      </c>
      <c r="J76" s="552">
        <f t="shared" ref="J76" si="86">$C76*SUM(J72:J75)/SUM($C$72:$C$75)</f>
        <v>0</v>
      </c>
      <c r="K76" s="552">
        <f t="shared" si="84"/>
        <v>9856.795324076631</v>
      </c>
      <c r="L76" s="552">
        <f t="shared" si="84"/>
        <v>24509.344848539702</v>
      </c>
    </row>
    <row r="77" spans="2:12">
      <c r="B77" s="41" t="s">
        <v>953</v>
      </c>
      <c r="C77" s="535">
        <f>SUM(C72:C76)</f>
        <v>646525999.99999988</v>
      </c>
      <c r="D77" s="535">
        <f t="shared" ref="D77:L77" si="87">SUM(D72:D76)</f>
        <v>369049144.93843496</v>
      </c>
      <c r="E77" s="535">
        <f t="shared" si="87"/>
        <v>85997038.153190821</v>
      </c>
      <c r="F77" s="535">
        <f t="shared" si="87"/>
        <v>124337700.07124761</v>
      </c>
      <c r="G77" s="535">
        <f t="shared" si="87"/>
        <v>43826176.406006567</v>
      </c>
      <c r="H77" s="535">
        <f t="shared" ref="H77" si="88">SUM(H72:H76)</f>
        <v>14722711.935328865</v>
      </c>
      <c r="I77" s="535">
        <f t="shared" si="87"/>
        <v>7886035.0671438091</v>
      </c>
      <c r="J77" s="535">
        <f t="shared" ref="J77" si="89">SUM(J72:J76)</f>
        <v>0</v>
      </c>
      <c r="K77" s="535">
        <f t="shared" si="87"/>
        <v>202835.1408012594</v>
      </c>
      <c r="L77" s="535">
        <f t="shared" si="87"/>
        <v>504358.28784604301</v>
      </c>
    </row>
    <row r="78" spans="2:12">
      <c r="C78" s="549"/>
      <c r="D78" s="549"/>
      <c r="E78" s="549"/>
      <c r="F78" s="549"/>
      <c r="G78" s="549"/>
      <c r="H78" s="549"/>
      <c r="I78" s="549"/>
      <c r="J78" s="549"/>
      <c r="K78" s="549"/>
      <c r="L78" s="549"/>
    </row>
    <row r="79" spans="2:12">
      <c r="B79" s="41" t="s">
        <v>954</v>
      </c>
      <c r="C79" s="150">
        <f>SUM(D79:L79)</f>
        <v>77066000</v>
      </c>
      <c r="D79" s="34">
        <f>ROUND(D77-D10,-3)-2000</f>
        <v>89099000</v>
      </c>
      <c r="E79" s="34">
        <f t="shared" ref="E79:L79" si="90">ROUND(E77-E10,-3)</f>
        <v>-3667000</v>
      </c>
      <c r="F79" s="34">
        <f t="shared" si="90"/>
        <v>-8113000</v>
      </c>
      <c r="G79" s="34">
        <f t="shared" si="90"/>
        <v>-2470000</v>
      </c>
      <c r="H79" s="34">
        <f t="shared" ref="H79" si="91">ROUND(H77-H10,-3)</f>
        <v>1144000</v>
      </c>
      <c r="I79" s="34">
        <f t="shared" si="90"/>
        <v>478000</v>
      </c>
      <c r="J79" s="34">
        <f t="shared" ref="J79" si="92">ROUND(J77-J10,-3)</f>
        <v>0</v>
      </c>
      <c r="K79" s="34">
        <f t="shared" si="90"/>
        <v>155000</v>
      </c>
      <c r="L79" s="34">
        <f t="shared" si="90"/>
        <v>440000</v>
      </c>
    </row>
    <row r="80" spans="2:12">
      <c r="C80" s="549"/>
      <c r="D80" s="549"/>
      <c r="E80" s="549"/>
      <c r="F80" s="549"/>
      <c r="G80" s="549"/>
      <c r="H80" s="549"/>
      <c r="I80" s="549"/>
      <c r="J80" s="549"/>
      <c r="K80" s="549"/>
      <c r="L80" s="549"/>
    </row>
    <row r="81" spans="2:12" ht="13">
      <c r="B81" s="97" t="s">
        <v>955</v>
      </c>
      <c r="C81" s="553">
        <f t="shared" ref="C81:L81" si="93">C10/C70</f>
        <v>1.0000000000000002</v>
      </c>
      <c r="D81" s="553">
        <f t="shared" si="93"/>
        <v>0.86108812950150004</v>
      </c>
      <c r="E81" s="553">
        <f>E10/E70</f>
        <v>1.1872899481196351</v>
      </c>
      <c r="F81" s="553">
        <f t="shared" si="93"/>
        <v>1.2104468505695771</v>
      </c>
      <c r="G81" s="553">
        <f>G10/G70</f>
        <v>1.1754590160778189</v>
      </c>
      <c r="H81" s="553">
        <f t="shared" ref="H81:J81" si="94">H10/H70</f>
        <v>1.050491049525291</v>
      </c>
      <c r="I81" s="553">
        <f t="shared" si="94"/>
        <v>1.142220429949182</v>
      </c>
      <c r="J81" s="553" t="e">
        <f t="shared" si="94"/>
        <v>#DIV/0!</v>
      </c>
      <c r="K81" s="553">
        <f t="shared" si="93"/>
        <v>0.27572954545762662</v>
      </c>
      <c r="L81" s="553">
        <f t="shared" si="93"/>
        <v>0.1486397065750347</v>
      </c>
    </row>
    <row r="82" spans="2:12" ht="13">
      <c r="B82" s="97" t="s">
        <v>956</v>
      </c>
      <c r="C82" s="553">
        <f t="shared" ref="C82:L82" si="95">C47/C77</f>
        <v>1</v>
      </c>
      <c r="D82" s="553">
        <f t="shared" si="95"/>
        <v>0.86145313549357327</v>
      </c>
      <c r="E82" s="553">
        <f t="shared" si="95"/>
        <v>1.1828407628002309</v>
      </c>
      <c r="F82" s="553">
        <f t="shared" si="95"/>
        <v>1.2093161174013436</v>
      </c>
      <c r="G82" s="553">
        <f t="shared" si="95"/>
        <v>1.2002954806106962</v>
      </c>
      <c r="H82" s="553">
        <f t="shared" ref="H82" si="96">H47/H77</f>
        <v>1.0467873879352907</v>
      </c>
      <c r="I82" s="553">
        <f t="shared" si="95"/>
        <v>1.0625586013439809</v>
      </c>
      <c r="J82" s="553" t="e">
        <f t="shared" ref="J82" si="97">J47/J77</f>
        <v>#DIV/0!</v>
      </c>
      <c r="K82" s="553">
        <f t="shared" si="95"/>
        <v>0.26940624830294646</v>
      </c>
      <c r="L82" s="553">
        <f t="shared" si="95"/>
        <v>0.14501585635861322</v>
      </c>
    </row>
    <row r="83" spans="2:12" ht="13">
      <c r="B83" s="41" t="s">
        <v>957</v>
      </c>
      <c r="C83" s="554">
        <f t="shared" ref="C83:L83" si="98">C82-C81</f>
        <v>0</v>
      </c>
      <c r="D83" s="554">
        <f t="shared" si="98"/>
        <v>3.650059920732307E-4</v>
      </c>
      <c r="E83" s="554">
        <f t="shared" si="98"/>
        <v>-4.4491853194041919E-3</v>
      </c>
      <c r="F83" s="554">
        <f t="shared" si="98"/>
        <v>-1.1307331682335331E-3</v>
      </c>
      <c r="G83" s="554">
        <f t="shared" si="98"/>
        <v>2.4836464532877356E-2</v>
      </c>
      <c r="H83" s="554">
        <f t="shared" ref="H83" si="99">H82-H81</f>
        <v>-3.7036615900003511E-3</v>
      </c>
      <c r="I83" s="554">
        <f t="shared" si="98"/>
        <v>-7.9661828605201102E-2</v>
      </c>
      <c r="J83" s="554" t="e">
        <f t="shared" ref="J83" si="100">J82-J81</f>
        <v>#DIV/0!</v>
      </c>
      <c r="K83" s="554">
        <f t="shared" si="98"/>
        <v>-6.3232971546801631E-3</v>
      </c>
      <c r="L83" s="554">
        <f t="shared" si="98"/>
        <v>-3.6238502164214759E-3</v>
      </c>
    </row>
    <row r="84" spans="2:12">
      <c r="C84" s="549">
        <f>C83/(1-C81)</f>
        <v>0</v>
      </c>
      <c r="D84" s="549">
        <f t="shared" ref="D84:L84" si="101">D83/(1-D81)</f>
        <v>2.627608358906752E-3</v>
      </c>
      <c r="E84" s="549">
        <f t="shared" si="101"/>
        <v>2.3755601216580984E-2</v>
      </c>
      <c r="F84" s="549">
        <f t="shared" si="101"/>
        <v>5.3730106446030872E-3</v>
      </c>
      <c r="G84" s="549">
        <f t="shared" si="101"/>
        <v>-0.14155137244051333</v>
      </c>
      <c r="H84" s="549">
        <f t="shared" ref="H84" si="102">H83/(1-H81)</f>
        <v>7.3352834310666915E-2</v>
      </c>
      <c r="I84" s="549">
        <f t="shared" si="101"/>
        <v>0.56012929108473186</v>
      </c>
      <c r="J84" s="549" t="e">
        <f t="shared" ref="J84" si="103">J83/(1-J81)</f>
        <v>#DIV/0!</v>
      </c>
      <c r="K84" s="549">
        <f t="shared" si="101"/>
        <v>-8.7305744905409773E-3</v>
      </c>
      <c r="L84" s="549">
        <f t="shared" si="101"/>
        <v>-4.2565412603904392E-3</v>
      </c>
    </row>
  </sheetData>
  <phoneticPr fontId="1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76232-CCEC-4E44-AC93-6BBE55AB82C4}">
  <dimension ref="A3:L33"/>
  <sheetViews>
    <sheetView workbookViewId="0">
      <selection activeCell="K10" sqref="K10:L12"/>
    </sheetView>
  </sheetViews>
  <sheetFormatPr defaultRowHeight="12.5"/>
  <cols>
    <col min="2" max="2" width="41" bestFit="1" customWidth="1"/>
    <col min="3" max="3" width="8.7265625" bestFit="1" customWidth="1"/>
    <col min="7" max="7" width="20.7265625" customWidth="1"/>
    <col min="8" max="8" width="17.7265625" customWidth="1"/>
    <col min="10" max="10" width="13.54296875" bestFit="1" customWidth="1"/>
    <col min="11" max="11" width="11.7265625" bestFit="1" customWidth="1"/>
    <col min="12" max="12" width="18.54296875" bestFit="1" customWidth="1"/>
  </cols>
  <sheetData>
    <row r="3" spans="1:12" ht="13">
      <c r="A3" s="97" t="s">
        <v>855</v>
      </c>
    </row>
    <row r="4" spans="1:12" ht="13">
      <c r="A4" s="97" t="s">
        <v>856</v>
      </c>
    </row>
    <row r="5" spans="1:12" ht="13">
      <c r="A5" s="97" t="s">
        <v>857</v>
      </c>
    </row>
    <row r="6" spans="1:12" ht="15.5">
      <c r="A6" s="334"/>
      <c r="B6" s="180"/>
      <c r="C6" s="41"/>
      <c r="D6" s="258"/>
      <c r="E6" s="258"/>
      <c r="F6" s="258"/>
      <c r="G6" s="253"/>
    </row>
    <row r="7" spans="1:12" ht="15.5">
      <c r="A7" s="334"/>
      <c r="B7" s="180"/>
      <c r="C7" s="41"/>
      <c r="D7" s="258"/>
      <c r="E7" s="258"/>
      <c r="F7" s="258"/>
      <c r="G7" s="253"/>
    </row>
    <row r="8" spans="1:12" ht="15.5">
      <c r="A8" s="334"/>
      <c r="B8" s="180"/>
      <c r="C8" s="41"/>
      <c r="D8" s="258"/>
      <c r="E8" s="258"/>
      <c r="F8" s="258"/>
      <c r="G8" s="253"/>
    </row>
    <row r="9" spans="1:12" ht="13">
      <c r="A9" s="180"/>
      <c r="B9" s="180"/>
      <c r="C9" s="180"/>
      <c r="D9" s="258" t="s">
        <v>200</v>
      </c>
      <c r="E9" s="258"/>
      <c r="F9" s="168" t="s">
        <v>254</v>
      </c>
      <c r="G9" s="258"/>
    </row>
    <row r="10" spans="1:12" ht="13">
      <c r="A10" s="180"/>
      <c r="B10" s="180"/>
      <c r="C10" s="180"/>
      <c r="D10" s="180" t="s">
        <v>83</v>
      </c>
      <c r="E10" s="180" t="s">
        <v>858</v>
      </c>
      <c r="F10" s="42" t="s">
        <v>256</v>
      </c>
      <c r="G10" s="258" t="s">
        <v>257</v>
      </c>
      <c r="H10" s="180" t="s">
        <v>257</v>
      </c>
      <c r="J10" s="180"/>
      <c r="K10" s="32" t="s">
        <v>1039</v>
      </c>
      <c r="L10" s="42" t="s">
        <v>1041</v>
      </c>
    </row>
    <row r="11" spans="1:12" ht="14.5">
      <c r="A11" s="180"/>
      <c r="B11" s="180" t="s">
        <v>258</v>
      </c>
      <c r="C11" s="180" t="s">
        <v>281</v>
      </c>
      <c r="D11" s="258" t="s">
        <v>282</v>
      </c>
      <c r="E11" s="258" t="s">
        <v>862</v>
      </c>
      <c r="F11" s="168" t="s">
        <v>285</v>
      </c>
      <c r="G11" s="258" t="s">
        <v>283</v>
      </c>
      <c r="H11" s="258" t="s">
        <v>200</v>
      </c>
      <c r="J11" s="529" t="s">
        <v>387</v>
      </c>
      <c r="K11" s="32" t="s">
        <v>295</v>
      </c>
      <c r="L11" s="42" t="s">
        <v>1039</v>
      </c>
    </row>
    <row r="12" spans="1:12" ht="14.5">
      <c r="A12" s="251" t="s">
        <v>260</v>
      </c>
      <c r="B12" s="251" t="s">
        <v>261</v>
      </c>
      <c r="C12" s="251" t="s">
        <v>262</v>
      </c>
      <c r="D12" s="259" t="s">
        <v>288</v>
      </c>
      <c r="E12" s="259" t="s">
        <v>263</v>
      </c>
      <c r="F12" s="169" t="s">
        <v>263</v>
      </c>
      <c r="G12" s="259" t="s">
        <v>263</v>
      </c>
      <c r="H12" s="259" t="s">
        <v>83</v>
      </c>
      <c r="J12" s="530" t="s">
        <v>413</v>
      </c>
      <c r="K12" s="251" t="s">
        <v>1040</v>
      </c>
      <c r="L12" s="170" t="s">
        <v>83</v>
      </c>
    </row>
    <row r="13" spans="1:12" ht="14.5">
      <c r="A13" s="180"/>
      <c r="B13" s="180" t="s">
        <v>264</v>
      </c>
      <c r="C13" s="180" t="s">
        <v>265</v>
      </c>
      <c r="D13" s="258" t="s">
        <v>268</v>
      </c>
      <c r="E13" s="180" t="s">
        <v>269</v>
      </c>
      <c r="F13" s="258" t="s">
        <v>270</v>
      </c>
      <c r="G13" s="180" t="s">
        <v>289</v>
      </c>
      <c r="H13" s="258" t="s">
        <v>290</v>
      </c>
      <c r="J13" s="529"/>
      <c r="K13" s="180"/>
      <c r="L13" s="42"/>
    </row>
    <row r="14" spans="1:12" ht="14.5">
      <c r="A14" s="180"/>
      <c r="B14" s="41"/>
      <c r="C14" s="180"/>
      <c r="D14" s="189"/>
      <c r="E14" s="189"/>
      <c r="F14" s="308"/>
      <c r="G14" s="223"/>
      <c r="J14" s="531"/>
      <c r="K14" s="41"/>
      <c r="L14" s="97"/>
    </row>
    <row r="15" spans="1:12" ht="14.5">
      <c r="A15" s="180">
        <v>1</v>
      </c>
      <c r="B15" s="41" t="s">
        <v>271</v>
      </c>
      <c r="C15" s="279" t="s">
        <v>594</v>
      </c>
      <c r="D15" s="258">
        <f ca="1">'Pres &amp; Prop Rev'!D152/1000</f>
        <v>279948.63818000001</v>
      </c>
      <c r="E15" s="354">
        <v>1</v>
      </c>
      <c r="F15" s="355">
        <f>E15*$E$36</f>
        <v>0</v>
      </c>
      <c r="G15" s="258">
        <f ca="1">'Rate Spread GRC'!G15</f>
        <v>36562.133564204552</v>
      </c>
      <c r="H15" s="194">
        <f ca="1">D15+G15</f>
        <v>316510.77174420457</v>
      </c>
      <c r="J15" s="532">
        <f>'Pres &amp; Prop Rev'!D46</f>
        <v>2586958495.49228</v>
      </c>
      <c r="K15" s="176">
        <v>6.5399999999999998E-3</v>
      </c>
      <c r="L15" s="533">
        <f>J15*K15/1000</f>
        <v>16918.70856051951</v>
      </c>
    </row>
    <row r="16" spans="1:12" ht="14.5">
      <c r="A16" s="180"/>
      <c r="B16" s="41"/>
      <c r="C16" s="180"/>
      <c r="D16" s="258"/>
      <c r="E16" s="354"/>
      <c r="F16" s="355"/>
      <c r="G16" s="258"/>
      <c r="H16" s="194"/>
      <c r="J16" s="531"/>
      <c r="K16" s="176"/>
      <c r="L16" s="533"/>
    </row>
    <row r="17" spans="1:12" ht="14.5">
      <c r="A17" s="180">
        <v>2</v>
      </c>
      <c r="B17" s="41" t="s">
        <v>272</v>
      </c>
      <c r="C17" s="279" t="s">
        <v>419</v>
      </c>
      <c r="D17" s="258">
        <f ca="1">'Pres &amp; Prop Rev'!E152/1000</f>
        <v>89664.291392857151</v>
      </c>
      <c r="E17" s="354">
        <v>1</v>
      </c>
      <c r="F17" s="355">
        <f>E17*$E$36</f>
        <v>0</v>
      </c>
      <c r="G17" s="258">
        <f ca="1">'Rate Spread GRC'!G17</f>
        <v>11710.42595226887</v>
      </c>
      <c r="H17" s="194">
        <f ca="1">D17+G17</f>
        <v>101374.71734512602</v>
      </c>
      <c r="J17" s="532">
        <f>'Pres &amp; Prop Rev'!E46</f>
        <v>677699559.69088006</v>
      </c>
      <c r="K17" s="176">
        <v>3.2299999999999998E-3</v>
      </c>
      <c r="L17" s="533">
        <f t="shared" ref="L17:L31" si="0">J17*K17/1000</f>
        <v>2188.9695778015425</v>
      </c>
    </row>
    <row r="18" spans="1:12" ht="14.5">
      <c r="A18" s="180"/>
      <c r="B18" s="41"/>
      <c r="C18" s="279"/>
      <c r="D18" s="258"/>
      <c r="E18" s="354"/>
      <c r="F18" s="355"/>
      <c r="G18" s="258"/>
      <c r="H18" s="194"/>
      <c r="J18" s="531"/>
      <c r="K18" s="176"/>
      <c r="L18" s="533"/>
    </row>
    <row r="19" spans="1:12" ht="14.5">
      <c r="A19" s="180">
        <v>3</v>
      </c>
      <c r="B19" s="41" t="s">
        <v>770</v>
      </c>
      <c r="C19" s="280">
        <v>13</v>
      </c>
      <c r="D19" s="258">
        <f ca="1">'Pres &amp; Prop Rev'!F152/1000</f>
        <v>48.212069999999997</v>
      </c>
      <c r="E19" s="354">
        <v>1</v>
      </c>
      <c r="F19" s="355">
        <f>E19*$E$36</f>
        <v>0</v>
      </c>
      <c r="G19" s="258">
        <f ca="1">'Rate Spread GRC'!G19</f>
        <v>6.2966412489328984</v>
      </c>
      <c r="H19" s="194">
        <f ca="1">D19+G19</f>
        <v>54.508711248932897</v>
      </c>
      <c r="J19" s="532">
        <f>'Pres &amp; Prop Rev'!F23</f>
        <v>370617.37</v>
      </c>
      <c r="K19" s="176">
        <v>3.2299999999999998E-3</v>
      </c>
      <c r="L19" s="533">
        <f t="shared" si="0"/>
        <v>1.1970941050999999</v>
      </c>
    </row>
    <row r="20" spans="1:12" ht="14.5">
      <c r="A20" s="180"/>
      <c r="B20" s="41"/>
      <c r="C20" s="180"/>
      <c r="D20" s="258"/>
      <c r="E20" s="354"/>
      <c r="F20" s="355"/>
      <c r="G20" s="258"/>
      <c r="H20" s="194"/>
      <c r="J20" s="531"/>
      <c r="K20" s="176"/>
      <c r="L20" s="533"/>
    </row>
    <row r="21" spans="1:12" ht="14.5">
      <c r="A21" s="180">
        <v>3</v>
      </c>
      <c r="B21" s="41" t="s">
        <v>273</v>
      </c>
      <c r="C21" s="280" t="s">
        <v>420</v>
      </c>
      <c r="D21" s="258">
        <f ca="1">'Pres &amp; Prop Rev'!G152/1000</f>
        <v>132450.41680857143</v>
      </c>
      <c r="E21" s="354">
        <v>1</v>
      </c>
      <c r="F21" s="355">
        <f>E21*$E$36</f>
        <v>0</v>
      </c>
      <c r="G21" s="258">
        <f ca="1">'Rate Spread GRC'!G21</f>
        <v>17298.42253019226</v>
      </c>
      <c r="H21" s="194">
        <f ca="1">D21+G21</f>
        <v>149748.8393387637</v>
      </c>
      <c r="J21" s="532">
        <f>'Pres &amp; Prop Rev'!G23</f>
        <v>1283925192.6310201</v>
      </c>
      <c r="K21" s="176">
        <v>2.5300000000000001E-3</v>
      </c>
      <c r="L21" s="533">
        <f t="shared" si="0"/>
        <v>3248.3307373564812</v>
      </c>
    </row>
    <row r="22" spans="1:12" ht="14.5">
      <c r="A22" s="180"/>
      <c r="B22" s="41"/>
      <c r="C22" s="280"/>
      <c r="D22" s="258"/>
      <c r="E22" s="354"/>
      <c r="F22" s="355"/>
      <c r="G22" s="258"/>
      <c r="H22" s="194"/>
      <c r="J22" s="531"/>
      <c r="K22" s="176"/>
      <c r="L22" s="533"/>
    </row>
    <row r="23" spans="1:12" ht="14.5">
      <c r="A23" s="180">
        <v>5</v>
      </c>
      <c r="B23" s="41" t="s">
        <v>769</v>
      </c>
      <c r="C23" s="280">
        <v>23</v>
      </c>
      <c r="D23" s="258">
        <f ca="1">'Pres &amp; Prop Rev'!H152/1000</f>
        <v>64.444969999999998</v>
      </c>
      <c r="E23" s="354">
        <v>1</v>
      </c>
      <c r="F23" s="355">
        <f t="shared" ref="F23" si="1">E23*$E$36</f>
        <v>0</v>
      </c>
      <c r="G23" s="258">
        <f ca="1">'Rate Spread GRC'!G23</f>
        <v>8.4167067787847145</v>
      </c>
      <c r="H23" s="194">
        <f ca="1">D23+G23</f>
        <v>72.861676778784712</v>
      </c>
      <c r="J23" s="532">
        <f>'Pres &amp; Prop Rev'!H23</f>
        <v>451643.42999999993</v>
      </c>
      <c r="K23" s="176">
        <v>2.5300000000000001E-3</v>
      </c>
      <c r="L23" s="533">
        <f t="shared" si="0"/>
        <v>1.1426578778999998</v>
      </c>
    </row>
    <row r="24" spans="1:12" ht="14.5">
      <c r="A24" s="180"/>
      <c r="B24" s="41"/>
      <c r="C24" s="180"/>
      <c r="D24" s="258"/>
      <c r="E24" s="354"/>
      <c r="F24" s="355"/>
      <c r="G24" s="258"/>
      <c r="H24" s="194"/>
      <c r="J24" s="531"/>
      <c r="K24" s="176"/>
      <c r="L24" s="533"/>
    </row>
    <row r="25" spans="1:12" ht="14.5">
      <c r="A25" s="180">
        <v>4</v>
      </c>
      <c r="B25" s="41" t="s">
        <v>291</v>
      </c>
      <c r="C25" s="180">
        <v>25</v>
      </c>
      <c r="D25" s="258">
        <f ca="1">'Pres &amp; Prop Rev'!I152/1000</f>
        <v>46296.1825417</v>
      </c>
      <c r="E25" s="354">
        <v>1</v>
      </c>
      <c r="F25" s="355">
        <f>E25*$E$36</f>
        <v>0</v>
      </c>
      <c r="G25" s="258">
        <f ca="1">'Rate Spread GRC'!G25</f>
        <v>6046.4205884583544</v>
      </c>
      <c r="H25" s="194">
        <f ca="1">D25+G25</f>
        <v>52342.603130158357</v>
      </c>
      <c r="J25" s="532">
        <f>'Pres &amp; Prop Rev'!I23</f>
        <v>627844986.16700006</v>
      </c>
      <c r="K25" s="176">
        <v>9.2000000000000003E-4</v>
      </c>
      <c r="L25" s="533">
        <f t="shared" si="0"/>
        <v>577.61738727364002</v>
      </c>
    </row>
    <row r="26" spans="1:12" ht="14.5">
      <c r="A26" s="180"/>
      <c r="B26" s="41"/>
      <c r="C26" s="180"/>
      <c r="D26" s="258"/>
      <c r="E26" s="354"/>
      <c r="F26" s="355"/>
      <c r="G26" s="258"/>
      <c r="H26" s="194"/>
      <c r="J26" s="531"/>
      <c r="K26" s="176"/>
      <c r="L26" s="533"/>
    </row>
    <row r="27" spans="1:12" ht="14.5">
      <c r="A27" s="180">
        <v>5</v>
      </c>
      <c r="B27" s="41" t="s">
        <v>864</v>
      </c>
      <c r="C27" s="180" t="s">
        <v>756</v>
      </c>
      <c r="D27" s="258">
        <f ca="1">'Pres &amp; Prop Rev'!J152/1000</f>
        <v>21103.693740400002</v>
      </c>
      <c r="E27" s="354">
        <v>1</v>
      </c>
      <c r="F27" s="355">
        <f t="shared" ref="F27" si="2">E27*$E$36</f>
        <v>0</v>
      </c>
      <c r="G27" s="258">
        <f ca="1">'Rate Spread GRC'!G27</f>
        <v>2693.9188173631774</v>
      </c>
      <c r="H27" s="194">
        <f ca="1">D27+G27</f>
        <v>23797.612557763179</v>
      </c>
      <c r="J27" s="532">
        <f>'Pres &amp; Prop Rev'!J23</f>
        <v>429788232</v>
      </c>
      <c r="K27" s="307">
        <v>5.9000000000000003E-4</v>
      </c>
      <c r="L27" s="533">
        <f t="shared" si="0"/>
        <v>253.57505688000001</v>
      </c>
    </row>
    <row r="28" spans="1:12" ht="14.5">
      <c r="A28" s="180"/>
      <c r="B28" s="41"/>
      <c r="C28" s="180"/>
      <c r="D28" s="258"/>
      <c r="E28" s="354"/>
      <c r="F28" s="355"/>
      <c r="G28" s="258"/>
      <c r="H28" s="194"/>
      <c r="J28" s="531"/>
      <c r="K28" s="41"/>
      <c r="L28" s="533"/>
    </row>
    <row r="29" spans="1:12" ht="14.5">
      <c r="A29" s="180">
        <v>6</v>
      </c>
      <c r="B29" s="41" t="s">
        <v>274</v>
      </c>
      <c r="C29" s="280" t="s">
        <v>421</v>
      </c>
      <c r="D29" s="258">
        <f ca="1">'Pres &amp; Prop Rev'!K152/1000</f>
        <v>13579.03759</v>
      </c>
      <c r="E29" s="354">
        <v>1</v>
      </c>
      <c r="F29" s="355">
        <f>E29*$E$36</f>
        <v>0</v>
      </c>
      <c r="G29" s="258">
        <f ca="1">'Rate Spread GRC'!G29</f>
        <v>1773.4631226164813</v>
      </c>
      <c r="H29" s="194">
        <f ca="1">D29+G29</f>
        <v>15352.500712616482</v>
      </c>
      <c r="J29" s="532">
        <f>'Pres &amp; Prop Rev'!K23</f>
        <v>140731356.46119002</v>
      </c>
      <c r="K29" s="307">
        <v>5.7499999999999999E-3</v>
      </c>
      <c r="L29" s="533">
        <f t="shared" si="0"/>
        <v>809.20529965184255</v>
      </c>
    </row>
    <row r="30" spans="1:12" ht="13">
      <c r="A30" s="180"/>
      <c r="B30" s="41"/>
      <c r="C30" s="180"/>
      <c r="D30" s="258"/>
      <c r="E30" s="354"/>
      <c r="F30" s="355"/>
      <c r="G30" s="258"/>
      <c r="H30" s="194"/>
      <c r="L30" s="533"/>
    </row>
    <row r="31" spans="1:12" ht="13">
      <c r="A31" s="180">
        <v>7</v>
      </c>
      <c r="B31" s="41" t="s">
        <v>275</v>
      </c>
      <c r="C31" s="180" t="s">
        <v>322</v>
      </c>
      <c r="D31" s="260">
        <f>'Pres &amp; Prop Rev'!L152/1000</f>
        <v>7407.9618023400008</v>
      </c>
      <c r="E31" s="354">
        <v>1</v>
      </c>
      <c r="F31" s="355">
        <f>E31*$E$36</f>
        <v>0</v>
      </c>
      <c r="G31" s="258">
        <f ca="1">'Rate Spread GRC'!G31</f>
        <v>967.50207686857982</v>
      </c>
      <c r="H31" s="194">
        <f ca="1">D31+G31</f>
        <v>8375.4638792085807</v>
      </c>
      <c r="J31" s="352">
        <f>'Pres &amp; Prop Rev'!L23</f>
        <v>16029420.157809999</v>
      </c>
      <c r="K31" s="307">
        <v>2.6200000000000001E-2</v>
      </c>
      <c r="L31" s="533">
        <f t="shared" si="0"/>
        <v>419.97080813462202</v>
      </c>
    </row>
    <row r="32" spans="1:12">
      <c r="A32" s="180"/>
      <c r="B32" s="41"/>
      <c r="C32" s="180"/>
      <c r="D32" s="258"/>
      <c r="E32" s="258"/>
      <c r="F32" s="355"/>
      <c r="G32" s="258"/>
      <c r="H32" s="194"/>
    </row>
    <row r="33" spans="1:12">
      <c r="A33" s="180">
        <v>8</v>
      </c>
      <c r="B33" s="264" t="s">
        <v>64</v>
      </c>
      <c r="C33" s="180"/>
      <c r="D33" s="258">
        <f ca="1">SUM(D15:D31)+0.4</f>
        <v>590563.27909586858</v>
      </c>
      <c r="E33" s="258"/>
      <c r="F33" s="355">
        <f ca="1">G36/$D$33</f>
        <v>0</v>
      </c>
      <c r="G33" s="258">
        <f ca="1">SUM(G15:G31)</f>
        <v>77066.999999999985</v>
      </c>
      <c r="H33" s="194">
        <f ca="1">D33+G33+0.3</f>
        <v>667630.57909586863</v>
      </c>
      <c r="J33" s="352">
        <f>SUM(J15:J31)</f>
        <v>5763799503.4001799</v>
      </c>
      <c r="L33" s="53">
        <f>SUM(L15:L31)</f>
        <v>24418.717179600637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8BDEC0653D6204DB4E9E8901B172BDA" ma:contentTypeVersion="7" ma:contentTypeDescription="" ma:contentTypeScope="" ma:versionID="20c77d8cdf983033679a5c9e189b727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2024-07-03T07:00:00+00:00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240006</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1482986-2B77-456E-B6B6-61843FD12718}"/>
</file>

<file path=customXml/itemProps2.xml><?xml version="1.0" encoding="utf-8"?>
<ds:datastoreItem xmlns:ds="http://schemas.openxmlformats.org/officeDocument/2006/customXml" ds:itemID="{20932015-043A-4EF1-B1CB-0A66A68C67C8}">
  <ds:schemaRefs>
    <ds:schemaRef ds:uri="http://schemas.microsoft.com/office/2006/metadata/properties"/>
    <ds:schemaRef ds:uri="http://schemas.microsoft.com/office/infopath/2007/PartnerControls"/>
    <ds:schemaRef ds:uri="08c8d2a6-b026-4881-9b30-cdb1fe6b735d"/>
    <ds:schemaRef ds:uri="fbaf3abe-5afe-46cd-8068-c4b5a8ac1b20"/>
  </ds:schemaRefs>
</ds:datastoreItem>
</file>

<file path=customXml/itemProps3.xml><?xml version="1.0" encoding="utf-8"?>
<ds:datastoreItem xmlns:ds="http://schemas.openxmlformats.org/officeDocument/2006/customXml" ds:itemID="{FAE731C9-95CE-4A44-A02A-62A6B9058D08}">
  <ds:schemaRefs>
    <ds:schemaRef ds:uri="http://schemas.microsoft.com/sharepoint/v3/contenttype/forms"/>
  </ds:schemaRefs>
</ds:datastoreItem>
</file>

<file path=customXml/itemProps4.xml><?xml version="1.0" encoding="utf-8"?>
<ds:datastoreItem xmlns:ds="http://schemas.openxmlformats.org/officeDocument/2006/customXml" ds:itemID="{2F696B91-E561-4534-843E-54252C0719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37</vt:i4>
      </vt:variant>
    </vt:vector>
  </HeadingPairs>
  <TitlesOfParts>
    <vt:vector size="57" baseType="lpstr">
      <vt:lpstr>Exhibit DED-8</vt:lpstr>
      <vt:lpstr>Pres &amp; Prop Rev</vt:lpstr>
      <vt:lpstr>Rate Design</vt:lpstr>
      <vt:lpstr>RS</vt:lpstr>
      <vt:lpstr>JDM-4, pg 3</vt:lpstr>
      <vt:lpstr>JDM-4, pg 2</vt:lpstr>
      <vt:lpstr>Rate Spread GRC</vt:lpstr>
      <vt:lpstr>ROR</vt:lpstr>
      <vt:lpstr>Colstrip</vt:lpstr>
      <vt:lpstr>Bill Determ</vt:lpstr>
      <vt:lpstr>Sp Cnt Exh B</vt:lpstr>
      <vt:lpstr>Bill Impact</vt:lpstr>
      <vt:lpstr>WA Sch 25</vt:lpstr>
      <vt:lpstr>Lighting summary</vt:lpstr>
      <vt:lpstr>St Lts</vt:lpstr>
      <vt:lpstr>Area Lts</vt:lpstr>
      <vt:lpstr>Capital Recovery Factor</vt:lpstr>
      <vt:lpstr>Block Data</vt:lpstr>
      <vt:lpstr>REVRUNS 12ME0623</vt:lpstr>
      <vt:lpstr>UPC</vt:lpstr>
      <vt:lpstr>Base1_Billing2</vt:lpstr>
      <vt:lpstr>ERM</vt:lpstr>
      <vt:lpstr>'Area Lts'!Print_Area</vt:lpstr>
      <vt:lpstr>'Bill Determ'!Print_Area</vt:lpstr>
      <vt:lpstr>'Block Data'!Print_Area</vt:lpstr>
      <vt:lpstr>'JDM-4, pg 2'!Print_Area</vt:lpstr>
      <vt:lpstr>'JDM-4, pg 3'!Print_Area</vt:lpstr>
      <vt:lpstr>'Lighting summary'!Print_Area</vt:lpstr>
      <vt:lpstr>'Pres &amp; Prop Rev'!Print_Area</vt:lpstr>
      <vt:lpstr>'Rate Design'!Print_Area</vt:lpstr>
      <vt:lpstr>'Rate Spread GRC'!Print_Area</vt:lpstr>
      <vt:lpstr>'REVRUNS 12ME0623'!Print_Area</vt:lpstr>
      <vt:lpstr>RS!Print_Area</vt:lpstr>
      <vt:lpstr>'St Lts'!Print_Area</vt:lpstr>
      <vt:lpstr>'WA Sch 25'!Print_Area</vt:lpstr>
      <vt:lpstr>'Area Lts'!Print_Titles</vt:lpstr>
      <vt:lpstr>'Rate Design'!Print_Titles</vt:lpstr>
      <vt:lpstr>'St Lts'!Print_Titles</vt:lpstr>
      <vt:lpstr>'Area Lts'!Print1</vt:lpstr>
      <vt:lpstr>'St Lts'!Print1</vt:lpstr>
      <vt:lpstr>Print1</vt:lpstr>
      <vt:lpstr>'Area Lts'!Print2</vt:lpstr>
      <vt:lpstr>'St Lts'!Print2</vt:lpstr>
      <vt:lpstr>Print2</vt:lpstr>
      <vt:lpstr>'Pres &amp; Prop Rev'!PrintHeader</vt:lpstr>
      <vt:lpstr>Rates_Base_Present</vt:lpstr>
      <vt:lpstr>Rates_Base_Proposed</vt:lpstr>
      <vt:lpstr>Rates_Billing_Present</vt:lpstr>
      <vt:lpstr>Rates_Billing_Proposed</vt:lpstr>
      <vt:lpstr>Sch25_Annual_excess_kva</vt:lpstr>
      <vt:lpstr>Sch25_Annual_kva</vt:lpstr>
      <vt:lpstr>Sch25_Annual_kW</vt:lpstr>
      <vt:lpstr>Sch25_Annual_kWh</vt:lpstr>
      <vt:lpstr>Sch25_kWh</vt:lpstr>
      <vt:lpstr>Sch25_n</vt:lpstr>
      <vt:lpstr>Sch25_nD</vt:lpstr>
      <vt:lpstr>SL_RateIncr</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Michael Deupree</cp:lastModifiedBy>
  <cp:lastPrinted>2024-01-11T14:17:18Z</cp:lastPrinted>
  <dcterms:created xsi:type="dcterms:W3CDTF">2002-06-14T21:00:48Z</dcterms:created>
  <dcterms:modified xsi:type="dcterms:W3CDTF">2024-07-02T00:10:14Z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0x0101006E56B4D1795A2E4DB2F0B01679ED314A0088BDEC0653D6204DB4E9E8901B172BDA</vt:lpwstr>
  </property>
  <property fmtid="{D5CDD505-2E9C-101B-9397-08002B2CF9AE}" pid="3" name="_docset_NoMedatataSyncRequired">
    <vt:lpwstr>False</vt:lpwstr>
  </property>
  <property fmtid="{D5CDD505-2E9C-101B-9397-08002B2CF9AE}" pid="4" name="MediaServiceImageTags">
    <vt:lpwstr/>
  </property>
</Properties>
</file>