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PSB1\REGULATN\ER\_2021\Washington\Washington - LIRF\Settlement\09-22-2021\PAC Settlement WP\Cleaned Up\"/>
    </mc:Choice>
  </mc:AlternateContent>
  <xr:revisionPtr revIDLastSave="0" documentId="13_ncr:1_{62F5F795-4294-48D1-B69D-E968A9F1C37E}" xr6:coauthVersionLast="46" xr6:coauthVersionMax="46" xr10:uidLastSave="{00000000-0000-0000-0000-000000000000}"/>
  <bookViews>
    <workbookView xWindow="-120" yWindow="480" windowWidth="29040" windowHeight="15840" tabRatio="849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ommon">[1]Variables!$AQ$27</definedName>
    <definedName name="Cost_Debt">Variables!$D$8</definedName>
    <definedName name="Cost_equity">Variables!$D$10</definedName>
    <definedName name="Cost_pref">Variables!$D$9</definedName>
    <definedName name="Debt">[1]Variables!$AQ$25</definedName>
    <definedName name="DebtCost">[1]Variables!$AT$25</definedName>
    <definedName name="gross_up_factor">Variables!$D$34</definedName>
    <definedName name="JurisNumber">[1]Variables!$AL$15</definedName>
    <definedName name="NetToGross">[1]Variables!$H$2</definedName>
    <definedName name="OpRevReturn">[1]Variables!$AY$14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ref">[1]Variables!$AQ$26</definedName>
    <definedName name="PrefCost">[1]Variables!$AT$26</definedName>
    <definedName name="_xlnm.Print_Area" localSheetId="2">Adjustments!$A$1:$F$85</definedName>
    <definedName name="_xlnm.Print_Area" localSheetId="1">'Price Change'!$A$1:$F$21</definedName>
    <definedName name="_xlnm.Print_Titles" localSheetId="2">Adjustments!$A:$A</definedName>
    <definedName name="RateBase">[1]Variables!$AZ$14</definedName>
    <definedName name="RateBaseType">[1]Variables!$AP$14</definedName>
    <definedName name="ROE">[1]Variables!$BA$14</definedName>
    <definedName name="Unadj_Op_revenue">Results!$B$37</definedName>
    <definedName name="Unadj_rate_base">Results!$B$64</definedName>
    <definedName name="Unadj_ROE">Results!$B$67</definedName>
    <definedName name="UnadjBegEnd">[1]UnadjData!$A$5:$J$79</definedName>
    <definedName name="UnadjYE">[1]UnadjData!$L$5:$U$253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C77" i="17"/>
  <c r="C76" i="17"/>
  <c r="C57" i="17"/>
  <c r="C55" i="17"/>
  <c r="C41" i="17"/>
  <c r="C33" i="17"/>
  <c r="C28" i="17"/>
  <c r="B84" i="17" l="1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B14" i="17" s="1"/>
  <c r="D12" i="4"/>
  <c r="F12" i="4" s="1"/>
  <c r="D11" i="4"/>
  <c r="F11" i="4" s="1"/>
  <c r="D10" i="4"/>
  <c r="F10" i="4" s="1"/>
  <c r="D9" i="4"/>
  <c r="F9" i="4" s="1"/>
  <c r="D72" i="17" l="1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41" i="17" l="1"/>
  <c r="D40" i="4" s="1"/>
  <c r="C52" i="17"/>
  <c r="B52" i="17" l="1"/>
  <c r="F40" i="4"/>
  <c r="D51" i="4"/>
  <c r="J40" i="4" l="1"/>
  <c r="J51" i="4" s="1"/>
  <c r="F51" i="4"/>
  <c r="B28" i="17" l="1"/>
  <c r="D27" i="4" s="1"/>
  <c r="C72" i="17"/>
  <c r="B72" i="17" l="1"/>
  <c r="F27" i="4"/>
  <c r="D71" i="4"/>
  <c r="B76" i="17"/>
  <c r="D75" i="4" s="1"/>
  <c r="F75" i="4" s="1"/>
  <c r="J75" i="4" s="1"/>
  <c r="B55" i="17" l="1"/>
  <c r="D54" i="4" s="1"/>
  <c r="J27" i="4"/>
  <c r="F71" i="4"/>
  <c r="C78" i="17"/>
  <c r="F33" i="17" l="1"/>
  <c r="F36" i="17" s="1"/>
  <c r="F38" i="17" s="1"/>
  <c r="D15" i="16" s="1"/>
  <c r="B33" i="17"/>
  <c r="D32" i="4" s="1"/>
  <c r="F32" i="4" s="1"/>
  <c r="J32" i="4" s="1"/>
  <c r="C81" i="17"/>
  <c r="F54" i="4"/>
  <c r="J54" i="4" l="1"/>
  <c r="C83" i="17"/>
  <c r="C63" i="17" l="1"/>
  <c r="C85" i="17"/>
  <c r="F57" i="17" l="1"/>
  <c r="F63" i="17" s="1"/>
  <c r="F65" i="17" s="1"/>
  <c r="C31" i="17"/>
  <c r="C65" i="17"/>
  <c r="B57" i="17"/>
  <c r="D56" i="4" s="1"/>
  <c r="E15" i="16"/>
  <c r="F69" i="17"/>
  <c r="F68" i="17"/>
  <c r="B63" i="17" l="1"/>
  <c r="F15" i="16"/>
  <c r="E12" i="16"/>
  <c r="E16" i="16" s="1"/>
  <c r="B65" i="17"/>
  <c r="F56" i="4"/>
  <c r="D62" i="4"/>
  <c r="D64" i="4" s="1"/>
  <c r="C36" i="17"/>
  <c r="C38" i="17" l="1"/>
  <c r="J56" i="4"/>
  <c r="J62" i="4" s="1"/>
  <c r="J64" i="4" s="1"/>
  <c r="F62" i="4"/>
  <c r="F64" i="4" s="1"/>
  <c r="D12" i="16" l="1"/>
  <c r="C68" i="17"/>
  <c r="C69" i="17"/>
  <c r="F12" i="16" l="1"/>
  <c r="E75" i="17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J74" i="4" l="1"/>
  <c r="F77" i="4"/>
  <c r="F80" i="4" s="1"/>
  <c r="F82" i="4" s="1"/>
  <c r="F84" i="4" s="1"/>
  <c r="F30" i="4" s="1"/>
  <c r="F35" i="4" s="1"/>
  <c r="F37" i="4" s="1"/>
  <c r="E83" i="17"/>
  <c r="B81" i="17"/>
  <c r="E85" i="17" l="1"/>
  <c r="B83" i="17"/>
  <c r="H9" i="4"/>
  <c r="F66" i="4"/>
  <c r="F68" i="4"/>
  <c r="J9" i="4" l="1"/>
  <c r="J13" i="4" s="1"/>
  <c r="H13" i="4"/>
  <c r="H29" i="4"/>
  <c r="J29" i="4" s="1"/>
  <c r="H22" i="4"/>
  <c r="D66" i="4"/>
  <c r="F67" i="4"/>
  <c r="D67" i="4" s="1"/>
  <c r="E31" i="17"/>
  <c r="B85" i="17"/>
  <c r="E36" i="17" l="1"/>
  <c r="B31" i="17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H26" i="4"/>
  <c r="H71" i="4" s="1"/>
  <c r="H77" i="4" s="1"/>
  <c r="H80" i="4" s="1"/>
  <c r="H82" i="4" s="1"/>
  <c r="H84" i="4" s="1"/>
  <c r="H30" i="4" s="1"/>
  <c r="H35" i="4" s="1"/>
  <c r="H37" i="4" s="1"/>
  <c r="J67" i="4" l="1"/>
  <c r="H67" i="4" s="1"/>
  <c r="H66" i="4"/>
  <c r="E38" i="17"/>
  <c r="B36" i="17"/>
  <c r="D14" i="16" l="1"/>
  <c r="E69" i="17"/>
  <c r="B69" i="17" s="1"/>
  <c r="H70" i="17" s="1"/>
  <c r="E68" i="17"/>
  <c r="B38" i="17"/>
  <c r="B68" i="17" s="1"/>
  <c r="F14" i="16" l="1"/>
  <c r="F16" i="16" s="1"/>
  <c r="D16" i="16"/>
</calcChain>
</file>

<file path=xl/sharedStrings.xml><?xml version="1.0" encoding="utf-8"?>
<sst xmlns="http://schemas.openxmlformats.org/spreadsheetml/2006/main" count="207" uniqueCount="134">
  <si>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</si>
  <si>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</si>
  <si>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</si>
  <si>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</si>
  <si>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</si>
  <si>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</si>
  <si>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</si>
  <si>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</si>
  <si>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</si>
  <si>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</si>
  <si>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</si>
  <si>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</si>
  <si>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</si>
  <si>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</si>
  <si>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</si>
  <si>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</si>
  <si>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</si>
  <si>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</si>
  <si>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</si>
  <si>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</si>
  <si>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</si>
  <si>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</si>
  <si>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</si>
  <si>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</si>
  <si>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</si>
  <si>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</si>
  <si>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</si>
  <si>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</si>
  <si>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</si>
  <si>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</si>
  <si>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</si>
  <si>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</si>
  <si>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</si>
  <si>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</si>
  <si>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</si>
  <si>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</si>
  <si>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</si>
  <si>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</si>
  <si>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</si>
  <si>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</si>
  <si>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</si>
  <si>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</si>
  <si>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</si>
  <si>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</si>
  <si>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</si>
  <si>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</si>
  <si>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</si>
  <si>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</si>
  <si>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</si>
  <si>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</si>
  <si>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</si>
  <si>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</si>
  <si>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</si>
  <si>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</si>
  <si>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</si>
  <si>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</si>
  <si>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</si>
  <si>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</si>
  <si>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</si>
  <si>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</si>
  <si>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</si>
  <si>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</si>
  <si>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</si>
  <si>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</si>
  <si>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</si>
  <si>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</si>
  <si>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</si>
  <si>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</si>
  <si>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</si>
  <si>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</si>
  <si>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</si>
  <si>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</si>
  <si>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</si>
  <si>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</si>
  <si>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</si>
  <si>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</si>
  <si>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</si>
  <si>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</si>
  <si>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</si>
  <si>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</si>
  <si>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</si>
  <si>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</si>
  <si>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</si>
  <si>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</si>
  <si>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</si>
  <si>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</si>
  <si>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</si>
  <si>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</si>
  <si>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</si>
  <si>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</si>
  <si>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</si>
  <si>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</si>
  <si>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</si>
  <si>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</si>
  <si>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</si>
  <si>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</si>
  <si>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</si>
  <si>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</si>
  <si>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</si>
  <si>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</si>
  <si>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</si>
  <si>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</si>
  <si>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</si>
  <si>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</si>
  <si>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</si>
  <si>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</si>
  <si>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</si>
  <si>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Settlement Amount GRC UE-191024</t>
  </si>
  <si>
    <t>Federal Income Tax @ 21.00%</t>
  </si>
  <si>
    <t>(From UE-191024 Settlement JAM/RAM - Results Tab)</t>
  </si>
  <si>
    <t>1</t>
  </si>
  <si>
    <t>2</t>
  </si>
  <si>
    <t>WIJAM Transmission Transition Adj</t>
  </si>
  <si>
    <t>Wind &amp; Transmission Capital Update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</si>
  <si>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</si>
  <si>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</si>
  <si>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</si>
  <si>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</si>
  <si>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</si>
  <si>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</si>
  <si>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</si>
  <si>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</si>
  <si>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</si>
  <si>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</si>
  <si>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</si>
  <si>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</si>
  <si>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</si>
  <si>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Washington Limited Issues Rate Filing 2021</t>
  </si>
  <si>
    <t>Variables - Washington General Rate Case UE-191024</t>
  </si>
  <si>
    <t>Washington Limited Issues Rate Filing</t>
  </si>
  <si>
    <t>Results of Operations</t>
  </si>
  <si>
    <t>The table below presents the Company's pro forma ratemaking adjustments and their impact on net operating income (NOI), rate base, and the Washington revenue requirement.</t>
  </si>
  <si>
    <t>Filed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</si>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</sst>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5" fontId="2" fillId="0" borderId="9" xfId="2" applyNumberFormat="1" applyFont="1" applyFill="1" applyBorder="1" applyAlignment="1">
      <alignment vertical="center"/>
    </xf>
    <xf numFmtId="165" fontId="2" fillId="0" borderId="10" xfId="2" applyNumberFormat="1" applyFont="1" applyFill="1" applyBorder="1" applyAlignment="1">
      <alignment vertical="center"/>
    </xf>
    <xf numFmtId="165" fontId="2" fillId="0" borderId="2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4" fontId="2" fillId="0" borderId="9" xfId="1" applyNumberFormat="1" applyFont="1" applyFill="1" applyBorder="1" applyProtection="1">
      <protection locked="0"/>
    </xf>
    <xf numFmtId="164" fontId="2" fillId="0" borderId="9" xfId="1" quotePrefix="1" applyNumberFormat="1" applyFont="1" applyFill="1" applyBorder="1" applyAlignment="1" applyProtection="1">
      <alignment horizontal="left"/>
      <protection locked="0"/>
    </xf>
    <xf numFmtId="164" fontId="2" fillId="0" borderId="9" xfId="1" applyNumberFormat="1" applyFont="1" applyFill="1" applyBorder="1" applyAlignment="1" applyProtection="1">
      <alignment horizontal="left"/>
      <protection locked="0"/>
    </xf>
    <xf numFmtId="164" fontId="2" fillId="0" borderId="11" xfId="1" applyNumberFormat="1" applyFont="1" applyFill="1" applyBorder="1" applyProtection="1">
      <protection locked="0"/>
    </xf>
    <xf numFmtId="164" fontId="2" fillId="0" borderId="13" xfId="1" applyNumberFormat="1" applyFont="1" applyFill="1" applyBorder="1" applyAlignment="1" applyProtection="1">
      <alignment horizontal="left"/>
      <protection locked="0"/>
    </xf>
    <xf numFmtId="164" fontId="2" fillId="0" borderId="15" xfId="1" applyNumberFormat="1" applyFont="1" applyFill="1" applyBorder="1" applyAlignment="1"/>
    <xf numFmtId="164" fontId="2" fillId="0" borderId="11" xfId="1" quotePrefix="1" applyNumberFormat="1" applyFont="1" applyFill="1" applyBorder="1" applyAlignment="1" applyProtection="1">
      <alignment horizontal="left"/>
      <protection locked="0"/>
    </xf>
    <xf numFmtId="164" fontId="2" fillId="0" borderId="15" xfId="1" applyNumberFormat="1" applyFont="1" applyFill="1" applyBorder="1" applyAlignment="1">
      <alignment vertical="center"/>
    </xf>
    <xf numFmtId="164" fontId="2" fillId="0" borderId="9" xfId="0" applyNumberFormat="1" applyFont="1" applyFill="1" applyBorder="1"/>
    <xf numFmtId="164" fontId="2" fillId="0" borderId="9" xfId="1" applyNumberFormat="1" applyFont="1" applyFill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2" fillId="0" borderId="10" xfId="1" quotePrefix="1" applyNumberFormat="1" applyFont="1" applyFill="1" applyBorder="1" applyAlignment="1" applyProtection="1">
      <alignment horizontal="center"/>
      <protection locked="0"/>
    </xf>
    <xf numFmtId="164" fontId="2" fillId="0" borderId="22" xfId="1" quotePrefix="1" applyNumberFormat="1" applyFont="1" applyFill="1" applyBorder="1" applyAlignment="1" applyProtection="1">
      <alignment horizontal="center"/>
      <protection locked="0"/>
    </xf>
    <xf numFmtId="164" fontId="2" fillId="0" borderId="9" xfId="1" quotePrefix="1" applyNumberFormat="1" applyFont="1" applyFill="1" applyBorder="1" applyAlignment="1" applyProtection="1">
      <alignment horizontal="center"/>
      <protection locked="0"/>
    </xf>
    <xf numFmtId="164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0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164" fontId="2" fillId="0" borderId="10" xfId="1" quotePrefix="1" applyNumberFormat="1" applyFont="1" applyFill="1" applyBorder="1" applyAlignment="1" applyProtection="1">
      <alignment horizontal="left"/>
      <protection locked="0"/>
    </xf>
    <xf numFmtId="164" fontId="2" fillId="0" borderId="10" xfId="1" applyNumberFormat="1" applyFont="1" applyFill="1" applyBorder="1" applyAlignment="1" applyProtection="1">
      <alignment horizontal="left"/>
      <protection locked="0"/>
    </xf>
    <xf numFmtId="164" fontId="2" fillId="0" borderId="12" xfId="1" applyNumberFormat="1" applyFont="1" applyFill="1" applyBorder="1" applyProtection="1">
      <protection locked="0"/>
    </xf>
    <xf numFmtId="164" fontId="2" fillId="0" borderId="10" xfId="1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  <protection locked="0"/>
    </xf>
    <xf numFmtId="164" fontId="2" fillId="0" borderId="22" xfId="1" quotePrefix="1" applyNumberFormat="1" applyFont="1" applyFill="1" applyBorder="1" applyAlignment="1" applyProtection="1">
      <alignment horizontal="left"/>
      <protection locked="0"/>
    </xf>
    <xf numFmtId="164" fontId="2" fillId="0" borderId="16" xfId="1" applyNumberFormat="1" applyFont="1" applyFill="1" applyBorder="1" applyAlignment="1"/>
    <xf numFmtId="164" fontId="2" fillId="0" borderId="12" xfId="1" quotePrefix="1" applyNumberFormat="1" applyFont="1" applyFill="1" applyBorder="1" applyAlignment="1" applyProtection="1">
      <alignment horizontal="left"/>
      <protection locked="0"/>
    </xf>
    <xf numFmtId="164" fontId="2" fillId="0" borderId="14" xfId="1" quotePrefix="1" applyNumberFormat="1" applyFont="1" applyFill="1" applyBorder="1" applyAlignment="1" applyProtection="1">
      <alignment horizontal="left"/>
      <protection locked="0"/>
    </xf>
    <xf numFmtId="164" fontId="2" fillId="0" borderId="18" xfId="1" applyNumberFormat="1" applyFont="1" applyFill="1" applyBorder="1" applyProtection="1">
      <protection locked="0"/>
    </xf>
    <xf numFmtId="164" fontId="2" fillId="0" borderId="17" xfId="1" applyNumberFormat="1" applyFont="1" applyFill="1" applyBorder="1" applyProtection="1">
      <protection locked="0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164" fontId="2" fillId="0" borderId="22" xfId="1" applyNumberFormat="1" applyFont="1" applyFill="1" applyBorder="1" applyAlignment="1" applyProtection="1">
      <alignment horizontal="center"/>
      <protection locked="0"/>
    </xf>
    <xf numFmtId="164" fontId="2" fillId="0" borderId="23" xfId="1" applyNumberFormat="1" applyFont="1" applyFill="1" applyBorder="1" applyProtection="1">
      <protection locked="0"/>
    </xf>
    <xf numFmtId="164" fontId="2" fillId="0" borderId="25" xfId="1" applyNumberFormat="1" applyFont="1" applyFill="1" applyBorder="1" applyProtection="1">
      <protection locked="0"/>
    </xf>
    <xf numFmtId="164" fontId="2" fillId="0" borderId="24" xfId="1" applyNumberFormat="1" applyFont="1" applyFill="1" applyBorder="1" applyAlignment="1"/>
    <xf numFmtId="164" fontId="2" fillId="0" borderId="23" xfId="1" quotePrefix="1" applyNumberFormat="1" applyFont="1" applyFill="1" applyBorder="1" applyAlignment="1" applyProtection="1">
      <alignment horizontal="left"/>
      <protection locked="0"/>
    </xf>
    <xf numFmtId="164" fontId="2" fillId="0" borderId="24" xfId="1" applyNumberFormat="1" applyFont="1" applyFill="1" applyBorder="1" applyAlignment="1">
      <alignment vertical="center"/>
    </xf>
    <xf numFmtId="164" fontId="2" fillId="0" borderId="16" xfId="1" applyNumberFormat="1" applyFont="1" applyFill="1" applyBorder="1" applyAlignment="1">
      <alignment vertical="center"/>
    </xf>
    <xf numFmtId="164" fontId="2" fillId="0" borderId="22" xfId="0" applyNumberFormat="1" applyFont="1" applyFill="1" applyBorder="1"/>
    <xf numFmtId="164" fontId="2" fillId="0" borderId="10" xfId="0" applyNumberFormat="1" applyFont="1" applyFill="1" applyBorder="1"/>
    <xf numFmtId="164" fontId="2" fillId="0" borderId="25" xfId="1" applyNumberFormat="1" applyFont="1" applyFill="1" applyBorder="1" applyAlignment="1">
      <alignment vertical="center"/>
    </xf>
    <xf numFmtId="164" fontId="2" fillId="0" borderId="22" xfId="1" applyNumberFormat="1" applyFont="1" applyFill="1" applyBorder="1"/>
    <xf numFmtId="164" fontId="2" fillId="0" borderId="26" xfId="1" applyNumberFormat="1" applyFont="1" applyFill="1" applyBorder="1"/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164" fontId="2" fillId="0" borderId="9" xfId="1" applyNumberFormat="1" applyFont="1" applyFill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164" fontId="4" fillId="0" borderId="27" xfId="1" applyNumberFormat="1" applyFont="1" applyFill="1" applyBorder="1" applyAlignment="1">
      <alignment horizontal="center"/>
    </xf>
    <xf numFmtId="164" fontId="4" fillId="0" borderId="19" xfId="1" applyNumberFormat="1" applyFont="1" applyFill="1" applyBorder="1" applyAlignment="1"/>
    <xf numFmtId="0" fontId="2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164" fontId="4" fillId="0" borderId="20" xfId="1" applyNumberFormat="1" applyFont="1" applyFill="1" applyBorder="1"/>
    <xf numFmtId="164" fontId="4" fillId="0" borderId="21" xfId="1" applyNumberFormat="1" applyFont="1" applyFill="1" applyBorder="1"/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7" fillId="2" borderId="0" xfId="0" applyFont="1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164" fontId="8" fillId="0" borderId="9" xfId="1" quotePrefix="1" applyNumberFormat="1" applyFont="1" applyFill="1" applyBorder="1" applyAlignment="1" applyProtection="1">
      <alignment horizontal="left"/>
      <protection locked="0"/>
    </xf>
    <xf numFmtId="164" fontId="8" fillId="0" borderId="13" xfId="1" quotePrefix="1" applyNumberFormat="1" applyFont="1" applyFill="1" applyBorder="1" applyAlignment="1" applyProtection="1">
      <alignment horizontal="left"/>
      <protection locked="0"/>
    </xf>
    <xf numFmtId="164" fontId="8" fillId="0" borderId="9" xfId="1" applyNumberFormat="1" applyFont="1" applyFill="1" applyBorder="1" applyAlignment="1" applyProtection="1">
      <alignment horizontal="left"/>
      <protection locked="0"/>
    </xf>
    <xf numFmtId="164" fontId="4" fillId="3" borderId="0" xfId="1" applyNumberFormat="1" applyFont="1" applyFill="1" applyBorder="1" applyAlignment="1">
      <alignment vertical="center"/>
    </xf>
    <xf numFmtId="164" fontId="2" fillId="3" borderId="22" xfId="0" applyNumberFormat="1" applyFont="1" applyFill="1" applyBorder="1"/>
    <xf numFmtId="164" fontId="2" fillId="3" borderId="9" xfId="0" applyNumberFormat="1" applyFont="1" applyFill="1" applyBorder="1"/>
    <xf numFmtId="164" fontId="2" fillId="3" borderId="0" xfId="0" applyNumberFormat="1" applyFont="1" applyFill="1" applyBorder="1"/>
    <xf numFmtId="164" fontId="8" fillId="3" borderId="1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0" xfId="2" applyNumberFormat="1" applyFont="1" applyFill="1" applyAlignment="1">
      <alignment horizontal="right"/>
    </xf>
    <xf numFmtId="164" fontId="2" fillId="0" borderId="0" xfId="1" applyNumberFormat="1" applyFont="1"/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PSB1_GROUPS.PSB.OR.PPW/REGULATN/ER/06_08%20Washington%20GRC/Models/WA%20RAM%20JUNE%202008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DJ%201_Wind%20&amp;%20Transmission%20Update_Settlement_CON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DJ_4%20-%20Remove%20Def%20State%20Tax%20Exp_Bal_Settl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DJ_3%20-%20Interest%20True-Up_Settle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Revenues%20for%20Refund%20-%20Wind%20&amp;%20Transmission%20Update_Settlement_CO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1"/>
      <sheetName val="Page ADJ_1.1"/>
      <sheetName val="Rev. Req. Amounts In Rates_PAC"/>
      <sheetName val="Page ADJ_1.3"/>
      <sheetName val="Page ADJ_1.4C"/>
      <sheetName val="Tax Support"/>
    </sheetNames>
    <sheetDataSet>
      <sheetData sheetId="0">
        <row r="9">
          <cell r="I9">
            <v>-1312273.158481881</v>
          </cell>
        </row>
        <row r="10">
          <cell r="I10">
            <v>-15691.764600087747</v>
          </cell>
        </row>
        <row r="11">
          <cell r="I11">
            <v>-2672403.4017592766</v>
          </cell>
        </row>
        <row r="14">
          <cell r="I14">
            <v>-65146.171290230144</v>
          </cell>
        </row>
        <row r="15">
          <cell r="I15">
            <v>-582.91603922080242</v>
          </cell>
        </row>
        <row r="16">
          <cell r="I16">
            <v>-142220.69731966188</v>
          </cell>
        </row>
        <row r="19">
          <cell r="I19">
            <v>-2853725.8727643592</v>
          </cell>
        </row>
        <row r="20">
          <cell r="I20">
            <v>15691.764600087747</v>
          </cell>
        </row>
        <row r="21">
          <cell r="I21">
            <v>-557223.61154882517</v>
          </cell>
        </row>
        <row r="25">
          <cell r="I25">
            <v>-561062.95388765307</v>
          </cell>
        </row>
        <row r="26">
          <cell r="I26">
            <v>15025483.66583233</v>
          </cell>
        </row>
        <row r="27">
          <cell r="I27">
            <v>1967639.7850608227</v>
          </cell>
        </row>
        <row r="28">
          <cell r="I28">
            <v>1924435.7129287324</v>
          </cell>
        </row>
        <row r="29">
          <cell r="I29">
            <v>-4135968.9409022289</v>
          </cell>
        </row>
        <row r="31">
          <cell r="I31">
            <v>-582.91603922080242</v>
          </cell>
        </row>
        <row r="32">
          <cell r="I32">
            <v>143.33376096847672</v>
          </cell>
        </row>
        <row r="33">
          <cell r="I33">
            <v>-143.33376096847672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4"/>
      <sheetName val="Page ADJ_4.1"/>
    </sheetNames>
    <sheetDataSet>
      <sheetData sheetId="0">
        <row r="10">
          <cell r="F10">
            <v>-574196</v>
          </cell>
        </row>
        <row r="14">
          <cell r="F14">
            <v>399654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ADJ_3"/>
      <sheetName val="Page ADJ_3.1"/>
    </sheetNames>
    <sheetDataSet>
      <sheetData sheetId="0">
        <row r="10">
          <cell r="I10">
            <v>-434044.29934832081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nsCedarSpring"/>
      <sheetName val="Aeolus-Bridger"/>
      <sheetName val="TransTBFlats"/>
      <sheetName val="TransPryorMtn"/>
      <sheetName val="Cedar Springs"/>
      <sheetName val="Ekola Flats"/>
      <sheetName val="Pryor Mtn"/>
      <sheetName val="TB Flats"/>
      <sheetName val="Dunlap"/>
      <sheetName val="FooteCreek"/>
      <sheetName val="Variables"/>
    </sheetNames>
    <sheetDataSet>
      <sheetData sheetId="0">
        <row r="2">
          <cell r="A2" t="str">
            <v>Washington Limited-Issue Rate Filing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147"/>
  <sheetViews>
    <sheetView tabSelected="1" view="pageBreakPreview" zoomScale="85" zoomScaleNormal="100" zoomScaleSheetLayoutView="85" workbookViewId="0">
      <selection activeCell="N10" sqref="N10"/>
    </sheetView>
  </sheetViews>
  <sheetFormatPr defaultRowHeight="12.75" x14ac:dyDescent="0.2"/>
  <cols>
    <col min="1" max="1" width="40" style="18" customWidth="1"/>
    <col min="2" max="2" width="15.7109375" style="18" customWidth="1"/>
    <col min="3" max="3" width="0.7109375" style="18" customWidth="1"/>
    <col min="4" max="4" width="15.7109375" style="18" customWidth="1"/>
    <col min="5" max="5" width="0.7109375" style="18" customWidth="1"/>
    <col min="6" max="6" width="15.7109375" style="18" customWidth="1"/>
    <col min="7" max="7" width="0.7109375" style="18" customWidth="1"/>
    <col min="8" max="8" width="15.7109375" style="18" customWidth="1"/>
    <col min="9" max="9" width="0.7109375" style="18" customWidth="1"/>
    <col min="10" max="10" width="15.85546875" style="18" customWidth="1"/>
    <col min="11" max="16384" width="9.140625" style="18"/>
  </cols>
  <sheetData>
    <row r="1" spans="1:10" x14ac:dyDescent="0.2">
      <c r="A1" s="4" t="s">
        <v>6</v>
      </c>
    </row>
    <row r="2" spans="1:10" x14ac:dyDescent="0.2">
      <c r="A2" s="1" t="s">
        <v>127</v>
      </c>
    </row>
    <row r="3" spans="1:10" x14ac:dyDescent="0.2">
      <c r="A3" s="1" t="s">
        <v>130</v>
      </c>
    </row>
    <row r="4" spans="1:10" x14ac:dyDescent="0.2">
      <c r="A4" s="1"/>
    </row>
    <row r="5" spans="1:10" x14ac:dyDescent="0.2">
      <c r="A5" s="1"/>
      <c r="B5" s="38" t="s">
        <v>72</v>
      </c>
      <c r="C5" s="39"/>
      <c r="D5" s="38" t="s">
        <v>73</v>
      </c>
      <c r="E5" s="39"/>
      <c r="F5" s="38" t="s">
        <v>74</v>
      </c>
      <c r="G5" s="39"/>
      <c r="H5" s="38" t="s">
        <v>75</v>
      </c>
      <c r="I5" s="39"/>
      <c r="J5" s="38" t="s">
        <v>76</v>
      </c>
    </row>
    <row r="6" spans="1:10" x14ac:dyDescent="0.2">
      <c r="A6" s="1"/>
      <c r="B6" s="126" t="s">
        <v>109</v>
      </c>
      <c r="D6" s="45"/>
      <c r="F6" s="46" t="s">
        <v>77</v>
      </c>
      <c r="H6" s="46"/>
      <c r="J6" s="46" t="s">
        <v>78</v>
      </c>
    </row>
    <row r="7" spans="1:10" ht="43.5" customHeight="1" x14ac:dyDescent="0.2">
      <c r="A7" s="19"/>
      <c r="B7" s="37" t="s">
        <v>83</v>
      </c>
      <c r="C7" s="37"/>
      <c r="D7" s="100" t="s">
        <v>104</v>
      </c>
      <c r="E7" s="37"/>
      <c r="F7" s="37" t="s">
        <v>71</v>
      </c>
      <c r="G7" s="37"/>
      <c r="H7" s="37" t="s">
        <v>82</v>
      </c>
      <c r="I7" s="37"/>
      <c r="J7" s="37" t="s">
        <v>83</v>
      </c>
    </row>
    <row r="8" spans="1:10" x14ac:dyDescent="0.2">
      <c r="A8" s="10" t="s">
        <v>9</v>
      </c>
      <c r="B8" s="8"/>
      <c r="D8" s="8"/>
      <c r="F8" s="8"/>
      <c r="H8" s="8"/>
      <c r="J8" s="8"/>
    </row>
    <row r="9" spans="1:10" x14ac:dyDescent="0.2">
      <c r="A9" s="10" t="s">
        <v>10</v>
      </c>
      <c r="B9" s="12">
        <v>366359248.40368605</v>
      </c>
      <c r="D9" s="8">
        <f>Adjustments!B10</f>
        <v>0</v>
      </c>
      <c r="F9" s="8">
        <f>B9+D9</f>
        <v>366359248.40368605</v>
      </c>
      <c r="H9" s="8">
        <f>-(F37-(F64*Overall_ROR))/gross_up_factor</f>
        <v>-1867249.5829535143</v>
      </c>
      <c r="J9" s="8">
        <f>F9+H9</f>
        <v>364491998.82073253</v>
      </c>
    </row>
    <row r="10" spans="1:10" x14ac:dyDescent="0.2">
      <c r="A10" s="10" t="s">
        <v>11</v>
      </c>
      <c r="B10" s="12">
        <v>0</v>
      </c>
      <c r="D10" s="8">
        <f>Adjustments!B11</f>
        <v>0</v>
      </c>
      <c r="F10" s="8">
        <f>B10+D10</f>
        <v>0</v>
      </c>
      <c r="H10" s="8"/>
      <c r="J10" s="8">
        <f t="shared" ref="J10:J12" si="0">F10+H10</f>
        <v>0</v>
      </c>
    </row>
    <row r="11" spans="1:10" x14ac:dyDescent="0.2">
      <c r="A11" s="10" t="s">
        <v>12</v>
      </c>
      <c r="B11" s="12">
        <v>2218213.8014192116</v>
      </c>
      <c r="D11" s="8">
        <f>Adjustments!B12</f>
        <v>0</v>
      </c>
      <c r="F11" s="8">
        <f>B11+D11</f>
        <v>2218213.8014192116</v>
      </c>
      <c r="H11" s="8"/>
      <c r="J11" s="8">
        <f t="shared" si="0"/>
        <v>2218213.8014192116</v>
      </c>
    </row>
    <row r="12" spans="1:10" x14ac:dyDescent="0.2">
      <c r="A12" s="10" t="s">
        <v>13</v>
      </c>
      <c r="B12" s="12">
        <v>13849210.275009101</v>
      </c>
      <c r="D12" s="8">
        <f>Adjustments!B13</f>
        <v>0</v>
      </c>
      <c r="F12" s="8">
        <f>B12+D12</f>
        <v>13849210.275009101</v>
      </c>
      <c r="H12" s="8"/>
      <c r="J12" s="8">
        <f t="shared" si="0"/>
        <v>13849210.275009101</v>
      </c>
    </row>
    <row r="13" spans="1:10" ht="13.5" thickBot="1" x14ac:dyDescent="0.25">
      <c r="A13" s="10" t="s">
        <v>14</v>
      </c>
      <c r="B13" s="9">
        <f>SUM(B9:B12)</f>
        <v>382426672.48011434</v>
      </c>
      <c r="D13" s="9">
        <f>SUM(D9:D12)</f>
        <v>0</v>
      </c>
      <c r="F13" s="9">
        <f>SUM(F9:F12)</f>
        <v>382426672.48011434</v>
      </c>
      <c r="H13" s="9">
        <f>SUM(H9:H12)</f>
        <v>-1867249.5829535143</v>
      </c>
      <c r="J13" s="9">
        <f>SUM(J9:J12)</f>
        <v>380559422.89716083</v>
      </c>
    </row>
    <row r="14" spans="1:10" ht="13.5" thickTop="1" x14ac:dyDescent="0.2">
      <c r="A14" s="10"/>
      <c r="B14" s="8"/>
      <c r="D14" s="8"/>
      <c r="F14" s="8"/>
      <c r="H14" s="8"/>
      <c r="J14" s="8"/>
    </row>
    <row r="15" spans="1:10" x14ac:dyDescent="0.2">
      <c r="A15" s="10" t="s">
        <v>15</v>
      </c>
      <c r="B15" s="8"/>
      <c r="D15" s="8"/>
      <c r="F15" s="8"/>
      <c r="H15" s="8"/>
      <c r="J15" s="8"/>
    </row>
    <row r="16" spans="1:10" x14ac:dyDescent="0.2">
      <c r="A16" s="10" t="s">
        <v>16</v>
      </c>
      <c r="B16" s="12">
        <v>68669129.345882222</v>
      </c>
      <c r="D16" s="8">
        <f>Adjustments!B17</f>
        <v>0</v>
      </c>
      <c r="F16" s="8">
        <f t="shared" ref="F16:F25" si="1">B16+D16</f>
        <v>68669129.345882222</v>
      </c>
      <c r="H16" s="8"/>
      <c r="J16" s="8">
        <f t="shared" ref="J16:J25" si="2">F16+H16</f>
        <v>68669129.345882222</v>
      </c>
    </row>
    <row r="17" spans="1:10" x14ac:dyDescent="0.2">
      <c r="A17" s="10" t="s">
        <v>17</v>
      </c>
      <c r="B17" s="12">
        <v>0</v>
      </c>
      <c r="D17" s="8">
        <f>Adjustments!B18</f>
        <v>0</v>
      </c>
      <c r="F17" s="8">
        <f t="shared" si="1"/>
        <v>0</v>
      </c>
      <c r="H17" s="8"/>
      <c r="J17" s="8">
        <f t="shared" si="2"/>
        <v>0</v>
      </c>
    </row>
    <row r="18" spans="1:10" x14ac:dyDescent="0.2">
      <c r="A18" s="10" t="s">
        <v>18</v>
      </c>
      <c r="B18" s="12">
        <v>3407007.9200268453</v>
      </c>
      <c r="D18" s="8">
        <f>Adjustments!B19</f>
        <v>0</v>
      </c>
      <c r="F18" s="8">
        <f t="shared" si="1"/>
        <v>3407007.9200268453</v>
      </c>
      <c r="H18" s="8"/>
      <c r="J18" s="8">
        <f t="shared" si="2"/>
        <v>3407007.9200268453</v>
      </c>
    </row>
    <row r="19" spans="1:10" x14ac:dyDescent="0.2">
      <c r="A19" s="10" t="s">
        <v>19</v>
      </c>
      <c r="B19" s="12">
        <v>52058272.880133539</v>
      </c>
      <c r="D19" s="8">
        <f>Adjustments!B20</f>
        <v>0</v>
      </c>
      <c r="F19" s="8">
        <f t="shared" si="1"/>
        <v>52058272.880133539</v>
      </c>
      <c r="H19" s="8"/>
      <c r="J19" s="8">
        <f t="shared" si="2"/>
        <v>52058272.880133539</v>
      </c>
    </row>
    <row r="20" spans="1:10" x14ac:dyDescent="0.2">
      <c r="A20" s="10" t="s">
        <v>20</v>
      </c>
      <c r="B20" s="12">
        <v>16427542.398784848</v>
      </c>
      <c r="D20" s="8">
        <f>Adjustments!B21</f>
        <v>0</v>
      </c>
      <c r="F20" s="8">
        <f t="shared" si="1"/>
        <v>16427542.398784848</v>
      </c>
      <c r="H20" s="8"/>
      <c r="J20" s="8">
        <f t="shared" si="2"/>
        <v>16427542.398784848</v>
      </c>
    </row>
    <row r="21" spans="1:10" x14ac:dyDescent="0.2">
      <c r="A21" s="10" t="s">
        <v>21</v>
      </c>
      <c r="B21" s="12">
        <v>12374940.184378542</v>
      </c>
      <c r="D21" s="8">
        <f>Adjustments!B22</f>
        <v>0</v>
      </c>
      <c r="F21" s="8">
        <f t="shared" si="1"/>
        <v>12374940.184378542</v>
      </c>
      <c r="H21" s="8"/>
      <c r="J21" s="8">
        <f t="shared" si="2"/>
        <v>12374940.184378542</v>
      </c>
    </row>
    <row r="22" spans="1:10" x14ac:dyDescent="0.2">
      <c r="A22" s="10" t="s">
        <v>22</v>
      </c>
      <c r="B22" s="12">
        <v>7101912.873423445</v>
      </c>
      <c r="D22" s="8">
        <f>Adjustments!B23</f>
        <v>0</v>
      </c>
      <c r="F22" s="8">
        <f t="shared" si="1"/>
        <v>7101912.873423445</v>
      </c>
      <c r="H22" s="8">
        <f>H9*uncollectible_perc</f>
        <v>-9604.3539933093998</v>
      </c>
      <c r="J22" s="8">
        <f t="shared" si="2"/>
        <v>7092308.5194301354</v>
      </c>
    </row>
    <row r="23" spans="1:10" x14ac:dyDescent="0.2">
      <c r="A23" s="10" t="s">
        <v>23</v>
      </c>
      <c r="B23" s="12">
        <v>1037713.8594706436</v>
      </c>
      <c r="D23" s="8">
        <f>Adjustments!B24</f>
        <v>0</v>
      </c>
      <c r="F23" s="8">
        <f t="shared" si="1"/>
        <v>1037713.8594706436</v>
      </c>
      <c r="H23" s="8"/>
      <c r="J23" s="8">
        <f t="shared" si="2"/>
        <v>1037713.8594706436</v>
      </c>
    </row>
    <row r="24" spans="1:10" x14ac:dyDescent="0.2">
      <c r="A24" s="10" t="s">
        <v>24</v>
      </c>
      <c r="B24" s="12">
        <v>0</v>
      </c>
      <c r="D24" s="8">
        <f>Adjustments!B25</f>
        <v>0</v>
      </c>
      <c r="F24" s="8">
        <f t="shared" si="1"/>
        <v>0</v>
      </c>
      <c r="H24" s="8"/>
      <c r="J24" s="8">
        <f t="shared" si="2"/>
        <v>0</v>
      </c>
    </row>
    <row r="25" spans="1:10" x14ac:dyDescent="0.2">
      <c r="A25" s="10" t="s">
        <v>25</v>
      </c>
      <c r="B25" s="12">
        <v>6531279.6868191902</v>
      </c>
      <c r="D25" s="8">
        <f>Adjustments!B26</f>
        <v>0</v>
      </c>
      <c r="F25" s="8">
        <f t="shared" si="1"/>
        <v>6531279.6868191902</v>
      </c>
      <c r="H25" s="8"/>
      <c r="J25" s="8">
        <f t="shared" si="2"/>
        <v>6531279.6868191902</v>
      </c>
    </row>
    <row r="26" spans="1:10" x14ac:dyDescent="0.2">
      <c r="A26" s="10" t="s">
        <v>26</v>
      </c>
      <c r="B26" s="6">
        <f>SUM(B16:B25)</f>
        <v>167607799.14891928</v>
      </c>
      <c r="D26" s="6">
        <f>SUM(D16:D25)</f>
        <v>0</v>
      </c>
      <c r="F26" s="6">
        <f>SUM(F16:F25)</f>
        <v>167607799.14891928</v>
      </c>
      <c r="H26" s="6">
        <f>SUM(H16:H25)</f>
        <v>-9604.3539933093998</v>
      </c>
      <c r="J26" s="6">
        <f>SUM(J16:J25)</f>
        <v>167598194.79492596</v>
      </c>
    </row>
    <row r="27" spans="1:10" x14ac:dyDescent="0.2">
      <c r="A27" s="10" t="s">
        <v>27</v>
      </c>
      <c r="B27" s="12">
        <v>117309607.36845624</v>
      </c>
      <c r="D27" s="8">
        <f>Adjustments!B28</f>
        <v>-386780.18688124808</v>
      </c>
      <c r="F27" s="8">
        <f>B27+D27</f>
        <v>116922827.181575</v>
      </c>
      <c r="H27" s="8"/>
      <c r="J27" s="8">
        <f t="shared" ref="J27:J34" si="3">F27+H27</f>
        <v>116922827.181575</v>
      </c>
    </row>
    <row r="28" spans="1:10" x14ac:dyDescent="0.2">
      <c r="A28" s="10" t="s">
        <v>28</v>
      </c>
      <c r="B28" s="12">
        <v>7134745.3027785588</v>
      </c>
      <c r="D28" s="12">
        <f>Adjustments!B29</f>
        <v>0</v>
      </c>
      <c r="F28" s="8">
        <f>B28+D28</f>
        <v>7134745.3027785588</v>
      </c>
      <c r="H28" s="8"/>
      <c r="J28" s="8">
        <f t="shared" si="3"/>
        <v>7134745.3027785588</v>
      </c>
    </row>
    <row r="29" spans="1:10" x14ac:dyDescent="0.2">
      <c r="A29" s="10" t="s">
        <v>29</v>
      </c>
      <c r="B29" s="12">
        <v>24625697.053818107</v>
      </c>
      <c r="D29" s="12">
        <f>Adjustments!B30</f>
        <v>0</v>
      </c>
      <c r="F29" s="8">
        <f>B29+D29</f>
        <v>24625697.053818107</v>
      </c>
      <c r="H29" s="8">
        <f>H9*(WUTC_reg_fee_perc+WA_rev_tax_perc)</f>
        <v>-77490.857692570848</v>
      </c>
      <c r="J29" s="8">
        <f t="shared" si="3"/>
        <v>24548206.196125537</v>
      </c>
    </row>
    <row r="30" spans="1:10" x14ac:dyDescent="0.2">
      <c r="A30" s="10" t="s">
        <v>30</v>
      </c>
      <c r="B30" s="12">
        <v>3670093.6939849933</v>
      </c>
      <c r="D30" s="12">
        <f>D84</f>
        <v>-3138478.4448699714</v>
      </c>
      <c r="F30" s="12">
        <f>F84</f>
        <v>531615.24911501631</v>
      </c>
      <c r="H30" s="12">
        <f>H84</f>
        <v>-373832.41796620312</v>
      </c>
      <c r="I30" s="12">
        <f>I84</f>
        <v>0</v>
      </c>
      <c r="J30" s="12">
        <f>J84</f>
        <v>157782.83114881814</v>
      </c>
    </row>
    <row r="31" spans="1:10" x14ac:dyDescent="0.2">
      <c r="A31" s="10" t="s">
        <v>31</v>
      </c>
      <c r="B31" s="12">
        <v>0</v>
      </c>
      <c r="D31" s="12">
        <f>D79</f>
        <v>0</v>
      </c>
      <c r="F31" s="8">
        <f>F79</f>
        <v>0</v>
      </c>
      <c r="H31" s="8">
        <f>H79</f>
        <v>0</v>
      </c>
      <c r="J31" s="8">
        <f>J79</f>
        <v>0</v>
      </c>
    </row>
    <row r="32" spans="1:10" x14ac:dyDescent="0.2">
      <c r="A32" s="10" t="s">
        <v>32</v>
      </c>
      <c r="B32" s="12">
        <v>-15901789.281915484</v>
      </c>
      <c r="D32" s="12">
        <f>Adjustments!B33</f>
        <v>3361991.2150382116</v>
      </c>
      <c r="F32" s="8">
        <f>B32+D32</f>
        <v>-12539798.066877272</v>
      </c>
      <c r="H32" s="8"/>
      <c r="J32" s="8">
        <f t="shared" si="3"/>
        <v>-12539798.066877272</v>
      </c>
    </row>
    <row r="33" spans="1:10" x14ac:dyDescent="0.2">
      <c r="A33" s="10" t="s">
        <v>33</v>
      </c>
      <c r="B33" s="12">
        <v>0</v>
      </c>
      <c r="D33" s="12">
        <f>Adjustments!B34</f>
        <v>0</v>
      </c>
      <c r="F33" s="8">
        <f>B33+D33</f>
        <v>0</v>
      </c>
      <c r="H33" s="8"/>
      <c r="J33" s="8">
        <f t="shared" si="3"/>
        <v>0</v>
      </c>
    </row>
    <row r="34" spans="1:10" x14ac:dyDescent="0.2">
      <c r="A34" s="10" t="s">
        <v>34</v>
      </c>
      <c r="B34" s="12">
        <v>65435.101564292796</v>
      </c>
      <c r="D34" s="8">
        <f>Adjustments!B35</f>
        <v>0</v>
      </c>
      <c r="F34" s="8">
        <f>B34+D34</f>
        <v>65435.101564292796</v>
      </c>
      <c r="H34" s="8"/>
      <c r="J34" s="8">
        <f t="shared" si="3"/>
        <v>65435.101564292796</v>
      </c>
    </row>
    <row r="35" spans="1:10" x14ac:dyDescent="0.2">
      <c r="A35" s="10" t="s">
        <v>35</v>
      </c>
      <c r="B35" s="6">
        <f>SUM(B26:B34)</f>
        <v>304511588.38760597</v>
      </c>
      <c r="D35" s="6">
        <f>SUM(D26:D34)</f>
        <v>-163267.41671300773</v>
      </c>
      <c r="F35" s="6">
        <f>SUM(F26:F34)</f>
        <v>304348320.97089297</v>
      </c>
      <c r="H35" s="6">
        <f>SUM(H26:H34)</f>
        <v>-460927.62965208339</v>
      </c>
      <c r="J35" s="6">
        <f>SUM(J26:J34)</f>
        <v>303887393.34124094</v>
      </c>
    </row>
    <row r="36" spans="1:10" x14ac:dyDescent="0.2">
      <c r="A36" s="10"/>
      <c r="B36" s="8"/>
      <c r="D36" s="8"/>
      <c r="F36" s="8"/>
      <c r="H36" s="8"/>
      <c r="J36" s="8"/>
    </row>
    <row r="37" spans="1:10" ht="13.5" thickBot="1" x14ac:dyDescent="0.25">
      <c r="A37" s="10" t="s">
        <v>36</v>
      </c>
      <c r="B37" s="9">
        <f>B13-B35</f>
        <v>77915084.092508376</v>
      </c>
      <c r="D37" s="9">
        <f>D13-D35</f>
        <v>163267.41671300773</v>
      </c>
      <c r="F37" s="99">
        <f>F13-F35</f>
        <v>78078351.509221375</v>
      </c>
      <c r="H37" s="9">
        <f>H13-H35</f>
        <v>-1406321.9533014309</v>
      </c>
      <c r="J37" s="9">
        <f>J13-J35</f>
        <v>76672029.555919886</v>
      </c>
    </row>
    <row r="38" spans="1:10" ht="13.5" thickTop="1" x14ac:dyDescent="0.2">
      <c r="A38" s="10"/>
      <c r="B38" s="8"/>
      <c r="D38" s="8"/>
      <c r="F38" s="8"/>
      <c r="H38" s="8"/>
      <c r="J38" s="8"/>
    </row>
    <row r="39" spans="1:10" x14ac:dyDescent="0.2">
      <c r="A39" s="10" t="s">
        <v>37</v>
      </c>
      <c r="B39" s="8"/>
      <c r="D39" s="8"/>
      <c r="F39" s="8"/>
      <c r="H39" s="8"/>
      <c r="J39" s="8"/>
    </row>
    <row r="40" spans="1:10" x14ac:dyDescent="0.2">
      <c r="A40" s="10" t="s">
        <v>38</v>
      </c>
      <c r="B40" s="12">
        <v>2182560253.960989</v>
      </c>
      <c r="D40" s="8">
        <f>Adjustments!B41</f>
        <v>-14570276.832111917</v>
      </c>
      <c r="F40" s="8">
        <f t="shared" ref="F40:F50" si="4">B40+D40</f>
        <v>2167989977.1288772</v>
      </c>
      <c r="H40" s="8"/>
      <c r="J40" s="8">
        <f t="shared" ref="J40:J50" si="5">F40+H40</f>
        <v>2167989977.1288772</v>
      </c>
    </row>
    <row r="41" spans="1:10" x14ac:dyDescent="0.2">
      <c r="A41" s="10" t="s">
        <v>39</v>
      </c>
      <c r="B41" s="12">
        <v>34942.962564657755</v>
      </c>
      <c r="D41" s="8">
        <f>Adjustments!B42</f>
        <v>0</v>
      </c>
      <c r="F41" s="8">
        <f t="shared" si="4"/>
        <v>34942.962564657755</v>
      </c>
      <c r="H41" s="8"/>
      <c r="J41" s="8">
        <f t="shared" si="5"/>
        <v>34942.962564657755</v>
      </c>
    </row>
    <row r="42" spans="1:10" x14ac:dyDescent="0.2">
      <c r="A42" s="10" t="s">
        <v>40</v>
      </c>
      <c r="B42" s="12">
        <v>430572.05631386954</v>
      </c>
      <c r="D42" s="8">
        <f>Adjustments!B43</f>
        <v>0</v>
      </c>
      <c r="F42" s="8">
        <f t="shared" si="4"/>
        <v>430572.05631386954</v>
      </c>
      <c r="H42" s="8"/>
      <c r="J42" s="8">
        <f t="shared" si="5"/>
        <v>430572.05631386954</v>
      </c>
    </row>
    <row r="43" spans="1:10" x14ac:dyDescent="0.2">
      <c r="A43" s="10" t="s">
        <v>41</v>
      </c>
      <c r="B43" s="12">
        <v>0</v>
      </c>
      <c r="D43" s="8">
        <f>Adjustments!B44</f>
        <v>0</v>
      </c>
      <c r="F43" s="8">
        <f t="shared" si="4"/>
        <v>0</v>
      </c>
      <c r="H43" s="8"/>
      <c r="J43" s="8">
        <f t="shared" si="5"/>
        <v>0</v>
      </c>
    </row>
    <row r="44" spans="1:10" x14ac:dyDescent="0.2">
      <c r="A44" s="10" t="s">
        <v>42</v>
      </c>
      <c r="B44" s="12">
        <v>0</v>
      </c>
      <c r="D44" s="8">
        <f>Adjustments!B45</f>
        <v>0</v>
      </c>
      <c r="F44" s="8">
        <f t="shared" si="4"/>
        <v>0</v>
      </c>
      <c r="H44" s="8"/>
      <c r="J44" s="8">
        <f t="shared" si="5"/>
        <v>0</v>
      </c>
    </row>
    <row r="45" spans="1:10" x14ac:dyDescent="0.2">
      <c r="A45" s="10" t="s">
        <v>43</v>
      </c>
      <c r="B45" s="12">
        <v>0</v>
      </c>
      <c r="D45" s="8">
        <f>Adjustments!B46</f>
        <v>0</v>
      </c>
      <c r="F45" s="8">
        <f t="shared" si="4"/>
        <v>0</v>
      </c>
      <c r="H45" s="8"/>
      <c r="J45" s="8">
        <f t="shared" si="5"/>
        <v>0</v>
      </c>
    </row>
    <row r="46" spans="1:10" x14ac:dyDescent="0.2">
      <c r="A46" s="10" t="s">
        <v>44</v>
      </c>
      <c r="B46" s="12">
        <v>0</v>
      </c>
      <c r="D46" s="8">
        <f>Adjustments!B47</f>
        <v>0</v>
      </c>
      <c r="F46" s="8">
        <f t="shared" si="4"/>
        <v>0</v>
      </c>
      <c r="H46" s="8"/>
      <c r="J46" s="8">
        <f t="shared" si="5"/>
        <v>0</v>
      </c>
    </row>
    <row r="47" spans="1:10" x14ac:dyDescent="0.2">
      <c r="A47" s="10" t="s">
        <v>45</v>
      </c>
      <c r="B47" s="12">
        <v>1.1001713573932648E-4</v>
      </c>
      <c r="D47" s="8">
        <f>Adjustments!B48</f>
        <v>0</v>
      </c>
      <c r="F47" s="8">
        <f t="shared" si="4"/>
        <v>1.1001713573932648E-4</v>
      </c>
      <c r="H47" s="8"/>
      <c r="J47" s="8">
        <f t="shared" si="5"/>
        <v>1.1001713573932648E-4</v>
      </c>
    </row>
    <row r="48" spans="1:10" x14ac:dyDescent="0.2">
      <c r="A48" s="10" t="s">
        <v>46</v>
      </c>
      <c r="B48" s="12">
        <v>23459504.952025533</v>
      </c>
      <c r="D48" s="8">
        <f>Adjustments!B49</f>
        <v>0</v>
      </c>
      <c r="F48" s="8">
        <f t="shared" si="4"/>
        <v>23459504.952025533</v>
      </c>
      <c r="H48" s="8"/>
      <c r="J48" s="8">
        <f t="shared" si="5"/>
        <v>23459504.952025533</v>
      </c>
    </row>
    <row r="49" spans="1:10" x14ac:dyDescent="0.2">
      <c r="A49" s="10" t="s">
        <v>47</v>
      </c>
      <c r="B49" s="12">
        <v>5092.6441051398033</v>
      </c>
      <c r="D49" s="8">
        <f>Adjustments!B50</f>
        <v>0</v>
      </c>
      <c r="F49" s="8">
        <f t="shared" si="4"/>
        <v>5092.6441051398033</v>
      </c>
      <c r="H49" s="8"/>
      <c r="J49" s="8">
        <f t="shared" si="5"/>
        <v>5092.6441051398033</v>
      </c>
    </row>
    <row r="50" spans="1:10" x14ac:dyDescent="0.2">
      <c r="A50" s="10" t="s">
        <v>48</v>
      </c>
      <c r="B50" s="12">
        <v>0</v>
      </c>
      <c r="D50" s="8">
        <f>Adjustments!B51</f>
        <v>0</v>
      </c>
      <c r="F50" s="8">
        <f t="shared" si="4"/>
        <v>0</v>
      </c>
      <c r="H50" s="8"/>
      <c r="J50" s="8">
        <f t="shared" si="5"/>
        <v>0</v>
      </c>
    </row>
    <row r="51" spans="1:10" ht="13.5" thickBot="1" x14ac:dyDescent="0.25">
      <c r="A51" s="10" t="s">
        <v>49</v>
      </c>
      <c r="B51" s="9">
        <f>SUM(B40:B50)</f>
        <v>2206490366.576108</v>
      </c>
      <c r="D51" s="9">
        <f>SUM(D40:D50)</f>
        <v>-14570276.832111917</v>
      </c>
      <c r="F51" s="9">
        <f>SUM(F40:F50)</f>
        <v>2191920089.7439961</v>
      </c>
      <c r="H51" s="9">
        <f>SUM(H40:H50)</f>
        <v>0</v>
      </c>
      <c r="J51" s="9">
        <f>SUM(J40:J50)</f>
        <v>2191920089.7439961</v>
      </c>
    </row>
    <row r="52" spans="1:10" ht="13.5" thickTop="1" x14ac:dyDescent="0.2">
      <c r="A52" s="10"/>
      <c r="B52" s="8"/>
      <c r="D52" s="8"/>
      <c r="F52" s="8"/>
      <c r="H52" s="8"/>
      <c r="J52" s="8"/>
    </row>
    <row r="53" spans="1:10" x14ac:dyDescent="0.2">
      <c r="A53" s="10" t="s">
        <v>50</v>
      </c>
      <c r="B53" s="8"/>
      <c r="D53" s="8"/>
      <c r="F53" s="8"/>
      <c r="H53" s="8"/>
      <c r="J53" s="8"/>
    </row>
    <row r="54" spans="1:10" x14ac:dyDescent="0.2">
      <c r="A54" s="10" t="s">
        <v>51</v>
      </c>
      <c r="B54" s="12">
        <v>-764511699.83147621</v>
      </c>
      <c r="D54" s="8">
        <f>Adjustments!B55</f>
        <v>-428612.06078331685</v>
      </c>
      <c r="F54" s="8">
        <f t="shared" ref="F54:F60" si="6">B54+D54</f>
        <v>-764940311.89225948</v>
      </c>
      <c r="H54" s="8"/>
      <c r="J54" s="8">
        <f t="shared" ref="J54:J61" si="7">F54+H54</f>
        <v>-764940311.89225948</v>
      </c>
    </row>
    <row r="55" spans="1:10" x14ac:dyDescent="0.2">
      <c r="A55" s="10" t="s">
        <v>52</v>
      </c>
      <c r="B55" s="12">
        <v>-61873796.613600463</v>
      </c>
      <c r="D55" s="8">
        <f>Adjustments!B56</f>
        <v>0</v>
      </c>
      <c r="F55" s="8">
        <f t="shared" si="6"/>
        <v>-61873796.613600463</v>
      </c>
      <c r="H55" s="8"/>
      <c r="J55" s="8">
        <f t="shared" si="7"/>
        <v>-61873796.613600463</v>
      </c>
    </row>
    <row r="56" spans="1:10" x14ac:dyDescent="0.2">
      <c r="A56" s="10" t="s">
        <v>53</v>
      </c>
      <c r="B56" s="12">
        <v>-236009448.53391173</v>
      </c>
      <c r="D56" s="8">
        <f>Adjustments!B57</f>
        <v>-2340023.4589931192</v>
      </c>
      <c r="F56" s="8">
        <f t="shared" si="6"/>
        <v>-238349471.99290484</v>
      </c>
      <c r="H56" s="8"/>
      <c r="J56" s="8">
        <f t="shared" si="7"/>
        <v>-238349471.99290484</v>
      </c>
    </row>
    <row r="57" spans="1:10" x14ac:dyDescent="0.2">
      <c r="A57" s="10" t="s">
        <v>54</v>
      </c>
      <c r="B57" s="12">
        <v>-19597.460327859608</v>
      </c>
      <c r="D57" s="8">
        <f>Adjustments!B58</f>
        <v>0</v>
      </c>
      <c r="F57" s="8">
        <f t="shared" si="6"/>
        <v>-19597.460327859608</v>
      </c>
      <c r="H57" s="8"/>
      <c r="J57" s="8">
        <f t="shared" si="7"/>
        <v>-19597.460327859608</v>
      </c>
    </row>
    <row r="58" spans="1:10" x14ac:dyDescent="0.2">
      <c r="A58" s="10" t="s">
        <v>55</v>
      </c>
      <c r="B58" s="12">
        <v>-2479813.3255259153</v>
      </c>
      <c r="D58" s="8">
        <f>Adjustments!B59</f>
        <v>0</v>
      </c>
      <c r="F58" s="8">
        <f t="shared" si="6"/>
        <v>-2479813.3255259153</v>
      </c>
      <c r="H58" s="8"/>
      <c r="J58" s="8">
        <f t="shared" si="7"/>
        <v>-2479813.3255259153</v>
      </c>
    </row>
    <row r="59" spans="1:10" x14ac:dyDescent="0.2">
      <c r="A59" s="10" t="s">
        <v>56</v>
      </c>
      <c r="B59" s="12">
        <v>-2829106.1541666668</v>
      </c>
      <c r="D59" s="8">
        <f>Adjustments!B60</f>
        <v>0</v>
      </c>
      <c r="F59" s="8">
        <f t="shared" si="6"/>
        <v>-2829106.1541666668</v>
      </c>
      <c r="H59" s="8"/>
      <c r="J59" s="8">
        <f t="shared" si="7"/>
        <v>-2829106.1541666668</v>
      </c>
    </row>
    <row r="60" spans="1:10" x14ac:dyDescent="0.2">
      <c r="A60" s="10" t="s">
        <v>57</v>
      </c>
      <c r="B60" s="12">
        <v>-51955666.231506482</v>
      </c>
      <c r="D60" s="8">
        <f>Adjustments!B61</f>
        <v>0</v>
      </c>
      <c r="F60" s="8">
        <f t="shared" si="6"/>
        <v>-51955666.231506482</v>
      </c>
      <c r="H60" s="8"/>
      <c r="J60" s="8">
        <f t="shared" si="7"/>
        <v>-51955666.231506482</v>
      </c>
    </row>
    <row r="61" spans="1:10" x14ac:dyDescent="0.2">
      <c r="A61" s="10"/>
      <c r="B61" s="8"/>
      <c r="D61" s="8"/>
      <c r="F61" s="8"/>
      <c r="H61" s="8"/>
      <c r="J61" s="8">
        <f t="shared" si="7"/>
        <v>0</v>
      </c>
    </row>
    <row r="62" spans="1:10" ht="13.5" thickBot="1" x14ac:dyDescent="0.25">
      <c r="A62" s="10" t="s">
        <v>58</v>
      </c>
      <c r="B62" s="9">
        <f>SUM(B54:B60)</f>
        <v>-1119679128.1505153</v>
      </c>
      <c r="D62" s="9">
        <f>SUM(D54:D60)</f>
        <v>-2768635.519776436</v>
      </c>
      <c r="F62" s="9">
        <f>SUM(F54:F60)</f>
        <v>-1122447763.6702917</v>
      </c>
      <c r="H62" s="9">
        <f>SUM(H54:H60)</f>
        <v>0</v>
      </c>
      <c r="J62" s="9">
        <f>SUM(J54:J60)</f>
        <v>-1122447763.6702917</v>
      </c>
    </row>
    <row r="63" spans="1:10" ht="13.5" thickTop="1" x14ac:dyDescent="0.2">
      <c r="A63" s="10"/>
      <c r="B63" s="8"/>
      <c r="D63" s="8"/>
      <c r="F63" s="8"/>
      <c r="H63" s="8"/>
      <c r="J63" s="8"/>
    </row>
    <row r="64" spans="1:10" ht="13.5" thickBot="1" x14ac:dyDescent="0.25">
      <c r="A64" s="10" t="s">
        <v>59</v>
      </c>
      <c r="B64" s="9">
        <f>B51+B62</f>
        <v>1086811238.4255927</v>
      </c>
      <c r="D64" s="9">
        <f>D51+D62</f>
        <v>-17338912.351888355</v>
      </c>
      <c r="F64" s="99">
        <f>F51+F62</f>
        <v>1069472326.0737045</v>
      </c>
      <c r="H64" s="9">
        <f>H51+H62</f>
        <v>0</v>
      </c>
      <c r="J64" s="9">
        <f>J51+J62</f>
        <v>1069472326.0737045</v>
      </c>
    </row>
    <row r="65" spans="1:10" ht="13.5" thickTop="1" x14ac:dyDescent="0.2">
      <c r="A65" s="10"/>
      <c r="B65" s="8"/>
      <c r="D65" s="8"/>
      <c r="F65" s="8"/>
      <c r="H65" s="8"/>
      <c r="J65" s="8"/>
    </row>
    <row r="66" spans="1:10" x14ac:dyDescent="0.2">
      <c r="A66" s="10" t="s">
        <v>8</v>
      </c>
      <c r="B66" s="22">
        <f>B37/B64</f>
        <v>7.1691459692098822E-2</v>
      </c>
      <c r="D66" s="22">
        <f>F66-B66</f>
        <v>1.3149656315616515E-3</v>
      </c>
      <c r="F66" s="22">
        <f>F37/F64</f>
        <v>7.3006425323660473E-2</v>
      </c>
      <c r="H66" s="22">
        <f>J66-F66</f>
        <v>-1.3149680632358607E-3</v>
      </c>
      <c r="J66" s="22">
        <f>J37/J64</f>
        <v>7.1691457260424613E-2</v>
      </c>
    </row>
    <row r="67" spans="1:10" x14ac:dyDescent="0.2">
      <c r="A67" s="10" t="s">
        <v>60</v>
      </c>
      <c r="B67" s="22">
        <f>(B66-Weighted_cost_debt-Weighted_cost_pref)/Percent_common</f>
        <v>9.499999937291001E-2</v>
      </c>
      <c r="D67" s="22">
        <f>F67-B67</f>
        <v>2.6781377424880959E-3</v>
      </c>
      <c r="F67" s="22">
        <f>(F66-Weighted_cost_debt-Weighted_cost_pref)/Percent_common</f>
        <v>9.7678137115398106E-2</v>
      </c>
      <c r="H67" s="22">
        <f>J67-F67</f>
        <v>-2.6781371153981048E-3</v>
      </c>
      <c r="J67" s="22">
        <f>ROUND((J66-Weighted_cost_debt-Weighted_cost_pref)/Percent_common,3)</f>
        <v>9.5000000000000001E-2</v>
      </c>
    </row>
    <row r="68" spans="1:10" x14ac:dyDescent="0.2">
      <c r="A68" s="13" t="s">
        <v>7</v>
      </c>
      <c r="B68" s="12">
        <f>-(B37-(B64*Overall_ROR))/gross_up_factor</f>
        <v>0.44430785307978871</v>
      </c>
      <c r="C68" s="107"/>
      <c r="D68" s="12">
        <f>-(D37-(D64*Overall_ROR))/gross_up_factor</f>
        <v>-1867250.0272613922</v>
      </c>
      <c r="E68" s="107"/>
      <c r="F68" s="12">
        <f>-(F37-(F64*Overall_ROR))/gross_up_factor</f>
        <v>-1867249.5829535143</v>
      </c>
      <c r="G68" s="107"/>
      <c r="H68" s="12"/>
      <c r="I68" s="107"/>
      <c r="J68" s="12"/>
    </row>
    <row r="69" spans="1:10" x14ac:dyDescent="0.2">
      <c r="A69" s="10"/>
      <c r="B69" s="20"/>
      <c r="D69" s="20"/>
      <c r="F69" s="20"/>
      <c r="H69" s="20"/>
      <c r="J69" s="20"/>
    </row>
    <row r="70" spans="1:10" x14ac:dyDescent="0.2">
      <c r="A70" s="10" t="s">
        <v>61</v>
      </c>
      <c r="B70" s="8"/>
      <c r="D70" s="8"/>
      <c r="F70" s="8"/>
      <c r="H70" s="8"/>
      <c r="J70" s="8"/>
    </row>
    <row r="71" spans="1:10" x14ac:dyDescent="0.2">
      <c r="A71" s="10" t="s">
        <v>62</v>
      </c>
      <c r="B71" s="12">
        <v>65683388.504577897</v>
      </c>
      <c r="D71" s="8">
        <f t="shared" ref="D71:J71" si="8">D13-D26-D27-D28-D29-D34</f>
        <v>386780.18688124808</v>
      </c>
      <c r="F71" s="8">
        <f>F13-F26-F27-F28-F29-F34</f>
        <v>66070168.691459097</v>
      </c>
      <c r="H71" s="8">
        <f t="shared" si="8"/>
        <v>-1780154.371267634</v>
      </c>
      <c r="J71" s="8">
        <f t="shared" si="8"/>
        <v>64290014.32019148</v>
      </c>
    </row>
    <row r="72" spans="1:10" x14ac:dyDescent="0.2">
      <c r="A72" s="10" t="s">
        <v>63</v>
      </c>
      <c r="B72" s="12">
        <v>0</v>
      </c>
      <c r="D72" s="8"/>
      <c r="F72" s="8"/>
      <c r="H72" s="8"/>
      <c r="J72" s="8"/>
    </row>
    <row r="73" spans="1:10" x14ac:dyDescent="0.2">
      <c r="A73" s="10" t="s">
        <v>64</v>
      </c>
      <c r="B73" s="12">
        <v>-3016519.6037139692</v>
      </c>
      <c r="D73" s="8">
        <f>Adjustments!B74</f>
        <v>0</v>
      </c>
      <c r="F73" s="8">
        <f>B73+D73</f>
        <v>-3016519.6037139692</v>
      </c>
      <c r="H73" s="8"/>
      <c r="J73" s="8">
        <f t="shared" ref="J73:J76" si="9">F73+H73</f>
        <v>-3016519.6037139692</v>
      </c>
    </row>
    <row r="74" spans="1:10" x14ac:dyDescent="0.2">
      <c r="A74" s="10" t="s">
        <v>65</v>
      </c>
      <c r="B74" s="12">
        <v>27206102.259058326</v>
      </c>
      <c r="D74" s="8">
        <f>Adjustments!B75</f>
        <v>-434044.29934832081</v>
      </c>
      <c r="F74" s="8">
        <f>B74+D74</f>
        <v>26772057.959710006</v>
      </c>
      <c r="H74" s="8"/>
      <c r="J74" s="8">
        <f t="shared" si="9"/>
        <v>26772057.959710006</v>
      </c>
    </row>
    <row r="75" spans="1:10" x14ac:dyDescent="0.2">
      <c r="A75" s="10" t="s">
        <v>66</v>
      </c>
      <c r="B75" s="12">
        <v>159781242.06404316</v>
      </c>
      <c r="C75" s="19"/>
      <c r="D75" s="8">
        <f>Adjustments!B76</f>
        <v>-740476.27215900901</v>
      </c>
      <c r="F75" s="8">
        <f>B75+D75</f>
        <v>159040765.79188415</v>
      </c>
      <c r="H75" s="8"/>
      <c r="J75" s="8">
        <f t="shared" si="9"/>
        <v>159040765.79188415</v>
      </c>
    </row>
    <row r="76" spans="1:10" x14ac:dyDescent="0.2">
      <c r="A76" s="10" t="s">
        <v>67</v>
      </c>
      <c r="B76" s="98">
        <v>111825407.85880338</v>
      </c>
      <c r="C76" s="19"/>
      <c r="D76" s="7">
        <f>Adjustments!B77</f>
        <v>15025483.66583233</v>
      </c>
      <c r="F76" s="7">
        <f>B76+D76</f>
        <v>126850891.5246357</v>
      </c>
      <c r="H76" s="7"/>
      <c r="J76" s="7">
        <f t="shared" si="9"/>
        <v>126850891.5246357</v>
      </c>
    </row>
    <row r="77" spans="1:10" x14ac:dyDescent="0.2">
      <c r="A77" s="10" t="s">
        <v>68</v>
      </c>
      <c r="B77" s="8">
        <f t="shared" ref="B77:J77" si="10">B71-B73-B74+B75-B76</f>
        <v>89449640.054473326</v>
      </c>
      <c r="C77" s="19"/>
      <c r="D77" s="8">
        <f t="shared" si="10"/>
        <v>-14945135.451761769</v>
      </c>
      <c r="F77" s="8">
        <f t="shared" si="10"/>
        <v>74504504.602711529</v>
      </c>
      <c r="H77" s="8">
        <f t="shared" si="10"/>
        <v>-1780154.371267634</v>
      </c>
      <c r="J77" s="8">
        <f t="shared" si="10"/>
        <v>72724350.231443912</v>
      </c>
    </row>
    <row r="78" spans="1:10" x14ac:dyDescent="0.2">
      <c r="A78" s="10"/>
      <c r="B78" s="8"/>
      <c r="C78" s="19"/>
      <c r="D78" s="8"/>
      <c r="F78" s="8"/>
      <c r="H78" s="8"/>
      <c r="J78" s="8"/>
    </row>
    <row r="79" spans="1:10" x14ac:dyDescent="0.2">
      <c r="A79" s="10" t="s">
        <v>69</v>
      </c>
      <c r="B79" s="8">
        <v>0</v>
      </c>
      <c r="C79" s="19"/>
      <c r="D79" s="8">
        <v>0</v>
      </c>
      <c r="F79" s="8">
        <v>0</v>
      </c>
      <c r="H79" s="8">
        <v>0</v>
      </c>
      <c r="J79" s="8">
        <v>0</v>
      </c>
    </row>
    <row r="80" spans="1:10" x14ac:dyDescent="0.2">
      <c r="A80" s="10" t="s">
        <v>70</v>
      </c>
      <c r="B80" s="8">
        <f>B77-B79</f>
        <v>89449640.054473326</v>
      </c>
      <c r="C80" s="19"/>
      <c r="D80" s="8">
        <f>D77-D79</f>
        <v>-14945135.451761769</v>
      </c>
      <c r="F80" s="8">
        <f>F77-F79</f>
        <v>74504504.602711529</v>
      </c>
      <c r="H80" s="8">
        <f>H77-H79</f>
        <v>-1780154.371267634</v>
      </c>
      <c r="J80" s="8">
        <f>J77-J79</f>
        <v>72724350.231443912</v>
      </c>
    </row>
    <row r="81" spans="1:10" x14ac:dyDescent="0.2">
      <c r="A81" s="10"/>
      <c r="B81" s="8"/>
      <c r="C81" s="19"/>
      <c r="D81" s="8"/>
      <c r="F81" s="8"/>
      <c r="H81" s="8"/>
      <c r="J81" s="8"/>
    </row>
    <row r="82" spans="1:10" x14ac:dyDescent="0.2">
      <c r="A82" s="10" t="s">
        <v>79</v>
      </c>
      <c r="B82" s="8">
        <f>B80*0.21</f>
        <v>18784424.411439396</v>
      </c>
      <c r="C82" s="19"/>
      <c r="D82" s="8">
        <f>D80*0.21</f>
        <v>-3138478.4448699714</v>
      </c>
      <c r="F82" s="8">
        <f>F80*0.21</f>
        <v>15645945.96656942</v>
      </c>
      <c r="H82" s="8">
        <f>H80*0.21</f>
        <v>-373832.41796620312</v>
      </c>
      <c r="J82" s="8">
        <f>J80*0.21</f>
        <v>15272113.548603222</v>
      </c>
    </row>
    <row r="83" spans="1:10" x14ac:dyDescent="0.2">
      <c r="A83" s="10" t="s">
        <v>80</v>
      </c>
      <c r="B83" s="8">
        <f>B84-B82</f>
        <v>-15114330.717454404</v>
      </c>
      <c r="C83" s="19"/>
      <c r="D83" s="8">
        <f>Adjustments!B84</f>
        <v>0</v>
      </c>
      <c r="F83" s="8">
        <f>B83+D83</f>
        <v>-15114330.717454404</v>
      </c>
      <c r="H83" s="8"/>
      <c r="J83" s="8">
        <f t="shared" ref="J83" si="11">F83+H83</f>
        <v>-15114330.717454404</v>
      </c>
    </row>
    <row r="84" spans="1:10" x14ac:dyDescent="0.2">
      <c r="A84" s="10" t="s">
        <v>81</v>
      </c>
      <c r="B84" s="12">
        <v>3670093.6939849933</v>
      </c>
      <c r="C84" s="19"/>
      <c r="D84" s="8">
        <f>D82+D83</f>
        <v>-3138478.4448699714</v>
      </c>
      <c r="F84" s="8">
        <f>F82+F83</f>
        <v>531615.24911501631</v>
      </c>
      <c r="H84" s="8">
        <f>H82+H83</f>
        <v>-373832.41796620312</v>
      </c>
      <c r="J84" s="8">
        <f>J82+J83</f>
        <v>157782.83114881814</v>
      </c>
    </row>
    <row r="85" spans="1:10" x14ac:dyDescent="0.2">
      <c r="A85" s="10"/>
      <c r="B85" s="8"/>
      <c r="D85" s="8"/>
      <c r="F85" s="8"/>
      <c r="H85" s="8"/>
      <c r="J85" s="8"/>
    </row>
    <row r="86" spans="1:10" x14ac:dyDescent="0.2">
      <c r="A86" s="10"/>
      <c r="B86" s="8"/>
      <c r="C86" s="19"/>
      <c r="D86" s="8"/>
      <c r="F86" s="8"/>
      <c r="H86" s="8"/>
      <c r="J86" s="8"/>
    </row>
    <row r="87" spans="1:10" x14ac:dyDescent="0.2">
      <c r="A87" s="10"/>
      <c r="B87" s="8"/>
      <c r="C87" s="19"/>
      <c r="D87" s="8"/>
      <c r="F87" s="8"/>
      <c r="H87" s="8"/>
      <c r="J87" s="8"/>
    </row>
    <row r="88" spans="1:10" x14ac:dyDescent="0.2">
      <c r="A88" s="10"/>
      <c r="B88" s="8"/>
      <c r="C88" s="19"/>
      <c r="D88" s="8"/>
      <c r="F88" s="8"/>
      <c r="H88" s="8"/>
      <c r="J88" s="8"/>
    </row>
    <row r="89" spans="1:10" x14ac:dyDescent="0.2">
      <c r="A89" s="10"/>
      <c r="B89" s="8"/>
      <c r="C89" s="19"/>
      <c r="D89" s="8"/>
      <c r="F89" s="8"/>
      <c r="H89" s="8"/>
      <c r="J89" s="8"/>
    </row>
    <row r="90" spans="1:10" x14ac:dyDescent="0.2">
      <c r="A90" s="21"/>
      <c r="B90" s="8"/>
      <c r="C90" s="19"/>
      <c r="D90" s="8"/>
      <c r="F90" s="8"/>
      <c r="H90" s="8"/>
      <c r="J90" s="8"/>
    </row>
    <row r="91" spans="1:10" x14ac:dyDescent="0.2">
      <c r="A91" s="19"/>
      <c r="B91" s="5"/>
      <c r="D91" s="5"/>
      <c r="F91" s="5"/>
      <c r="H91" s="5"/>
      <c r="J91" s="5"/>
    </row>
    <row r="92" spans="1:10" x14ac:dyDescent="0.2">
      <c r="A92" s="19"/>
    </row>
    <row r="93" spans="1:10" x14ac:dyDescent="0.2">
      <c r="A93" s="19"/>
    </row>
    <row r="94" spans="1:10" x14ac:dyDescent="0.2">
      <c r="A94" s="19"/>
    </row>
    <row r="95" spans="1:10" x14ac:dyDescent="0.2">
      <c r="A95" s="19"/>
    </row>
    <row r="96" spans="1:10" x14ac:dyDescent="0.2">
      <c r="A96" s="19"/>
    </row>
    <row r="97" spans="1:1" x14ac:dyDescent="0.2">
      <c r="A97" s="19"/>
    </row>
    <row r="98" spans="1:1" x14ac:dyDescent="0.2">
      <c r="A98" s="19"/>
    </row>
    <row r="99" spans="1:1" x14ac:dyDescent="0.2">
      <c r="A99" s="19"/>
    </row>
    <row r="100" spans="1:1" x14ac:dyDescent="0.2">
      <c r="A100" s="19"/>
    </row>
    <row r="101" spans="1:1" x14ac:dyDescent="0.2">
      <c r="A101" s="19"/>
    </row>
    <row r="102" spans="1:1" x14ac:dyDescent="0.2">
      <c r="A102" s="19"/>
    </row>
    <row r="103" spans="1:1" x14ac:dyDescent="0.2">
      <c r="A103" s="19"/>
    </row>
    <row r="104" spans="1:1" x14ac:dyDescent="0.2">
      <c r="A104" s="19"/>
    </row>
    <row r="105" spans="1:1" x14ac:dyDescent="0.2">
      <c r="A105" s="19"/>
    </row>
    <row r="106" spans="1:1" x14ac:dyDescent="0.2">
      <c r="A106" s="19"/>
    </row>
    <row r="107" spans="1:1" x14ac:dyDescent="0.2">
      <c r="A107" s="19"/>
    </row>
    <row r="108" spans="1:1" x14ac:dyDescent="0.2">
      <c r="A108" s="19"/>
    </row>
    <row r="109" spans="1:1" x14ac:dyDescent="0.2">
      <c r="A109" s="19"/>
    </row>
    <row r="110" spans="1:1" x14ac:dyDescent="0.2">
      <c r="A110" s="19"/>
    </row>
    <row r="111" spans="1:1" x14ac:dyDescent="0.2">
      <c r="A111" s="19"/>
    </row>
    <row r="112" spans="1:1" x14ac:dyDescent="0.2">
      <c r="A112" s="19"/>
    </row>
    <row r="113" spans="1:1" x14ac:dyDescent="0.2">
      <c r="A113" s="19"/>
    </row>
    <row r="114" spans="1:1" x14ac:dyDescent="0.2">
      <c r="A114" s="19"/>
    </row>
    <row r="115" spans="1:1" x14ac:dyDescent="0.2">
      <c r="A115" s="19"/>
    </row>
    <row r="116" spans="1:1" x14ac:dyDescent="0.2">
      <c r="A116" s="19"/>
    </row>
    <row r="117" spans="1:1" x14ac:dyDescent="0.2">
      <c r="A117" s="19"/>
    </row>
    <row r="118" spans="1:1" x14ac:dyDescent="0.2">
      <c r="A118" s="19"/>
    </row>
    <row r="119" spans="1:1" x14ac:dyDescent="0.2">
      <c r="A119" s="19"/>
    </row>
    <row r="120" spans="1:1" x14ac:dyDescent="0.2">
      <c r="A120" s="19"/>
    </row>
    <row r="121" spans="1:1" x14ac:dyDescent="0.2">
      <c r="A121" s="19"/>
    </row>
    <row r="122" spans="1:1" x14ac:dyDescent="0.2">
      <c r="A122" s="19"/>
    </row>
    <row r="123" spans="1:1" x14ac:dyDescent="0.2">
      <c r="A123" s="19"/>
    </row>
    <row r="124" spans="1:1" x14ac:dyDescent="0.2">
      <c r="A124" s="19"/>
    </row>
    <row r="125" spans="1:1" x14ac:dyDescent="0.2">
      <c r="A125" s="19"/>
    </row>
    <row r="126" spans="1:1" x14ac:dyDescent="0.2">
      <c r="A126" s="19"/>
    </row>
    <row r="127" spans="1:1" x14ac:dyDescent="0.2">
      <c r="A127" s="19"/>
    </row>
    <row r="128" spans="1:1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19"/>
    </row>
    <row r="134" spans="1:1" x14ac:dyDescent="0.2">
      <c r="A134" s="19"/>
    </row>
    <row r="135" spans="1:1" x14ac:dyDescent="0.2">
      <c r="A135" s="19"/>
    </row>
    <row r="136" spans="1:1" x14ac:dyDescent="0.2">
      <c r="A136" s="19"/>
    </row>
    <row r="137" spans="1:1" x14ac:dyDescent="0.2">
      <c r="A137" s="19"/>
    </row>
    <row r="138" spans="1:1" x14ac:dyDescent="0.2">
      <c r="A138" s="19"/>
    </row>
    <row r="139" spans="1:1" x14ac:dyDescent="0.2">
      <c r="A139" s="19"/>
    </row>
    <row r="140" spans="1:1" x14ac:dyDescent="0.2">
      <c r="A140" s="19"/>
    </row>
    <row r="141" spans="1:1" x14ac:dyDescent="0.2">
      <c r="A141" s="19"/>
    </row>
    <row r="142" spans="1:1" x14ac:dyDescent="0.2">
      <c r="A142" s="19"/>
    </row>
    <row r="143" spans="1:1" x14ac:dyDescent="0.2">
      <c r="A143" s="19"/>
    </row>
    <row r="144" spans="1:1" x14ac:dyDescent="0.2">
      <c r="A144" s="19"/>
    </row>
    <row r="145" spans="1:1" x14ac:dyDescent="0.2">
      <c r="A145" s="19"/>
    </row>
    <row r="146" spans="1:1" x14ac:dyDescent="0.2">
      <c r="A146" s="19"/>
    </row>
    <row r="147" spans="1:1" x14ac:dyDescent="0.2">
      <c r="A147" s="19"/>
    </row>
  </sheetData>
  <phoneticPr fontId="3" type="noConversion"/>
  <printOptions horizontalCentered="1"/>
  <pageMargins left="0.5" right="0.5" top="0.5" bottom="0.5" header="0.5" footer="0.5"/>
  <pageSetup scale="64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N10" sqref="N10"/>
    </sheetView>
  </sheetViews>
  <sheetFormatPr defaultRowHeight="12.75" x14ac:dyDescent="0.2"/>
  <cols>
    <col min="1" max="1" width="5" style="107" customWidth="1"/>
    <col min="2" max="2" width="7.140625" style="92" customWidth="1"/>
    <col min="3" max="3" width="49.85546875" style="107" customWidth="1"/>
    <col min="4" max="6" width="14.5703125" style="107" customWidth="1"/>
    <col min="7" max="7" width="1.85546875" style="107" customWidth="1"/>
    <col min="8" max="8" width="20.5703125" style="132" customWidth="1"/>
    <col min="9" max="9" width="14.85546875" style="107" bestFit="1" customWidth="1"/>
    <col min="10" max="16384" width="9.140625" style="107"/>
  </cols>
  <sheetData>
    <row r="1" spans="1:9" x14ac:dyDescent="0.2">
      <c r="A1" s="166" t="s">
        <v>6</v>
      </c>
    </row>
    <row r="2" spans="1:9" x14ac:dyDescent="0.2">
      <c r="A2" s="166" t="s">
        <v>129</v>
      </c>
    </row>
    <row r="3" spans="1:9" x14ac:dyDescent="0.2">
      <c r="A3" s="128" t="s">
        <v>120</v>
      </c>
      <c r="C3" s="129"/>
      <c r="D3" s="129"/>
      <c r="E3" s="129"/>
      <c r="F3" s="129"/>
      <c r="G3" s="129"/>
      <c r="H3" s="130"/>
    </row>
    <row r="4" spans="1:9" ht="6" customHeight="1" x14ac:dyDescent="0.2">
      <c r="A4" s="131"/>
    </row>
    <row r="5" spans="1:9" ht="12.75" customHeight="1" x14ac:dyDescent="0.2">
      <c r="A5" s="169" t="s">
        <v>131</v>
      </c>
      <c r="B5" s="169"/>
      <c r="C5" s="169"/>
      <c r="D5" s="169"/>
      <c r="E5" s="169"/>
      <c r="F5" s="169"/>
      <c r="G5" s="151"/>
      <c r="H5" s="151"/>
    </row>
    <row r="6" spans="1:9" ht="12.75" customHeight="1" x14ac:dyDescent="0.2">
      <c r="A6" s="169"/>
      <c r="B6" s="169"/>
      <c r="C6" s="169"/>
      <c r="D6" s="169"/>
      <c r="E6" s="169"/>
      <c r="F6" s="169"/>
      <c r="G6" s="151"/>
      <c r="H6" s="151"/>
    </row>
    <row r="7" spans="1:9" x14ac:dyDescent="0.2">
      <c r="B7" s="133" t="s">
        <v>102</v>
      </c>
      <c r="C7" s="133" t="s">
        <v>103</v>
      </c>
      <c r="D7" s="133" t="s">
        <v>121</v>
      </c>
      <c r="E7" s="133" t="s">
        <v>122</v>
      </c>
      <c r="F7" s="133" t="s">
        <v>123</v>
      </c>
      <c r="G7" s="161"/>
      <c r="H7" s="161"/>
    </row>
    <row r="8" spans="1:9" x14ac:dyDescent="0.2">
      <c r="D8" s="134" t="s">
        <v>95</v>
      </c>
      <c r="E8" s="135" t="s">
        <v>96</v>
      </c>
      <c r="F8" s="134" t="s">
        <v>97</v>
      </c>
      <c r="G8" s="162"/>
      <c r="H8" s="161"/>
    </row>
    <row r="9" spans="1:9" x14ac:dyDescent="0.2">
      <c r="C9" s="136" t="s">
        <v>107</v>
      </c>
      <c r="D9" s="74">
        <v>78075703.28017056</v>
      </c>
      <c r="E9" s="74">
        <v>1086811238.4255927</v>
      </c>
      <c r="F9" s="74">
        <f>-(D9-(E9*Overall_ROR))/gross_up_factor</f>
        <v>-213262.76708720002</v>
      </c>
      <c r="G9" s="3"/>
      <c r="H9" s="2"/>
    </row>
    <row r="10" spans="1:9" x14ac:dyDescent="0.2">
      <c r="C10" s="136"/>
      <c r="D10" s="74"/>
      <c r="E10" s="74"/>
      <c r="F10" s="74"/>
      <c r="G10" s="3"/>
      <c r="H10" s="163"/>
    </row>
    <row r="11" spans="1:9" s="140" customFormat="1" ht="24.75" customHeight="1" x14ac:dyDescent="0.2">
      <c r="A11" s="138" t="s">
        <v>101</v>
      </c>
      <c r="B11" s="138" t="s">
        <v>100</v>
      </c>
      <c r="C11" s="138"/>
      <c r="D11" s="138"/>
      <c r="E11" s="138"/>
      <c r="F11" s="139"/>
      <c r="G11" s="164"/>
      <c r="H11" s="165"/>
    </row>
    <row r="12" spans="1:9" x14ac:dyDescent="0.2">
      <c r="A12" s="92">
        <v>1</v>
      </c>
      <c r="B12" s="141">
        <v>1</v>
      </c>
      <c r="C12" s="107" t="s">
        <v>113</v>
      </c>
      <c r="D12" s="14">
        <f>Adjustments!C38</f>
        <v>-454641.29936829163</v>
      </c>
      <c r="E12" s="14">
        <f>Adjustments!C65</f>
        <v>-11531738.31921754</v>
      </c>
      <c r="F12" s="14">
        <f>-(D12-(E12*Overall_ROR))/gross_up_factor</f>
        <v>-494039.51015648927</v>
      </c>
      <c r="G12" s="2"/>
      <c r="H12" s="2"/>
      <c r="I12" s="142"/>
    </row>
    <row r="13" spans="1:9" x14ac:dyDescent="0.2">
      <c r="A13" s="92">
        <f>A12+1</f>
        <v>2</v>
      </c>
      <c r="B13" s="141">
        <v>2</v>
      </c>
      <c r="C13" s="107" t="s">
        <v>112</v>
      </c>
      <c r="D13" s="14">
        <f>Adjustments!D38</f>
        <v>134862.01894444716</v>
      </c>
      <c r="E13" s="14">
        <f>Adjustments!D65</f>
        <v>-6206828.0326708136</v>
      </c>
      <c r="F13" s="14">
        <f>-(D13-(E13*Overall_ROR))/gross_up_factor</f>
        <v>-769884.59480255644</v>
      </c>
      <c r="G13" s="2"/>
      <c r="H13" s="2"/>
    </row>
    <row r="14" spans="1:9" x14ac:dyDescent="0.2">
      <c r="A14" s="92">
        <f t="shared" ref="A14:A21" si="0">A13+1</f>
        <v>3</v>
      </c>
      <c r="B14" s="141">
        <v>3</v>
      </c>
      <c r="C14" s="107" t="s">
        <v>114</v>
      </c>
      <c r="D14" s="14">
        <f>Adjustments!E38</f>
        <v>-91149.302863147372</v>
      </c>
      <c r="E14" s="14">
        <f>Adjustments!E65</f>
        <v>0</v>
      </c>
      <c r="F14" s="14">
        <f>-(D14-(E14*Overall_ROR))/gross_up_factor</f>
        <v>121024.10258666583</v>
      </c>
      <c r="G14" s="2"/>
      <c r="H14" s="2"/>
    </row>
    <row r="15" spans="1:9" x14ac:dyDescent="0.2">
      <c r="A15" s="92">
        <f t="shared" si="0"/>
        <v>4</v>
      </c>
      <c r="B15" s="141">
        <v>4</v>
      </c>
      <c r="C15" s="107" t="s">
        <v>115</v>
      </c>
      <c r="D15" s="14">
        <f>Adjustments!F38</f>
        <v>574196</v>
      </c>
      <c r="E15" s="14">
        <f>Adjustments!F65</f>
        <v>399654</v>
      </c>
      <c r="F15" s="14">
        <f>-(D15-(E15*Overall_ROR))/gross_up_factor</f>
        <v>-724350.0248890128</v>
      </c>
      <c r="G15" s="2"/>
      <c r="H15" s="2"/>
    </row>
    <row r="16" spans="1:9" s="18" customFormat="1" x14ac:dyDescent="0.2">
      <c r="A16" s="92">
        <f t="shared" si="0"/>
        <v>5</v>
      </c>
      <c r="C16" s="143" t="s">
        <v>99</v>
      </c>
      <c r="D16" s="144">
        <f>SUM(D12:D15)</f>
        <v>163267.41671300819</v>
      </c>
      <c r="E16" s="144">
        <f t="shared" ref="E16" si="1">SUM(E12:E15)</f>
        <v>-17338912.351888355</v>
      </c>
      <c r="F16" s="144">
        <f>ROUNDDOWN(SUM(F12:F15),0)</f>
        <v>-1867250</v>
      </c>
      <c r="G16" s="145"/>
      <c r="H16" s="127"/>
      <c r="I16" s="168"/>
    </row>
    <row r="17" spans="1:9" x14ac:dyDescent="0.2">
      <c r="A17" s="92">
        <f t="shared" si="0"/>
        <v>6</v>
      </c>
      <c r="C17" s="146"/>
      <c r="D17" s="3"/>
      <c r="E17" s="3"/>
      <c r="F17" s="3"/>
      <c r="G17" s="3"/>
      <c r="H17" s="163"/>
      <c r="I17" s="149"/>
    </row>
    <row r="18" spans="1:9" x14ac:dyDescent="0.2">
      <c r="A18" s="92">
        <f t="shared" si="0"/>
        <v>7</v>
      </c>
      <c r="C18" s="146"/>
      <c r="D18" s="3"/>
      <c r="E18" s="3"/>
      <c r="F18" s="3"/>
      <c r="G18" s="3"/>
      <c r="H18" s="137"/>
    </row>
    <row r="19" spans="1:9" x14ac:dyDescent="0.2">
      <c r="A19" s="92">
        <f t="shared" si="0"/>
        <v>8</v>
      </c>
      <c r="B19" s="150" t="s">
        <v>98</v>
      </c>
    </row>
    <row r="20" spans="1:9" x14ac:dyDescent="0.2">
      <c r="A20" s="92">
        <f t="shared" si="0"/>
        <v>9</v>
      </c>
      <c r="B20" s="150" t="s">
        <v>124</v>
      </c>
    </row>
    <row r="21" spans="1:9" x14ac:dyDescent="0.2">
      <c r="A21" s="92">
        <f t="shared" si="0"/>
        <v>10</v>
      </c>
      <c r="B21" s="150" t="s">
        <v>133</v>
      </c>
      <c r="H21" s="147"/>
    </row>
    <row r="22" spans="1:9" x14ac:dyDescent="0.2">
      <c r="A22" s="92"/>
      <c r="B22" s="152"/>
    </row>
    <row r="23" spans="1:9" x14ac:dyDescent="0.2">
      <c r="E23" s="148"/>
      <c r="F23" s="149"/>
    </row>
    <row r="24" spans="1:9" x14ac:dyDescent="0.2">
      <c r="E24" s="148"/>
      <c r="F24" s="149"/>
    </row>
    <row r="26" spans="1:9" x14ac:dyDescent="0.2">
      <c r="F26" s="14"/>
    </row>
    <row r="27" spans="1:9" x14ac:dyDescent="0.2">
      <c r="F27" s="14"/>
    </row>
    <row r="28" spans="1:9" x14ac:dyDescent="0.2">
      <c r="F28" s="149"/>
    </row>
  </sheetData>
  <mergeCells count="1">
    <mergeCell ref="A5:F6"/>
  </mergeCells>
  <pageMargins left="1" right="0.5" top="0.75" bottom="0.75" header="0.3" footer="0.3"/>
  <pageSetup scale="85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H91"/>
  <sheetViews>
    <sheetView view="pageBreakPreview" zoomScale="85" zoomScaleNormal="80" zoomScaleSheetLayoutView="85" workbookViewId="0">
      <pane xSplit="2" ySplit="7" topLeftCell="C8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RowHeight="12.75" outlineLevelRow="1" x14ac:dyDescent="0.2"/>
  <cols>
    <col min="1" max="1" width="36.28515625" style="2" customWidth="1"/>
    <col min="2" max="2" width="20" style="14" customWidth="1"/>
    <col min="3" max="3" width="17.28515625" style="14" bestFit="1" customWidth="1"/>
    <col min="4" max="4" width="17.28515625" style="2" bestFit="1" customWidth="1"/>
    <col min="5" max="6" width="17.42578125" style="14" customWidth="1"/>
    <col min="7" max="7" width="9.140625" style="14"/>
    <col min="8" max="8" width="12" style="14" customWidth="1"/>
    <col min="9" max="16384" width="9.140625" style="14"/>
  </cols>
  <sheetData>
    <row r="1" spans="1:6" x14ac:dyDescent="0.2">
      <c r="A1" s="3" t="s">
        <v>6</v>
      </c>
    </row>
    <row r="2" spans="1:6" s="2" customFormat="1" x14ac:dyDescent="0.2">
      <c r="A2" s="71" t="s">
        <v>129</v>
      </c>
    </row>
    <row r="3" spans="1:6" s="2" customFormat="1" x14ac:dyDescent="0.2">
      <c r="A3" s="72" t="s">
        <v>119</v>
      </c>
    </row>
    <row r="4" spans="1:6" s="3" customFormat="1" ht="13.5" thickBot="1" x14ac:dyDescent="0.25">
      <c r="A4" s="73"/>
    </row>
    <row r="5" spans="1:6" s="74" customFormat="1" ht="13.5" thickBot="1" x14ac:dyDescent="0.25">
      <c r="A5" s="3"/>
      <c r="B5" s="105"/>
      <c r="C5" s="106"/>
      <c r="D5" s="116"/>
      <c r="E5" s="124"/>
      <c r="F5" s="125"/>
    </row>
    <row r="6" spans="1:6" x14ac:dyDescent="0.2">
      <c r="B6" s="55"/>
      <c r="C6" s="56" t="s">
        <v>110</v>
      </c>
      <c r="D6" s="110" t="s">
        <v>111</v>
      </c>
      <c r="E6" s="110" t="s">
        <v>116</v>
      </c>
      <c r="F6" s="54" t="s">
        <v>117</v>
      </c>
    </row>
    <row r="7" spans="1:6" s="75" customFormat="1" ht="51" x14ac:dyDescent="0.2">
      <c r="A7" s="13"/>
      <c r="B7" s="57" t="s">
        <v>106</v>
      </c>
      <c r="C7" s="108" t="s">
        <v>125</v>
      </c>
      <c r="D7" s="111" t="s">
        <v>112</v>
      </c>
      <c r="E7" s="111" t="s">
        <v>126</v>
      </c>
      <c r="F7" s="109" t="s">
        <v>118</v>
      </c>
    </row>
    <row r="8" spans="1:6" x14ac:dyDescent="0.2">
      <c r="B8" s="76"/>
      <c r="C8" s="34"/>
      <c r="E8" s="2"/>
      <c r="F8" s="63"/>
    </row>
    <row r="9" spans="1:6" outlineLevel="1" x14ac:dyDescent="0.2">
      <c r="A9" s="13" t="s">
        <v>9</v>
      </c>
      <c r="B9" s="59"/>
      <c r="C9" s="25"/>
      <c r="D9" s="11"/>
      <c r="E9" s="11"/>
      <c r="F9" s="58"/>
    </row>
    <row r="10" spans="1:6" outlineLevel="1" x14ac:dyDescent="0.2">
      <c r="A10" s="13" t="s">
        <v>10</v>
      </c>
      <c r="B10" s="65">
        <f>SUM(C10:F10)</f>
        <v>0</v>
      </c>
      <c r="C10" s="27"/>
      <c r="D10" s="112"/>
      <c r="E10" s="112"/>
      <c r="F10" s="61"/>
    </row>
    <row r="11" spans="1:6" outlineLevel="1" x14ac:dyDescent="0.2">
      <c r="A11" s="13" t="s">
        <v>11</v>
      </c>
      <c r="B11" s="65">
        <f t="shared" ref="B11:B14" si="0">SUM(C11:F11)</f>
        <v>0</v>
      </c>
      <c r="C11" s="27"/>
      <c r="D11" s="112"/>
      <c r="E11" s="112"/>
      <c r="F11" s="61"/>
    </row>
    <row r="12" spans="1:6" outlineLevel="1" x14ac:dyDescent="0.2">
      <c r="A12" s="13" t="s">
        <v>12</v>
      </c>
      <c r="B12" s="65">
        <f t="shared" si="0"/>
        <v>0</v>
      </c>
      <c r="C12" s="27"/>
      <c r="D12" s="112"/>
      <c r="E12" s="112"/>
      <c r="F12" s="61"/>
    </row>
    <row r="13" spans="1:6" outlineLevel="1" x14ac:dyDescent="0.2">
      <c r="A13" s="13" t="s">
        <v>13</v>
      </c>
      <c r="B13" s="65">
        <f t="shared" si="0"/>
        <v>0</v>
      </c>
      <c r="C13" s="27"/>
      <c r="D13" s="112"/>
      <c r="E13" s="112"/>
      <c r="F13" s="61"/>
    </row>
    <row r="14" spans="1:6" outlineLevel="1" x14ac:dyDescent="0.2">
      <c r="A14" s="13" t="s">
        <v>14</v>
      </c>
      <c r="B14" s="77">
        <f t="shared" si="0"/>
        <v>0</v>
      </c>
      <c r="C14" s="28">
        <f>SUM(C10:C13)</f>
        <v>0</v>
      </c>
      <c r="D14" s="117">
        <f t="shared" ref="D14:F14" si="1">SUM(D10:D13)</f>
        <v>0</v>
      </c>
      <c r="E14" s="117">
        <f t="shared" si="1"/>
        <v>0</v>
      </c>
      <c r="F14" s="62">
        <f t="shared" si="1"/>
        <v>0</v>
      </c>
    </row>
    <row r="15" spans="1:6" outlineLevel="1" x14ac:dyDescent="0.2">
      <c r="A15" s="13"/>
      <c r="B15" s="59"/>
      <c r="C15" s="25"/>
      <c r="D15" s="11"/>
      <c r="E15" s="11"/>
      <c r="F15" s="58"/>
    </row>
    <row r="16" spans="1:6" outlineLevel="1" x14ac:dyDescent="0.2">
      <c r="A16" s="13" t="s">
        <v>15</v>
      </c>
      <c r="B16" s="59"/>
      <c r="C16" s="25"/>
      <c r="D16" s="11"/>
      <c r="E16" s="11"/>
      <c r="F16" s="58"/>
    </row>
    <row r="17" spans="1:6" outlineLevel="1" x14ac:dyDescent="0.2">
      <c r="A17" s="13" t="s">
        <v>16</v>
      </c>
      <c r="B17" s="65">
        <f t="shared" ref="B17:B36" si="2">SUM(C17:F17)</f>
        <v>0</v>
      </c>
      <c r="C17" s="27"/>
      <c r="D17" s="112"/>
      <c r="E17" s="112"/>
      <c r="F17" s="61"/>
    </row>
    <row r="18" spans="1:6" outlineLevel="1" x14ac:dyDescent="0.2">
      <c r="A18" s="13" t="s">
        <v>17</v>
      </c>
      <c r="B18" s="65">
        <f t="shared" si="2"/>
        <v>0</v>
      </c>
      <c r="C18" s="27"/>
      <c r="D18" s="112"/>
      <c r="E18" s="112"/>
      <c r="F18" s="61"/>
    </row>
    <row r="19" spans="1:6" outlineLevel="1" x14ac:dyDescent="0.2">
      <c r="A19" s="13" t="s">
        <v>18</v>
      </c>
      <c r="B19" s="65">
        <f t="shared" si="2"/>
        <v>0</v>
      </c>
      <c r="C19" s="27"/>
      <c r="D19" s="112"/>
      <c r="E19" s="112"/>
      <c r="F19" s="61"/>
    </row>
    <row r="20" spans="1:6" outlineLevel="1" x14ac:dyDescent="0.2">
      <c r="A20" s="13" t="s">
        <v>19</v>
      </c>
      <c r="B20" s="65">
        <f t="shared" si="2"/>
        <v>0</v>
      </c>
      <c r="C20" s="27"/>
      <c r="D20" s="112"/>
      <c r="E20" s="112"/>
      <c r="F20" s="61"/>
    </row>
    <row r="21" spans="1:6" outlineLevel="1" x14ac:dyDescent="0.2">
      <c r="A21" s="13" t="s">
        <v>20</v>
      </c>
      <c r="B21" s="65">
        <f t="shared" si="2"/>
        <v>0</v>
      </c>
      <c r="C21" s="27"/>
      <c r="D21" s="112"/>
      <c r="E21" s="112"/>
      <c r="F21" s="61"/>
    </row>
    <row r="22" spans="1:6" outlineLevel="1" x14ac:dyDescent="0.2">
      <c r="A22" s="13" t="s">
        <v>21</v>
      </c>
      <c r="B22" s="65">
        <f t="shared" si="2"/>
        <v>0</v>
      </c>
      <c r="C22" s="27"/>
      <c r="D22" s="112"/>
      <c r="E22" s="112"/>
      <c r="F22" s="61"/>
    </row>
    <row r="23" spans="1:6" outlineLevel="1" x14ac:dyDescent="0.2">
      <c r="A23" s="13" t="s">
        <v>22</v>
      </c>
      <c r="B23" s="65">
        <f t="shared" si="2"/>
        <v>0</v>
      </c>
      <c r="C23" s="27"/>
      <c r="D23" s="112"/>
      <c r="E23" s="112"/>
      <c r="F23" s="61"/>
    </row>
    <row r="24" spans="1:6" outlineLevel="1" x14ac:dyDescent="0.2">
      <c r="A24" s="13" t="s">
        <v>23</v>
      </c>
      <c r="B24" s="65">
        <f t="shared" si="2"/>
        <v>0</v>
      </c>
      <c r="C24" s="27"/>
      <c r="D24" s="112"/>
      <c r="E24" s="112"/>
      <c r="F24" s="61"/>
    </row>
    <row r="25" spans="1:6" outlineLevel="1" x14ac:dyDescent="0.2">
      <c r="A25" s="13" t="s">
        <v>24</v>
      </c>
      <c r="B25" s="65">
        <f t="shared" si="2"/>
        <v>0</v>
      </c>
      <c r="C25" s="27"/>
      <c r="D25" s="112"/>
      <c r="E25" s="112"/>
      <c r="F25" s="61"/>
    </row>
    <row r="26" spans="1:6" outlineLevel="1" x14ac:dyDescent="0.2">
      <c r="A26" s="13" t="s">
        <v>25</v>
      </c>
      <c r="B26" s="65">
        <f t="shared" si="2"/>
        <v>0</v>
      </c>
      <c r="C26" s="29"/>
      <c r="D26" s="118"/>
      <c r="E26" s="118"/>
      <c r="F26" s="64"/>
    </row>
    <row r="27" spans="1:6" outlineLevel="1" x14ac:dyDescent="0.2">
      <c r="A27" s="13" t="s">
        <v>26</v>
      </c>
      <c r="B27" s="78">
        <f t="shared" si="2"/>
        <v>0</v>
      </c>
      <c r="C27" s="25">
        <f>SUM(C17:C26)</f>
        <v>0</v>
      </c>
      <c r="D27" s="11">
        <f t="shared" ref="D27:F27" si="3">SUM(D17:D26)</f>
        <v>0</v>
      </c>
      <c r="E27" s="11">
        <f t="shared" si="3"/>
        <v>0</v>
      </c>
      <c r="F27" s="58">
        <f t="shared" si="3"/>
        <v>0</v>
      </c>
    </row>
    <row r="28" spans="1:6" x14ac:dyDescent="0.2">
      <c r="A28" s="13" t="s">
        <v>27</v>
      </c>
      <c r="B28" s="65">
        <f t="shared" si="2"/>
        <v>-386780.18688124808</v>
      </c>
      <c r="C28" s="27">
        <f>SUM('[2]Lead Sheet ADJ_1'!$I$14:$I$16)</f>
        <v>-207949.78464911284</v>
      </c>
      <c r="D28" s="112">
        <v>-178830.40223213524</v>
      </c>
      <c r="E28" s="112"/>
      <c r="F28" s="61"/>
    </row>
    <row r="29" spans="1:6" x14ac:dyDescent="0.2">
      <c r="A29" s="13" t="s">
        <v>28</v>
      </c>
      <c r="B29" s="65">
        <f t="shared" si="2"/>
        <v>0</v>
      </c>
      <c r="C29" s="27"/>
      <c r="D29" s="112"/>
      <c r="E29" s="112"/>
      <c r="F29" s="61"/>
    </row>
    <row r="30" spans="1:6" x14ac:dyDescent="0.2">
      <c r="A30" s="13" t="s">
        <v>29</v>
      </c>
      <c r="B30" s="65">
        <f t="shared" si="2"/>
        <v>0</v>
      </c>
      <c r="C30" s="27"/>
      <c r="D30" s="112"/>
      <c r="E30" s="112"/>
      <c r="F30" s="61"/>
    </row>
    <row r="31" spans="1:6" x14ac:dyDescent="0.2">
      <c r="A31" s="13" t="s">
        <v>30</v>
      </c>
      <c r="B31" s="65">
        <f t="shared" si="2"/>
        <v>-3138478.4448699714</v>
      </c>
      <c r="C31" s="27">
        <f t="shared" ref="C31:D31" si="4">C85</f>
        <v>-3229627.7477331189</v>
      </c>
      <c r="D31" s="112">
        <f t="shared" si="4"/>
        <v>0</v>
      </c>
      <c r="E31" s="112">
        <f t="shared" ref="E31:F31" si="5">E85</f>
        <v>91149.302863147372</v>
      </c>
      <c r="F31" s="61">
        <f t="shared" si="5"/>
        <v>0</v>
      </c>
    </row>
    <row r="32" spans="1:6" x14ac:dyDescent="0.2">
      <c r="A32" s="13" t="s">
        <v>31</v>
      </c>
      <c r="B32" s="65">
        <f t="shared" si="2"/>
        <v>0</v>
      </c>
      <c r="C32" s="26">
        <v>0</v>
      </c>
      <c r="D32" s="113">
        <v>0</v>
      </c>
      <c r="E32" s="113">
        <v>0</v>
      </c>
      <c r="F32" s="60">
        <v>0</v>
      </c>
    </row>
    <row r="33" spans="1:6" x14ac:dyDescent="0.2">
      <c r="A33" s="13" t="s">
        <v>32</v>
      </c>
      <c r="B33" s="65">
        <f t="shared" si="2"/>
        <v>3361991.2150382116</v>
      </c>
      <c r="C33" s="155">
        <f>SUM('[2]Lead Sheet ADJ_1'!$I$27:$I$28,'[2]Lead Sheet ADJ_1'!$I$32)</f>
        <v>3892218.8317505233</v>
      </c>
      <c r="D33" s="112">
        <v>43968.383287688077</v>
      </c>
      <c r="E33" s="112"/>
      <c r="F33" s="61">
        <f>'[3]Lead Sheet ADJ_4'!$F$10</f>
        <v>-574196</v>
      </c>
    </row>
    <row r="34" spans="1:6" x14ac:dyDescent="0.2">
      <c r="A34" s="13" t="s">
        <v>33</v>
      </c>
      <c r="B34" s="65">
        <f t="shared" si="2"/>
        <v>0</v>
      </c>
      <c r="C34" s="27"/>
      <c r="D34" s="112"/>
      <c r="E34" s="112"/>
      <c r="F34" s="61"/>
    </row>
    <row r="35" spans="1:6" x14ac:dyDescent="0.2">
      <c r="A35" s="13" t="s">
        <v>34</v>
      </c>
      <c r="B35" s="65">
        <f t="shared" si="2"/>
        <v>0</v>
      </c>
      <c r="C35" s="27"/>
      <c r="D35" s="112"/>
      <c r="E35" s="112"/>
      <c r="F35" s="61"/>
    </row>
    <row r="36" spans="1:6" x14ac:dyDescent="0.2">
      <c r="A36" s="13" t="s">
        <v>35</v>
      </c>
      <c r="B36" s="77">
        <f t="shared" si="2"/>
        <v>-163267.41671300819</v>
      </c>
      <c r="C36" s="28">
        <f>SUM(C27:C35)</f>
        <v>454641.29936829163</v>
      </c>
      <c r="D36" s="117">
        <f t="shared" ref="D36:F36" si="6">SUM(D27:D35)</f>
        <v>-134862.01894444716</v>
      </c>
      <c r="E36" s="117">
        <f t="shared" si="6"/>
        <v>91149.302863147372</v>
      </c>
      <c r="F36" s="62">
        <f t="shared" si="6"/>
        <v>-574196</v>
      </c>
    </row>
    <row r="37" spans="1:6" x14ac:dyDescent="0.2">
      <c r="A37" s="13"/>
      <c r="B37" s="59"/>
      <c r="C37" s="25"/>
      <c r="D37" s="11"/>
      <c r="E37" s="11"/>
      <c r="F37" s="58"/>
    </row>
    <row r="38" spans="1:6" ht="13.5" thickBot="1" x14ac:dyDescent="0.25">
      <c r="A38" s="13" t="s">
        <v>36</v>
      </c>
      <c r="B38" s="79">
        <f t="shared" ref="B38" si="7">SUM(C38:F38)</f>
        <v>163267.41671300819</v>
      </c>
      <c r="C38" s="30">
        <f t="shared" ref="C38:D38" si="8">C14-C36</f>
        <v>-454641.29936829163</v>
      </c>
      <c r="D38" s="119">
        <f t="shared" si="8"/>
        <v>134862.01894444716</v>
      </c>
      <c r="E38" s="119">
        <f t="shared" ref="E38:F38" si="9">E14-E36</f>
        <v>-91149.302863147372</v>
      </c>
      <c r="F38" s="66">
        <f t="shared" si="9"/>
        <v>574196</v>
      </c>
    </row>
    <row r="39" spans="1:6" ht="13.5" thickTop="1" x14ac:dyDescent="0.2">
      <c r="A39" s="13"/>
      <c r="B39" s="59"/>
      <c r="C39" s="25"/>
      <c r="D39" s="11"/>
      <c r="E39" s="11"/>
      <c r="F39" s="58"/>
    </row>
    <row r="40" spans="1:6" x14ac:dyDescent="0.2">
      <c r="A40" s="13" t="s">
        <v>37</v>
      </c>
      <c r="B40" s="59"/>
      <c r="C40" s="25"/>
      <c r="D40" s="11"/>
      <c r="E40" s="11"/>
      <c r="F40" s="58"/>
    </row>
    <row r="41" spans="1:6" x14ac:dyDescent="0.2">
      <c r="A41" s="13" t="s">
        <v>38</v>
      </c>
      <c r="B41" s="65">
        <f t="shared" ref="B41:B52" si="10">SUM(C41:F41)</f>
        <v>-14570276.832111917</v>
      </c>
      <c r="C41" s="27">
        <f>SUM('[2]Lead Sheet ADJ_1'!$I$9:$I$11)</f>
        <v>-4000368.3248412451</v>
      </c>
      <c r="D41" s="112">
        <v>-10569908.507270671</v>
      </c>
      <c r="E41" s="112"/>
      <c r="F41" s="61"/>
    </row>
    <row r="42" spans="1:6" outlineLevel="1" x14ac:dyDescent="0.2">
      <c r="A42" s="13" t="s">
        <v>39</v>
      </c>
      <c r="B42" s="65">
        <f t="shared" si="10"/>
        <v>0</v>
      </c>
      <c r="C42" s="27"/>
      <c r="D42" s="112"/>
      <c r="E42" s="112"/>
      <c r="F42" s="61"/>
    </row>
    <row r="43" spans="1:6" outlineLevel="1" x14ac:dyDescent="0.2">
      <c r="A43" s="13" t="s">
        <v>40</v>
      </c>
      <c r="B43" s="65">
        <f t="shared" si="10"/>
        <v>0</v>
      </c>
      <c r="C43" s="27"/>
      <c r="D43" s="112"/>
      <c r="E43" s="112"/>
      <c r="F43" s="61"/>
    </row>
    <row r="44" spans="1:6" outlineLevel="1" x14ac:dyDescent="0.2">
      <c r="A44" s="13" t="s">
        <v>41</v>
      </c>
      <c r="B44" s="65">
        <f t="shared" si="10"/>
        <v>0</v>
      </c>
      <c r="C44" s="27"/>
      <c r="D44" s="112"/>
      <c r="E44" s="112"/>
      <c r="F44" s="61"/>
    </row>
    <row r="45" spans="1:6" outlineLevel="1" x14ac:dyDescent="0.2">
      <c r="A45" s="13" t="s">
        <v>42</v>
      </c>
      <c r="B45" s="65">
        <f t="shared" si="10"/>
        <v>0</v>
      </c>
      <c r="C45" s="27"/>
      <c r="D45" s="112"/>
      <c r="E45" s="112"/>
      <c r="F45" s="61"/>
    </row>
    <row r="46" spans="1:6" outlineLevel="1" x14ac:dyDescent="0.2">
      <c r="A46" s="13" t="s">
        <v>43</v>
      </c>
      <c r="B46" s="65">
        <f t="shared" si="10"/>
        <v>0</v>
      </c>
      <c r="C46" s="27"/>
      <c r="D46" s="112"/>
      <c r="E46" s="112"/>
      <c r="F46" s="61"/>
    </row>
    <row r="47" spans="1:6" outlineLevel="1" x14ac:dyDescent="0.2">
      <c r="A47" s="13" t="s">
        <v>44</v>
      </c>
      <c r="B47" s="65">
        <f t="shared" si="10"/>
        <v>0</v>
      </c>
      <c r="C47" s="27"/>
      <c r="D47" s="112"/>
      <c r="E47" s="112"/>
      <c r="F47" s="61"/>
    </row>
    <row r="48" spans="1:6" outlineLevel="1" x14ac:dyDescent="0.2">
      <c r="A48" s="13" t="s">
        <v>45</v>
      </c>
      <c r="B48" s="65">
        <f t="shared" si="10"/>
        <v>0</v>
      </c>
      <c r="C48" s="27"/>
      <c r="D48" s="112"/>
      <c r="E48" s="112"/>
      <c r="F48" s="61"/>
    </row>
    <row r="49" spans="1:6" outlineLevel="1" x14ac:dyDescent="0.2">
      <c r="A49" s="13" t="s">
        <v>46</v>
      </c>
      <c r="B49" s="65">
        <f t="shared" si="10"/>
        <v>0</v>
      </c>
      <c r="C49" s="27"/>
      <c r="D49" s="112"/>
      <c r="E49" s="112"/>
      <c r="F49" s="61"/>
    </row>
    <row r="50" spans="1:6" outlineLevel="1" x14ac:dyDescent="0.2">
      <c r="A50" s="13" t="s">
        <v>47</v>
      </c>
      <c r="B50" s="65">
        <f t="shared" si="10"/>
        <v>0</v>
      </c>
      <c r="C50" s="27"/>
      <c r="D50" s="112"/>
      <c r="E50" s="112"/>
      <c r="F50" s="61"/>
    </row>
    <row r="51" spans="1:6" outlineLevel="1" x14ac:dyDescent="0.2">
      <c r="A51" s="13" t="s">
        <v>48</v>
      </c>
      <c r="B51" s="65">
        <f t="shared" si="10"/>
        <v>0</v>
      </c>
      <c r="C51" s="27"/>
      <c r="D51" s="112"/>
      <c r="E51" s="112"/>
      <c r="F51" s="61"/>
    </row>
    <row r="52" spans="1:6" x14ac:dyDescent="0.2">
      <c r="A52" s="13" t="s">
        <v>49</v>
      </c>
      <c r="B52" s="80">
        <f t="shared" si="10"/>
        <v>-14570276.832111917</v>
      </c>
      <c r="C52" s="31">
        <f>SUM(C41:C51)</f>
        <v>-4000368.3248412451</v>
      </c>
      <c r="D52" s="120">
        <f t="shared" ref="D52:F52" si="11">SUM(D41:D51)</f>
        <v>-10569908.507270671</v>
      </c>
      <c r="E52" s="120">
        <f t="shared" si="11"/>
        <v>0</v>
      </c>
      <c r="F52" s="67">
        <f t="shared" si="11"/>
        <v>0</v>
      </c>
    </row>
    <row r="53" spans="1:6" x14ac:dyDescent="0.2">
      <c r="A53" s="13"/>
      <c r="B53" s="59"/>
      <c r="C53" s="25"/>
      <c r="D53" s="11"/>
      <c r="E53" s="11"/>
      <c r="F53" s="58"/>
    </row>
    <row r="54" spans="1:6" x14ac:dyDescent="0.2">
      <c r="A54" s="13" t="s">
        <v>50</v>
      </c>
      <c r="B54" s="59"/>
      <c r="C54" s="25"/>
      <c r="D54" s="11"/>
      <c r="E54" s="11"/>
      <c r="F54" s="58"/>
    </row>
    <row r="55" spans="1:6" x14ac:dyDescent="0.2">
      <c r="A55" s="13" t="s">
        <v>51</v>
      </c>
      <c r="B55" s="65">
        <f t="shared" ref="B55:B63" si="12">SUM(C55:F55)</f>
        <v>-428612.06078331685</v>
      </c>
      <c r="C55" s="27">
        <f>SUM('[2]Lead Sheet ADJ_1'!$I$19:$I$21)</f>
        <v>-3395257.7197130965</v>
      </c>
      <c r="D55" s="112">
        <v>2966645.6589297797</v>
      </c>
      <c r="E55" s="112"/>
      <c r="F55" s="61"/>
    </row>
    <row r="56" spans="1:6" x14ac:dyDescent="0.2">
      <c r="A56" s="13" t="s">
        <v>52</v>
      </c>
      <c r="B56" s="65">
        <f t="shared" si="12"/>
        <v>0</v>
      </c>
      <c r="C56" s="27"/>
      <c r="D56" s="112"/>
      <c r="E56" s="112"/>
      <c r="F56" s="61"/>
    </row>
    <row r="57" spans="1:6" x14ac:dyDescent="0.2">
      <c r="A57" s="13" t="s">
        <v>53</v>
      </c>
      <c r="B57" s="65">
        <f t="shared" si="12"/>
        <v>-2340023.4589931192</v>
      </c>
      <c r="C57" s="155">
        <f>SUM('[2]Lead Sheet ADJ_1'!$I$29,'[2]Lead Sheet ADJ_1'!$I$33)</f>
        <v>-4136112.2746631973</v>
      </c>
      <c r="D57" s="112">
        <v>1396434.8156700782</v>
      </c>
      <c r="E57" s="112"/>
      <c r="F57" s="61">
        <f>'[3]Lead Sheet ADJ_4'!$F$14</f>
        <v>399654</v>
      </c>
    </row>
    <row r="58" spans="1:6" outlineLevel="1" x14ac:dyDescent="0.2">
      <c r="A58" s="13" t="s">
        <v>54</v>
      </c>
      <c r="B58" s="65">
        <f t="shared" si="12"/>
        <v>0</v>
      </c>
      <c r="C58" s="27"/>
      <c r="D58" s="112"/>
      <c r="E58" s="112"/>
      <c r="F58" s="61"/>
    </row>
    <row r="59" spans="1:6" outlineLevel="1" x14ac:dyDescent="0.2">
      <c r="A59" s="13" t="s">
        <v>55</v>
      </c>
      <c r="B59" s="65">
        <f t="shared" si="12"/>
        <v>0</v>
      </c>
      <c r="C59" s="27"/>
      <c r="D59" s="112"/>
      <c r="E59" s="112"/>
      <c r="F59" s="61"/>
    </row>
    <row r="60" spans="1:6" outlineLevel="1" x14ac:dyDescent="0.2">
      <c r="A60" s="13" t="s">
        <v>56</v>
      </c>
      <c r="B60" s="65">
        <f t="shared" si="12"/>
        <v>0</v>
      </c>
      <c r="C60" s="27"/>
      <c r="D60" s="112"/>
      <c r="E60" s="112"/>
      <c r="F60" s="61"/>
    </row>
    <row r="61" spans="1:6" outlineLevel="1" x14ac:dyDescent="0.2">
      <c r="A61" s="13" t="s">
        <v>57</v>
      </c>
      <c r="B61" s="65">
        <f t="shared" si="12"/>
        <v>0</v>
      </c>
      <c r="C61" s="27"/>
      <c r="D61" s="112"/>
      <c r="E61" s="112"/>
      <c r="F61" s="61"/>
    </row>
    <row r="62" spans="1:6" outlineLevel="1" x14ac:dyDescent="0.2">
      <c r="A62" s="13"/>
      <c r="B62" s="59">
        <f t="shared" si="12"/>
        <v>0</v>
      </c>
      <c r="C62" s="25"/>
      <c r="D62" s="11"/>
      <c r="E62" s="11"/>
      <c r="F62" s="58"/>
    </row>
    <row r="63" spans="1:6" x14ac:dyDescent="0.2">
      <c r="A63" s="13" t="s">
        <v>58</v>
      </c>
      <c r="B63" s="77">
        <f t="shared" si="12"/>
        <v>-2768635.5197764365</v>
      </c>
      <c r="C63" s="28">
        <f t="shared" ref="C63:D63" si="13">SUM(C55:C62)</f>
        <v>-7531369.9943762943</v>
      </c>
      <c r="D63" s="117">
        <f t="shared" si="13"/>
        <v>4363080.4745998578</v>
      </c>
      <c r="E63" s="117">
        <f t="shared" ref="E63:F63" si="14">SUM(E55:E62)</f>
        <v>0</v>
      </c>
      <c r="F63" s="62">
        <f t="shared" si="14"/>
        <v>399654</v>
      </c>
    </row>
    <row r="64" spans="1:6" x14ac:dyDescent="0.2">
      <c r="A64" s="13"/>
      <c r="B64" s="59"/>
      <c r="C64" s="25"/>
      <c r="D64" s="11"/>
      <c r="E64" s="11"/>
      <c r="F64" s="58"/>
    </row>
    <row r="65" spans="1:8" ht="13.5" thickBot="1" x14ac:dyDescent="0.25">
      <c r="A65" s="13" t="s">
        <v>59</v>
      </c>
      <c r="B65" s="81">
        <f t="shared" ref="B65" si="15">SUM(C65:F65)</f>
        <v>-17338912.351888355</v>
      </c>
      <c r="C65" s="32">
        <f t="shared" ref="C65:D65" si="16">C52+C63</f>
        <v>-11531738.31921754</v>
      </c>
      <c r="D65" s="121">
        <f t="shared" si="16"/>
        <v>-6206828.0326708136</v>
      </c>
      <c r="E65" s="121">
        <f t="shared" ref="E65:F65" si="17">E52+E63</f>
        <v>0</v>
      </c>
      <c r="F65" s="82">
        <f t="shared" si="17"/>
        <v>399654</v>
      </c>
    </row>
    <row r="66" spans="1:8" ht="13.5" thickTop="1" x14ac:dyDescent="0.2">
      <c r="A66" s="13"/>
      <c r="B66" s="59"/>
      <c r="C66" s="25"/>
      <c r="D66" s="11"/>
      <c r="E66" s="11"/>
      <c r="F66" s="58"/>
    </row>
    <row r="67" spans="1:8" x14ac:dyDescent="0.2">
      <c r="A67" s="13"/>
      <c r="B67" s="59"/>
      <c r="C67" s="25"/>
      <c r="D67" s="11"/>
      <c r="E67" s="11"/>
      <c r="F67" s="58"/>
    </row>
    <row r="68" spans="1:8" s="97" customFormat="1" x14ac:dyDescent="0.2">
      <c r="A68" s="101" t="s">
        <v>94</v>
      </c>
      <c r="B68" s="17">
        <f t="shared" ref="B68:D68" si="18">(((B38+Unadj_Op_revenue)/(B65+Unadj_rate_base))-Weighted_cost_debt-Weighted_cost_pref)/Percent_common-Unadj_ROE</f>
        <v>2.6781377424881514E-3</v>
      </c>
      <c r="C68" s="15">
        <f t="shared" si="18"/>
        <v>7.0475846409596976E-4</v>
      </c>
      <c r="D68" s="114">
        <f t="shared" si="18"/>
        <v>1.0928457828620342E-3</v>
      </c>
      <c r="E68" s="114">
        <f t="shared" ref="E68:F68" si="19">(((E38+Unadj_Op_revenue)/(E65+Unadj_rate_base))-Weighted_cost_debt-Weighted_cost_pref)/Percent_common-Unadj_ROE</f>
        <v>-1.7081174859748249E-4</v>
      </c>
      <c r="F68" s="16">
        <f t="shared" si="19"/>
        <v>1.0219618244880213E-3</v>
      </c>
      <c r="H68" s="167" t="s">
        <v>132</v>
      </c>
    </row>
    <row r="69" spans="1:8" x14ac:dyDescent="0.2">
      <c r="A69" s="156" t="s">
        <v>7</v>
      </c>
      <c r="B69" s="157">
        <f t="shared" ref="B69" si="20">SUM(C69:F69)</f>
        <v>-1867250.0272613927</v>
      </c>
      <c r="C69" s="158">
        <f t="shared" ref="C69:D69" si="21">-(C38-(C65*Overall_ROR))/gross_up_factor</f>
        <v>-494039.51015648927</v>
      </c>
      <c r="D69" s="159">
        <f t="shared" si="21"/>
        <v>-769884.59480255644</v>
      </c>
      <c r="E69" s="159">
        <f t="shared" ref="E69:F69" si="22">-(E38-(E65*Overall_ROR))/gross_up_factor</f>
        <v>121024.10258666583</v>
      </c>
      <c r="F69" s="160">
        <f t="shared" si="22"/>
        <v>-724350.0248890128</v>
      </c>
      <c r="H69" s="14">
        <v>-616597.36891670432</v>
      </c>
    </row>
    <row r="70" spans="1:8" x14ac:dyDescent="0.2">
      <c r="A70" s="13"/>
      <c r="B70" s="17"/>
      <c r="C70" s="90"/>
      <c r="D70" s="114"/>
      <c r="E70" s="114"/>
      <c r="F70" s="16"/>
      <c r="H70" s="14">
        <f>B69-H69</f>
        <v>-1250652.6583446884</v>
      </c>
    </row>
    <row r="71" spans="1:8" x14ac:dyDescent="0.2">
      <c r="A71" s="13" t="s">
        <v>61</v>
      </c>
      <c r="B71" s="59"/>
      <c r="C71" s="25"/>
      <c r="D71" s="11"/>
      <c r="E71" s="11"/>
      <c r="F71" s="58"/>
    </row>
    <row r="72" spans="1:8" x14ac:dyDescent="0.2">
      <c r="A72" s="13" t="s">
        <v>62</v>
      </c>
      <c r="B72" s="83">
        <f t="shared" ref="B72:B78" si="23">SUM(C72:F72)</f>
        <v>386780.18688124808</v>
      </c>
      <c r="C72" s="33">
        <f t="shared" ref="C72:D72" si="24">C14-C27-C28-C29-C30-C35</f>
        <v>207949.78464911284</v>
      </c>
      <c r="D72" s="115">
        <f t="shared" si="24"/>
        <v>178830.40223213524</v>
      </c>
      <c r="E72" s="115">
        <f t="shared" ref="E72:F72" si="25">E14-E27-E28-E29-E30-E35</f>
        <v>0</v>
      </c>
      <c r="F72" s="84">
        <f t="shared" si="25"/>
        <v>0</v>
      </c>
    </row>
    <row r="73" spans="1:8" x14ac:dyDescent="0.2">
      <c r="A73" s="13" t="s">
        <v>63</v>
      </c>
      <c r="B73" s="83">
        <f t="shared" si="23"/>
        <v>0</v>
      </c>
      <c r="C73" s="25"/>
      <c r="D73" s="11"/>
      <c r="E73" s="11"/>
      <c r="F73" s="58"/>
    </row>
    <row r="74" spans="1:8" x14ac:dyDescent="0.2">
      <c r="A74" s="13" t="s">
        <v>64</v>
      </c>
      <c r="B74" s="83">
        <f t="shared" si="23"/>
        <v>0</v>
      </c>
      <c r="C74" s="26"/>
      <c r="D74" s="113"/>
      <c r="E74" s="113"/>
      <c r="F74" s="60"/>
    </row>
    <row r="75" spans="1:8" x14ac:dyDescent="0.2">
      <c r="A75" s="13" t="s">
        <v>65</v>
      </c>
      <c r="B75" s="83">
        <f t="shared" si="23"/>
        <v>-434044.29934832081</v>
      </c>
      <c r="C75" s="26"/>
      <c r="D75" s="113"/>
      <c r="E75" s="113">
        <f>'[4]Lead Sheet ADJ_3'!$I$10</f>
        <v>-434044.29934832081</v>
      </c>
      <c r="F75" s="60"/>
    </row>
    <row r="76" spans="1:8" x14ac:dyDescent="0.2">
      <c r="A76" s="13" t="s">
        <v>66</v>
      </c>
      <c r="B76" s="83">
        <f t="shared" si="23"/>
        <v>-740476.27215900901</v>
      </c>
      <c r="C76" s="153">
        <f>'[2]Lead Sheet ADJ_1'!$I$25+'[2]Lead Sheet ADJ_1'!$I$31</f>
        <v>-561645.86992687383</v>
      </c>
      <c r="D76" s="113">
        <v>-178830.40223213524</v>
      </c>
      <c r="E76" s="113"/>
      <c r="F76" s="60"/>
    </row>
    <row r="77" spans="1:8" x14ac:dyDescent="0.2">
      <c r="A77" s="13" t="s">
        <v>67</v>
      </c>
      <c r="B77" s="83">
        <f t="shared" si="23"/>
        <v>15025483.66583233</v>
      </c>
      <c r="C77" s="154">
        <f>'[2]Lead Sheet ADJ_1'!$I$26</f>
        <v>15025483.66583233</v>
      </c>
      <c r="D77" s="122"/>
      <c r="E77" s="122"/>
      <c r="F77" s="68"/>
    </row>
    <row r="78" spans="1:8" x14ac:dyDescent="0.2">
      <c r="A78" s="13" t="s">
        <v>68</v>
      </c>
      <c r="B78" s="85">
        <f t="shared" si="23"/>
        <v>-14945135.451761769</v>
      </c>
      <c r="C78" s="90">
        <f t="shared" ref="C78:D78" si="26">C72-C74-C75+C76-C77</f>
        <v>-15379179.75111009</v>
      </c>
      <c r="D78" s="12">
        <f t="shared" si="26"/>
        <v>0</v>
      </c>
      <c r="E78" s="12">
        <f t="shared" ref="E78:F78" si="27">E72-E74-E75+E76-E77</f>
        <v>434044.29934832081</v>
      </c>
      <c r="F78" s="91">
        <f t="shared" si="27"/>
        <v>0</v>
      </c>
    </row>
    <row r="79" spans="1:8" x14ac:dyDescent="0.2">
      <c r="A79" s="13"/>
      <c r="B79" s="59"/>
      <c r="C79" s="25"/>
      <c r="D79" s="11"/>
      <c r="E79" s="11"/>
      <c r="F79" s="58"/>
    </row>
    <row r="80" spans="1:8" x14ac:dyDescent="0.2">
      <c r="A80" s="13" t="s">
        <v>69</v>
      </c>
      <c r="B80" s="86">
        <f t="shared" ref="B80:B81" si="28">SUM(C80:F80)</f>
        <v>0</v>
      </c>
      <c r="C80" s="25">
        <v>0</v>
      </c>
      <c r="D80" s="11">
        <v>0</v>
      </c>
      <c r="E80" s="11">
        <v>0</v>
      </c>
      <c r="F80" s="58">
        <v>0</v>
      </c>
    </row>
    <row r="81" spans="1:6" x14ac:dyDescent="0.2">
      <c r="A81" s="13" t="s">
        <v>70</v>
      </c>
      <c r="B81" s="86">
        <f t="shared" si="28"/>
        <v>-14945135.451761769</v>
      </c>
      <c r="C81" s="25">
        <f>C78-C80</f>
        <v>-15379179.75111009</v>
      </c>
      <c r="D81" s="11">
        <f t="shared" ref="D81:F81" si="29">D78-D80</f>
        <v>0</v>
      </c>
      <c r="E81" s="11">
        <f t="shared" si="29"/>
        <v>434044.29934832081</v>
      </c>
      <c r="F81" s="58">
        <f t="shared" si="29"/>
        <v>0</v>
      </c>
    </row>
    <row r="82" spans="1:6" x14ac:dyDescent="0.2">
      <c r="A82" s="13"/>
      <c r="B82" s="86"/>
      <c r="C82" s="25"/>
      <c r="D82" s="11"/>
      <c r="E82" s="11"/>
      <c r="F82" s="58"/>
    </row>
    <row r="83" spans="1:6" x14ac:dyDescent="0.2">
      <c r="A83" s="13" t="s">
        <v>79</v>
      </c>
      <c r="B83" s="86">
        <f t="shared" ref="B83:B85" si="30">SUM(C83:F83)</f>
        <v>-3138478.4448699714</v>
      </c>
      <c r="C83" s="25">
        <f>C81*0.21</f>
        <v>-3229627.7477331189</v>
      </c>
      <c r="D83" s="11">
        <f>D81*0.21</f>
        <v>0</v>
      </c>
      <c r="E83" s="11">
        <f t="shared" ref="E83:F83" si="31">E81*0.21</f>
        <v>91149.302863147372</v>
      </c>
      <c r="F83" s="58">
        <f t="shared" si="31"/>
        <v>0</v>
      </c>
    </row>
    <row r="84" spans="1:6" x14ac:dyDescent="0.2">
      <c r="A84" s="13" t="s">
        <v>80</v>
      </c>
      <c r="B84" s="86">
        <f t="shared" si="30"/>
        <v>0</v>
      </c>
      <c r="C84" s="25"/>
      <c r="D84" s="11"/>
      <c r="E84" s="11"/>
      <c r="F84" s="58"/>
    </row>
    <row r="85" spans="1:6" s="2" customFormat="1" ht="13.5" thickBot="1" x14ac:dyDescent="0.25">
      <c r="A85" s="13" t="s">
        <v>81</v>
      </c>
      <c r="B85" s="87">
        <f t="shared" si="30"/>
        <v>-3138478.4448699714</v>
      </c>
      <c r="C85" s="70">
        <f>C83+C84</f>
        <v>-3229627.7477331189</v>
      </c>
      <c r="D85" s="123">
        <f t="shared" ref="D85:F85" si="32">D83+D84</f>
        <v>0</v>
      </c>
      <c r="E85" s="123">
        <f t="shared" si="32"/>
        <v>91149.302863147372</v>
      </c>
      <c r="F85" s="69">
        <f t="shared" si="32"/>
        <v>0</v>
      </c>
    </row>
    <row r="86" spans="1:6" s="2" customFormat="1" x14ac:dyDescent="0.2">
      <c r="A86" s="13"/>
      <c r="B86" s="12"/>
      <c r="C86" s="12"/>
      <c r="D86" s="12"/>
    </row>
    <row r="87" spans="1:6" s="2" customFormat="1" x14ac:dyDescent="0.2">
      <c r="A87" s="13"/>
      <c r="B87" s="13"/>
      <c r="C87" s="13"/>
      <c r="D87" s="13"/>
    </row>
    <row r="88" spans="1:6" s="2" customFormat="1" x14ac:dyDescent="0.2">
      <c r="A88" s="88"/>
      <c r="B88" s="11"/>
      <c r="C88" s="11"/>
      <c r="D88" s="11"/>
    </row>
    <row r="89" spans="1:6" s="2" customFormat="1" x14ac:dyDescent="0.2">
      <c r="A89" s="13"/>
      <c r="B89" s="11"/>
      <c r="C89" s="11"/>
      <c r="D89" s="11"/>
    </row>
    <row r="90" spans="1:6" s="2" customFormat="1" x14ac:dyDescent="0.2">
      <c r="A90" s="13"/>
    </row>
    <row r="91" spans="1:6" s="2" customFormat="1" x14ac:dyDescent="0.2">
      <c r="A91" s="89"/>
    </row>
  </sheetData>
  <pageMargins left="0.7" right="0.7" top="0.75" bottom="0.75" header="0.3" footer="0.3"/>
  <pageSetup scale="55" firstPageNumber="25" orientation="portrait" useFirstPageNumber="1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zoomScaleNormal="100" zoomScaleSheetLayoutView="100" workbookViewId="0">
      <selection activeCell="N10" sqref="N10"/>
    </sheetView>
  </sheetViews>
  <sheetFormatPr defaultRowHeight="12.75" x14ac:dyDescent="0.2"/>
  <cols>
    <col min="1" max="1" width="3.85546875" style="18" customWidth="1"/>
    <col min="2" max="4" width="15.7109375" style="18" customWidth="1"/>
    <col min="5" max="5" width="13.42578125" style="18" bestFit="1" customWidth="1"/>
    <col min="6" max="16384" width="9.140625" style="18"/>
  </cols>
  <sheetData>
    <row r="1" spans="2:5" x14ac:dyDescent="0.2">
      <c r="B1" s="23" t="s">
        <v>6</v>
      </c>
    </row>
    <row r="2" spans="2:5" x14ac:dyDescent="0.2">
      <c r="B2" s="23" t="str">
        <f>[5]Summary!A2</f>
        <v>Washington Limited-Issue Rate Filing</v>
      </c>
    </row>
    <row r="3" spans="2:5" x14ac:dyDescent="0.2">
      <c r="B3" s="23" t="s">
        <v>128</v>
      </c>
    </row>
    <row r="6" spans="2:5" x14ac:dyDescent="0.2">
      <c r="B6" s="40" t="s">
        <v>93</v>
      </c>
      <c r="C6" s="45"/>
      <c r="D6" s="45"/>
      <c r="E6" s="45"/>
    </row>
    <row r="7" spans="2:5" s="47" customFormat="1" x14ac:dyDescent="0.2">
      <c r="B7" s="41"/>
      <c r="C7" s="41" t="s">
        <v>0</v>
      </c>
      <c r="D7" s="42" t="s">
        <v>1</v>
      </c>
      <c r="E7" s="41" t="s">
        <v>2</v>
      </c>
    </row>
    <row r="8" spans="2:5" x14ac:dyDescent="0.2">
      <c r="B8" s="43" t="s">
        <v>3</v>
      </c>
      <c r="C8" s="93">
        <v>0.50880000000000003</v>
      </c>
      <c r="D8" s="94">
        <v>4.9200000000000001E-2</v>
      </c>
      <c r="E8" s="102">
        <f>C8*D8</f>
        <v>2.5032960000000003E-2</v>
      </c>
    </row>
    <row r="9" spans="2:5" x14ac:dyDescent="0.2">
      <c r="B9" s="43" t="s">
        <v>4</v>
      </c>
      <c r="C9" s="93">
        <v>2.0000000000000001E-4</v>
      </c>
      <c r="D9" s="94">
        <v>6.7500000000000004E-2</v>
      </c>
      <c r="E9" s="102">
        <f>C9*D9</f>
        <v>1.3500000000000001E-5</v>
      </c>
    </row>
    <row r="10" spans="2:5" x14ac:dyDescent="0.2">
      <c r="B10" s="44" t="s">
        <v>5</v>
      </c>
      <c r="C10" s="95">
        <v>0.49099999999999999</v>
      </c>
      <c r="D10" s="96">
        <v>9.5000000000000001E-2</v>
      </c>
      <c r="E10" s="103">
        <f>C10*D10</f>
        <v>4.6644999999999999E-2</v>
      </c>
    </row>
    <row r="11" spans="2:5" x14ac:dyDescent="0.2">
      <c r="E11" s="104">
        <f>SUM(E8:E10)</f>
        <v>7.1691459999999999E-2</v>
      </c>
    </row>
    <row r="16" spans="2:5" x14ac:dyDescent="0.2">
      <c r="B16" s="24" t="s">
        <v>91</v>
      </c>
      <c r="C16" s="48"/>
    </row>
    <row r="17" spans="2:6" x14ac:dyDescent="0.2">
      <c r="B17" s="18" t="s">
        <v>62</v>
      </c>
      <c r="D17" s="35">
        <v>1</v>
      </c>
    </row>
    <row r="18" spans="2:6" x14ac:dyDescent="0.2">
      <c r="D18" s="35"/>
    </row>
    <row r="19" spans="2:6" x14ac:dyDescent="0.2">
      <c r="B19" s="18" t="s">
        <v>85</v>
      </c>
      <c r="D19" s="35"/>
    </row>
    <row r="20" spans="2:6" x14ac:dyDescent="0.2">
      <c r="B20" s="18" t="s">
        <v>86</v>
      </c>
      <c r="D20" s="97">
        <v>5.1435834186224598E-3</v>
      </c>
      <c r="F20" s="53"/>
    </row>
    <row r="21" spans="2:6" x14ac:dyDescent="0.2">
      <c r="B21" s="18" t="s">
        <v>84</v>
      </c>
      <c r="D21" s="97">
        <v>2E-3</v>
      </c>
    </row>
    <row r="22" spans="2:6" x14ac:dyDescent="0.2">
      <c r="B22" s="18" t="s">
        <v>105</v>
      </c>
      <c r="D22" s="97">
        <v>3.95E-2</v>
      </c>
    </row>
    <row r="23" spans="2:6" x14ac:dyDescent="0.2">
      <c r="B23" s="18" t="s">
        <v>87</v>
      </c>
      <c r="D23" s="97">
        <v>0</v>
      </c>
    </row>
    <row r="24" spans="2:6" x14ac:dyDescent="0.2">
      <c r="B24" s="18" t="s">
        <v>88</v>
      </c>
      <c r="D24" s="96">
        <v>0</v>
      </c>
    </row>
    <row r="25" spans="2:6" x14ac:dyDescent="0.2">
      <c r="D25" s="35"/>
    </row>
    <row r="26" spans="2:6" x14ac:dyDescent="0.2">
      <c r="B26" s="18" t="s">
        <v>89</v>
      </c>
      <c r="D26" s="49">
        <f>D17-SUM(D19:D24)</f>
        <v>0.95335641658137749</v>
      </c>
    </row>
    <row r="27" spans="2:6" x14ac:dyDescent="0.2">
      <c r="D27" s="35"/>
    </row>
    <row r="28" spans="2:6" x14ac:dyDescent="0.2">
      <c r="B28" s="18" t="s">
        <v>92</v>
      </c>
      <c r="D28" s="36">
        <v>0</v>
      </c>
    </row>
    <row r="29" spans="2:6" x14ac:dyDescent="0.2">
      <c r="D29" s="35"/>
    </row>
    <row r="30" spans="2:6" x14ac:dyDescent="0.2">
      <c r="B30" s="18" t="s">
        <v>89</v>
      </c>
      <c r="D30" s="49">
        <f>D26-D28</f>
        <v>0.95335641658137749</v>
      </c>
    </row>
    <row r="31" spans="2:6" x14ac:dyDescent="0.2">
      <c r="D31" s="35"/>
    </row>
    <row r="32" spans="2:6" x14ac:dyDescent="0.2">
      <c r="B32" s="18" t="s">
        <v>108</v>
      </c>
      <c r="D32" s="36">
        <f>D30*0.21</f>
        <v>0.20020484748208928</v>
      </c>
    </row>
    <row r="33" spans="2:4" x14ac:dyDescent="0.2">
      <c r="D33" s="50"/>
    </row>
    <row r="34" spans="2:4" ht="13.5" thickBot="1" x14ac:dyDescent="0.25">
      <c r="B34" s="18" t="s">
        <v>90</v>
      </c>
      <c r="D34" s="51">
        <f>ROUND(D30-D32,5)</f>
        <v>0.75314999999999999</v>
      </c>
    </row>
    <row r="35" spans="2:4" ht="13.5" thickTop="1" x14ac:dyDescent="0.2">
      <c r="D35" s="52"/>
    </row>
  </sheetData>
  <phoneticPr fontId="3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8E453F-278E-4D53-BD71-0EAA9B443400}"/>
</file>

<file path=customXml/itemProps2.xml><?xml version="1.0" encoding="utf-8"?>
<ds:datastoreItem xmlns:ds="http://schemas.openxmlformats.org/officeDocument/2006/customXml" ds:itemID="{D9BC587F-830B-487D-A7FB-B1870760D26E}"/>
</file>

<file path=customXml/itemProps3.xml><?xml version="1.0" encoding="utf-8"?>
<ds:datastoreItem xmlns:ds="http://schemas.openxmlformats.org/officeDocument/2006/customXml" ds:itemID="{60B87CE0-83C8-47DC-A837-AF96C38F7B80}"/>
</file>

<file path=customXml/itemProps4.xml><?xml version="1.0" encoding="utf-8"?>
<ds:datastoreItem xmlns:ds="http://schemas.openxmlformats.org/officeDocument/2006/customXml" ds:itemID="{19B34E71-AFB7-42DD-B2BD-5F89D8154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Cheung, Sherona (PacifiCorp)</cp:lastModifiedBy>
  <cp:lastPrinted>2021-10-11T22:58:07Z</cp:lastPrinted>
  <dcterms:created xsi:type="dcterms:W3CDTF">2009-02-17T19:17:29Z</dcterms:created>
  <dcterms:modified xsi:type="dcterms:W3CDTF">2021-10-11T22:59:57Z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