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4235" windowHeight="6660" activeTab="1"/>
  </bookViews>
  <sheets>
    <sheet name="A" sheetId="2" r:id="rId1"/>
    <sheet name="A-1" sheetId="1" r:id="rId2"/>
    <sheet name="A-2" sheetId="3" r:id="rId3"/>
    <sheet name="B" sheetId="26" r:id="rId4"/>
    <sheet name="C" sheetId="25" r:id="rId5"/>
    <sheet name="C-1" sheetId="20" r:id="rId6"/>
    <sheet name="C-1.1" sheetId="8" r:id="rId7"/>
    <sheet name="C-1.2" sheetId="23" r:id="rId8"/>
    <sheet name="C-2" sheetId="7" r:id="rId9"/>
    <sheet name="C-2.1" sheetId="6" r:id="rId10"/>
    <sheet name="C-3" sheetId="9" r:id="rId11"/>
    <sheet name="C-4" sheetId="21" r:id="rId12"/>
    <sheet name="C-4.1" sheetId="18" r:id="rId13"/>
    <sheet name="C-5" sheetId="17" r:id="rId14"/>
    <sheet name="C-5.1" sheetId="22" r:id="rId15"/>
    <sheet name="C-6" sheetId="10" r:id="rId16"/>
    <sheet name="C-7" sheetId="11" r:id="rId17"/>
    <sheet name="C-8" sheetId="12" r:id="rId18"/>
    <sheet name="C-9" sheetId="13" r:id="rId19"/>
    <sheet name="C-10" sheetId="14" r:id="rId20"/>
    <sheet name="C-11" sheetId="16" r:id="rId21"/>
    <sheet name="C-12" sheetId="15" r:id="rId22"/>
    <sheet name="c-13" sheetId="19" r:id="rId23"/>
    <sheet name="C-14" sheetId="24" r:id="rId24"/>
    <sheet name="C-15" sheetId="5" r:id="rId25"/>
    <sheet name="D" sheetId="4" r:id="rId26"/>
  </sheets>
  <externalReferences>
    <externalReference r:id="rId27"/>
    <externalReference r:id="rId28"/>
  </externalReferences>
  <definedNames>
    <definedName name="_xlnm.Print_Area" localSheetId="1">'A-1'!$A$1:$BF$70</definedName>
    <definedName name="_xlnm.Print_Area" localSheetId="9">'C-2.1'!$A$4:$M$130</definedName>
    <definedName name="_xlnm.Print_Titles" localSheetId="1">'A-1'!$A:$D</definedName>
    <definedName name="_xlnm.Print_Titles" localSheetId="9">'C-2.1'!$1:$11</definedName>
  </definedNames>
  <calcPr calcId="125725" fullCalcOnLoad="1"/>
</workbook>
</file>

<file path=xl/calcChain.xml><?xml version="1.0" encoding="utf-8"?>
<calcChain xmlns="http://schemas.openxmlformats.org/spreadsheetml/2006/main">
  <c r="B30" i="23"/>
  <c r="B35"/>
  <c r="B46" i="18"/>
  <c r="B58" i="22"/>
  <c r="B68" s="1"/>
  <c r="B43" i="8"/>
  <c r="B25"/>
  <c r="B30" s="1"/>
  <c r="B35"/>
  <c r="B18"/>
  <c r="D18" s="1"/>
  <c r="F18" s="1"/>
  <c r="B10"/>
  <c r="C34" i="18"/>
  <c r="C35"/>
  <c r="C36"/>
  <c r="C38"/>
  <c r="C40" s="1"/>
  <c r="E23" i="21" s="1"/>
  <c r="D35" i="8"/>
  <c r="F35" s="1"/>
  <c r="B45"/>
  <c r="A56" i="18"/>
  <c r="B15" i="8"/>
  <c r="B56" i="18"/>
  <c r="A68" i="22"/>
  <c r="D43" i="8"/>
  <c r="F43"/>
  <c r="AH27" i="1"/>
  <c r="BE50"/>
  <c r="D10" i="8"/>
  <c r="F10"/>
  <c r="D25"/>
  <c r="F25" s="1"/>
  <c r="F16" i="25"/>
  <c r="F25"/>
  <c r="F27"/>
  <c r="F32"/>
  <c r="F34"/>
  <c r="E15"/>
  <c r="E21"/>
  <c r="E22"/>
  <c r="E23"/>
  <c r="E30"/>
  <c r="E31"/>
  <c r="E32"/>
  <c r="F22" i="26"/>
  <c r="F19"/>
  <c r="F27" s="1"/>
  <c r="E19"/>
  <c r="E22"/>
  <c r="E27" s="1"/>
  <c r="A3" i="17"/>
  <c r="A3" i="22" s="1"/>
  <c r="A2" i="17"/>
  <c r="A2" i="22" s="1"/>
  <c r="A1" i="17"/>
  <c r="A1" i="22" s="1"/>
  <c r="A3" i="21"/>
  <c r="A3" i="18" s="1"/>
  <c r="A2" i="21"/>
  <c r="A2" i="18" s="1"/>
  <c r="A1" i="21"/>
  <c r="A1" i="18" s="1"/>
  <c r="D22" i="23"/>
  <c r="AG68" i="1"/>
  <c r="E24" i="24"/>
  <c r="E26" s="1"/>
  <c r="A3" i="19"/>
  <c r="A3" i="24" s="1"/>
  <c r="A2" i="19"/>
  <c r="A2" i="24" s="1"/>
  <c r="A1" i="19"/>
  <c r="A1" i="24" s="1"/>
  <c r="A4" i="8"/>
  <c r="A4" i="23" s="1"/>
  <c r="A3" i="8"/>
  <c r="A3" i="23" s="1"/>
  <c r="A2" i="8"/>
  <c r="A2" i="23" s="1"/>
  <c r="A1" i="3"/>
  <c r="A1" i="8" s="1"/>
  <c r="A1" i="23" s="1"/>
  <c r="B31"/>
  <c r="E16" s="1"/>
  <c r="E22" s="1"/>
  <c r="B51" i="8" s="1"/>
  <c r="E12" i="23"/>
  <c r="E14"/>
  <c r="E18"/>
  <c r="E20"/>
  <c r="C22"/>
  <c r="C42" i="22"/>
  <c r="C43"/>
  <c r="C44"/>
  <c r="C45"/>
  <c r="C46"/>
  <c r="C47"/>
  <c r="C49"/>
  <c r="C51" s="1"/>
  <c r="E23" i="17" s="1"/>
  <c r="E17"/>
  <c r="E31"/>
  <c r="E41"/>
  <c r="A4"/>
  <c r="C10" i="22"/>
  <c r="C11"/>
  <c r="C12"/>
  <c r="C13"/>
  <c r="C14"/>
  <c r="C15"/>
  <c r="C17"/>
  <c r="C19" s="1"/>
  <c r="C26"/>
  <c r="C27"/>
  <c r="C28"/>
  <c r="C29"/>
  <c r="C30"/>
  <c r="C31"/>
  <c r="C33"/>
  <c r="C35" s="1"/>
  <c r="E60" i="17" s="1"/>
  <c r="C22" i="18"/>
  <c r="C26" s="1"/>
  <c r="C28" s="1"/>
  <c r="E60" i="21" s="1"/>
  <c r="C23" i="18"/>
  <c r="C24"/>
  <c r="C10"/>
  <c r="C14" s="1"/>
  <c r="C16" s="1"/>
  <c r="C11"/>
  <c r="C12"/>
  <c r="E17" i="21"/>
  <c r="E31"/>
  <c r="E41"/>
  <c r="A4"/>
  <c r="E31" i="20"/>
  <c r="E41"/>
  <c r="A4"/>
  <c r="A3"/>
  <c r="A2"/>
  <c r="A1"/>
  <c r="A2" i="2"/>
  <c r="D49" i="8"/>
  <c r="F49" s="1"/>
  <c r="D50"/>
  <c r="F50"/>
  <c r="E22" i="20" s="1"/>
  <c r="AI24" i="1" s="1"/>
  <c r="BE24" s="1"/>
  <c r="D52" i="8"/>
  <c r="F52"/>
  <c r="G52" s="1"/>
  <c r="D53"/>
  <c r="F53" s="1"/>
  <c r="G53" s="1"/>
  <c r="D54"/>
  <c r="F54"/>
  <c r="G54" s="1"/>
  <c r="D55"/>
  <c r="F55" s="1"/>
  <c r="G55" s="1"/>
  <c r="D56"/>
  <c r="F56"/>
  <c r="G56" s="1"/>
  <c r="D57"/>
  <c r="F57" s="1"/>
  <c r="G57" s="1"/>
  <c r="D58"/>
  <c r="F58"/>
  <c r="G58" s="1"/>
  <c r="G43"/>
  <c r="D44"/>
  <c r="F44" s="1"/>
  <c r="G44" s="1"/>
  <c r="G45" s="1"/>
  <c r="D36"/>
  <c r="F36"/>
  <c r="G36" s="1"/>
  <c r="D37"/>
  <c r="F37" s="1"/>
  <c r="G37"/>
  <c r="D38"/>
  <c r="F38"/>
  <c r="G38" s="1"/>
  <c r="D39"/>
  <c r="F39" s="1"/>
  <c r="G39"/>
  <c r="D64"/>
  <c r="F64"/>
  <c r="D65"/>
  <c r="D66"/>
  <c r="F66"/>
  <c r="G66" s="1"/>
  <c r="D45"/>
  <c r="C59"/>
  <c r="C45"/>
  <c r="C40"/>
  <c r="C61"/>
  <c r="C67"/>
  <c r="C69"/>
  <c r="B40"/>
  <c r="B67"/>
  <c r="G10"/>
  <c r="D11"/>
  <c r="F11"/>
  <c r="G11" s="1"/>
  <c r="D12"/>
  <c r="D13"/>
  <c r="F13"/>
  <c r="G13" s="1"/>
  <c r="D14"/>
  <c r="F14" s="1"/>
  <c r="G14"/>
  <c r="D19"/>
  <c r="F19"/>
  <c r="G19" s="1"/>
  <c r="D20"/>
  <c r="F20" s="1"/>
  <c r="D21"/>
  <c r="F21"/>
  <c r="G21" s="1"/>
  <c r="D26"/>
  <c r="D27"/>
  <c r="F27"/>
  <c r="G27" s="1"/>
  <c r="D28"/>
  <c r="F28" s="1"/>
  <c r="G28"/>
  <c r="D29"/>
  <c r="F29"/>
  <c r="G29" s="1"/>
  <c r="C15"/>
  <c r="E56" i="20" s="1"/>
  <c r="AI59" i="1" s="1"/>
  <c r="BE59" s="1"/>
  <c r="C22" i="8"/>
  <c r="C30"/>
  <c r="C32"/>
  <c r="B22"/>
  <c r="B32"/>
  <c r="L117" i="6"/>
  <c r="L52"/>
  <c r="J15"/>
  <c r="K15"/>
  <c r="M15" s="1"/>
  <c r="J16"/>
  <c r="K16" s="1"/>
  <c r="M16" s="1"/>
  <c r="J17"/>
  <c r="K17"/>
  <c r="M17" s="1"/>
  <c r="J18"/>
  <c r="K18" s="1"/>
  <c r="M18" s="1"/>
  <c r="J20"/>
  <c r="K20"/>
  <c r="M20" s="1"/>
  <c r="J21"/>
  <c r="K21" s="1"/>
  <c r="M21" s="1"/>
  <c r="J22"/>
  <c r="K22"/>
  <c r="M22" s="1"/>
  <c r="J23"/>
  <c r="K23" s="1"/>
  <c r="M23" s="1"/>
  <c r="J14"/>
  <c r="K14"/>
  <c r="M14" s="1"/>
  <c r="J19"/>
  <c r="K19" s="1"/>
  <c r="M19" s="1"/>
  <c r="J28"/>
  <c r="K28" s="1"/>
  <c r="M28" s="1"/>
  <c r="J29"/>
  <c r="K29"/>
  <c r="M29" s="1"/>
  <c r="J30"/>
  <c r="K30" s="1"/>
  <c r="M30" s="1"/>
  <c r="J31"/>
  <c r="K31"/>
  <c r="M31" s="1"/>
  <c r="J33"/>
  <c r="K33" s="1"/>
  <c r="M33" s="1"/>
  <c r="J34"/>
  <c r="K34"/>
  <c r="M34" s="1"/>
  <c r="J35"/>
  <c r="K35" s="1"/>
  <c r="M35" s="1"/>
  <c r="J36"/>
  <c r="K36"/>
  <c r="M36" s="1"/>
  <c r="J27"/>
  <c r="K27" s="1"/>
  <c r="M27" s="1"/>
  <c r="M37" s="1"/>
  <c r="J32"/>
  <c r="K32"/>
  <c r="M32" s="1"/>
  <c r="J41"/>
  <c r="K41"/>
  <c r="M41" s="1"/>
  <c r="J42"/>
  <c r="K42" s="1"/>
  <c r="M42"/>
  <c r="J43"/>
  <c r="K43"/>
  <c r="M43" s="1"/>
  <c r="J45"/>
  <c r="K45" s="1"/>
  <c r="M45"/>
  <c r="J46"/>
  <c r="K46"/>
  <c r="M46" s="1"/>
  <c r="J47"/>
  <c r="K47" s="1"/>
  <c r="M47"/>
  <c r="J40"/>
  <c r="K40"/>
  <c r="M40" s="1"/>
  <c r="J44"/>
  <c r="K44" s="1"/>
  <c r="M44"/>
  <c r="J52"/>
  <c r="K52" s="1"/>
  <c r="M52"/>
  <c r="J51"/>
  <c r="K51"/>
  <c r="M51" s="1"/>
  <c r="M53" s="1"/>
  <c r="J60"/>
  <c r="K60"/>
  <c r="M60" s="1"/>
  <c r="J61"/>
  <c r="K61" s="1"/>
  <c r="M61" s="1"/>
  <c r="J62"/>
  <c r="K62"/>
  <c r="M62" s="1"/>
  <c r="J63"/>
  <c r="K63" s="1"/>
  <c r="M63" s="1"/>
  <c r="J64"/>
  <c r="K64"/>
  <c r="M64" s="1"/>
  <c r="J66"/>
  <c r="K66" s="1"/>
  <c r="M66" s="1"/>
  <c r="J67"/>
  <c r="K67"/>
  <c r="M67" s="1"/>
  <c r="J68"/>
  <c r="K68" s="1"/>
  <c r="M68" s="1"/>
  <c r="J69"/>
  <c r="K69"/>
  <c r="M69" s="1"/>
  <c r="J70"/>
  <c r="K70" s="1"/>
  <c r="M70" s="1"/>
  <c r="J58"/>
  <c r="K58"/>
  <c r="M58" s="1"/>
  <c r="J59"/>
  <c r="K59" s="1"/>
  <c r="J65"/>
  <c r="K65"/>
  <c r="M65" s="1"/>
  <c r="J75"/>
  <c r="K75"/>
  <c r="M75" s="1"/>
  <c r="J76"/>
  <c r="K76" s="1"/>
  <c r="M76" s="1"/>
  <c r="J77"/>
  <c r="K77"/>
  <c r="M77" s="1"/>
  <c r="J78"/>
  <c r="K78" s="1"/>
  <c r="M78" s="1"/>
  <c r="J79"/>
  <c r="K79"/>
  <c r="M79" s="1"/>
  <c r="J80"/>
  <c r="K80" s="1"/>
  <c r="M80" s="1"/>
  <c r="J81"/>
  <c r="K81"/>
  <c r="M81" s="1"/>
  <c r="J82"/>
  <c r="K82" s="1"/>
  <c r="M82" s="1"/>
  <c r="J83"/>
  <c r="K83"/>
  <c r="M83" s="1"/>
  <c r="J85"/>
  <c r="K85" s="1"/>
  <c r="M85" s="1"/>
  <c r="J86"/>
  <c r="K86"/>
  <c r="M86" s="1"/>
  <c r="J87"/>
  <c r="K87" s="1"/>
  <c r="M87" s="1"/>
  <c r="J88"/>
  <c r="K88"/>
  <c r="M88" s="1"/>
  <c r="J89"/>
  <c r="K89" s="1"/>
  <c r="M89" s="1"/>
  <c r="J90"/>
  <c r="K90"/>
  <c r="M90" s="1"/>
  <c r="J91"/>
  <c r="K91" s="1"/>
  <c r="M91" s="1"/>
  <c r="J92"/>
  <c r="K92"/>
  <c r="M92" s="1"/>
  <c r="J74"/>
  <c r="K74" s="1"/>
  <c r="J84"/>
  <c r="K84"/>
  <c r="M84" s="1"/>
  <c r="J97"/>
  <c r="K97"/>
  <c r="M97" s="1"/>
  <c r="J96"/>
  <c r="K96" s="1"/>
  <c r="J98"/>
  <c r="K98"/>
  <c r="M98" s="1"/>
  <c r="J99"/>
  <c r="K99" s="1"/>
  <c r="M99" s="1"/>
  <c r="J110"/>
  <c r="K110" s="1"/>
  <c r="J111"/>
  <c r="K111"/>
  <c r="M111" s="1"/>
  <c r="J112"/>
  <c r="K112" s="1"/>
  <c r="M112" s="1"/>
  <c r="J113"/>
  <c r="K113"/>
  <c r="M113" s="1"/>
  <c r="J117"/>
  <c r="K117"/>
  <c r="M117" s="1"/>
  <c r="J127"/>
  <c r="K127" s="1"/>
  <c r="M127" s="1"/>
  <c r="J118"/>
  <c r="K118"/>
  <c r="M118" s="1"/>
  <c r="J119"/>
  <c r="K119" s="1"/>
  <c r="J120"/>
  <c r="K120"/>
  <c r="M120" s="1"/>
  <c r="J121"/>
  <c r="K121" s="1"/>
  <c r="M121" s="1"/>
  <c r="J122"/>
  <c r="K122"/>
  <c r="M122" s="1"/>
  <c r="J123"/>
  <c r="K123" s="1"/>
  <c r="M123" s="1"/>
  <c r="J124"/>
  <c r="K124"/>
  <c r="M124" s="1"/>
  <c r="J125"/>
  <c r="K125" s="1"/>
  <c r="M125" s="1"/>
  <c r="J126"/>
  <c r="K126"/>
  <c r="M126" s="1"/>
  <c r="J103"/>
  <c r="K103"/>
  <c r="M103" s="1"/>
  <c r="J104"/>
  <c r="K104" s="1"/>
  <c r="J105"/>
  <c r="K105"/>
  <c r="M105" s="1"/>
  <c r="J106"/>
  <c r="K106" s="1"/>
  <c r="M106" s="1"/>
  <c r="L24"/>
  <c r="L37"/>
  <c r="L48"/>
  <c r="L53"/>
  <c r="L55" s="1"/>
  <c r="L130" s="1"/>
  <c r="L71"/>
  <c r="L93"/>
  <c r="L100"/>
  <c r="L107"/>
  <c r="L114"/>
  <c r="L128"/>
  <c r="E13" i="13"/>
  <c r="E22" i="19"/>
  <c r="E24" s="1"/>
  <c r="BD33" i="1"/>
  <c r="BD27"/>
  <c r="E17" i="19"/>
  <c r="BD69" i="1" s="1"/>
  <c r="BE69" s="1"/>
  <c r="F15" i="12"/>
  <c r="D15"/>
  <c r="H13"/>
  <c r="A1" i="4"/>
  <c r="A1" i="5"/>
  <c r="A1" i="15"/>
  <c r="A1" i="16"/>
  <c r="A1" i="14"/>
  <c r="A1" i="13"/>
  <c r="A1" i="12"/>
  <c r="A1" i="11"/>
  <c r="A1" i="10"/>
  <c r="A1" i="9"/>
  <c r="A1" i="6"/>
  <c r="A1" i="7"/>
  <c r="A4" i="6"/>
  <c r="A3"/>
  <c r="A2"/>
  <c r="BE68" i="1"/>
  <c r="BE64"/>
  <c r="BE60"/>
  <c r="BE61"/>
  <c r="BD62"/>
  <c r="BD65"/>
  <c r="BD70"/>
  <c r="BC62"/>
  <c r="BC65"/>
  <c r="BC70" s="1"/>
  <c r="BB62"/>
  <c r="BB65"/>
  <c r="BB70"/>
  <c r="BA62"/>
  <c r="BA65"/>
  <c r="BA70" s="1"/>
  <c r="AZ62"/>
  <c r="AZ65"/>
  <c r="AZ70"/>
  <c r="AY62"/>
  <c r="AY65"/>
  <c r="AY70" s="1"/>
  <c r="AX62"/>
  <c r="AX65"/>
  <c r="AX70"/>
  <c r="AW62"/>
  <c r="AW65"/>
  <c r="AW70" s="1"/>
  <c r="AV62"/>
  <c r="AV65"/>
  <c r="AV70"/>
  <c r="AU62"/>
  <c r="AU65"/>
  <c r="AU70" s="1"/>
  <c r="AT62"/>
  <c r="AT65"/>
  <c r="AT70"/>
  <c r="AS62"/>
  <c r="AS65"/>
  <c r="AS70" s="1"/>
  <c r="AR62"/>
  <c r="AR65"/>
  <c r="AR70"/>
  <c r="AQ62"/>
  <c r="AQ65"/>
  <c r="AQ70" s="1"/>
  <c r="AP62"/>
  <c r="AP65"/>
  <c r="AP70"/>
  <c r="AO62"/>
  <c r="AO65"/>
  <c r="AO70" s="1"/>
  <c r="AL62"/>
  <c r="AL65"/>
  <c r="AL70"/>
  <c r="AK62"/>
  <c r="AK65"/>
  <c r="AK70" s="1"/>
  <c r="AJ62"/>
  <c r="AJ65"/>
  <c r="AJ70"/>
  <c r="AH62"/>
  <c r="AH65"/>
  <c r="AH70" s="1"/>
  <c r="N57"/>
  <c r="AG57" s="1"/>
  <c r="N58"/>
  <c r="AG58" s="1"/>
  <c r="N59"/>
  <c r="AG59" s="1"/>
  <c r="N60"/>
  <c r="AG60" s="1"/>
  <c r="BF60" s="1"/>
  <c r="G17" i="26" s="1"/>
  <c r="N61" i="1"/>
  <c r="AG61" s="1"/>
  <c r="BF61" s="1"/>
  <c r="G18" i="26" s="1"/>
  <c r="N63" i="1"/>
  <c r="AG63"/>
  <c r="AG65" s="1"/>
  <c r="N64"/>
  <c r="AG64"/>
  <c r="N66"/>
  <c r="AG66" s="1"/>
  <c r="N67"/>
  <c r="AF70"/>
  <c r="AE70"/>
  <c r="AD70"/>
  <c r="AC62"/>
  <c r="AC65"/>
  <c r="AC70"/>
  <c r="AB62"/>
  <c r="AB65"/>
  <c r="AB70" s="1"/>
  <c r="AA62"/>
  <c r="AA65"/>
  <c r="AA70"/>
  <c r="Z62"/>
  <c r="Z65"/>
  <c r="Z70" s="1"/>
  <c r="Y62"/>
  <c r="Y65"/>
  <c r="Y70"/>
  <c r="X62"/>
  <c r="X65"/>
  <c r="X70" s="1"/>
  <c r="W62"/>
  <c r="W65"/>
  <c r="W70"/>
  <c r="V62"/>
  <c r="V65"/>
  <c r="V70" s="1"/>
  <c r="U62"/>
  <c r="U65"/>
  <c r="U70"/>
  <c r="T62"/>
  <c r="T65"/>
  <c r="T70" s="1"/>
  <c r="S62"/>
  <c r="S65"/>
  <c r="R62"/>
  <c r="R65"/>
  <c r="R70" s="1"/>
  <c r="Q62"/>
  <c r="Q65"/>
  <c r="Q70"/>
  <c r="P62"/>
  <c r="P65"/>
  <c r="P70" s="1"/>
  <c r="O62"/>
  <c r="O65"/>
  <c r="O70"/>
  <c r="N65"/>
  <c r="M62"/>
  <c r="M65"/>
  <c r="M70"/>
  <c r="L62"/>
  <c r="L65"/>
  <c r="L70" s="1"/>
  <c r="K62"/>
  <c r="K65"/>
  <c r="K70"/>
  <c r="J62"/>
  <c r="J65"/>
  <c r="J70" s="1"/>
  <c r="I62"/>
  <c r="I65"/>
  <c r="I70"/>
  <c r="H62"/>
  <c r="H65"/>
  <c r="H70" s="1"/>
  <c r="G62"/>
  <c r="G65"/>
  <c r="G70"/>
  <c r="F62"/>
  <c r="F65"/>
  <c r="F70" s="1"/>
  <c r="E62"/>
  <c r="E65"/>
  <c r="E70"/>
  <c r="AH43"/>
  <c r="AH33"/>
  <c r="AH17"/>
  <c r="AH19"/>
  <c r="BB33"/>
  <c r="BB27"/>
  <c r="K53" i="6"/>
  <c r="K48"/>
  <c r="K37"/>
  <c r="K24"/>
  <c r="K55"/>
  <c r="AJ17" i="1"/>
  <c r="AJ19" s="1"/>
  <c r="AK33"/>
  <c r="AK27"/>
  <c r="AK17"/>
  <c r="AK19" s="1"/>
  <c r="AS43"/>
  <c r="AS33"/>
  <c r="AS17"/>
  <c r="AS19" s="1"/>
  <c r="AU43"/>
  <c r="AU33"/>
  <c r="AU17"/>
  <c r="AU19" s="1"/>
  <c r="AV33"/>
  <c r="AV27"/>
  <c r="AV17"/>
  <c r="AV19" s="1"/>
  <c r="AY33"/>
  <c r="AY27"/>
  <c r="AY17"/>
  <c r="AY19" s="1"/>
  <c r="BA33"/>
  <c r="BA27"/>
  <c r="BC33"/>
  <c r="BC27"/>
  <c r="AI43"/>
  <c r="AI33"/>
  <c r="AL17"/>
  <c r="AL19" s="1"/>
  <c r="AL46" s="1"/>
  <c r="AL43"/>
  <c r="AL44" s="1"/>
  <c r="AL33"/>
  <c r="AL27"/>
  <c r="AM17"/>
  <c r="AM19"/>
  <c r="AM43"/>
  <c r="AM33"/>
  <c r="AN17"/>
  <c r="AN19"/>
  <c r="AN43"/>
  <c r="AN33"/>
  <c r="AO17"/>
  <c r="AO19"/>
  <c r="AO46" s="1"/>
  <c r="AO43"/>
  <c r="AO33"/>
  <c r="AO27"/>
  <c r="AO44"/>
  <c r="AP17"/>
  <c r="AP19" s="1"/>
  <c r="AP46" s="1"/>
  <c r="AP43"/>
  <c r="AP44" s="1"/>
  <c r="AP33"/>
  <c r="AP27"/>
  <c r="AQ17"/>
  <c r="AQ19"/>
  <c r="AQ46" s="1"/>
  <c r="AQ43"/>
  <c r="AQ33"/>
  <c r="AQ27"/>
  <c r="AQ44"/>
  <c r="AR17"/>
  <c r="AR19" s="1"/>
  <c r="AR46" s="1"/>
  <c r="AR43"/>
  <c r="AR44" s="1"/>
  <c r="AR33"/>
  <c r="AR27"/>
  <c r="AT17"/>
  <c r="AT19"/>
  <c r="AT46" s="1"/>
  <c r="AT43"/>
  <c r="AT33"/>
  <c r="AT27"/>
  <c r="AT44"/>
  <c r="AW17"/>
  <c r="AW19" s="1"/>
  <c r="AW46" s="1"/>
  <c r="AW43"/>
  <c r="AW44" s="1"/>
  <c r="AW33"/>
  <c r="AW27"/>
  <c r="AX17"/>
  <c r="AX19"/>
  <c r="AX46" s="1"/>
  <c r="AX43"/>
  <c r="AX33"/>
  <c r="AX27"/>
  <c r="AX44"/>
  <c r="AZ17"/>
  <c r="AZ19" s="1"/>
  <c r="AZ46" s="1"/>
  <c r="AZ43"/>
  <c r="AZ44" s="1"/>
  <c r="AZ33"/>
  <c r="AZ27"/>
  <c r="N49"/>
  <c r="O17"/>
  <c r="O19" s="1"/>
  <c r="O43"/>
  <c r="O44" s="1"/>
  <c r="O33"/>
  <c r="O27"/>
  <c r="P17"/>
  <c r="P19" s="1"/>
  <c r="P43"/>
  <c r="P44" s="1"/>
  <c r="P33"/>
  <c r="P27"/>
  <c r="Q17"/>
  <c r="Q19" s="1"/>
  <c r="Q43"/>
  <c r="Q44" s="1"/>
  <c r="Q33"/>
  <c r="Q27"/>
  <c r="R17"/>
  <c r="R19" s="1"/>
  <c r="R43"/>
  <c r="R44" s="1"/>
  <c r="R33"/>
  <c r="R27"/>
  <c r="S17"/>
  <c r="S19" s="1"/>
  <c r="S43"/>
  <c r="S44" s="1"/>
  <c r="S33"/>
  <c r="S27"/>
  <c r="V17"/>
  <c r="V19" s="1"/>
  <c r="V43"/>
  <c r="V44" s="1"/>
  <c r="V33"/>
  <c r="V27"/>
  <c r="W17"/>
  <c r="W19" s="1"/>
  <c r="W43"/>
  <c r="W44" s="1"/>
  <c r="W33"/>
  <c r="W27"/>
  <c r="X17"/>
  <c r="X19" s="1"/>
  <c r="X43"/>
  <c r="X44" s="1"/>
  <c r="X33"/>
  <c r="X27"/>
  <c r="Y17"/>
  <c r="Y19" s="1"/>
  <c r="Y43"/>
  <c r="Y44" s="1"/>
  <c r="Y33"/>
  <c r="Y27"/>
  <c r="Z17"/>
  <c r="Z19" s="1"/>
  <c r="Z43"/>
  <c r="Z44" s="1"/>
  <c r="Z33"/>
  <c r="Z27"/>
  <c r="AA17"/>
  <c r="AA19" s="1"/>
  <c r="AA43"/>
  <c r="AA44" s="1"/>
  <c r="AA33"/>
  <c r="AA27"/>
  <c r="AB17"/>
  <c r="AB19" s="1"/>
  <c r="AB43"/>
  <c r="AB44" s="1"/>
  <c r="AB33"/>
  <c r="AB27"/>
  <c r="N14"/>
  <c r="AG14" s="1"/>
  <c r="N15"/>
  <c r="AG15" s="1"/>
  <c r="BF15" s="1"/>
  <c r="N16"/>
  <c r="AG16" s="1"/>
  <c r="N18"/>
  <c r="AG18"/>
  <c r="N40"/>
  <c r="AG40" s="1"/>
  <c r="AG43" s="1"/>
  <c r="N41"/>
  <c r="AG41" s="1"/>
  <c r="BF41" s="1"/>
  <c r="AG42"/>
  <c r="N37"/>
  <c r="AG37" s="1"/>
  <c r="N36"/>
  <c r="AG36" s="1"/>
  <c r="N35"/>
  <c r="AG35" s="1"/>
  <c r="N30"/>
  <c r="AG30" s="1"/>
  <c r="N31"/>
  <c r="AG31" s="1"/>
  <c r="BF31" s="1"/>
  <c r="N32"/>
  <c r="AG32" s="1"/>
  <c r="BF32" s="1"/>
  <c r="N23"/>
  <c r="AG23"/>
  <c r="AG27" s="1"/>
  <c r="N24"/>
  <c r="AG24"/>
  <c r="N25"/>
  <c r="AG25"/>
  <c r="N26"/>
  <c r="AG26"/>
  <c r="N50"/>
  <c r="AG50" s="1"/>
  <c r="BF50" s="1"/>
  <c r="G31" i="25" s="1"/>
  <c r="G16" i="3"/>
  <c r="G20"/>
  <c r="BE41" i="1"/>
  <c r="BE42"/>
  <c r="BE31"/>
  <c r="BE32"/>
  <c r="BE39"/>
  <c r="BE38"/>
  <c r="BE22"/>
  <c r="BE15"/>
  <c r="BE14"/>
  <c r="BF14" s="1"/>
  <c r="E19" i="2"/>
  <c r="E23" s="1"/>
  <c r="E17" i="1"/>
  <c r="E14" i="25" s="1"/>
  <c r="E16" s="1"/>
  <c r="E19" i="1"/>
  <c r="E46" s="1"/>
  <c r="E53" s="1"/>
  <c r="E43"/>
  <c r="E24" i="25" s="1"/>
  <c r="E33" i="1"/>
  <c r="E20" i="25" s="1"/>
  <c r="E27" i="1"/>
  <c r="E19" i="25" s="1"/>
  <c r="E44" i="1"/>
  <c r="I17" i="2"/>
  <c r="E15" i="15"/>
  <c r="E19"/>
  <c r="E23" s="1"/>
  <c r="A3"/>
  <c r="A2"/>
  <c r="A3" i="16"/>
  <c r="E14"/>
  <c r="E18"/>
  <c r="E22" s="1"/>
  <c r="A2"/>
  <c r="E15" i="14"/>
  <c r="BA40" i="1" s="1"/>
  <c r="BA43" s="1"/>
  <c r="BA44" s="1"/>
  <c r="BA46" s="1"/>
  <c r="E19" i="14"/>
  <c r="E21" s="1"/>
  <c r="A3"/>
  <c r="A2"/>
  <c r="E17" i="13"/>
  <c r="I33"/>
  <c r="E15"/>
  <c r="A3"/>
  <c r="A2"/>
  <c r="I15" i="10"/>
  <c r="E15" s="1"/>
  <c r="E17" s="1"/>
  <c r="E13"/>
  <c r="G32" i="11"/>
  <c r="G33" s="1"/>
  <c r="E14" s="1"/>
  <c r="G31"/>
  <c r="E12" s="1"/>
  <c r="E30" i="9"/>
  <c r="E15" s="1"/>
  <c r="D11" i="12"/>
  <c r="A3"/>
  <c r="A2"/>
  <c r="A3" i="11"/>
  <c r="A2"/>
  <c r="A3" i="10"/>
  <c r="A2"/>
  <c r="A3" i="9"/>
  <c r="A2"/>
  <c r="J37" i="6"/>
  <c r="J128"/>
  <c r="J114"/>
  <c r="J107"/>
  <c r="J100"/>
  <c r="J93"/>
  <c r="J71"/>
  <c r="J53"/>
  <c r="J55" s="1"/>
  <c r="J130" s="1"/>
  <c r="J48"/>
  <c r="J24"/>
  <c r="I128"/>
  <c r="I114"/>
  <c r="I130" s="1"/>
  <c r="I107"/>
  <c r="I100"/>
  <c r="I93"/>
  <c r="I71"/>
  <c r="I53"/>
  <c r="I48"/>
  <c r="I37"/>
  <c r="I55"/>
  <c r="H128"/>
  <c r="H114"/>
  <c r="H107"/>
  <c r="H100"/>
  <c r="H93"/>
  <c r="H71"/>
  <c r="H53"/>
  <c r="H55" s="1"/>
  <c r="H130" s="1"/>
  <c r="H48"/>
  <c r="H37"/>
  <c r="G128"/>
  <c r="G114"/>
  <c r="G130" s="1"/>
  <c r="G107"/>
  <c r="G100"/>
  <c r="G93"/>
  <c r="G71"/>
  <c r="G53"/>
  <c r="G48"/>
  <c r="G37"/>
  <c r="G55"/>
  <c r="F128"/>
  <c r="F114"/>
  <c r="F107"/>
  <c r="F100"/>
  <c r="F93"/>
  <c r="F71"/>
  <c r="F53"/>
  <c r="F55" s="1"/>
  <c r="F130" s="1"/>
  <c r="F48"/>
  <c r="F37"/>
  <c r="E128"/>
  <c r="E114"/>
  <c r="E130" s="1"/>
  <c r="E107"/>
  <c r="E100"/>
  <c r="E93"/>
  <c r="E71"/>
  <c r="E53"/>
  <c r="E48"/>
  <c r="E37"/>
  <c r="E55"/>
  <c r="A4" i="7"/>
  <c r="A3"/>
  <c r="A2"/>
  <c r="A4" i="5"/>
  <c r="A3"/>
  <c r="A2"/>
  <c r="E15" i="4"/>
  <c r="G13" s="1"/>
  <c r="K13" s="1"/>
  <c r="A4"/>
  <c r="A3"/>
  <c r="A2"/>
  <c r="G18" i="3"/>
  <c r="G24" s="1"/>
  <c r="G26" s="1"/>
  <c r="E24"/>
  <c r="E26"/>
  <c r="E28" s="1"/>
  <c r="E30" s="1"/>
  <c r="E25" i="2" s="1"/>
  <c r="A4" i="3"/>
  <c r="A3"/>
  <c r="A2"/>
  <c r="BF64" i="1"/>
  <c r="G21" i="26" s="1"/>
  <c r="BF48" i="1"/>
  <c r="BF47"/>
  <c r="BF42"/>
  <c r="BF24"/>
  <c r="F17"/>
  <c r="G17"/>
  <c r="H17"/>
  <c r="I17"/>
  <c r="J17"/>
  <c r="K17"/>
  <c r="L17"/>
  <c r="M17"/>
  <c r="F19"/>
  <c r="G19"/>
  <c r="H19"/>
  <c r="I19"/>
  <c r="J19"/>
  <c r="K19"/>
  <c r="L19"/>
  <c r="M19"/>
  <c r="F27"/>
  <c r="G27"/>
  <c r="H27"/>
  <c r="I27"/>
  <c r="J27"/>
  <c r="K27"/>
  <c r="L27"/>
  <c r="M27"/>
  <c r="F33"/>
  <c r="G33"/>
  <c r="H33"/>
  <c r="I33"/>
  <c r="J33"/>
  <c r="K33"/>
  <c r="L33"/>
  <c r="M33"/>
  <c r="F43"/>
  <c r="G43"/>
  <c r="H43"/>
  <c r="I43"/>
  <c r="J43"/>
  <c r="K43"/>
  <c r="L43"/>
  <c r="M43"/>
  <c r="F44"/>
  <c r="G44"/>
  <c r="H44"/>
  <c r="I44"/>
  <c r="J44"/>
  <c r="K44"/>
  <c r="L44"/>
  <c r="M44"/>
  <c r="F46"/>
  <c r="G46"/>
  <c r="H46"/>
  <c r="I46"/>
  <c r="J46"/>
  <c r="K46"/>
  <c r="L46"/>
  <c r="M46"/>
  <c r="F53"/>
  <c r="G53"/>
  <c r="H53"/>
  <c r="I53"/>
  <c r="J53"/>
  <c r="K53"/>
  <c r="L53"/>
  <c r="M53"/>
  <c r="N17"/>
  <c r="N19"/>
  <c r="N46" s="1"/>
  <c r="N53" s="1"/>
  <c r="N27"/>
  <c r="N33"/>
  <c r="N43"/>
  <c r="N44"/>
  <c r="T17"/>
  <c r="U17"/>
  <c r="U19" s="1"/>
  <c r="U46" s="1"/>
  <c r="U53" s="1"/>
  <c r="AC17"/>
  <c r="T19"/>
  <c r="T46" s="1"/>
  <c r="T53" s="1"/>
  <c r="AC19"/>
  <c r="AC46" s="1"/>
  <c r="T27"/>
  <c r="U27"/>
  <c r="AC27"/>
  <c r="T33"/>
  <c r="U33"/>
  <c r="AC33"/>
  <c r="T43"/>
  <c r="U43"/>
  <c r="U44" s="1"/>
  <c r="AC43"/>
  <c r="T44"/>
  <c r="AC44"/>
  <c r="BF29"/>
  <c r="BF22"/>
  <c r="D13" i="12"/>
  <c r="C56" i="18" l="1"/>
  <c r="AK40" i="1"/>
  <c r="AK43" s="1"/>
  <c r="AK44" s="1"/>
  <c r="E19" i="9"/>
  <c r="E21" s="1"/>
  <c r="E13"/>
  <c r="BB40" i="1"/>
  <c r="BB43" s="1"/>
  <c r="BB44" s="1"/>
  <c r="BB46" s="1"/>
  <c r="E26" i="16"/>
  <c r="E28" s="1"/>
  <c r="AX49" i="1"/>
  <c r="AX53" s="1"/>
  <c r="AT49"/>
  <c r="AT53" s="1"/>
  <c r="AQ49"/>
  <c r="AQ53" s="1"/>
  <c r="AO49"/>
  <c r="AO53" s="1"/>
  <c r="M104" i="6"/>
  <c r="K107"/>
  <c r="E25" i="7" s="1"/>
  <c r="AJ36" i="1" s="1"/>
  <c r="BE36" s="1"/>
  <c r="BF36" s="1"/>
  <c r="G22" i="25" s="1"/>
  <c r="M119" i="6"/>
  <c r="M128" s="1"/>
  <c r="K128"/>
  <c r="M74"/>
  <c r="M93" s="1"/>
  <c r="K93"/>
  <c r="E19" i="7" s="1"/>
  <c r="AG33" i="1"/>
  <c r="AG44" s="1"/>
  <c r="E27" i="2"/>
  <c r="AG17" i="1"/>
  <c r="AG19" s="1"/>
  <c r="AB46"/>
  <c r="AA46"/>
  <c r="Z46"/>
  <c r="Y46"/>
  <c r="X46"/>
  <c r="W46"/>
  <c r="V46"/>
  <c r="S46"/>
  <c r="R46"/>
  <c r="Q46"/>
  <c r="P46"/>
  <c r="O46"/>
  <c r="AK46"/>
  <c r="M71" i="6"/>
  <c r="G28" i="3"/>
  <c r="G30" s="1"/>
  <c r="G25" i="2" s="1"/>
  <c r="I25" s="1"/>
  <c r="AS25" i="1"/>
  <c r="AS27" s="1"/>
  <c r="E21" i="10"/>
  <c r="E23" s="1"/>
  <c r="BC40" i="1"/>
  <c r="BC43" s="1"/>
  <c r="BC44" s="1"/>
  <c r="BC46" s="1"/>
  <c r="E27" i="15"/>
  <c r="E29" s="1"/>
  <c r="AZ53" i="1"/>
  <c r="AZ49"/>
  <c r="AW53"/>
  <c r="AW49"/>
  <c r="AR53"/>
  <c r="AR49"/>
  <c r="AP53"/>
  <c r="AP49"/>
  <c r="AL53"/>
  <c r="AL49"/>
  <c r="BD40"/>
  <c r="BD43" s="1"/>
  <c r="BD44" s="1"/>
  <c r="BD46" s="1"/>
  <c r="E28" i="19"/>
  <c r="E30" s="1"/>
  <c r="M110" i="6"/>
  <c r="M114" s="1"/>
  <c r="K114"/>
  <c r="E26" i="7" s="1"/>
  <c r="AJ37" i="1" s="1"/>
  <c r="BE37" s="1"/>
  <c r="BF37" s="1"/>
  <c r="G23" i="25" s="1"/>
  <c r="M96" i="6"/>
  <c r="M100" s="1"/>
  <c r="K100"/>
  <c r="E24" i="7" s="1"/>
  <c r="AJ35" i="1" s="1"/>
  <c r="BE35" s="1"/>
  <c r="BF35" s="1"/>
  <c r="G21" i="25" s="1"/>
  <c r="M59" i="6"/>
  <c r="K71"/>
  <c r="AG62" i="1"/>
  <c r="M107" i="6"/>
  <c r="BA49" i="1"/>
  <c r="BA53" s="1"/>
  <c r="AH44"/>
  <c r="F26" i="8"/>
  <c r="G26" s="1"/>
  <c r="D30"/>
  <c r="F12"/>
  <c r="F15" s="1"/>
  <c r="D15"/>
  <c r="E14" i="20"/>
  <c r="G64" i="8"/>
  <c r="G49"/>
  <c r="C58" i="18"/>
  <c r="E55" i="21"/>
  <c r="C48" i="18"/>
  <c r="AN63" i="1"/>
  <c r="AN65" s="1"/>
  <c r="E62" i="17"/>
  <c r="AN25" i="1"/>
  <c r="D51" i="8"/>
  <c r="B59"/>
  <c r="B61" s="1"/>
  <c r="B69" s="1"/>
  <c r="S69" i="1"/>
  <c r="AG69" s="1"/>
  <c r="E30" i="24"/>
  <c r="S67" i="1" s="1"/>
  <c r="AG67" s="1"/>
  <c r="AM25"/>
  <c r="E16" i="11"/>
  <c r="E25" i="25"/>
  <c r="E27" s="1"/>
  <c r="E34" s="1"/>
  <c r="N62" i="1"/>
  <c r="N70" s="1"/>
  <c r="M24" i="6"/>
  <c r="G11" i="4"/>
  <c r="BF59" i="1"/>
  <c r="G16" i="26" s="1"/>
  <c r="D22" i="8"/>
  <c r="G20"/>
  <c r="G18"/>
  <c r="G22" s="1"/>
  <c r="F45"/>
  <c r="E24" i="20" s="1"/>
  <c r="AI26" i="1" s="1"/>
  <c r="C68" i="22"/>
  <c r="AY40" i="1"/>
  <c r="AY43" s="1"/>
  <c r="AY44" s="1"/>
  <c r="AY46" s="1"/>
  <c r="E21" i="13"/>
  <c r="E23" s="1"/>
  <c r="AV40" i="1"/>
  <c r="AV43" s="1"/>
  <c r="AV44" s="1"/>
  <c r="AV46" s="1"/>
  <c r="D21" i="12"/>
  <c r="D19"/>
  <c r="F65" i="8"/>
  <c r="E16" i="20" s="1"/>
  <c r="AI18" i="1" s="1"/>
  <c r="BE18" s="1"/>
  <c r="BF18" s="1"/>
  <c r="G15" i="25" s="1"/>
  <c r="D67" i="8"/>
  <c r="AM63" i="1"/>
  <c r="AM65" s="1"/>
  <c r="E62" i="21"/>
  <c r="C70" i="22"/>
  <c r="E55" i="17"/>
  <c r="C60" i="22"/>
  <c r="G25" i="8"/>
  <c r="G30" s="1"/>
  <c r="F40"/>
  <c r="E23" i="20" s="1"/>
  <c r="AI25" i="1" s="1"/>
  <c r="G35" i="8"/>
  <c r="G40" s="1"/>
  <c r="A46" i="18"/>
  <c r="C46" s="1"/>
  <c r="A58" i="22"/>
  <c r="C58" s="1"/>
  <c r="AS44" i="1"/>
  <c r="AS46" s="1"/>
  <c r="E12" i="7"/>
  <c r="AH46" i="1"/>
  <c r="BF69"/>
  <c r="G25" i="26" s="1"/>
  <c r="M48" i="6"/>
  <c r="M55" s="1"/>
  <c r="C60" i="18"/>
  <c r="E24" i="21" s="1"/>
  <c r="AM26" i="1" s="1"/>
  <c r="F22" i="8"/>
  <c r="E60" i="20" s="1"/>
  <c r="D40" i="8"/>
  <c r="D59"/>
  <c r="D61" s="1"/>
  <c r="D69" s="1"/>
  <c r="G50"/>
  <c r="E25" i="21" l="1"/>
  <c r="E42" s="1"/>
  <c r="E44" s="1"/>
  <c r="AY49" i="1"/>
  <c r="AY53"/>
  <c r="AS49"/>
  <c r="AS53" s="1"/>
  <c r="F32" i="8"/>
  <c r="M130" i="6"/>
  <c r="AV53" i="1"/>
  <c r="AV49"/>
  <c r="AH49"/>
  <c r="AJ23"/>
  <c r="AJ27" s="1"/>
  <c r="E16" i="7"/>
  <c r="AN58" i="1"/>
  <c r="AN62" s="1"/>
  <c r="E59" i="17"/>
  <c r="E67" s="1"/>
  <c r="BD49" i="1"/>
  <c r="BD53"/>
  <c r="BC49"/>
  <c r="BC53" s="1"/>
  <c r="O49"/>
  <c r="O53"/>
  <c r="Q49"/>
  <c r="Q53"/>
  <c r="S49"/>
  <c r="S53" s="1"/>
  <c r="W49"/>
  <c r="W53" s="1"/>
  <c r="Y49"/>
  <c r="Y53" s="1"/>
  <c r="AA49"/>
  <c r="AA53"/>
  <c r="AJ30"/>
  <c r="E22" i="7"/>
  <c r="E29"/>
  <c r="K130" i="6"/>
  <c r="BB49" i="1"/>
  <c r="BB53"/>
  <c r="C62" i="22"/>
  <c r="E64" i="17" s="1"/>
  <c r="AN67" i="1" s="1"/>
  <c r="BE25"/>
  <c r="BF25" s="1"/>
  <c r="F30" i="8"/>
  <c r="E64" i="20" s="1"/>
  <c r="AI66" i="1" s="1"/>
  <c r="BE66" s="1"/>
  <c r="BF66" s="1"/>
  <c r="G23" i="26" s="1"/>
  <c r="C72" i="22"/>
  <c r="E24" i="17" s="1"/>
  <c r="AM27" i="1"/>
  <c r="AM44" s="1"/>
  <c r="AM46" s="1"/>
  <c r="S70"/>
  <c r="C50" i="18"/>
  <c r="E64" i="21" s="1"/>
  <c r="AM67" i="1" s="1"/>
  <c r="BE67" s="1"/>
  <c r="BF67" s="1"/>
  <c r="G24" i="26" s="1"/>
  <c r="D32" i="8"/>
  <c r="AG70" i="1"/>
  <c r="G65" i="8"/>
  <c r="G67" s="1"/>
  <c r="AG46" i="1"/>
  <c r="AI63"/>
  <c r="E62" i="20"/>
  <c r="K11" i="4"/>
  <c r="K15" s="1"/>
  <c r="G15"/>
  <c r="AU23" i="1"/>
  <c r="AU27" s="1"/>
  <c r="AU44" s="1"/>
  <c r="AU46" s="1"/>
  <c r="E20" i="11"/>
  <c r="E22" s="1"/>
  <c r="E48" i="21"/>
  <c r="E50" s="1"/>
  <c r="F51" i="8"/>
  <c r="F59" s="1"/>
  <c r="G51"/>
  <c r="G59" s="1"/>
  <c r="G61" s="1"/>
  <c r="G69" s="1"/>
  <c r="AM58" i="1"/>
  <c r="AM62" s="1"/>
  <c r="AM70" s="1"/>
  <c r="E59" i="21"/>
  <c r="E67" s="1"/>
  <c r="AI16" i="1"/>
  <c r="E15" i="20"/>
  <c r="E17" s="1"/>
  <c r="E54"/>
  <c r="G12" i="8"/>
  <c r="G15" s="1"/>
  <c r="G32" s="1"/>
  <c r="AK49" i="1"/>
  <c r="AK53"/>
  <c r="P49"/>
  <c r="P53"/>
  <c r="R49"/>
  <c r="R53"/>
  <c r="V49"/>
  <c r="V53"/>
  <c r="X49"/>
  <c r="X53"/>
  <c r="Z49"/>
  <c r="Z53"/>
  <c r="AB49"/>
  <c r="AB53"/>
  <c r="F67" i="8"/>
  <c r="BE63" i="1" l="1"/>
  <c r="AI65"/>
  <c r="AI57"/>
  <c r="BE16"/>
  <c r="AI17"/>
  <c r="AI19" s="1"/>
  <c r="I59" i="8"/>
  <c r="E21" i="20" s="1"/>
  <c r="F61" i="8"/>
  <c r="F69" s="1"/>
  <c r="AU49" i="1"/>
  <c r="AU53" s="1"/>
  <c r="AM49"/>
  <c r="AM53" s="1"/>
  <c r="AJ40"/>
  <c r="E32" i="7"/>
  <c r="BE30" i="1"/>
  <c r="AJ33"/>
  <c r="AN70"/>
  <c r="E55" i="20"/>
  <c r="AI58" i="1" s="1"/>
  <c r="BE58" s="1"/>
  <c r="BF58" s="1"/>
  <c r="G15" i="26" s="1"/>
  <c r="AN26" i="1"/>
  <c r="E25" i="17"/>
  <c r="E42" s="1"/>
  <c r="E44" s="1"/>
  <c r="E33" i="7"/>
  <c r="AH53" i="1"/>
  <c r="BE33" l="1"/>
  <c r="BF33" s="1"/>
  <c r="G20" i="25" s="1"/>
  <c r="BF30" i="1"/>
  <c r="AJ43"/>
  <c r="BE40"/>
  <c r="BF40" s="1"/>
  <c r="AI23"/>
  <c r="E25" i="20"/>
  <c r="E42" s="1"/>
  <c r="E44" s="1"/>
  <c r="BF16" i="1"/>
  <c r="BF17" s="1"/>
  <c r="BE17"/>
  <c r="BE19" s="1"/>
  <c r="AI62"/>
  <c r="AI70" s="1"/>
  <c r="BE57"/>
  <c r="BF63"/>
  <c r="BE65"/>
  <c r="E48" i="17"/>
  <c r="E50" s="1"/>
  <c r="E37" i="7"/>
  <c r="E39" s="1"/>
  <c r="AN27" i="1"/>
  <c r="AN44" s="1"/>
  <c r="AN46" s="1"/>
  <c r="BE26"/>
  <c r="BF26" s="1"/>
  <c r="E59" i="20"/>
  <c r="E67" s="1"/>
  <c r="BF57" i="1" l="1"/>
  <c r="BE62"/>
  <c r="BE70" s="1"/>
  <c r="BF70" s="1"/>
  <c r="AN49"/>
  <c r="AN53" s="1"/>
  <c r="G20" i="26"/>
  <c r="G22" s="1"/>
  <c r="BF65" i="1"/>
  <c r="G14" i="25"/>
  <c r="G16" s="1"/>
  <c r="BF19" i="1"/>
  <c r="BE23"/>
  <c r="AI27"/>
  <c r="AI44" s="1"/>
  <c r="AJ44"/>
  <c r="AJ46" s="1"/>
  <c r="BE43"/>
  <c r="BF43" s="1"/>
  <c r="G24" i="25" s="1"/>
  <c r="E48" i="20"/>
  <c r="E50" s="1"/>
  <c r="AJ49" i="1" l="1"/>
  <c r="AJ53" s="1"/>
  <c r="BE27"/>
  <c r="BF27" s="1"/>
  <c r="G19" i="25" s="1"/>
  <c r="G25" s="1"/>
  <c r="BF23" i="1"/>
  <c r="G14" i="26"/>
  <c r="G19" s="1"/>
  <c r="G27" s="1"/>
  <c r="BF62" i="1"/>
  <c r="BE44"/>
  <c r="BF44" s="1"/>
  <c r="AI46"/>
  <c r="E14" i="5"/>
  <c r="E18" s="1"/>
  <c r="E22" s="1"/>
  <c r="E26" s="1"/>
  <c r="AC49" i="1" s="1"/>
  <c r="G15" i="2"/>
  <c r="G27" i="25"/>
  <c r="I15" i="2" l="1"/>
  <c r="G19"/>
  <c r="AI49" i="1"/>
  <c r="BE49" s="1"/>
  <c r="AI53"/>
  <c r="BE53" s="1"/>
  <c r="BF53" s="1"/>
  <c r="G21" i="2" s="1"/>
  <c r="I21" s="1"/>
  <c r="BE46" i="1"/>
  <c r="BF46" s="1"/>
  <c r="AC53"/>
  <c r="AG49"/>
  <c r="AG53" s="1"/>
  <c r="I19" i="2" l="1"/>
  <c r="G23"/>
  <c r="BF49" i="1"/>
  <c r="G30" i="25" s="1"/>
  <c r="G32" s="1"/>
  <c r="G34" s="1"/>
  <c r="G27" i="2" l="1"/>
  <c r="I27" s="1"/>
  <c r="I23"/>
</calcChain>
</file>

<file path=xl/sharedStrings.xml><?xml version="1.0" encoding="utf-8"?>
<sst xmlns="http://schemas.openxmlformats.org/spreadsheetml/2006/main" count="1206" uniqueCount="598">
  <si>
    <t xml:space="preserve">AVISTA UTILITIES  </t>
  </si>
  <si>
    <t xml:space="preserve">ELECTRIC RESULTS OF OPERATION    </t>
  </si>
  <si>
    <t xml:space="preserve">WASHINGTON RESTATED RESULTS  </t>
  </si>
  <si>
    <t xml:space="preserve">(000'S OF DOLLARS)  </t>
  </si>
  <si>
    <t>Per</t>
  </si>
  <si>
    <t>Deferred Gain</t>
  </si>
  <si>
    <t>Colstrip 3</t>
  </si>
  <si>
    <t>Colstrip</t>
  </si>
  <si>
    <t>Kettle</t>
  </si>
  <si>
    <t>Settlement</t>
  </si>
  <si>
    <t>Eliminate</t>
  </si>
  <si>
    <t>Injuries</t>
  </si>
  <si>
    <t>Nez Perce</t>
  </si>
  <si>
    <t>Office Space</t>
  </si>
  <si>
    <t>Restate</t>
  </si>
  <si>
    <t>Revenue</t>
  </si>
  <si>
    <t xml:space="preserve">Pro Forma </t>
  </si>
  <si>
    <t>Line</t>
  </si>
  <si>
    <t xml:space="preserve">Results </t>
  </si>
  <si>
    <t>FIT</t>
  </si>
  <si>
    <t>on Office</t>
  </si>
  <si>
    <t>AFUDC</t>
  </si>
  <si>
    <t>Common</t>
  </si>
  <si>
    <t>Falls</t>
  </si>
  <si>
    <t>Customer</t>
  </si>
  <si>
    <t>Depreciation</t>
  </si>
  <si>
    <t>Exchange</t>
  </si>
  <si>
    <t>Subtotal</t>
  </si>
  <si>
    <t>B &amp; O</t>
  </si>
  <si>
    <t>Property</t>
  </si>
  <si>
    <t>Uncollect.</t>
  </si>
  <si>
    <t>Regulatory</t>
  </si>
  <si>
    <t xml:space="preserve">and </t>
  </si>
  <si>
    <t>WA Power</t>
  </si>
  <si>
    <t>A/R</t>
  </si>
  <si>
    <t>Charges to</t>
  </si>
  <si>
    <t>Excise</t>
  </si>
  <si>
    <t>Net</t>
  </si>
  <si>
    <t>Normalization</t>
  </si>
  <si>
    <t>Misc</t>
  </si>
  <si>
    <t>Debt</t>
  </si>
  <si>
    <t>Restated</t>
  </si>
  <si>
    <t>Power</t>
  </si>
  <si>
    <t>Prod Property</t>
  </si>
  <si>
    <t>Labor</t>
  </si>
  <si>
    <t>Transmission</t>
  </si>
  <si>
    <t>Capital Add</t>
  </si>
  <si>
    <t>Noxon Gen</t>
  </si>
  <si>
    <t xml:space="preserve">Asset </t>
  </si>
  <si>
    <t>Information</t>
  </si>
  <si>
    <t>Spokane Rvr</t>
  </si>
  <si>
    <t>CDA Tribe</t>
  </si>
  <si>
    <t xml:space="preserve">Montana </t>
  </si>
  <si>
    <t>Colstrip Mercury</t>
  </si>
  <si>
    <t>Incentives</t>
  </si>
  <si>
    <t>O&amp;M Plant</t>
  </si>
  <si>
    <t xml:space="preserve">Employee </t>
  </si>
  <si>
    <t>Insurance</t>
  </si>
  <si>
    <t>Clark Fork</t>
  </si>
  <si>
    <t>Pro Forma</t>
  </si>
  <si>
    <t>No.</t>
  </si>
  <si>
    <t>DESCRIPTION</t>
  </si>
  <si>
    <t>Report</t>
  </si>
  <si>
    <t>Rate Base</t>
  </si>
  <si>
    <t>Building</t>
  </si>
  <si>
    <t>Elimination</t>
  </si>
  <si>
    <t>Disallow.</t>
  </si>
  <si>
    <t>Advances</t>
  </si>
  <si>
    <t>True-up</t>
  </si>
  <si>
    <t>Actual</t>
  </si>
  <si>
    <t>Taxes</t>
  </si>
  <si>
    <t>Tax</t>
  </si>
  <si>
    <t>Expense</t>
  </si>
  <si>
    <t>Damages</t>
  </si>
  <si>
    <t xml:space="preserve">FIT </t>
  </si>
  <si>
    <t>Cost Defer</t>
  </si>
  <si>
    <t>Adjustment</t>
  </si>
  <si>
    <t>Expenses</t>
  </si>
  <si>
    <t>Subsidiaries</t>
  </si>
  <si>
    <t>Gains/losses</t>
  </si>
  <si>
    <t>Restating</t>
  </si>
  <si>
    <t>Interest</t>
  </si>
  <si>
    <t>TOTAL</t>
  </si>
  <si>
    <t>Supply</t>
  </si>
  <si>
    <t>Adj</t>
  </si>
  <si>
    <t>Non-Exec</t>
  </si>
  <si>
    <t>Exec</t>
  </si>
  <si>
    <t>Rev/Exp</t>
  </si>
  <si>
    <t>2008</t>
  </si>
  <si>
    <t>2009</t>
  </si>
  <si>
    <t>2010</t>
  </si>
  <si>
    <t>Management</t>
  </si>
  <si>
    <t>Services</t>
  </si>
  <si>
    <t>Relicensing</t>
  </si>
  <si>
    <t>Lease</t>
  </si>
  <si>
    <t>Emiss. O&amp;M</t>
  </si>
  <si>
    <t>Benefits</t>
  </si>
  <si>
    <t>PM&amp;E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</si>
  <si>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</si>
  <si>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</si>
  <si>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</si>
  <si>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</si>
  <si>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</si>
  <si>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</si>
  <si>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</si>
  <si>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</si>
  <si>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</si>
  <si>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</si>
  <si>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-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</si>
  <si>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</si>
  <si>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</si>
  <si>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</si>
  <si>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</si>
  <si>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</si>
  <si>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</si>
  <si>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</si>
  <si>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</si>
  <si>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</si>
  <si>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</si>
  <si>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</si>
  <si>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</si>
  <si>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</si>
  <si>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</si>
  <si>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</si>
  <si>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</si>
  <si>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PF1</t>
  </si>
  <si>
    <t>PF2</t>
  </si>
  <si>
    <t>PF3</t>
  </si>
  <si>
    <t>PF4</t>
  </si>
  <si>
    <t>PF5</t>
  </si>
  <si>
    <t>PF6</t>
  </si>
  <si>
    <t>PF7</t>
  </si>
  <si>
    <t>PF8</t>
  </si>
  <si>
    <t>PF9</t>
  </si>
  <si>
    <t>PF10</t>
  </si>
  <si>
    <t>PF11</t>
  </si>
  <si>
    <t>PF12</t>
  </si>
  <si>
    <t>PF13</t>
  </si>
  <si>
    <t>PF14</t>
  </si>
  <si>
    <t>PF15</t>
  </si>
  <si>
    <t>PF16</t>
  </si>
  <si>
    <t>PF17</t>
  </si>
  <si>
    <t>PF18</t>
  </si>
  <si>
    <t>PF19</t>
  </si>
  <si>
    <t>PFT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</si>
  <si>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</si>
  <si>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</si>
  <si>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</si>
  <si>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</si>
  <si>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</si>
  <si>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</si>
  <si>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</si>
  <si>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</si>
  <si>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</si>
  <si>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</si>
  <si>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</si>
  <si>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 and Amortization  </t>
  </si>
  <si>
    <t xml:space="preserve">Taxes  </t>
  </si>
  <si>
    <t xml:space="preserve">Total Production &amp; Transmission  </t>
  </si>
  <si>
    <t xml:space="preserve">Distribution  </t>
  </si>
  <si>
    <t xml:space="preserve">Depreciation  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</si>
  <si>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</si>
  <si>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</si>
  <si>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</si>
  <si>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</si>
  <si>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</si>
  <si>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</si>
  <si>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</si>
  <si>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</si>
  <si>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</si>
  <si>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 </t>
  </si>
  <si>
    <t xml:space="preserve">Deferred Income Taxes  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</si>
  <si>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</si>
  <si>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</si>
  <si>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</si>
  <si>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</si>
  <si>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</si>
  <si>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</si>
  <si>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</si>
  <si>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</si>
  <si>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 xml:space="preserve">ACCUMULATED DEPRECIATION  </t>
  </si>
  <si>
    <t xml:space="preserve">ACCUM. PROVISION FOR AMORTIZATION  </t>
  </si>
  <si>
    <t xml:space="preserve">Total Accum. Depreciation &amp; Amort.  </t>
  </si>
  <si>
    <t xml:space="preserve">GAIN ON SALE OF BUILDING  </t>
  </si>
  <si>
    <t xml:space="preserve">DEFERRED TAXES  </t>
  </si>
  <si>
    <t xml:space="preserve">TOTAL RATE BASE  </t>
  </si>
  <si>
    <t>Revenue Conversion Factor</t>
  </si>
  <si>
    <t>Revenue Requirement</t>
  </si>
  <si>
    <t>PC</t>
  </si>
  <si>
    <t>Deferred</t>
  </si>
  <si>
    <t>Test Year Twelve Months Ended September 30, 2008</t>
  </si>
  <si>
    <t>($000's of Dollars)</t>
  </si>
  <si>
    <t>Description</t>
  </si>
  <si>
    <t>Reference</t>
  </si>
  <si>
    <t>(A)</t>
  </si>
  <si>
    <t>(B)</t>
  </si>
  <si>
    <t>(C)</t>
  </si>
  <si>
    <t>(D)</t>
  </si>
  <si>
    <t>WA Jurisdictional Rate Base</t>
  </si>
  <si>
    <t>Overall Rate of Return</t>
  </si>
  <si>
    <t>Net Operating Income Required</t>
  </si>
  <si>
    <t>L 1 * L 2</t>
  </si>
  <si>
    <t>NOI-Existing Rates</t>
  </si>
  <si>
    <t>Income Deficiency (Sufficiency)</t>
  </si>
  <si>
    <t>L 3 - L 4</t>
  </si>
  <si>
    <t>Revenue Deficiency (Sufficiency)</t>
  </si>
  <si>
    <t>As Proposed</t>
  </si>
  <si>
    <t>Per Company</t>
  </si>
  <si>
    <t>Adjustments</t>
  </si>
  <si>
    <t>Per PC</t>
  </si>
  <si>
    <t>Adjusted</t>
  </si>
  <si>
    <t>Total</t>
  </si>
  <si>
    <t>12 MONTHS ENDED SEPTEMBER 30, 2008</t>
  </si>
  <si>
    <t>Revenues</t>
  </si>
  <si>
    <t>Expense:</t>
  </si>
  <si>
    <t>[a]</t>
  </si>
  <si>
    <t>[b]</t>
  </si>
  <si>
    <t>Commission Fees</t>
  </si>
  <si>
    <t>Washington Excise Tax</t>
  </si>
  <si>
    <t>Franchise Fees</t>
  </si>
  <si>
    <t>Total Expense</t>
  </si>
  <si>
    <t>Net Operating Income Before FIT</t>
  </si>
  <si>
    <t>Federal Income Tax @ 35%</t>
  </si>
  <si>
    <t>Difference</t>
  </si>
  <si>
    <t>Overall Cost of Capital, per PC</t>
  </si>
  <si>
    <t>Cost</t>
  </si>
  <si>
    <t>Weighted</t>
  </si>
  <si>
    <t>Capital Structure</t>
  </si>
  <si>
    <t>Ratio</t>
  </si>
  <si>
    <t>Rate</t>
  </si>
  <si>
    <t>Cost Rate</t>
  </si>
  <si>
    <t>Total debt</t>
  </si>
  <si>
    <t>Common Equity</t>
  </si>
  <si>
    <t>Total Capital Structure</t>
  </si>
  <si>
    <t>Source/Reference:</t>
  </si>
  <si>
    <t xml:space="preserve">The above cost rate amounts are sponsored by PC's witness Mike Gorman and are provided here </t>
  </si>
  <si>
    <t>for ease of reference.</t>
  </si>
  <si>
    <t>Interest Synchronization Adjustment</t>
  </si>
  <si>
    <t>Amount</t>
  </si>
  <si>
    <t>Source</t>
  </si>
  <si>
    <t>Rate Base, per PC</t>
  </si>
  <si>
    <t>Sch. B-1a</t>
  </si>
  <si>
    <t>PC Proposed Weighted Cost of Debt</t>
  </si>
  <si>
    <t>Sch D</t>
  </si>
  <si>
    <t>Interest Deduction</t>
  </si>
  <si>
    <t>Interest Deduction Per Company</t>
  </si>
  <si>
    <t>Federal Income Tax Rate</t>
  </si>
  <si>
    <t>Increase (Decrease) to Income Tax Expense</t>
  </si>
  <si>
    <t>L 5 * L 6</t>
  </si>
  <si>
    <t xml:space="preserve"> </t>
  </si>
  <si>
    <t>[A]</t>
  </si>
  <si>
    <t>Source:</t>
  </si>
  <si>
    <t>[B]</t>
  </si>
  <si>
    <t>[A] Exhibit No.___ (EMA-2)WP B16</t>
  </si>
  <si>
    <t>OTHER RATE BASE DEDUCTIONS</t>
  </si>
  <si>
    <t>Director</t>
  </si>
  <si>
    <t>Meeting</t>
  </si>
  <si>
    <t>Costs</t>
  </si>
  <si>
    <t>Fees</t>
  </si>
  <si>
    <t>D&amp;O</t>
  </si>
  <si>
    <t>Deposits</t>
  </si>
  <si>
    <t>Line No.</t>
  </si>
  <si>
    <t>Production and Transmission</t>
  </si>
  <si>
    <t>Operating Expenses</t>
  </si>
  <si>
    <t>Purchased Power</t>
  </si>
  <si>
    <t>Depreciation and Amortization</t>
  </si>
  <si>
    <t>Total Production &amp; Transmission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</si>
  <si>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</si>
  <si>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</si>
  <si>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</si>
  <si>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</si>
  <si>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</si>
  <si>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</si>
  <si>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Total Admin. &amp; General</t>
  </si>
  <si>
    <t>Total Electric Expenses</t>
  </si>
  <si>
    <t>Increase in Federal Income Tax Expense</t>
  </si>
  <si>
    <t>Increase in Net Operating Income</t>
  </si>
  <si>
    <t>Board Apprvd</t>
  </si>
  <si>
    <t>2008 Increase</t>
  </si>
  <si>
    <t>2009 Increase</t>
  </si>
  <si>
    <t>Remove</t>
  </si>
  <si>
    <t>Admin 1.519%</t>
  </si>
  <si>
    <t>Adjusted for</t>
  </si>
  <si>
    <t>Admin 2.50%</t>
  </si>
  <si>
    <t>Account/Description</t>
  </si>
  <si>
    <t>Total WA</t>
  </si>
  <si>
    <t>Union 1.698%</t>
  </si>
  <si>
    <t>Union 4.000%</t>
  </si>
  <si>
    <t>Production</t>
  </si>
  <si>
    <t>Steam</t>
  </si>
  <si>
    <t>Supervision &amp; Eng.</t>
  </si>
  <si>
    <t>Fuel</t>
  </si>
  <si>
    <t>Steam Expense</t>
  </si>
  <si>
    <t>Electric Expense</t>
  </si>
  <si>
    <t>Misc. Steam Pwr. Exp.</t>
  </si>
  <si>
    <t>Structures</t>
  </si>
  <si>
    <t>Boiler Plant</t>
  </si>
  <si>
    <t>Electric Plant</t>
  </si>
  <si>
    <t>Misc. Steam Plant</t>
  </si>
  <si>
    <t>Total Steam</t>
  </si>
  <si>
    <t>Hydro</t>
  </si>
  <si>
    <t>Water For Power</t>
  </si>
  <si>
    <t>Hydraulic Expense</t>
  </si>
  <si>
    <t>Misc. Hydro Expense</t>
  </si>
  <si>
    <t>Res., Dams &amp; Wtrways</t>
  </si>
  <si>
    <t>Misc. Hydro Plant</t>
  </si>
  <si>
    <t>Total Hydro</t>
  </si>
  <si>
    <t>Other Generation</t>
  </si>
  <si>
    <t>Generation Expense</t>
  </si>
  <si>
    <t>Misc. Other Gen.</t>
  </si>
  <si>
    <t>Gen. &amp; Elec. Equip.</t>
  </si>
  <si>
    <t>Misc. Other Gen. Plant</t>
  </si>
  <si>
    <t>Total Other Generation</t>
  </si>
  <si>
    <t>Other Power Supply</t>
  </si>
  <si>
    <t>Sys. Cntrol &amp; Ld. Disp.</t>
  </si>
  <si>
    <t>Other Expense</t>
  </si>
  <si>
    <t>Total Other Power Supply</t>
  </si>
  <si>
    <t>Total Production</t>
  </si>
  <si>
    <t>Load Dispatching</t>
  </si>
  <si>
    <t>Station Expense</t>
  </si>
  <si>
    <t>Overhead Line Exp.</t>
  </si>
  <si>
    <t>Underground Line Exp.</t>
  </si>
  <si>
    <t>Misc. Trans. Exp.</t>
  </si>
  <si>
    <t>Station Equip.</t>
  </si>
  <si>
    <t>Overhead Lines</t>
  </si>
  <si>
    <t>Underground Lines</t>
  </si>
  <si>
    <t>Misc. Trans. Plant</t>
  </si>
  <si>
    <t>Total Transmission</t>
  </si>
  <si>
    <t>Undergrd. Line Exp.</t>
  </si>
  <si>
    <t>St. Lt. &amp; Signl. Sys.</t>
  </si>
  <si>
    <t>Meter Expense</t>
  </si>
  <si>
    <t>Cust. Install. Expense</t>
  </si>
  <si>
    <t>Misc. Dist. Expense</t>
  </si>
  <si>
    <t>Rent</t>
  </si>
  <si>
    <t>Station Equipment</t>
  </si>
  <si>
    <t>Undergrd. Lines</t>
  </si>
  <si>
    <t>Line Transformers</t>
  </si>
  <si>
    <t xml:space="preserve">St. Lt. &amp; Signl. Sys. </t>
  </si>
  <si>
    <t>Meters</t>
  </si>
  <si>
    <t>Customer Accounts</t>
  </si>
  <si>
    <t>Supervision</t>
  </si>
  <si>
    <t>Meter Reading Exp.</t>
  </si>
  <si>
    <t>Cust. Records &amp; Coll.</t>
  </si>
  <si>
    <t>Misc. Cust. Accts.</t>
  </si>
  <si>
    <t>Total Cust Accounts</t>
  </si>
  <si>
    <t>Cust Service &amp; Info</t>
  </si>
  <si>
    <t>Cust. Assistance Exp.</t>
  </si>
  <si>
    <t>Advertising</t>
  </si>
  <si>
    <t>Miscellaneous</t>
  </si>
  <si>
    <t>Total Cust Svc &amp; Info</t>
  </si>
  <si>
    <t>Sales</t>
  </si>
  <si>
    <t>Demonstrating &amp; Selling</t>
  </si>
  <si>
    <t>Misc Cust Serv &amp; Info</t>
  </si>
  <si>
    <t>Total Sales</t>
  </si>
  <si>
    <t>Admin &amp; General</t>
  </si>
  <si>
    <t>Salaries</t>
  </si>
  <si>
    <t>Office Supplies &amp; Exp.</t>
  </si>
  <si>
    <t>Outside Services</t>
  </si>
  <si>
    <t>Property Ins. Premium</t>
  </si>
  <si>
    <t>Injuries &amp; Damages</t>
  </si>
  <si>
    <t>Empl. Pensions &amp; Bene.</t>
  </si>
  <si>
    <t>Franchise Requirements</t>
  </si>
  <si>
    <t>Reg. Comm. Expenses</t>
  </si>
  <si>
    <t>Misc. General Exp.</t>
  </si>
  <si>
    <t>Rents</t>
  </si>
  <si>
    <t>Mtce. of Gen. Plant</t>
  </si>
  <si>
    <t>Total Admin &amp; General</t>
  </si>
  <si>
    <t>Total Electric Labor</t>
  </si>
  <si>
    <t>PF3 Workpapers</t>
  </si>
  <si>
    <t>C-1</t>
  </si>
  <si>
    <t>C-2</t>
  </si>
  <si>
    <t>C-2.1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</si>
  <si>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</si>
  <si>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</si>
  <si>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</si>
  <si>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</si>
  <si>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</si>
  <si>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</si>
  <si>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</si>
  <si>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</si>
  <si>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</si>
  <si>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</si>
  <si>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</si>
  <si>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</si>
  <si>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L. 7 * L. 8</t>
  </si>
  <si>
    <t>L. 7 - L. 9</t>
  </si>
  <si>
    <t>Exhibit No.___(EMA-2) Workpaper PF3 4</t>
  </si>
  <si>
    <t>Executive Compensation Included in Test Year</t>
  </si>
  <si>
    <t>[C]</t>
  </si>
  <si>
    <t>Administrative Increase March 2008</t>
  </si>
  <si>
    <t>[D]</t>
  </si>
  <si>
    <t>PC Recommended Increase to Executive Comp.</t>
  </si>
  <si>
    <t>Exhibit No. ___ (EMA-2) PF3 3</t>
  </si>
  <si>
    <t>Exhibit No. ___ (EMA-2) PF3 4</t>
  </si>
  <si>
    <t>WA</t>
  </si>
  <si>
    <t>Jurisdictional</t>
  </si>
  <si>
    <t>L. 3 * L. 4</t>
  </si>
  <si>
    <t>L. 3 - L. 5</t>
  </si>
  <si>
    <t>Reduce Incentive Compensation</t>
  </si>
  <si>
    <t>Adjust 2008</t>
  </si>
  <si>
    <t>To Actual</t>
  </si>
  <si>
    <t>to 6-Year</t>
  </si>
  <si>
    <t>Average</t>
  </si>
  <si>
    <t>PC's Recommended Reduction for Mercury O&amp;M Exp.</t>
  </si>
  <si>
    <t>PC's Recommended Reduction to Executive Labor</t>
  </si>
  <si>
    <t>Pro Forma O&amp;M Expense per PF 14 2</t>
  </si>
  <si>
    <t>Revised O&amp;M Expense per PC-045 Supplemental</t>
  </si>
  <si>
    <t>WA Allocated</t>
  </si>
  <si>
    <t>PC's Recommended Reduction to Pro Forma Adj</t>
  </si>
  <si>
    <t>Annual</t>
  </si>
  <si>
    <t>Payment</t>
  </si>
  <si>
    <t>of Deferral</t>
  </si>
  <si>
    <t xml:space="preserve">Total </t>
  </si>
  <si>
    <t>Amortization</t>
  </si>
  <si>
    <t>2008 &amp; 2009</t>
  </si>
  <si>
    <t>Increases</t>
  </si>
  <si>
    <t>Adjust Insurance</t>
  </si>
  <si>
    <t xml:space="preserve">to 2009 Pro </t>
  </si>
  <si>
    <t>Forma (Filed)</t>
  </si>
  <si>
    <t>Forma (Revised)</t>
  </si>
  <si>
    <t>Recommended Reduction for CDA Settlement</t>
  </si>
  <si>
    <t>Total Pro Forma Adjustment Per Company</t>
  </si>
  <si>
    <t>Avista's Pro Forma Increase  for Mercury O&amp;M Exp</t>
  </si>
  <si>
    <t>Avista's Original Pro Forma Increase for Insurance</t>
  </si>
  <si>
    <t>PC's Pro Forma Increase for Insurance</t>
  </si>
  <si>
    <t>Pro Forma Incentive Adjustment Per Company</t>
  </si>
  <si>
    <t xml:space="preserve">Recommended Reduction to Pro Forma Incentives </t>
  </si>
  <si>
    <t>Pro Forma Incentive Adjustment Per PC</t>
  </si>
  <si>
    <t>PC's Pro Forma Increase for Mercury O&amp;M Exp</t>
  </si>
  <si>
    <t>Pro Forma CDA Settlement Adjustment Per PC</t>
  </si>
  <si>
    <t>PC's Pro Forma Increase for Executive Labor</t>
  </si>
  <si>
    <t>Avista's Pro Forma Increase for Executive Labor</t>
  </si>
  <si>
    <t>Washington Electric D&amp;O Insurance Expense in Test Year</t>
  </si>
  <si>
    <t>PC-212</t>
  </si>
  <si>
    <t>L. 5 * L. 6</t>
  </si>
  <si>
    <t>L. 1 * L. 2</t>
  </si>
  <si>
    <t xml:space="preserve">Reduce Board of Director Meeting Costs </t>
  </si>
  <si>
    <t>System Board of Director Meeting Costs in Test Year</t>
  </si>
  <si>
    <t>PC-155</t>
  </si>
  <si>
    <t>Electric Operations Allocation Factor</t>
  </si>
  <si>
    <t>PC-328</t>
  </si>
  <si>
    <t>Amount Allocated to Electric Operations</t>
  </si>
  <si>
    <t>Washington Electric Operations Allocation Factor</t>
  </si>
  <si>
    <t>Amount allocated to WA Electric Operations</t>
  </si>
  <si>
    <t>Reduce Board of Director Fees</t>
  </si>
  <si>
    <t>System Director Fees in Test Year</t>
  </si>
  <si>
    <t>Exhibit No.__ (EMA-2) page 3</t>
  </si>
  <si>
    <t>Response to PC-025</t>
  </si>
  <si>
    <t>[A] PF12 2</t>
  </si>
  <si>
    <t>PF15 2</t>
  </si>
  <si>
    <t>PC Recommended Disallowance %</t>
  </si>
  <si>
    <t>PC Recommended Reduction of D&amp;O Insurance Expense</t>
  </si>
  <si>
    <t>PC Recommended Reduction of Director Meeting Costs</t>
  </si>
  <si>
    <t>PC Recommended Reduction of Director Fees</t>
  </si>
  <si>
    <t>AVISTA UTILITIES</t>
  </si>
  <si>
    <t>Remove Customer Deposits From Rate Base</t>
  </si>
  <si>
    <t xml:space="preserve">WA AMA Amount of Customer Deposits </t>
  </si>
  <si>
    <t>WA Deposit Interest Paid</t>
  </si>
  <si>
    <t>Response to Public Counsel Data Request 326</t>
  </si>
  <si>
    <t>L 5 / L 7</t>
  </si>
  <si>
    <t>Conversion Factor</t>
  </si>
  <si>
    <t>Decrease in Net Operating Income</t>
  </si>
  <si>
    <t>WA Electric Allocation Factor</t>
  </si>
  <si>
    <t>WA Electric Customer Deposits</t>
  </si>
  <si>
    <t>WA Electric Interest on Customer Deposits Paid</t>
  </si>
  <si>
    <t>Add back</t>
  </si>
  <si>
    <t>Executives</t>
  </si>
  <si>
    <t>(E)</t>
  </si>
  <si>
    <t>(F)</t>
  </si>
  <si>
    <t>(G)</t>
  </si>
  <si>
    <t>(H)</t>
  </si>
  <si>
    <t>(I)</t>
  </si>
  <si>
    <t>Test Year</t>
  </si>
  <si>
    <t>Factor</t>
  </si>
  <si>
    <t>Plant</t>
  </si>
  <si>
    <t>AMA 9/30/08</t>
  </si>
  <si>
    <t>PF6 2</t>
  </si>
  <si>
    <t>Noxon Generation</t>
  </si>
  <si>
    <t>Spokane River Relicensing</t>
  </si>
  <si>
    <t>CDA Tribe Settlement</t>
  </si>
  <si>
    <t>Montana Lease</t>
  </si>
  <si>
    <t xml:space="preserve">  Total Plant</t>
  </si>
  <si>
    <t>Accumulated Depreciation</t>
  </si>
  <si>
    <t xml:space="preserve">  Total Accumulated Depreciation</t>
  </si>
  <si>
    <t>Accumulated Deferred FIT</t>
  </si>
  <si>
    <t xml:space="preserve">  Total Accumulated Deferred FIT</t>
  </si>
  <si>
    <t>Net Rate Base</t>
  </si>
  <si>
    <t>Depreciation/Amortization</t>
  </si>
  <si>
    <t xml:space="preserve">  Total Depreciation/Amortization</t>
  </si>
  <si>
    <t>Property Taxes</t>
  </si>
  <si>
    <t>L-5</t>
  </si>
  <si>
    <t>Noxon Generations</t>
  </si>
  <si>
    <t>L-3</t>
  </si>
  <si>
    <t xml:space="preserve">  Total Property Taxes</t>
  </si>
  <si>
    <t>O&amp;M Expense</t>
  </si>
  <si>
    <t>Power Supply-Purchased Power</t>
  </si>
  <si>
    <t>Asset Management</t>
  </si>
  <si>
    <t>PF9 3</t>
  </si>
  <si>
    <t>Production Plant O&amp;M</t>
  </si>
  <si>
    <t>PF17 &amp; PF 3</t>
  </si>
  <si>
    <t>Clark Fork PM&amp;E</t>
  </si>
  <si>
    <t xml:space="preserve">  Total O&amp;M Expense</t>
  </si>
  <si>
    <t>Total Expenses</t>
  </si>
  <si>
    <t>Power Supply-Sales for Resale</t>
  </si>
  <si>
    <t>Power Supply-Other Revenue</t>
  </si>
  <si>
    <t>Transmission-Other Revenue</t>
  </si>
  <si>
    <t xml:space="preserve">  Total Revenue</t>
  </si>
  <si>
    <t>Net Operating Expense Before Tax</t>
  </si>
  <si>
    <t>Decrease in Federal Income Tax Expense</t>
  </si>
  <si>
    <t>Reduce Company's Production Property Adjustment</t>
  </si>
  <si>
    <t>C-1.1</t>
  </si>
  <si>
    <t>EXPENSES</t>
  </si>
  <si>
    <t>REVENUES</t>
  </si>
  <si>
    <t>Total Plant in Service</t>
  </si>
  <si>
    <t>Operating Income Before FIT</t>
  </si>
  <si>
    <t>L. 7 * 35%</t>
  </si>
  <si>
    <t>Col. G, L. 95</t>
  </si>
  <si>
    <t>Col. A + Col. B</t>
  </si>
  <si>
    <t>Col. C + Col. D</t>
  </si>
  <si>
    <t>Col. D + Col. F</t>
  </si>
  <si>
    <t>Col. C + G + H</t>
  </si>
  <si>
    <t>Reduce Company's Pro Forma Adjustment to Executive Labor Expense</t>
  </si>
  <si>
    <t>Reduce Company Pro Forma Adjustment for Couer D'Alene Tribe Settlement</t>
  </si>
  <si>
    <t>Reduce Company's Pro Forma Adjustment for Colstrip Mercury Emission O&amp;M Expense</t>
  </si>
  <si>
    <t>PC-142</t>
  </si>
  <si>
    <t>Production Plant Balances</t>
  </si>
  <si>
    <t>Monthly Balance</t>
  </si>
  <si>
    <t>Depreciation Expense</t>
  </si>
  <si>
    <t>C-4.1</t>
  </si>
  <si>
    <t>Accumulated Deferred Income Taxes</t>
  </si>
  <si>
    <t>Source PC-483 and WP PF2 2</t>
  </si>
  <si>
    <t>Total Prod. Plant</t>
  </si>
  <si>
    <t>Prod. Plant</t>
  </si>
  <si>
    <t>ADIT</t>
  </si>
  <si>
    <t>PC-483 Att. A</t>
  </si>
  <si>
    <t>Approximate</t>
  </si>
  <si>
    <t>ADIT Ratio</t>
  </si>
  <si>
    <t>Property Tax Ratio</t>
  </si>
  <si>
    <t>AMA</t>
  </si>
  <si>
    <t>WA Electric Allocation</t>
  </si>
  <si>
    <t>PC Recommended Adjustment</t>
  </si>
  <si>
    <t>Reduce Company's 2008 Pro Forma Capital Additions Adjustment</t>
  </si>
  <si>
    <t>Reduce Company's 2009 Pro Forma Capital Additions Adjustment</t>
  </si>
  <si>
    <t>C-5.1</t>
  </si>
  <si>
    <t>10/07 -9/08</t>
  </si>
  <si>
    <t>Washington</t>
  </si>
  <si>
    <t>Company</t>
  </si>
  <si>
    <t>Acct No.</t>
  </si>
  <si>
    <t>Actuals</t>
  </si>
  <si>
    <t>Other Expenses</t>
  </si>
  <si>
    <t>Thermal Fuel</t>
  </si>
  <si>
    <t>Other Fuel Expense</t>
  </si>
  <si>
    <t>Water for Power</t>
  </si>
  <si>
    <t>Misc Other Gen Exp</t>
  </si>
  <si>
    <t>Company Amounts [a]</t>
  </si>
  <si>
    <t>WP PF 2 2</t>
  </si>
  <si>
    <t>Col. G, L.35 + L. 49</t>
  </si>
  <si>
    <t>Col G, L. 69</t>
  </si>
  <si>
    <t>Col G, L. 74</t>
  </si>
  <si>
    <t>Col. G, L. 79</t>
  </si>
  <si>
    <t>Col. G, L. 86</t>
  </si>
  <si>
    <t>Schedule D</t>
  </si>
  <si>
    <t>Schedule A-1</t>
  </si>
  <si>
    <t>Schedule A-2</t>
  </si>
  <si>
    <t>Date</t>
  </si>
  <si>
    <t>(Sept. 2007 + Sept. 2008) / 2</t>
  </si>
  <si>
    <t>Balance</t>
  </si>
  <si>
    <t>Remove Injuries &amp; Damages Reserve from Rate Base</t>
  </si>
  <si>
    <t>[a] WP PF1 2</t>
  </si>
  <si>
    <t>Reduce Company's Pro Forma Adjustment for Insurance Expense</t>
  </si>
  <si>
    <t>Remove 50% of D&amp;O Insurance Expense</t>
  </si>
  <si>
    <t>WA Electric AMA</t>
  </si>
  <si>
    <t>Response to Public Counsel Data Request 210</t>
  </si>
  <si>
    <t xml:space="preserve">PC </t>
  </si>
  <si>
    <t>Total Other Revenue</t>
  </si>
  <si>
    <t>Total Taxes</t>
  </si>
  <si>
    <t>ADIT Associated with Injuries &amp; Damages</t>
  </si>
  <si>
    <t>2008 Additions</t>
  </si>
  <si>
    <t>2009 Additions</t>
  </si>
  <si>
    <t>C-15</t>
  </si>
  <si>
    <t>PF11, C-1.12</t>
  </si>
  <si>
    <t xml:space="preserve">Power Supply </t>
  </si>
  <si>
    <t>Accum. Provision for Amortization</t>
  </si>
  <si>
    <t>Gain on Sale of Building</t>
  </si>
  <si>
    <t>Deferred Taxes</t>
  </si>
  <si>
    <t>Other Rate Base Deductions</t>
  </si>
  <si>
    <t>Plant In Service</t>
  </si>
  <si>
    <t>Uncollectibles</t>
  </si>
  <si>
    <t>Total Electric Revenue</t>
  </si>
  <si>
    <t>Mercury Emissions</t>
  </si>
  <si>
    <t>Pro forma</t>
  </si>
  <si>
    <t>Reduce Company's Pro forma Adjustment for Non-Executive Labor</t>
  </si>
  <si>
    <t>System Adj</t>
  </si>
  <si>
    <t>Reduction Per PC Power Cost Witness-System</t>
  </si>
  <si>
    <t>Reduction Per PC Power Cost Witness-WA</t>
  </si>
  <si>
    <t>WA Allocator</t>
  </si>
  <si>
    <t>C-0</t>
  </si>
  <si>
    <t>Revised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</si>
</sst>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#,###_);_(&quot;$&quot;\ \(#,###\);_(* _);_(@_)"/>
    <numFmt numFmtId="165" formatCode="#,###_);\(#,###\)"/>
    <numFmt numFmtId="166" formatCode="#,##0.000000"/>
    <numFmt numFmtId="168" formatCode="_(* #,##0.000000_);_(* \(#,##0.000000\);_(* &quot;-&quot;??????_);_(@_)"/>
    <numFmt numFmtId="169" formatCode="0.000000"/>
    <numFmt numFmtId="170" formatCode="0.000%"/>
    <numFmt numFmtId="172" formatCode="#,##0.000000_);\(#,##0.000000\)"/>
    <numFmt numFmtId="173" formatCode="0.0%"/>
    <numFmt numFmtId="175" formatCode="0.0000%"/>
    <numFmt numFmtId="177" formatCode="[$-409]mmm\-yy;@"/>
  </numFmts>
  <fonts count="23">
    <font>
      <sz val="10"/>
      <name val="Arial"/>
    </font>
    <font>
      <sz val="10"/>
      <name val="Arial"/>
    </font>
    <font>
      <sz val="9"/>
      <name val="Times New Roman"/>
      <family val="1"/>
    </font>
    <font>
      <sz val="10"/>
      <name val="Geneva"/>
    </font>
    <font>
      <b/>
      <sz val="9"/>
      <name val="Times New Roman"/>
      <family val="1"/>
    </font>
    <font>
      <sz val="9"/>
      <color indexed="16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6"/>
      <name val="Times New Roman"/>
      <family val="1"/>
    </font>
    <font>
      <sz val="9"/>
      <name val="Times New Roman"/>
    </font>
    <font>
      <sz val="10"/>
      <name val="Arial"/>
    </font>
    <font>
      <sz val="8"/>
      <name val="Arial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Arial"/>
    </font>
    <font>
      <b/>
      <sz val="10"/>
      <name val="Arial"/>
    </font>
    <font>
      <sz val="12"/>
      <name val="Arial"/>
    </font>
    <font>
      <sz val="12"/>
      <name val="Times New Roman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1" fontId="15" fillId="0" borderId="0"/>
    <xf numFmtId="41" fontId="15" fillId="0" borderId="0"/>
    <xf numFmtId="41" fontId="15" fillId="0" borderId="0"/>
    <xf numFmtId="41" fontId="15" fillId="0" borderId="0"/>
    <xf numFmtId="41" fontId="15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296">
    <xf numFmtId="0" fontId="0" fillId="0" borderId="0" xfId="0"/>
    <xf numFmtId="0" fontId="2" fillId="0" borderId="0" xfId="8" applyNumberFormat="1" applyFont="1" applyAlignment="1">
      <alignment horizontal="left"/>
    </xf>
    <xf numFmtId="0" fontId="2" fillId="0" borderId="0" xfId="8" applyFont="1"/>
    <xf numFmtId="0" fontId="2" fillId="0" borderId="0" xfId="8" applyNumberFormat="1" applyFont="1" applyAlignment="1">
      <alignment horizontal="center"/>
    </xf>
    <xf numFmtId="3" fontId="4" fillId="0" borderId="0" xfId="8" applyNumberFormat="1" applyFont="1" applyFill="1"/>
    <xf numFmtId="3" fontId="5" fillId="0" borderId="0" xfId="8" applyNumberFormat="1" applyFont="1"/>
    <xf numFmtId="3" fontId="6" fillId="0" borderId="0" xfId="8" applyNumberFormat="1" applyFont="1"/>
    <xf numFmtId="3" fontId="2" fillId="0" borderId="0" xfId="8" applyNumberFormat="1" applyFont="1"/>
    <xf numFmtId="3" fontId="6" fillId="0" borderId="0" xfId="8" applyNumberFormat="1" applyFont="1" applyFill="1"/>
    <xf numFmtId="3" fontId="7" fillId="0" borderId="0" xfId="8" applyNumberFormat="1" applyFont="1"/>
    <xf numFmtId="3" fontId="2" fillId="0" borderId="0" xfId="8" applyNumberFormat="1" applyFont="1" applyFill="1"/>
    <xf numFmtId="3" fontId="8" fillId="0" borderId="0" xfId="8" applyNumberFormat="1" applyFont="1"/>
    <xf numFmtId="3" fontId="9" fillId="0" borderId="0" xfId="8" applyNumberFormat="1" applyFont="1"/>
    <xf numFmtId="3" fontId="6" fillId="0" borderId="0" xfId="8" applyNumberFormat="1" applyFont="1" applyAlignment="1">
      <alignment horizontal="center"/>
    </xf>
    <xf numFmtId="3" fontId="5" fillId="0" borderId="0" xfId="8" applyNumberFormat="1" applyFont="1" applyAlignment="1">
      <alignment horizontal="center"/>
    </xf>
    <xf numFmtId="3" fontId="2" fillId="0" borderId="0" xfId="8" applyNumberFormat="1" applyFont="1" applyAlignment="1">
      <alignment horizontal="center"/>
    </xf>
    <xf numFmtId="3" fontId="4" fillId="0" borderId="0" xfId="8" applyNumberFormat="1" applyFont="1" applyBorder="1" applyAlignment="1">
      <alignment horizontal="center"/>
    </xf>
    <xf numFmtId="3" fontId="8" fillId="0" borderId="0" xfId="8" applyNumberFormat="1" applyFont="1" applyAlignment="1">
      <alignment horizontal="center"/>
    </xf>
    <xf numFmtId="3" fontId="8" fillId="0" borderId="0" xfId="8" applyNumberFormat="1" applyFont="1" applyFill="1" applyAlignment="1">
      <alignment horizontal="center"/>
    </xf>
    <xf numFmtId="0" fontId="4" fillId="0" borderId="0" xfId="8" applyNumberFormat="1" applyFont="1" applyAlignment="1">
      <alignment horizontal="center"/>
    </xf>
    <xf numFmtId="0" fontId="4" fillId="0" borderId="0" xfId="8" applyFont="1" applyAlignment="1">
      <alignment horizontal="center"/>
    </xf>
    <xf numFmtId="3" fontId="4" fillId="0" borderId="0" xfId="8" applyNumberFormat="1" applyFont="1" applyFill="1" applyAlignment="1">
      <alignment horizontal="center"/>
    </xf>
    <xf numFmtId="3" fontId="5" fillId="0" borderId="0" xfId="9" applyNumberFormat="1" applyFont="1" applyAlignment="1">
      <alignment horizontal="center"/>
    </xf>
    <xf numFmtId="3" fontId="8" fillId="0" borderId="0" xfId="9" applyNumberFormat="1" applyFont="1" applyAlignment="1">
      <alignment horizontal="center"/>
    </xf>
    <xf numFmtId="3" fontId="6" fillId="0" borderId="0" xfId="9" applyNumberFormat="1" applyFont="1" applyAlignment="1">
      <alignment horizontal="center"/>
    </xf>
    <xf numFmtId="3" fontId="8" fillId="0" borderId="0" xfId="8" applyNumberFormat="1" applyFont="1" applyFill="1" applyBorder="1" applyAlignment="1">
      <alignment horizontal="center"/>
    </xf>
    <xf numFmtId="3" fontId="4" fillId="0" borderId="0" xfId="8" applyNumberFormat="1" applyFont="1" applyAlignment="1">
      <alignment horizontal="center"/>
    </xf>
    <xf numFmtId="3" fontId="2" fillId="0" borderId="0" xfId="9" applyNumberFormat="1" applyFont="1" applyAlignment="1">
      <alignment horizontal="center"/>
    </xf>
    <xf numFmtId="0" fontId="4" fillId="0" borderId="1" xfId="8" applyNumberFormat="1" applyFont="1" applyBorder="1" applyAlignment="1">
      <alignment horizontal="center"/>
    </xf>
    <xf numFmtId="0" fontId="4" fillId="0" borderId="2" xfId="8" applyFont="1" applyBorder="1" applyAlignment="1">
      <alignment horizontal="center"/>
    </xf>
    <xf numFmtId="0" fontId="4" fillId="0" borderId="3" xfId="8" applyFont="1" applyBorder="1" applyAlignment="1">
      <alignment horizontal="center"/>
    </xf>
    <xf numFmtId="0" fontId="4" fillId="0" borderId="4" xfId="8" applyFont="1" applyBorder="1" applyAlignment="1">
      <alignment horizontal="center"/>
    </xf>
    <xf numFmtId="3" fontId="4" fillId="0" borderId="1" xfId="8" applyNumberFormat="1" applyFont="1" applyFill="1" applyBorder="1" applyAlignment="1">
      <alignment horizontal="center"/>
    </xf>
    <xf numFmtId="3" fontId="4" fillId="0" borderId="1" xfId="8" applyNumberFormat="1" applyFont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4" fillId="0" borderId="5" xfId="8" applyNumberFormat="1" applyFont="1" applyBorder="1" applyAlignment="1">
      <alignment horizontal="center"/>
    </xf>
    <xf numFmtId="0" fontId="4" fillId="0" borderId="6" xfId="8" applyFont="1" applyBorder="1" applyAlignment="1">
      <alignment horizontal="center"/>
    </xf>
    <xf numFmtId="0" fontId="4" fillId="0" borderId="0" xfId="8" applyFont="1" applyBorder="1" applyAlignment="1">
      <alignment horizontal="center"/>
    </xf>
    <xf numFmtId="0" fontId="4" fillId="0" borderId="7" xfId="8" applyFont="1" applyBorder="1" applyAlignment="1">
      <alignment horizontal="center"/>
    </xf>
    <xf numFmtId="3" fontId="4" fillId="0" borderId="5" xfId="8" applyNumberFormat="1" applyFont="1" applyFill="1" applyBorder="1" applyAlignment="1">
      <alignment horizontal="center"/>
    </xf>
    <xf numFmtId="3" fontId="4" fillId="0" borderId="5" xfId="8" applyNumberFormat="1" applyFont="1" applyBorder="1" applyAlignment="1">
      <alignment horizontal="center"/>
    </xf>
    <xf numFmtId="0" fontId="4" fillId="0" borderId="8" xfId="8" applyNumberFormat="1" applyFont="1" applyBorder="1" applyAlignment="1">
      <alignment horizontal="center"/>
    </xf>
    <xf numFmtId="0" fontId="4" fillId="0" borderId="9" xfId="8" applyFont="1" applyBorder="1" applyAlignment="1">
      <alignment horizontal="center"/>
    </xf>
    <xf numFmtId="0" fontId="4" fillId="0" borderId="10" xfId="8" applyFont="1" applyBorder="1" applyAlignment="1">
      <alignment horizontal="center"/>
    </xf>
    <xf numFmtId="0" fontId="4" fillId="0" borderId="11" xfId="8" applyFont="1" applyBorder="1" applyAlignment="1">
      <alignment horizontal="center"/>
    </xf>
    <xf numFmtId="3" fontId="4" fillId="0" borderId="8" xfId="8" applyNumberFormat="1" applyFont="1" applyFill="1" applyBorder="1" applyAlignment="1">
      <alignment horizontal="center"/>
    </xf>
    <xf numFmtId="3" fontId="4" fillId="0" borderId="8" xfId="8" applyNumberFormat="1" applyFont="1" applyBorder="1" applyAlignment="1">
      <alignment horizontal="center"/>
    </xf>
    <xf numFmtId="0" fontId="10" fillId="0" borderId="0" xfId="8" applyNumberFormat="1" applyFont="1" applyAlignment="1">
      <alignment horizontal="center"/>
    </xf>
    <xf numFmtId="0" fontId="10" fillId="0" borderId="0" xfId="8" applyFont="1" applyAlignment="1">
      <alignment horizontal="center"/>
    </xf>
    <xf numFmtId="3" fontId="2" fillId="0" borderId="0" xfId="8" applyNumberFormat="1" applyFont="1" applyFill="1" applyAlignment="1">
      <alignment horizontal="center"/>
    </xf>
    <xf numFmtId="3" fontId="2" fillId="0" borderId="0" xfId="8" applyNumberFormat="1" applyFont="1" applyBorder="1" applyAlignment="1">
      <alignment horizontal="center"/>
    </xf>
    <xf numFmtId="3" fontId="6" fillId="0" borderId="0" xfId="8" applyNumberFormat="1" applyFont="1" applyFill="1" applyBorder="1"/>
    <xf numFmtId="3" fontId="5" fillId="0" borderId="0" xfId="8" applyNumberFormat="1" applyFont="1" applyFill="1" applyBorder="1"/>
    <xf numFmtId="37" fontId="2" fillId="0" borderId="0" xfId="8" applyNumberFormat="1" applyFont="1" applyAlignment="1">
      <alignment horizontal="center"/>
    </xf>
    <xf numFmtId="5" fontId="2" fillId="0" borderId="0" xfId="8" applyNumberFormat="1" applyFont="1"/>
    <xf numFmtId="164" fontId="2" fillId="0" borderId="0" xfId="8" applyNumberFormat="1" applyFont="1" applyFill="1"/>
    <xf numFmtId="164" fontId="5" fillId="0" borderId="0" xfId="2" applyNumberFormat="1" applyFont="1" applyFill="1" applyBorder="1"/>
    <xf numFmtId="164" fontId="6" fillId="0" borderId="0" xfId="2" applyNumberFormat="1" applyFont="1" applyFill="1" applyBorder="1"/>
    <xf numFmtId="164" fontId="2" fillId="0" borderId="0" xfId="8" applyNumberFormat="1" applyFont="1"/>
    <xf numFmtId="164" fontId="2" fillId="0" borderId="0" xfId="2" applyNumberFormat="1" applyFont="1" applyFill="1" applyBorder="1"/>
    <xf numFmtId="37" fontId="2" fillId="0" borderId="0" xfId="8" applyNumberFormat="1" applyFont="1"/>
    <xf numFmtId="165" fontId="2" fillId="0" borderId="0" xfId="8" applyNumberFormat="1" applyFont="1" applyFill="1"/>
    <xf numFmtId="165" fontId="6" fillId="0" borderId="0" xfId="8" applyNumberFormat="1" applyFont="1"/>
    <xf numFmtId="165" fontId="2" fillId="0" borderId="0" xfId="8" applyNumberFormat="1" applyFont="1"/>
    <xf numFmtId="165" fontId="2" fillId="0" borderId="10" xfId="8" applyNumberFormat="1" applyFont="1" applyFill="1" applyBorder="1"/>
    <xf numFmtId="165" fontId="6" fillId="0" borderId="10" xfId="8" applyNumberFormat="1" applyFont="1" applyBorder="1"/>
    <xf numFmtId="165" fontId="2" fillId="0" borderId="10" xfId="8" applyNumberFormat="1" applyFont="1" applyBorder="1"/>
    <xf numFmtId="37" fontId="2" fillId="0" borderId="0" xfId="8" applyNumberFormat="1" applyFont="1" applyFill="1"/>
    <xf numFmtId="37" fontId="2" fillId="0" borderId="10" xfId="8" applyNumberFormat="1" applyFont="1" applyFill="1" applyBorder="1"/>
    <xf numFmtId="37" fontId="2" fillId="0" borderId="10" xfId="8" applyNumberFormat="1" applyFont="1" applyBorder="1"/>
    <xf numFmtId="5" fontId="2" fillId="0" borderId="12" xfId="8" applyNumberFormat="1" applyFont="1" applyFill="1" applyBorder="1"/>
    <xf numFmtId="5" fontId="2" fillId="0" borderId="12" xfId="8" applyNumberFormat="1" applyFont="1" applyBorder="1"/>
    <xf numFmtId="37" fontId="2" fillId="0" borderId="0" xfId="8" applyNumberFormat="1" applyFont="1" applyBorder="1" applyAlignment="1">
      <alignment horizontal="center"/>
    </xf>
    <xf numFmtId="10" fontId="2" fillId="0" borderId="0" xfId="10" applyNumberFormat="1" applyFont="1" applyFill="1"/>
    <xf numFmtId="10" fontId="2" fillId="0" borderId="0" xfId="10" applyNumberFormat="1" applyFont="1"/>
    <xf numFmtId="166" fontId="2" fillId="0" borderId="0" xfId="8" applyNumberFormat="1" applyFont="1" applyFill="1"/>
    <xf numFmtId="3" fontId="4" fillId="0" borderId="1" xfId="9" applyNumberFormat="1" applyFont="1" applyBorder="1" applyAlignment="1">
      <alignment horizontal="center"/>
    </xf>
    <xf numFmtId="3" fontId="4" fillId="0" borderId="5" xfId="9" applyNumberFormat="1" applyFont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3" fontId="4" fillId="0" borderId="8" xfId="9" applyNumberFormat="1" applyFont="1" applyBorder="1" applyAlignment="1">
      <alignment horizontal="center"/>
    </xf>
    <xf numFmtId="3" fontId="4" fillId="0" borderId="8" xfId="8" quotePrefix="1" applyNumberFormat="1" applyFont="1" applyBorder="1" applyAlignment="1">
      <alignment horizontal="center"/>
    </xf>
    <xf numFmtId="3" fontId="2" fillId="0" borderId="0" xfId="8" applyNumberFormat="1" applyFont="1" applyFill="1" applyBorder="1" applyAlignment="1">
      <alignment horizontal="center"/>
    </xf>
    <xf numFmtId="0" fontId="11" fillId="0" borderId="0" xfId="0" applyFont="1"/>
    <xf numFmtId="0" fontId="15" fillId="0" borderId="0" xfId="0" applyFont="1" applyBorder="1"/>
    <xf numFmtId="0" fontId="15" fillId="0" borderId="0" xfId="0" applyFont="1" applyFill="1" applyBorder="1"/>
    <xf numFmtId="0" fontId="15" fillId="0" borderId="0" xfId="0" applyFont="1"/>
    <xf numFmtId="0" fontId="15" fillId="0" borderId="0" xfId="0" quotePrefix="1" applyFont="1"/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/>
    <xf numFmtId="0" fontId="15" fillId="0" borderId="0" xfId="0" applyFont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10" fontId="15" fillId="0" borderId="10" xfId="0" applyNumberFormat="1" applyFont="1" applyFill="1" applyBorder="1"/>
    <xf numFmtId="10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10" xfId="0" applyFont="1" applyFill="1" applyBorder="1"/>
    <xf numFmtId="0" fontId="15" fillId="0" borderId="0" xfId="0" applyFont="1" applyFill="1" applyBorder="1" applyAlignment="1">
      <alignment horizontal="center"/>
    </xf>
    <xf numFmtId="164" fontId="2" fillId="0" borderId="10" xfId="8" applyNumberFormat="1" applyFont="1" applyBorder="1"/>
    <xf numFmtId="164" fontId="2" fillId="0" borderId="12" xfId="8" applyNumberFormat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/>
    <xf numFmtId="169" fontId="15" fillId="0" borderId="0" xfId="10" applyNumberFormat="1" applyFont="1"/>
    <xf numFmtId="169" fontId="15" fillId="0" borderId="0" xfId="0" applyNumberFormat="1" applyFont="1"/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168" fontId="15" fillId="0" borderId="10" xfId="0" applyNumberFormat="1" applyFont="1" applyBorder="1"/>
    <xf numFmtId="168" fontId="15" fillId="0" borderId="0" xfId="0" applyNumberFormat="1" applyFont="1" applyBorder="1"/>
    <xf numFmtId="168" fontId="15" fillId="0" borderId="0" xfId="0" applyNumberFormat="1" applyFont="1"/>
    <xf numFmtId="168" fontId="15" fillId="0" borderId="13" xfId="0" applyNumberFormat="1" applyFont="1" applyBorder="1"/>
    <xf numFmtId="168" fontId="15" fillId="0" borderId="12" xfId="0" applyNumberFormat="1" applyFont="1" applyBorder="1"/>
    <xf numFmtId="5" fontId="15" fillId="0" borderId="0" xfId="0" applyNumberFormat="1" applyFont="1"/>
    <xf numFmtId="42" fontId="15" fillId="0" borderId="0" xfId="0" applyNumberFormat="1" applyFont="1"/>
    <xf numFmtId="42" fontId="15" fillId="0" borderId="0" xfId="0" applyNumberFormat="1" applyFont="1" applyFill="1"/>
    <xf numFmtId="42" fontId="15" fillId="0" borderId="0" xfId="0" applyNumberFormat="1" applyFont="1" applyFill="1" applyAlignment="1">
      <alignment horizontal="center"/>
    </xf>
    <xf numFmtId="42" fontId="15" fillId="0" borderId="10" xfId="0" applyNumberFormat="1" applyFont="1" applyFill="1" applyBorder="1"/>
    <xf numFmtId="42" fontId="15" fillId="0" borderId="0" xfId="0" applyNumberFormat="1" applyFont="1" applyFill="1" applyBorder="1" applyAlignment="1">
      <alignment horizontal="center"/>
    </xf>
    <xf numFmtId="5" fontId="15" fillId="0" borderId="10" xfId="0" applyNumberFormat="1" applyFont="1" applyFill="1" applyBorder="1"/>
    <xf numFmtId="42" fontId="15" fillId="0" borderId="12" xfId="0" applyNumberFormat="1" applyFont="1" applyBorder="1"/>
    <xf numFmtId="42" fontId="15" fillId="0" borderId="0" xfId="0" applyNumberFormat="1" applyFont="1" applyBorder="1"/>
    <xf numFmtId="41" fontId="15" fillId="0" borderId="0" xfId="5"/>
    <xf numFmtId="41" fontId="15" fillId="0" borderId="0" xfId="5" applyFont="1"/>
    <xf numFmtId="41" fontId="15" fillId="0" borderId="0" xfId="5" applyFont="1" applyAlignment="1">
      <alignment horizontal="center"/>
    </xf>
    <xf numFmtId="41" fontId="15" fillId="0" borderId="0" xfId="5" applyAlignment="1">
      <alignment horizontal="center"/>
    </xf>
    <xf numFmtId="41" fontId="15" fillId="0" borderId="10" xfId="5" applyFont="1" applyBorder="1"/>
    <xf numFmtId="41" fontId="15" fillId="0" borderId="0" xfId="5" applyFont="1" applyBorder="1"/>
    <xf numFmtId="41" fontId="15" fillId="0" borderId="10" xfId="5" applyFont="1" applyBorder="1" applyAlignment="1">
      <alignment horizontal="center"/>
    </xf>
    <xf numFmtId="170" fontId="15" fillId="0" borderId="0" xfId="5" applyNumberFormat="1"/>
    <xf numFmtId="41" fontId="15" fillId="0" borderId="0" xfId="5" applyFont="1" applyFill="1"/>
    <xf numFmtId="41" fontId="15" fillId="0" borderId="0" xfId="5" applyFill="1"/>
    <xf numFmtId="10" fontId="15" fillId="0" borderId="0" xfId="5" applyNumberFormat="1" applyFill="1"/>
    <xf numFmtId="10" fontId="15" fillId="0" borderId="0" xfId="5" applyNumberFormat="1"/>
    <xf numFmtId="41" fontId="15" fillId="0" borderId="0" xfId="5" quotePrefix="1" applyFont="1"/>
    <xf numFmtId="42" fontId="15" fillId="0" borderId="0" xfId="5" applyNumberFormat="1" applyFill="1"/>
    <xf numFmtId="42" fontId="15" fillId="0" borderId="10" xfId="5" applyNumberFormat="1" applyFill="1" applyBorder="1"/>
    <xf numFmtId="41" fontId="15" fillId="0" borderId="0" xfId="4"/>
    <xf numFmtId="41" fontId="15" fillId="0" borderId="0" xfId="3" applyFont="1"/>
    <xf numFmtId="41" fontId="15" fillId="0" borderId="10" xfId="3" applyFont="1" applyBorder="1"/>
    <xf numFmtId="41" fontId="15" fillId="0" borderId="10" xfId="3" applyFont="1" applyBorder="1" applyAlignment="1">
      <alignment horizontal="center"/>
    </xf>
    <xf numFmtId="41" fontId="15" fillId="0" borderId="0" xfId="4" applyFont="1" applyBorder="1"/>
    <xf numFmtId="41" fontId="15" fillId="0" borderId="0" xfId="4" applyFont="1"/>
    <xf numFmtId="41" fontId="15" fillId="0" borderId="0" xfId="7" applyFont="1"/>
    <xf numFmtId="41" fontId="15" fillId="0" borderId="0" xfId="4" applyFont="1" applyFill="1" applyBorder="1"/>
    <xf numFmtId="41" fontId="15" fillId="0" borderId="0" xfId="4" applyBorder="1"/>
    <xf numFmtId="41" fontId="15" fillId="0" borderId="0" xfId="7" applyFont="1" applyBorder="1"/>
    <xf numFmtId="41" fontId="15" fillId="0" borderId="10" xfId="4" applyFont="1" applyBorder="1"/>
    <xf numFmtId="42" fontId="15" fillId="0" borderId="10" xfId="4" applyNumberFormat="1" applyFont="1" applyFill="1" applyBorder="1"/>
    <xf numFmtId="42" fontId="15" fillId="0" borderId="0" xfId="4" applyNumberFormat="1" applyFont="1"/>
    <xf numFmtId="10" fontId="15" fillId="0" borderId="10" xfId="4" applyNumberFormat="1" applyFont="1" applyFill="1" applyBorder="1"/>
    <xf numFmtId="170" fontId="15" fillId="0" borderId="0" xfId="4" applyNumberFormat="1" applyFont="1" applyBorder="1"/>
    <xf numFmtId="42" fontId="15" fillId="0" borderId="0" xfId="4" applyNumberFormat="1" applyFont="1" applyFill="1"/>
    <xf numFmtId="41" fontId="15" fillId="0" borderId="0" xfId="4" applyFont="1" applyFill="1"/>
    <xf numFmtId="10" fontId="15" fillId="0" borderId="0" xfId="4" applyNumberFormat="1" applyFont="1" applyFill="1" applyBorder="1"/>
    <xf numFmtId="42" fontId="15" fillId="0" borderId="12" xfId="4" applyNumberFormat="1" applyFont="1" applyBorder="1"/>
    <xf numFmtId="165" fontId="2" fillId="0" borderId="0" xfId="8" applyNumberFormat="1" applyFont="1" applyFill="1" applyBorder="1"/>
    <xf numFmtId="165" fontId="2" fillId="0" borderId="0" xfId="8" applyNumberFormat="1" applyFont="1" applyBorder="1"/>
    <xf numFmtId="164" fontId="2" fillId="0" borderId="0" xfId="8" applyNumberFormat="1" applyFont="1" applyBorder="1"/>
    <xf numFmtId="37" fontId="15" fillId="0" borderId="0" xfId="8" applyNumberFormat="1" applyFont="1"/>
    <xf numFmtId="37" fontId="15" fillId="0" borderId="0" xfId="0" applyNumberFormat="1" applyFont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70" fontId="15" fillId="0" borderId="10" xfId="0" applyNumberFormat="1" applyFont="1" applyFill="1" applyBorder="1"/>
    <xf numFmtId="0" fontId="15" fillId="0" borderId="0" xfId="0" applyFont="1" applyFill="1" applyBorder="1" applyAlignment="1">
      <alignment horizontal="right"/>
    </xf>
    <xf numFmtId="42" fontId="15" fillId="0" borderId="0" xfId="0" applyNumberFormat="1" applyFont="1" applyFill="1" applyBorder="1"/>
    <xf numFmtId="42" fontId="15" fillId="0" borderId="12" xfId="0" applyNumberFormat="1" applyFont="1" applyFill="1" applyBorder="1"/>
    <xf numFmtId="42" fontId="15" fillId="0" borderId="10" xfId="0" applyNumberFormat="1" applyFont="1" applyBorder="1"/>
    <xf numFmtId="42" fontId="15" fillId="0" borderId="13" xfId="0" applyNumberFormat="1" applyFont="1" applyBorder="1"/>
    <xf numFmtId="0" fontId="17" fillId="0" borderId="0" xfId="0" applyFont="1"/>
    <xf numFmtId="0" fontId="15" fillId="0" borderId="0" xfId="0" applyFont="1" applyFill="1" applyAlignment="1">
      <alignment horizontal="left"/>
    </xf>
    <xf numFmtId="0" fontId="18" fillId="0" borderId="0" xfId="0" applyFont="1" applyFill="1"/>
    <xf numFmtId="10" fontId="15" fillId="0" borderId="0" xfId="0" applyNumberFormat="1" applyFont="1" applyFill="1" applyBorder="1"/>
    <xf numFmtId="41" fontId="15" fillId="0" borderId="0" xfId="6" applyFont="1" applyFill="1" applyBorder="1"/>
    <xf numFmtId="170" fontId="15" fillId="0" borderId="10" xfId="0" applyNumberFormat="1" applyFont="1" applyBorder="1"/>
    <xf numFmtId="170" fontId="15" fillId="0" borderId="0" xfId="0" applyNumberFormat="1" applyFont="1" applyBorder="1"/>
    <xf numFmtId="0" fontId="13" fillId="0" borderId="0" xfId="0" applyFont="1"/>
    <xf numFmtId="10" fontId="15" fillId="0" borderId="0" xfId="0" applyNumberFormat="1" applyFont="1" applyBorder="1" applyAlignment="1">
      <alignment horizontal="center"/>
    </xf>
    <xf numFmtId="170" fontId="15" fillId="0" borderId="0" xfId="0" applyNumberFormat="1" applyFont="1" applyFill="1" applyBorder="1"/>
    <xf numFmtId="10" fontId="15" fillId="0" borderId="10" xfId="0" applyNumberFormat="1" applyFont="1" applyBorder="1"/>
    <xf numFmtId="0" fontId="15" fillId="0" borderId="0" xfId="0" applyFont="1" applyBorder="1" applyAlignment="1">
      <alignment horizontal="right"/>
    </xf>
    <xf numFmtId="168" fontId="15" fillId="0" borderId="10" xfId="0" applyNumberFormat="1" applyFont="1" applyFill="1" applyBorder="1"/>
    <xf numFmtId="169" fontId="15" fillId="0" borderId="10" xfId="0" applyNumberFormat="1" applyFont="1" applyFill="1" applyBorder="1"/>
    <xf numFmtId="0" fontId="16" fillId="0" borderId="0" xfId="0" applyFont="1" applyFill="1" applyBorder="1" applyAlignment="1">
      <alignment horizontal="center"/>
    </xf>
    <xf numFmtId="42" fontId="16" fillId="0" borderId="0" xfId="0" applyNumberFormat="1" applyFont="1" applyFill="1" applyBorder="1" applyAlignment="1">
      <alignment horizontal="center"/>
    </xf>
    <xf numFmtId="42" fontId="16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164" fontId="2" fillId="0" borderId="13" xfId="8" applyNumberFormat="1" applyFont="1" applyBorder="1"/>
    <xf numFmtId="3" fontId="2" fillId="0" borderId="10" xfId="8" applyNumberFormat="1" applyFont="1" applyBorder="1"/>
    <xf numFmtId="0" fontId="15" fillId="0" borderId="0" xfId="0" applyFont="1" applyAlignment="1">
      <alignment horizontal="left"/>
    </xf>
    <xf numFmtId="0" fontId="15" fillId="0" borderId="10" xfId="0" applyFont="1" applyFill="1" applyBorder="1" applyAlignment="1">
      <alignment horizontal="right"/>
    </xf>
    <xf numFmtId="37" fontId="15" fillId="0" borderId="10" xfId="0" applyNumberFormat="1" applyFont="1" applyFill="1" applyBorder="1" applyAlignment="1">
      <alignment horizontal="center"/>
    </xf>
    <xf numFmtId="0" fontId="18" fillId="0" borderId="0" xfId="0" applyFont="1"/>
    <xf numFmtId="0" fontId="15" fillId="0" borderId="10" xfId="0" applyFont="1" applyFill="1" applyBorder="1" applyAlignment="1">
      <alignment horizontal="left"/>
    </xf>
    <xf numFmtId="41" fontId="15" fillId="0" borderId="10" xfId="5" applyBorder="1"/>
    <xf numFmtId="41" fontId="14" fillId="0" borderId="10" xfId="5" applyFont="1" applyBorder="1"/>
    <xf numFmtId="10" fontId="15" fillId="0" borderId="10" xfId="5" applyNumberFormat="1" applyBorder="1"/>
    <xf numFmtId="3" fontId="4" fillId="0" borderId="8" xfId="8" quotePrefix="1" applyNumberFormat="1" applyFont="1" applyFill="1" applyBorder="1" applyAlignment="1">
      <alignment horizontal="center"/>
    </xf>
    <xf numFmtId="10" fontId="15" fillId="0" borderId="0" xfId="0" applyNumberFormat="1" applyFont="1" applyBorder="1"/>
    <xf numFmtId="41" fontId="2" fillId="0" borderId="10" xfId="8" applyNumberFormat="1" applyFont="1" applyFill="1" applyBorder="1"/>
    <xf numFmtId="172" fontId="15" fillId="0" borderId="10" xfId="0" applyNumberFormat="1" applyFont="1" applyBorder="1"/>
    <xf numFmtId="0" fontId="13" fillId="0" borderId="0" xfId="0" applyFont="1" applyAlignment="1">
      <alignment horizontal="center"/>
    </xf>
    <xf numFmtId="0" fontId="15" fillId="0" borderId="12" xfId="0" applyFont="1" applyBorder="1"/>
    <xf numFmtId="173" fontId="15" fillId="0" borderId="0" xfId="5" applyNumberFormat="1" applyFill="1"/>
    <xf numFmtId="173" fontId="15" fillId="0" borderId="10" xfId="5" applyNumberFormat="1" applyFill="1" applyBorder="1"/>
    <xf numFmtId="42" fontId="15" fillId="0" borderId="0" xfId="0" applyNumberFormat="1" applyFont="1" applyAlignment="1">
      <alignment horizontal="center"/>
    </xf>
    <xf numFmtId="42" fontId="15" fillId="0" borderId="0" xfId="0" applyNumberFormat="1" applyFont="1" applyBorder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9" fontId="15" fillId="0" borderId="10" xfId="0" applyNumberFormat="1" applyFont="1" applyFill="1" applyBorder="1"/>
    <xf numFmtId="5" fontId="15" fillId="0" borderId="0" xfId="8" applyNumberFormat="1" applyFont="1"/>
    <xf numFmtId="0" fontId="15" fillId="0" borderId="0" xfId="8" applyFont="1"/>
    <xf numFmtId="42" fontId="18" fillId="0" borderId="0" xfId="0" applyNumberFormat="1" applyFont="1"/>
    <xf numFmtId="0" fontId="16" fillId="0" borderId="0" xfId="0" applyFont="1" applyAlignment="1">
      <alignment horizontal="center"/>
    </xf>
    <xf numFmtId="10" fontId="15" fillId="0" borderId="0" xfId="0" applyNumberFormat="1" applyFont="1"/>
    <xf numFmtId="17" fontId="15" fillId="0" borderId="0" xfId="0" applyNumberFormat="1" applyFont="1"/>
    <xf numFmtId="42" fontId="13" fillId="0" borderId="0" xfId="0" applyNumberFormat="1" applyFont="1"/>
    <xf numFmtId="42" fontId="15" fillId="0" borderId="0" xfId="0" applyNumberFormat="1" applyFont="1" applyAlignment="1">
      <alignment horizontal="right"/>
    </xf>
    <xf numFmtId="175" fontId="15" fillId="0" borderId="0" xfId="0" applyNumberFormat="1" applyFont="1"/>
    <xf numFmtId="42" fontId="15" fillId="0" borderId="14" xfId="0" applyNumberFormat="1" applyFont="1" applyBorder="1"/>
    <xf numFmtId="175" fontId="15" fillId="0" borderId="0" xfId="0" applyNumberFormat="1" applyFont="1" applyBorder="1"/>
    <xf numFmtId="42" fontId="16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10" fontId="15" fillId="0" borderId="0" xfId="5" applyNumberFormat="1" applyFill="1" applyBorder="1"/>
    <xf numFmtId="10" fontId="15" fillId="0" borderId="10" xfId="5" applyNumberFormat="1" applyFill="1" applyBorder="1"/>
    <xf numFmtId="177" fontId="15" fillId="0" borderId="0" xfId="0" applyNumberFormat="1" applyFont="1" applyBorder="1"/>
    <xf numFmtId="42" fontId="15" fillId="0" borderId="0" xfId="1" applyNumberFormat="1" applyFont="1" applyBorder="1"/>
    <xf numFmtId="177" fontId="15" fillId="0" borderId="0" xfId="0" quotePrefix="1" applyNumberFormat="1" applyFont="1" applyBorder="1"/>
    <xf numFmtId="42" fontId="15" fillId="0" borderId="0" xfId="1" applyNumberFormat="1" applyFont="1"/>
    <xf numFmtId="42" fontId="15" fillId="0" borderId="15" xfId="1" applyNumberFormat="1" applyFont="1" applyBorder="1"/>
    <xf numFmtId="43" fontId="15" fillId="0" borderId="10" xfId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2" fontId="15" fillId="0" borderId="12" xfId="1" applyNumberFormat="1" applyFont="1" applyBorder="1"/>
    <xf numFmtId="0" fontId="15" fillId="0" borderId="0" xfId="8" applyNumberFormat="1" applyFont="1" applyAlignment="1">
      <alignment horizontal="left"/>
    </xf>
    <xf numFmtId="0" fontId="13" fillId="0" borderId="0" xfId="8" applyFont="1" applyBorder="1" applyAlignment="1">
      <alignment horizontal="center"/>
    </xf>
    <xf numFmtId="0" fontId="13" fillId="0" borderId="10" xfId="8" applyFont="1" applyBorder="1" applyAlignment="1">
      <alignment horizontal="center"/>
    </xf>
    <xf numFmtId="0" fontId="21" fillId="0" borderId="0" xfId="8" applyNumberFormat="1" applyFont="1" applyAlignment="1">
      <alignment horizontal="center"/>
    </xf>
    <xf numFmtId="0" fontId="21" fillId="0" borderId="0" xfId="8" applyFont="1" applyAlignment="1">
      <alignment horizontal="center"/>
    </xf>
    <xf numFmtId="0" fontId="20" fillId="0" borderId="0" xfId="0" applyFont="1"/>
    <xf numFmtId="0" fontId="15" fillId="0" borderId="0" xfId="8" applyNumberFormat="1" applyFont="1" applyAlignment="1">
      <alignment horizontal="center"/>
    </xf>
    <xf numFmtId="37" fontId="15" fillId="0" borderId="0" xfId="8" applyNumberFormat="1" applyFont="1" applyAlignment="1">
      <alignment horizontal="center"/>
    </xf>
    <xf numFmtId="3" fontId="13" fillId="0" borderId="0" xfId="8" applyNumberFormat="1" applyFont="1" applyFill="1"/>
    <xf numFmtId="3" fontId="15" fillId="0" borderId="0" xfId="8" applyNumberFormat="1" applyFont="1" applyFill="1"/>
    <xf numFmtId="0" fontId="13" fillId="0" borderId="0" xfId="8" applyNumberFormat="1" applyFont="1" applyAlignment="1">
      <alignment horizontal="center"/>
    </xf>
    <xf numFmtId="0" fontId="13" fillId="0" borderId="0" xfId="8" applyFont="1" applyAlignment="1">
      <alignment horizontal="center"/>
    </xf>
    <xf numFmtId="3" fontId="13" fillId="0" borderId="0" xfId="8" applyNumberFormat="1" applyFont="1" applyFill="1" applyAlignment="1">
      <alignment horizontal="center"/>
    </xf>
    <xf numFmtId="0" fontId="13" fillId="0" borderId="0" xfId="8" applyNumberFormat="1" applyFont="1" applyBorder="1" applyAlignment="1">
      <alignment horizontal="center"/>
    </xf>
    <xf numFmtId="3" fontId="13" fillId="0" borderId="0" xfId="8" applyNumberFormat="1" applyFont="1" applyFill="1" applyBorder="1" applyAlignment="1">
      <alignment horizontal="center"/>
    </xf>
    <xf numFmtId="164" fontId="15" fillId="0" borderId="0" xfId="8" applyNumberFormat="1" applyFont="1" applyFill="1"/>
    <xf numFmtId="165" fontId="15" fillId="0" borderId="0" xfId="8" applyNumberFormat="1" applyFont="1" applyFill="1"/>
    <xf numFmtId="165" fontId="15" fillId="0" borderId="10" xfId="8" applyNumberFormat="1" applyFont="1" applyFill="1" applyBorder="1"/>
    <xf numFmtId="37" fontId="15" fillId="0" borderId="0" xfId="8" applyNumberFormat="1" applyFont="1" applyFill="1"/>
    <xf numFmtId="165" fontId="15" fillId="0" borderId="0" xfId="8" applyNumberFormat="1" applyFont="1" applyFill="1" applyBorder="1"/>
    <xf numFmtId="37" fontId="15" fillId="0" borderId="10" xfId="8" applyNumberFormat="1" applyFont="1" applyFill="1" applyBorder="1"/>
    <xf numFmtId="37" fontId="15" fillId="0" borderId="0" xfId="8" applyNumberFormat="1" applyFont="1" applyBorder="1" applyAlignment="1">
      <alignment horizontal="center"/>
    </xf>
    <xf numFmtId="5" fontId="15" fillId="0" borderId="12" xfId="8" applyNumberFormat="1" applyFont="1" applyFill="1" applyBorder="1"/>
    <xf numFmtId="42" fontId="15" fillId="0" borderId="12" xfId="8" applyNumberFormat="1" applyFont="1" applyFill="1" applyBorder="1"/>
    <xf numFmtId="5" fontId="0" fillId="0" borderId="0" xfId="0" applyNumberFormat="1"/>
    <xf numFmtId="9" fontId="15" fillId="0" borderId="10" xfId="0" applyNumberFormat="1" applyFont="1" applyBorder="1"/>
    <xf numFmtId="0" fontId="4" fillId="0" borderId="0" xfId="8" applyFont="1"/>
    <xf numFmtId="0" fontId="19" fillId="0" borderId="0" xfId="0" applyFont="1"/>
    <xf numFmtId="0" fontId="13" fillId="0" borderId="0" xfId="8" applyNumberFormat="1" applyFont="1" applyAlignment="1">
      <alignment horizontal="left"/>
    </xf>
    <xf numFmtId="0" fontId="13" fillId="0" borderId="0" xfId="0" applyFont="1" applyBorder="1" applyAlignment="1">
      <alignment horizontal="center"/>
    </xf>
    <xf numFmtId="3" fontId="8" fillId="0" borderId="0" xfId="8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0" xfId="8" applyNumberFormat="1" applyFont="1" applyBorder="1" applyAlignment="1">
      <alignment horizontal="center"/>
    </xf>
    <xf numFmtId="3" fontId="13" fillId="0" borderId="10" xfId="8" applyNumberFormat="1" applyFont="1" applyFill="1" applyBorder="1" applyAlignment="1">
      <alignment horizontal="center"/>
    </xf>
    <xf numFmtId="0" fontId="13" fillId="0" borderId="10" xfId="8" applyFont="1" applyFill="1" applyBorder="1" applyAlignment="1">
      <alignment horizontal="center"/>
    </xf>
    <xf numFmtId="0" fontId="20" fillId="0" borderId="0" xfId="0" applyFont="1" applyBorder="1"/>
    <xf numFmtId="0" fontId="13" fillId="0" borderId="10" xfId="0" applyFont="1" applyBorder="1" applyAlignment="1">
      <alignment horizontal="center"/>
    </xf>
    <xf numFmtId="0" fontId="13" fillId="0" borderId="0" xfId="0" applyFont="1" applyAlignment="1"/>
    <xf numFmtId="42" fontId="15" fillId="2" borderId="10" xfId="0" applyNumberFormat="1" applyFont="1" applyFill="1" applyBorder="1"/>
    <xf numFmtId="42" fontId="15" fillId="2" borderId="0" xfId="0" applyNumberFormat="1" applyFont="1" applyFill="1"/>
    <xf numFmtId="42" fontId="15" fillId="2" borderId="12" xfId="0" applyNumberFormat="1" applyFont="1" applyFill="1" applyBorder="1"/>
    <xf numFmtId="5" fontId="15" fillId="2" borderId="12" xfId="0" applyNumberFormat="1" applyFont="1" applyFill="1" applyBorder="1"/>
    <xf numFmtId="5" fontId="15" fillId="2" borderId="10" xfId="0" applyNumberFormat="1" applyFont="1" applyFill="1" applyBorder="1"/>
    <xf numFmtId="5" fontId="15" fillId="2" borderId="0" xfId="0" applyNumberFormat="1" applyFont="1" applyFill="1"/>
    <xf numFmtId="165" fontId="2" fillId="2" borderId="0" xfId="8" applyNumberFormat="1" applyFont="1" applyFill="1"/>
    <xf numFmtId="37" fontId="2" fillId="2" borderId="0" xfId="8" applyNumberFormat="1" applyFont="1" applyFill="1"/>
    <xf numFmtId="37" fontId="2" fillId="2" borderId="10" xfId="8" applyNumberFormat="1" applyFont="1" applyFill="1" applyBorder="1"/>
    <xf numFmtId="5" fontId="2" fillId="2" borderId="12" xfId="8" applyNumberFormat="1" applyFont="1" applyFill="1" applyBorder="1"/>
    <xf numFmtId="164" fontId="2" fillId="2" borderId="0" xfId="8" applyNumberFormat="1" applyFont="1" applyFill="1"/>
    <xf numFmtId="164" fontId="2" fillId="2" borderId="13" xfId="8" applyNumberFormat="1" applyFont="1" applyFill="1" applyBorder="1"/>
    <xf numFmtId="164" fontId="2" fillId="2" borderId="12" xfId="8" applyNumberFormat="1" applyFont="1" applyFill="1" applyBorder="1"/>
    <xf numFmtId="42" fontId="15" fillId="2" borderId="0" xfId="0" applyNumberFormat="1" applyFont="1" applyFill="1" applyBorder="1"/>
    <xf numFmtId="42" fontId="16" fillId="2" borderId="10" xfId="0" applyNumberFormat="1" applyFont="1" applyFill="1" applyBorder="1"/>
    <xf numFmtId="42" fontId="16" fillId="2" borderId="0" xfId="0" applyNumberFormat="1" applyFont="1" applyFill="1"/>
    <xf numFmtId="0" fontId="16" fillId="2" borderId="0" xfId="0" applyFont="1" applyFill="1"/>
    <xf numFmtId="10" fontId="16" fillId="2" borderId="10" xfId="0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center"/>
    </xf>
  </cellXfs>
  <cellStyles count="11">
    <cellStyle name="Comma" xfId="1" builtinId="3"/>
    <cellStyle name="Normal" xfId="0" builtinId="0"/>
    <cellStyle name="Normal_IDGas6_97" xfId="2"/>
    <cellStyle name="Normal_SHEET_2" xfId="3"/>
    <cellStyle name="Normal_SHEET_3" xfId="4"/>
    <cellStyle name="Normal_SHEET_4" xfId="5"/>
    <cellStyle name="Normal_SHEET_7" xfId="6"/>
    <cellStyle name="Normal_SHEET_C" xfId="7"/>
    <cellStyle name="Normal_WAElec6_97" xfId="8"/>
    <cellStyle name="Normal_WAGas6_97" xfId="9"/>
    <cellStyle name="Percent" xfId="10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arolw\Local%20Settings\Temporary%20Internet%20Files\Content.Outlook\5JX8L478\Schedules%20electri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vista%20Washington\PC%20responses\PC_DR_025%20Attachment%20A-Conv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A1 RevReq"/>
      <sheetName val="A2"/>
      <sheetName val="B-1"/>
      <sheetName val="B-2"/>
      <sheetName val="B-3"/>
      <sheetName val="B-4"/>
      <sheetName val="B-5"/>
      <sheetName val="B-6"/>
      <sheetName val="B-7"/>
      <sheetName val="C-1 NOI"/>
      <sheetName val="C-2 Prop Tax"/>
      <sheetName val="C-3"/>
      <sheetName val="C-4 ProdPty"/>
      <sheetName val="C-5a nonexec"/>
      <sheetName val="C-5b"/>
      <sheetName val="C-6 exec lbr"/>
      <sheetName val="C-7 08 CapAddns"/>
      <sheetName val="C-8 09 CapAdd"/>
      <sheetName val="C-9 Asset Mgt"/>
      <sheetName val="C-10 Info serv"/>
      <sheetName val="C-11 CDA Sett"/>
      <sheetName val="C-12 Colstrip"/>
      <sheetName val="C-13 Incentives"/>
      <sheetName val="C-14 O&amp;M"/>
      <sheetName val="C-15 Insur"/>
      <sheetName val="C-16 D&amp;O Ins"/>
      <sheetName val="C-17 Dir Mtgs"/>
      <sheetName val="C-18 Dir Fees"/>
      <sheetName val="C-19 Airpl"/>
      <sheetName val="C-20 IntSyn"/>
      <sheetName val="D ROR"/>
    </sheetNames>
    <sheetDataSet>
      <sheetData sheetId="0" refreshError="1">
        <row r="4">
          <cell r="A4" t="str">
            <v>Washington Electric System</v>
          </cell>
        </row>
      </sheetData>
      <sheetData sheetId="1" refreshError="1">
        <row r="2">
          <cell r="A2" t="str">
            <v>Washington Electric System</v>
          </cell>
        </row>
        <row r="3">
          <cell r="A3" t="str">
            <v>Test Year Twelve Months Ended September 30, 2008</v>
          </cell>
        </row>
        <row r="4">
          <cell r="A4" t="str">
            <v>($000's of Dollars)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 WA Elec"/>
      <sheetName val="CF WA Gas"/>
      <sheetName val="UncollCalc"/>
      <sheetName val="FranchiseWA"/>
      <sheetName val="ExciseWA"/>
      <sheetName val="SharedInputs"/>
      <sheetName val="WeatherWks"/>
      <sheetName val="CF ID Elec"/>
      <sheetName val="CF ID Ga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">
          <cell r="E9">
            <v>2.5173032634292548E-3</v>
          </cell>
        </row>
        <row r="13">
          <cell r="E13">
            <v>3.8632504844607389E-2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K42"/>
  <sheetViews>
    <sheetView topLeftCell="A19" workbookViewId="0">
      <selection activeCell="G37" sqref="G37"/>
    </sheetView>
  </sheetViews>
  <sheetFormatPr defaultRowHeight="12.75"/>
  <cols>
    <col min="1" max="1" width="4.85546875" customWidth="1"/>
    <col min="2" max="2" width="0.5703125" customWidth="1"/>
    <col min="3" max="3" width="31.5703125" customWidth="1"/>
    <col min="4" max="4" width="1" customWidth="1"/>
    <col min="5" max="5" width="14.7109375" customWidth="1"/>
    <col min="6" max="6" width="0.85546875" customWidth="1"/>
    <col min="7" max="7" width="14.7109375" customWidth="1"/>
    <col min="8" max="8" width="0.5703125" customWidth="1"/>
    <col min="9" max="9" width="14.7109375" customWidth="1"/>
    <col min="10" max="10" width="0.85546875" customWidth="1"/>
  </cols>
  <sheetData>
    <row r="1" spans="1:11" ht="15.75">
      <c r="A1" s="291" t="s">
        <v>454</v>
      </c>
      <c r="B1" s="292"/>
      <c r="C1" s="292"/>
      <c r="D1" s="292"/>
      <c r="E1" s="292"/>
      <c r="F1" s="292"/>
      <c r="G1" s="292"/>
      <c r="H1" s="292"/>
      <c r="I1" s="292"/>
      <c r="J1" s="292"/>
      <c r="K1" s="293"/>
    </row>
    <row r="2" spans="1:11" ht="15.75">
      <c r="A2" s="291" t="str">
        <f>[1]TOC!A4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  <c r="K2" s="293"/>
    </row>
    <row r="3" spans="1:11" ht="15.75">
      <c r="A3" s="291" t="s">
        <v>190</v>
      </c>
      <c r="B3" s="292"/>
      <c r="C3" s="292"/>
      <c r="D3" s="292"/>
      <c r="E3" s="292"/>
      <c r="F3" s="292"/>
      <c r="G3" s="292"/>
      <c r="H3" s="292"/>
      <c r="I3" s="292"/>
      <c r="J3" s="292"/>
      <c r="K3" s="293"/>
    </row>
    <row r="4" spans="1:11" ht="15.75">
      <c r="A4" s="291" t="s">
        <v>191</v>
      </c>
      <c r="B4" s="292"/>
      <c r="C4" s="292"/>
      <c r="D4" s="292"/>
      <c r="E4" s="292"/>
      <c r="F4" s="292"/>
      <c r="G4" s="292"/>
      <c r="H4" s="292"/>
      <c r="I4" s="292"/>
      <c r="J4" s="292"/>
      <c r="K4" s="293"/>
    </row>
    <row r="5" spans="1:11" ht="15.75">
      <c r="A5" s="83"/>
      <c r="B5" s="83"/>
      <c r="C5" s="83"/>
      <c r="D5" s="85"/>
      <c r="E5" s="85"/>
      <c r="F5" s="85"/>
      <c r="G5" s="83"/>
      <c r="H5" s="85"/>
      <c r="I5" s="85"/>
      <c r="J5" s="85"/>
      <c r="K5" s="85"/>
    </row>
    <row r="6" spans="1:11" ht="15.75">
      <c r="A6" s="83"/>
      <c r="B6" s="83"/>
      <c r="C6" s="83"/>
      <c r="D6" s="85"/>
      <c r="E6" s="85"/>
      <c r="F6" s="85"/>
      <c r="G6" s="85"/>
      <c r="H6" s="85"/>
      <c r="I6" s="85"/>
      <c r="J6" s="85"/>
      <c r="K6" s="85"/>
    </row>
    <row r="7" spans="1:11" ht="15.75">
      <c r="A7" s="85" t="s">
        <v>187</v>
      </c>
      <c r="B7" s="83"/>
      <c r="C7" s="83"/>
      <c r="D7" s="85"/>
      <c r="E7" s="85"/>
      <c r="F7" s="85"/>
      <c r="G7" s="83"/>
      <c r="H7" s="85"/>
      <c r="I7" s="85"/>
      <c r="J7" s="85"/>
      <c r="K7" s="85"/>
    </row>
    <row r="8" spans="1:11" ht="15.75">
      <c r="A8" s="86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5.75">
      <c r="A9" s="87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5.75">
      <c r="A10" s="87"/>
      <c r="B10" s="85"/>
      <c r="C10" s="85"/>
      <c r="D10" s="85"/>
      <c r="E10" s="87" t="s">
        <v>206</v>
      </c>
      <c r="F10" s="87"/>
      <c r="G10" s="87" t="s">
        <v>206</v>
      </c>
      <c r="H10" s="85"/>
      <c r="I10" s="85"/>
      <c r="J10" s="85"/>
      <c r="K10" s="85"/>
    </row>
    <row r="11" spans="1:11" ht="15.75">
      <c r="A11" s="87" t="s">
        <v>17</v>
      </c>
      <c r="B11" s="85"/>
      <c r="C11" s="85"/>
      <c r="D11" s="85"/>
      <c r="E11" s="87" t="s">
        <v>207</v>
      </c>
      <c r="F11" s="87"/>
      <c r="G11" s="87" t="s">
        <v>209</v>
      </c>
      <c r="K11" s="85"/>
    </row>
    <row r="12" spans="1:11" ht="15.75">
      <c r="A12" s="88" t="s">
        <v>60</v>
      </c>
      <c r="B12" s="85"/>
      <c r="C12" s="89" t="s">
        <v>192</v>
      </c>
      <c r="D12" s="85"/>
      <c r="E12" s="88" t="s">
        <v>210</v>
      </c>
      <c r="F12" s="90"/>
      <c r="G12" s="88" t="s">
        <v>210</v>
      </c>
      <c r="I12" s="88" t="s">
        <v>223</v>
      </c>
      <c r="J12" s="83"/>
      <c r="K12" s="89" t="s">
        <v>193</v>
      </c>
    </row>
    <row r="13" spans="1:11" ht="15.75">
      <c r="A13" s="87"/>
      <c r="B13" s="85"/>
      <c r="C13" s="85"/>
      <c r="D13" s="85"/>
      <c r="E13" s="91" t="s">
        <v>194</v>
      </c>
      <c r="F13" s="91"/>
      <c r="G13" s="91" t="s">
        <v>195</v>
      </c>
      <c r="I13" s="87" t="s">
        <v>196</v>
      </c>
      <c r="K13" s="90" t="s">
        <v>197</v>
      </c>
    </row>
    <row r="14" spans="1:11" ht="15.75">
      <c r="A14" s="87"/>
      <c r="B14" s="85"/>
      <c r="C14" s="85"/>
      <c r="D14" s="85"/>
      <c r="E14" s="85"/>
      <c r="F14" s="87"/>
      <c r="G14" s="85"/>
      <c r="K14" s="83"/>
    </row>
    <row r="15" spans="1:11" ht="15.75">
      <c r="A15" s="87">
        <v>1</v>
      </c>
      <c r="B15" s="85"/>
      <c r="C15" s="85" t="s">
        <v>198</v>
      </c>
      <c r="D15" s="85"/>
      <c r="E15" s="113">
        <v>1007076</v>
      </c>
      <c r="F15" s="87"/>
      <c r="G15" s="114">
        <f>'A-1'!BF70</f>
        <v>942421.84188065736</v>
      </c>
      <c r="I15" s="113">
        <f>+G15-E15</f>
        <v>-64654.158119342639</v>
      </c>
      <c r="K15" s="83" t="s">
        <v>562</v>
      </c>
    </row>
    <row r="16" spans="1:11" ht="15.75">
      <c r="A16" s="87"/>
      <c r="B16" s="85"/>
      <c r="C16" s="85"/>
      <c r="D16" s="85"/>
      <c r="E16" s="85"/>
      <c r="F16" s="87"/>
      <c r="G16" s="85"/>
      <c r="I16" s="85"/>
      <c r="K16" s="83"/>
    </row>
    <row r="17" spans="1:11" ht="15.75">
      <c r="A17" s="87">
        <v>2</v>
      </c>
      <c r="B17" s="85"/>
      <c r="C17" s="85" t="s">
        <v>199</v>
      </c>
      <c r="D17" s="85"/>
      <c r="E17" s="92">
        <v>8.6800000000000002E-2</v>
      </c>
      <c r="F17" s="93"/>
      <c r="G17" s="92">
        <v>8.1799999999999998E-2</v>
      </c>
      <c r="I17" s="179">
        <f>+G17-E17</f>
        <v>-5.0000000000000044E-3</v>
      </c>
      <c r="K17" s="83" t="s">
        <v>561</v>
      </c>
    </row>
    <row r="18" spans="1:11" ht="15.75">
      <c r="A18" s="87"/>
      <c r="B18" s="85"/>
      <c r="C18" s="85"/>
      <c r="D18" s="85"/>
      <c r="E18" s="94"/>
      <c r="F18" s="95"/>
      <c r="G18" s="94"/>
      <c r="I18" s="85"/>
      <c r="K18" s="83"/>
    </row>
    <row r="19" spans="1:11" ht="15.75">
      <c r="A19" s="87">
        <v>3</v>
      </c>
      <c r="B19" s="85"/>
      <c r="C19" s="85" t="s">
        <v>200</v>
      </c>
      <c r="D19" s="85"/>
      <c r="E19" s="115">
        <f>ROUND(E15*E17,0)</f>
        <v>87414</v>
      </c>
      <c r="F19" s="116"/>
      <c r="G19" s="115">
        <f>+G15*G17</f>
        <v>77090.106665837768</v>
      </c>
      <c r="I19" s="113">
        <f t="shared" ref="I19:I27" si="0">+G19-E19</f>
        <v>-10323.893334162232</v>
      </c>
      <c r="K19" s="83" t="s">
        <v>201</v>
      </c>
    </row>
    <row r="20" spans="1:11" ht="15.75">
      <c r="A20" s="87"/>
      <c r="B20" s="85"/>
      <c r="C20" s="85"/>
      <c r="D20" s="85"/>
      <c r="E20" s="115"/>
      <c r="F20" s="116"/>
      <c r="G20" s="94"/>
      <c r="I20" s="113"/>
      <c r="K20" s="83"/>
    </row>
    <row r="21" spans="1:11" ht="15.75">
      <c r="A21" s="87">
        <v>4</v>
      </c>
      <c r="B21" s="85"/>
      <c r="C21" s="85" t="s">
        <v>202</v>
      </c>
      <c r="D21" s="85"/>
      <c r="E21" s="119">
        <v>44029</v>
      </c>
      <c r="F21" s="118"/>
      <c r="G21" s="273">
        <f>'A-1'!BF53</f>
        <v>74393.372272360197</v>
      </c>
      <c r="I21" s="277">
        <f t="shared" si="0"/>
        <v>30364.372272360197</v>
      </c>
      <c r="K21" s="83" t="s">
        <v>562</v>
      </c>
    </row>
    <row r="22" spans="1:11" ht="15.75">
      <c r="A22" s="87"/>
      <c r="B22" s="85"/>
      <c r="C22" s="85"/>
      <c r="D22" s="85"/>
      <c r="E22" s="115"/>
      <c r="F22" s="115"/>
      <c r="G22" s="94"/>
      <c r="I22" s="113"/>
      <c r="K22" s="83"/>
    </row>
    <row r="23" spans="1:11" ht="15.75">
      <c r="A23" s="87">
        <v>5</v>
      </c>
      <c r="B23" s="85"/>
      <c r="C23" s="85" t="s">
        <v>203</v>
      </c>
      <c r="D23" s="85"/>
      <c r="E23" s="115">
        <f>E19-E21</f>
        <v>43385</v>
      </c>
      <c r="F23" s="115"/>
      <c r="G23" s="274">
        <f>+G19-G21</f>
        <v>2696.7343934775708</v>
      </c>
      <c r="I23" s="278">
        <f t="shared" si="0"/>
        <v>-40688.265606522429</v>
      </c>
      <c r="K23" s="83" t="s">
        <v>204</v>
      </c>
    </row>
    <row r="24" spans="1:11" ht="15.75">
      <c r="A24" s="87"/>
      <c r="B24" s="85"/>
      <c r="C24" s="85"/>
      <c r="D24" s="85"/>
      <c r="E24" s="94"/>
      <c r="F24" s="94"/>
      <c r="G24" s="94"/>
      <c r="I24" s="113"/>
      <c r="K24" s="83"/>
    </row>
    <row r="25" spans="1:11" ht="15.75">
      <c r="A25" s="87">
        <v>6</v>
      </c>
      <c r="B25" s="85"/>
      <c r="C25" s="85" t="s">
        <v>186</v>
      </c>
      <c r="D25" s="85"/>
      <c r="E25" s="181">
        <f>'A-2'!E30</f>
        <v>0.62190133999999997</v>
      </c>
      <c r="F25" s="85"/>
      <c r="G25" s="182">
        <f>'A-2'!G30</f>
        <v>0.62195262189196343</v>
      </c>
      <c r="I25" s="200">
        <f t="shared" si="0"/>
        <v>5.1281891963461668E-5</v>
      </c>
      <c r="K25" s="83" t="s">
        <v>563</v>
      </c>
    </row>
    <row r="26" spans="1:11" ht="15.75">
      <c r="A26" s="87"/>
      <c r="B26" s="85"/>
      <c r="C26" s="85"/>
      <c r="D26" s="85"/>
      <c r="E26" s="94"/>
      <c r="F26" s="94"/>
      <c r="G26" s="94"/>
      <c r="I26" s="113"/>
      <c r="K26" s="83"/>
    </row>
    <row r="27" spans="1:11" ht="16.5" thickBot="1">
      <c r="A27" s="87">
        <v>7</v>
      </c>
      <c r="B27" s="85"/>
      <c r="C27" s="85" t="s">
        <v>205</v>
      </c>
      <c r="D27" s="85"/>
      <c r="E27" s="120">
        <f>ROUND(E23/E25,0)</f>
        <v>69762</v>
      </c>
      <c r="F27" s="121"/>
      <c r="G27" s="275">
        <f>ROUND(G23/G25,0)</f>
        <v>4336</v>
      </c>
      <c r="I27" s="276">
        <f t="shared" si="0"/>
        <v>-65426</v>
      </c>
      <c r="K27" s="83" t="s">
        <v>459</v>
      </c>
    </row>
    <row r="28" spans="1:11" ht="16.5" thickTop="1">
      <c r="A28" s="87"/>
      <c r="B28" s="85"/>
      <c r="C28" s="85"/>
      <c r="D28" s="85"/>
      <c r="E28" s="85"/>
      <c r="F28" s="85"/>
      <c r="G28" s="85"/>
      <c r="H28" s="85"/>
      <c r="I28" s="85"/>
      <c r="J28" s="85"/>
      <c r="K28" s="83"/>
    </row>
    <row r="29" spans="1:11" ht="15.75">
      <c r="A29" s="87"/>
      <c r="B29" s="85"/>
      <c r="C29" s="85"/>
      <c r="D29" s="85"/>
      <c r="E29" s="85"/>
      <c r="F29" s="85"/>
      <c r="G29" s="85"/>
      <c r="H29" s="85"/>
      <c r="I29" s="85"/>
      <c r="J29" s="85"/>
      <c r="K29" s="83"/>
    </row>
    <row r="30" spans="1:11" ht="15.75">
      <c r="A30" s="83"/>
      <c r="B30" s="83"/>
      <c r="C30" s="100"/>
      <c r="D30" s="85"/>
      <c r="E30" s="85"/>
      <c r="F30" s="85"/>
      <c r="G30" s="85"/>
      <c r="H30" s="85"/>
      <c r="I30" s="85"/>
      <c r="J30" s="85"/>
      <c r="K30" s="83"/>
    </row>
    <row r="31" spans="1:11" ht="15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3"/>
    </row>
    <row r="32" spans="1:11" ht="15.75">
      <c r="A32" s="85"/>
      <c r="B32" s="85"/>
      <c r="C32" s="83"/>
      <c r="D32" s="85"/>
      <c r="E32" s="85"/>
      <c r="F32" s="85"/>
      <c r="G32" s="85"/>
      <c r="H32" s="85"/>
      <c r="I32" s="85"/>
      <c r="J32" s="85"/>
      <c r="K32" s="83"/>
    </row>
    <row r="33" spans="1:11" ht="15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3"/>
    </row>
    <row r="34" spans="1:11" ht="15.75">
      <c r="A34" s="85"/>
      <c r="B34" s="85"/>
      <c r="C34" s="84"/>
      <c r="D34" s="85"/>
      <c r="E34" s="85"/>
      <c r="F34" s="85"/>
      <c r="G34" s="85"/>
      <c r="H34" s="85"/>
      <c r="I34" s="85"/>
      <c r="J34" s="85"/>
      <c r="K34" s="83"/>
    </row>
    <row r="35" spans="1:11" ht="15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3"/>
    </row>
    <row r="36" spans="1:11" ht="15.75">
      <c r="A36" s="85"/>
      <c r="B36" s="85"/>
      <c r="C36" s="84"/>
      <c r="D36" s="85"/>
      <c r="E36" s="85"/>
      <c r="F36" s="85"/>
      <c r="G36" s="85"/>
      <c r="H36" s="85"/>
      <c r="I36" s="85"/>
      <c r="J36" s="85"/>
      <c r="K36" s="83"/>
    </row>
    <row r="37" spans="1:11" ht="15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3"/>
    </row>
    <row r="38" spans="1:11" ht="15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3"/>
    </row>
    <row r="39" spans="1:11" ht="15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 ht="15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 ht="15.7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 ht="15.7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</sheetData>
  <mergeCells count="4">
    <mergeCell ref="A1:K1"/>
    <mergeCell ref="A2:K2"/>
    <mergeCell ref="A3:K3"/>
    <mergeCell ref="A4:K4"/>
  </mergeCells>
  <phoneticPr fontId="12" type="noConversion"/>
  <pageMargins left="0.75" right="0.75" top="1" bottom="1" header="0.5" footer="0.5"/>
  <pageSetup scale="88" orientation="portrait" r:id="rId1"/>
  <headerFooter alignWithMargins="0">
    <oddHeader>&amp;R&amp;"Times New Roman,Regular"Docket No. UE-090134
Exhibit No. __ (HL-3)
Schedule A (Electric)
REVISED 09/03/09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9"/>
  <sheetViews>
    <sheetView topLeftCell="A24" workbookViewId="0">
      <selection activeCell="D34" sqref="D34"/>
    </sheetView>
  </sheetViews>
  <sheetFormatPr defaultRowHeight="12.75"/>
  <cols>
    <col min="1" max="1" width="3.85546875" customWidth="1"/>
    <col min="2" max="2" width="8.85546875" customWidth="1"/>
    <col min="3" max="3" width="5.7109375" customWidth="1"/>
    <col min="4" max="4" width="22.85546875" customWidth="1"/>
    <col min="5" max="5" width="14" customWidth="1"/>
    <col min="6" max="6" width="13.85546875" customWidth="1"/>
    <col min="7" max="7" width="13.7109375" customWidth="1"/>
    <col min="8" max="9" width="14.42578125" customWidth="1"/>
    <col min="10" max="12" width="15.42578125" customWidth="1"/>
    <col min="13" max="13" width="14.5703125" customWidth="1"/>
  </cols>
  <sheetData>
    <row r="1" spans="1:13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13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13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13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13">
      <c r="A5" s="192"/>
      <c r="J5" s="171">
        <v>2.5000000000000001E-2</v>
      </c>
      <c r="K5" s="171"/>
      <c r="L5" s="171"/>
    </row>
    <row r="6" spans="1:13" ht="15.75">
      <c r="A6" s="169"/>
      <c r="B6" s="85"/>
      <c r="C6" s="85"/>
      <c r="D6" s="85"/>
      <c r="J6" s="169">
        <v>0.04</v>
      </c>
      <c r="K6" s="169"/>
      <c r="L6" s="169"/>
      <c r="M6" s="85"/>
    </row>
    <row r="7" spans="1:13" ht="15.75">
      <c r="A7" s="169"/>
      <c r="B7" s="85"/>
      <c r="C7" s="85"/>
      <c r="D7" s="85"/>
      <c r="E7" s="87" t="s">
        <v>194</v>
      </c>
      <c r="F7" s="87" t="s">
        <v>195</v>
      </c>
      <c r="G7" s="107" t="s">
        <v>196</v>
      </c>
      <c r="H7" s="87" t="s">
        <v>197</v>
      </c>
      <c r="I7" s="87" t="s">
        <v>467</v>
      </c>
      <c r="J7" s="87" t="s">
        <v>468</v>
      </c>
      <c r="K7" s="87" t="s">
        <v>469</v>
      </c>
      <c r="L7" s="87" t="s">
        <v>470</v>
      </c>
      <c r="M7" s="87" t="s">
        <v>471</v>
      </c>
    </row>
    <row r="8" spans="1:13" ht="15.75">
      <c r="A8" s="169"/>
      <c r="B8" s="85"/>
      <c r="C8" s="85"/>
      <c r="D8" s="85"/>
      <c r="E8" s="87"/>
      <c r="F8" s="87"/>
      <c r="G8" s="87"/>
      <c r="H8" s="87"/>
      <c r="I8" s="87"/>
      <c r="J8" s="87" t="s">
        <v>277</v>
      </c>
      <c r="K8" s="87"/>
      <c r="L8" s="87"/>
      <c r="M8" s="85"/>
    </row>
    <row r="9" spans="1:13" ht="15.75">
      <c r="A9" s="169"/>
      <c r="B9" s="170"/>
      <c r="C9" s="94"/>
      <c r="D9" s="94"/>
      <c r="E9" s="87"/>
      <c r="F9" s="87"/>
      <c r="G9" s="87"/>
      <c r="H9" s="87" t="s">
        <v>278</v>
      </c>
      <c r="I9" s="87"/>
      <c r="J9" s="87" t="s">
        <v>279</v>
      </c>
      <c r="K9" s="87"/>
      <c r="L9" s="87"/>
      <c r="M9" s="85"/>
    </row>
    <row r="10" spans="1:13" ht="15.75">
      <c r="A10" s="169"/>
      <c r="B10" s="85"/>
      <c r="C10" s="85"/>
      <c r="D10" s="85"/>
      <c r="E10" s="87"/>
      <c r="F10" s="87" t="s">
        <v>280</v>
      </c>
      <c r="G10" s="87" t="s">
        <v>210</v>
      </c>
      <c r="H10" s="87" t="s">
        <v>281</v>
      </c>
      <c r="I10" s="87" t="s">
        <v>282</v>
      </c>
      <c r="J10" s="87" t="s">
        <v>283</v>
      </c>
      <c r="K10" s="95" t="s">
        <v>414</v>
      </c>
      <c r="L10" s="95" t="s">
        <v>465</v>
      </c>
      <c r="M10" s="85"/>
    </row>
    <row r="11" spans="1:13" ht="15.75">
      <c r="A11" s="169"/>
      <c r="B11" s="89" t="s">
        <v>261</v>
      </c>
      <c r="C11" s="89" t="s">
        <v>284</v>
      </c>
      <c r="D11" s="89"/>
      <c r="E11" s="88" t="s">
        <v>285</v>
      </c>
      <c r="F11" s="88" t="s">
        <v>466</v>
      </c>
      <c r="G11" s="88" t="s">
        <v>285</v>
      </c>
      <c r="H11" s="88" t="s">
        <v>286</v>
      </c>
      <c r="I11" s="88" t="s">
        <v>278</v>
      </c>
      <c r="J11" s="88" t="s">
        <v>287</v>
      </c>
      <c r="K11" s="186" t="s">
        <v>415</v>
      </c>
      <c r="L11" s="186" t="s">
        <v>466</v>
      </c>
      <c r="M11" s="88" t="s">
        <v>211</v>
      </c>
    </row>
    <row r="12" spans="1:13" ht="15.75">
      <c r="A12" s="169"/>
      <c r="B12" s="87"/>
      <c r="C12" s="85" t="s">
        <v>288</v>
      </c>
      <c r="D12" s="85"/>
      <c r="E12" s="85"/>
      <c r="F12" s="85"/>
      <c r="G12" s="212" t="s">
        <v>517</v>
      </c>
      <c r="H12" s="87"/>
      <c r="I12" s="212" t="s">
        <v>518</v>
      </c>
      <c r="J12" s="87"/>
      <c r="K12" s="212" t="s">
        <v>519</v>
      </c>
      <c r="L12" s="87"/>
      <c r="M12" s="212" t="s">
        <v>520</v>
      </c>
    </row>
    <row r="13" spans="1:13" ht="15.75">
      <c r="A13" s="169"/>
      <c r="B13" s="107"/>
      <c r="C13" s="85" t="s">
        <v>289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</row>
    <row r="14" spans="1:13" ht="15.75">
      <c r="A14" s="169" t="s">
        <v>98</v>
      </c>
      <c r="B14" s="107">
        <v>1</v>
      </c>
      <c r="C14" s="85">
        <v>500</v>
      </c>
      <c r="D14" s="85" t="s">
        <v>290</v>
      </c>
      <c r="E14" s="114">
        <v>100189</v>
      </c>
      <c r="F14" s="114"/>
      <c r="G14" s="114">
        <v>100189</v>
      </c>
      <c r="H14" s="114">
        <v>1522</v>
      </c>
      <c r="I14" s="114">
        <v>101711</v>
      </c>
      <c r="J14" s="114">
        <f>+I14*J5</f>
        <v>2542.7750000000001</v>
      </c>
      <c r="K14" s="114">
        <f t="shared" ref="K14:K23" si="0">+J14+H14</f>
        <v>4064.7750000000001</v>
      </c>
      <c r="L14" s="114"/>
      <c r="M14" s="114">
        <f>+G14+K14+L14</f>
        <v>104253.77499999999</v>
      </c>
    </row>
    <row r="15" spans="1:13" ht="15.75">
      <c r="A15" s="169"/>
      <c r="B15" s="107">
        <v>2</v>
      </c>
      <c r="C15" s="85">
        <v>501</v>
      </c>
      <c r="D15" s="85" t="s">
        <v>291</v>
      </c>
      <c r="E15" s="114">
        <v>429552</v>
      </c>
      <c r="F15" s="114"/>
      <c r="G15" s="114">
        <v>429552</v>
      </c>
      <c r="H15" s="114">
        <v>7294</v>
      </c>
      <c r="I15" s="114">
        <v>436846</v>
      </c>
      <c r="J15" s="114">
        <f>+I15*J6</f>
        <v>17473.84</v>
      </c>
      <c r="K15" s="114">
        <f t="shared" si="0"/>
        <v>24767.84</v>
      </c>
      <c r="L15" s="114"/>
      <c r="M15" s="114">
        <f t="shared" ref="M15:M23" si="1">+G15+K15+L15</f>
        <v>454319.84</v>
      </c>
    </row>
    <row r="16" spans="1:13" ht="15.75">
      <c r="A16" s="169"/>
      <c r="B16" s="107">
        <v>3</v>
      </c>
      <c r="C16" s="85">
        <v>502</v>
      </c>
      <c r="D16" s="85" t="s">
        <v>292</v>
      </c>
      <c r="E16" s="114">
        <v>248961</v>
      </c>
      <c r="F16" s="114"/>
      <c r="G16" s="114">
        <v>248961</v>
      </c>
      <c r="H16" s="114">
        <v>4227</v>
      </c>
      <c r="I16" s="114">
        <v>253188</v>
      </c>
      <c r="J16" s="114">
        <f>+I16*J6</f>
        <v>10127.52</v>
      </c>
      <c r="K16" s="114">
        <f t="shared" si="0"/>
        <v>14354.52</v>
      </c>
      <c r="L16" s="114"/>
      <c r="M16" s="114">
        <f t="shared" si="1"/>
        <v>263315.52</v>
      </c>
    </row>
    <row r="17" spans="1:13" ht="15.75">
      <c r="A17" s="169"/>
      <c r="B17" s="107">
        <v>4</v>
      </c>
      <c r="C17" s="85">
        <v>505</v>
      </c>
      <c r="D17" s="85" t="s">
        <v>293</v>
      </c>
      <c r="E17" s="114">
        <v>278581</v>
      </c>
      <c r="F17" s="114"/>
      <c r="G17" s="114">
        <v>278581</v>
      </c>
      <c r="H17" s="114">
        <v>4730</v>
      </c>
      <c r="I17" s="114">
        <v>283311</v>
      </c>
      <c r="J17" s="114">
        <f>+I17*J6</f>
        <v>11332.44</v>
      </c>
      <c r="K17" s="114">
        <f t="shared" si="0"/>
        <v>16062.44</v>
      </c>
      <c r="L17" s="114"/>
      <c r="M17" s="114">
        <f t="shared" si="1"/>
        <v>294643.44</v>
      </c>
    </row>
    <row r="18" spans="1:13" ht="15.75">
      <c r="A18" s="169"/>
      <c r="B18" s="107">
        <v>5</v>
      </c>
      <c r="C18" s="85">
        <v>506</v>
      </c>
      <c r="D18" s="85" t="s">
        <v>294</v>
      </c>
      <c r="E18" s="114">
        <v>82275</v>
      </c>
      <c r="F18" s="114"/>
      <c r="G18" s="114">
        <v>82275</v>
      </c>
      <c r="H18" s="114">
        <v>1397</v>
      </c>
      <c r="I18" s="114">
        <v>83672</v>
      </c>
      <c r="J18" s="114">
        <f>+I18*J6</f>
        <v>3346.88</v>
      </c>
      <c r="K18" s="114">
        <f t="shared" si="0"/>
        <v>4743.88</v>
      </c>
      <c r="L18" s="114"/>
      <c r="M18" s="114">
        <f t="shared" si="1"/>
        <v>87018.880000000005</v>
      </c>
    </row>
    <row r="19" spans="1:13" ht="15.75">
      <c r="A19" s="169" t="s">
        <v>98</v>
      </c>
      <c r="B19" s="107">
        <v>6</v>
      </c>
      <c r="C19" s="85">
        <v>510</v>
      </c>
      <c r="D19" s="85" t="s">
        <v>290</v>
      </c>
      <c r="E19" s="114">
        <v>43118</v>
      </c>
      <c r="F19" s="114"/>
      <c r="G19" s="114">
        <v>43118</v>
      </c>
      <c r="H19" s="114">
        <v>655</v>
      </c>
      <c r="I19" s="114">
        <v>43773</v>
      </c>
      <c r="J19" s="114">
        <f>+I19*J5</f>
        <v>1094.325</v>
      </c>
      <c r="K19" s="114">
        <f t="shared" si="0"/>
        <v>1749.325</v>
      </c>
      <c r="L19" s="114"/>
      <c r="M19" s="114">
        <f t="shared" si="1"/>
        <v>44867.324999999997</v>
      </c>
    </row>
    <row r="20" spans="1:13" ht="15.75">
      <c r="A20" s="169"/>
      <c r="B20" s="107">
        <v>7</v>
      </c>
      <c r="C20" s="85">
        <v>511</v>
      </c>
      <c r="D20" s="85" t="s">
        <v>295</v>
      </c>
      <c r="E20" s="114">
        <v>2329</v>
      </c>
      <c r="F20" s="114"/>
      <c r="G20" s="114">
        <v>2329</v>
      </c>
      <c r="H20" s="114">
        <v>40</v>
      </c>
      <c r="I20" s="114">
        <v>2369</v>
      </c>
      <c r="J20" s="114">
        <f>+I20*J6</f>
        <v>94.76</v>
      </c>
      <c r="K20" s="114">
        <f t="shared" si="0"/>
        <v>134.76</v>
      </c>
      <c r="L20" s="114"/>
      <c r="M20" s="114">
        <f t="shared" si="1"/>
        <v>2463.7600000000002</v>
      </c>
    </row>
    <row r="21" spans="1:13" ht="15.75">
      <c r="A21" s="169"/>
      <c r="B21" s="107">
        <v>8</v>
      </c>
      <c r="C21" s="85">
        <v>512</v>
      </c>
      <c r="D21" s="85" t="s">
        <v>296</v>
      </c>
      <c r="E21" s="114">
        <v>236566</v>
      </c>
      <c r="F21" s="114"/>
      <c r="G21" s="114">
        <v>236566</v>
      </c>
      <c r="H21" s="114">
        <v>4017</v>
      </c>
      <c r="I21" s="114">
        <v>240583</v>
      </c>
      <c r="J21" s="114">
        <f>+I21*J6</f>
        <v>9623.32</v>
      </c>
      <c r="K21" s="114">
        <f t="shared" si="0"/>
        <v>13640.32</v>
      </c>
      <c r="L21" s="114"/>
      <c r="M21" s="114">
        <f t="shared" si="1"/>
        <v>250206.32</v>
      </c>
    </row>
    <row r="22" spans="1:13" ht="15.75">
      <c r="A22" s="169"/>
      <c r="B22" s="107">
        <v>9</v>
      </c>
      <c r="C22" s="85">
        <v>513</v>
      </c>
      <c r="D22" s="85" t="s">
        <v>297</v>
      </c>
      <c r="E22" s="114">
        <v>59587</v>
      </c>
      <c r="F22" s="114"/>
      <c r="G22" s="114">
        <v>59587</v>
      </c>
      <c r="H22" s="114">
        <v>1012</v>
      </c>
      <c r="I22" s="114">
        <v>60599</v>
      </c>
      <c r="J22" s="114">
        <f>+I22*J6</f>
        <v>2423.96</v>
      </c>
      <c r="K22" s="114">
        <f t="shared" si="0"/>
        <v>3435.96</v>
      </c>
      <c r="L22" s="114"/>
      <c r="M22" s="114">
        <f t="shared" si="1"/>
        <v>63022.96</v>
      </c>
    </row>
    <row r="23" spans="1:13" ht="15.75">
      <c r="A23" s="169"/>
      <c r="B23" s="107">
        <v>10</v>
      </c>
      <c r="C23" s="85">
        <v>514</v>
      </c>
      <c r="D23" s="85" t="s">
        <v>298</v>
      </c>
      <c r="E23" s="114">
        <v>43024</v>
      </c>
      <c r="F23" s="114"/>
      <c r="G23" s="114">
        <v>43024</v>
      </c>
      <c r="H23" s="114">
        <v>731</v>
      </c>
      <c r="I23" s="114">
        <v>43755</v>
      </c>
      <c r="J23" s="114">
        <f>+I23*J6</f>
        <v>1750.2</v>
      </c>
      <c r="K23" s="114">
        <f t="shared" si="0"/>
        <v>2481.1999999999998</v>
      </c>
      <c r="L23" s="114"/>
      <c r="M23" s="114">
        <f t="shared" si="1"/>
        <v>45505.2</v>
      </c>
    </row>
    <row r="24" spans="1:13" ht="15.75">
      <c r="A24" s="169"/>
      <c r="B24" s="107">
        <v>11</v>
      </c>
      <c r="C24" s="85" t="s">
        <v>299</v>
      </c>
      <c r="D24" s="85"/>
      <c r="E24" s="168">
        <v>1524182</v>
      </c>
      <c r="F24" s="168">
        <v>0</v>
      </c>
      <c r="G24" s="168">
        <v>1524182</v>
      </c>
      <c r="H24" s="168">
        <v>25625</v>
      </c>
      <c r="I24" s="168">
        <v>1549807</v>
      </c>
      <c r="J24" s="168">
        <f>SUM(J14:J23)</f>
        <v>59810.02</v>
      </c>
      <c r="K24" s="168">
        <f>SUM(K14:K23)</f>
        <v>85435.01999999999</v>
      </c>
      <c r="L24" s="168">
        <f>SUM(L14:L23)</f>
        <v>0</v>
      </c>
      <c r="M24" s="168">
        <f>SUM(M14:M23)</f>
        <v>1609617.02</v>
      </c>
    </row>
    <row r="25" spans="1:13" ht="15.75">
      <c r="A25" s="169"/>
      <c r="B25" s="107"/>
      <c r="C25" s="85"/>
      <c r="D25" s="85"/>
      <c r="E25" s="114"/>
      <c r="F25" s="114"/>
      <c r="G25" s="114"/>
      <c r="H25" s="114"/>
      <c r="I25" s="114"/>
      <c r="J25" s="114"/>
      <c r="K25" s="114"/>
      <c r="L25" s="114"/>
      <c r="M25" s="85"/>
    </row>
    <row r="26" spans="1:13" ht="15.75">
      <c r="A26" s="169"/>
      <c r="B26" s="107"/>
      <c r="C26" s="85" t="s">
        <v>300</v>
      </c>
      <c r="D26" s="85"/>
      <c r="E26" s="114"/>
      <c r="F26" s="114"/>
      <c r="G26" s="114"/>
      <c r="H26" s="114"/>
      <c r="I26" s="114"/>
      <c r="J26" s="114"/>
      <c r="K26" s="114"/>
      <c r="L26" s="114"/>
      <c r="M26" s="85"/>
    </row>
    <row r="27" spans="1:13" ht="15.75">
      <c r="A27" s="169" t="s">
        <v>98</v>
      </c>
      <c r="B27" s="107">
        <v>12</v>
      </c>
      <c r="C27" s="85">
        <v>535</v>
      </c>
      <c r="D27" s="85" t="s">
        <v>290</v>
      </c>
      <c r="E27" s="114">
        <v>630434</v>
      </c>
      <c r="F27" s="114"/>
      <c r="G27" s="114">
        <v>630434</v>
      </c>
      <c r="H27" s="114">
        <v>9576</v>
      </c>
      <c r="I27" s="114">
        <v>640010</v>
      </c>
      <c r="J27" s="114">
        <f>+I27*J5</f>
        <v>16000.25</v>
      </c>
      <c r="K27" s="114">
        <f t="shared" ref="K27:K36" si="2">+J27+H27</f>
        <v>25576.25</v>
      </c>
      <c r="L27" s="114"/>
      <c r="M27" s="114">
        <f t="shared" ref="M27:M36" si="3">+G27+K27+L27</f>
        <v>656010.25</v>
      </c>
    </row>
    <row r="28" spans="1:13" ht="15.75">
      <c r="A28" s="169"/>
      <c r="B28" s="107">
        <v>13</v>
      </c>
      <c r="C28" s="85">
        <v>536</v>
      </c>
      <c r="D28" s="85" t="s">
        <v>301</v>
      </c>
      <c r="E28" s="114">
        <v>4987</v>
      </c>
      <c r="F28" s="114"/>
      <c r="G28" s="114">
        <v>4987</v>
      </c>
      <c r="H28" s="114">
        <v>85</v>
      </c>
      <c r="I28" s="114">
        <v>5072</v>
      </c>
      <c r="J28" s="114">
        <f>+I28*J6</f>
        <v>202.88</v>
      </c>
      <c r="K28" s="114">
        <f t="shared" si="2"/>
        <v>287.88</v>
      </c>
      <c r="L28" s="114"/>
      <c r="M28" s="114">
        <f t="shared" si="3"/>
        <v>5274.88</v>
      </c>
    </row>
    <row r="29" spans="1:13" ht="15.75">
      <c r="A29" s="169"/>
      <c r="B29" s="107">
        <v>14</v>
      </c>
      <c r="C29" s="85">
        <v>537</v>
      </c>
      <c r="D29" s="85" t="s">
        <v>302</v>
      </c>
      <c r="E29" s="114">
        <v>201780</v>
      </c>
      <c r="F29" s="114"/>
      <c r="G29" s="114">
        <v>201780</v>
      </c>
      <c r="H29" s="114">
        <v>3426</v>
      </c>
      <c r="I29" s="114">
        <v>205206</v>
      </c>
      <c r="J29" s="114">
        <f>+I29*J6</f>
        <v>8208.24</v>
      </c>
      <c r="K29" s="114">
        <f t="shared" si="2"/>
        <v>11634.24</v>
      </c>
      <c r="L29" s="114"/>
      <c r="M29" s="114">
        <f t="shared" si="3"/>
        <v>213414.24</v>
      </c>
    </row>
    <row r="30" spans="1:13" ht="15.75">
      <c r="A30" s="169"/>
      <c r="B30" s="107">
        <v>15</v>
      </c>
      <c r="C30" s="85">
        <v>538</v>
      </c>
      <c r="D30" s="85" t="s">
        <v>293</v>
      </c>
      <c r="E30" s="114">
        <v>2053338</v>
      </c>
      <c r="F30" s="114"/>
      <c r="G30" s="114">
        <v>2053338</v>
      </c>
      <c r="H30" s="114">
        <v>34866</v>
      </c>
      <c r="I30" s="114">
        <v>2088204</v>
      </c>
      <c r="J30" s="114">
        <f>+I30*J6</f>
        <v>83528.160000000003</v>
      </c>
      <c r="K30" s="114">
        <f t="shared" si="2"/>
        <v>118394.16</v>
      </c>
      <c r="L30" s="114"/>
      <c r="M30" s="114">
        <f t="shared" si="3"/>
        <v>2171732.16</v>
      </c>
    </row>
    <row r="31" spans="1:13" ht="15.75">
      <c r="A31" s="169"/>
      <c r="B31" s="107">
        <v>16</v>
      </c>
      <c r="C31" s="85">
        <v>539</v>
      </c>
      <c r="D31" s="85" t="s">
        <v>303</v>
      </c>
      <c r="E31" s="114">
        <v>193205</v>
      </c>
      <c r="F31" s="114"/>
      <c r="G31" s="114">
        <v>193205</v>
      </c>
      <c r="H31" s="114">
        <v>3281</v>
      </c>
      <c r="I31" s="114">
        <v>196486</v>
      </c>
      <c r="J31" s="114">
        <f>+I31*J6</f>
        <v>7859.4400000000005</v>
      </c>
      <c r="K31" s="114">
        <f t="shared" si="2"/>
        <v>11140.44</v>
      </c>
      <c r="L31" s="114"/>
      <c r="M31" s="114">
        <f t="shared" si="3"/>
        <v>204345.44</v>
      </c>
    </row>
    <row r="32" spans="1:13" ht="15.75">
      <c r="A32" s="169" t="s">
        <v>98</v>
      </c>
      <c r="B32" s="107">
        <v>17</v>
      </c>
      <c r="C32" s="85">
        <v>541</v>
      </c>
      <c r="D32" s="85" t="s">
        <v>290</v>
      </c>
      <c r="E32" s="114">
        <v>92201</v>
      </c>
      <c r="F32" s="114"/>
      <c r="G32" s="114">
        <v>92201</v>
      </c>
      <c r="H32" s="114">
        <v>1401</v>
      </c>
      <c r="I32" s="114">
        <v>93602</v>
      </c>
      <c r="J32" s="114">
        <f>+I32*J5</f>
        <v>2340.0500000000002</v>
      </c>
      <c r="K32" s="114">
        <f t="shared" si="2"/>
        <v>3741.05</v>
      </c>
      <c r="L32" s="114"/>
      <c r="M32" s="114">
        <f t="shared" si="3"/>
        <v>95942.05</v>
      </c>
    </row>
    <row r="33" spans="1:13" ht="15.75">
      <c r="A33" s="169"/>
      <c r="B33" s="107">
        <v>18</v>
      </c>
      <c r="C33" s="85">
        <v>542</v>
      </c>
      <c r="D33" s="85" t="s">
        <v>295</v>
      </c>
      <c r="E33" s="114">
        <v>91574</v>
      </c>
      <c r="F33" s="114"/>
      <c r="G33" s="114">
        <v>91574</v>
      </c>
      <c r="H33" s="114">
        <v>1555</v>
      </c>
      <c r="I33" s="114">
        <v>93129</v>
      </c>
      <c r="J33" s="114">
        <f>+I33*J6</f>
        <v>3725.16</v>
      </c>
      <c r="K33" s="114">
        <f t="shared" si="2"/>
        <v>5280.16</v>
      </c>
      <c r="L33" s="114"/>
      <c r="M33" s="114">
        <f t="shared" si="3"/>
        <v>96854.16</v>
      </c>
    </row>
    <row r="34" spans="1:13" ht="15.75">
      <c r="A34" s="169"/>
      <c r="B34" s="107">
        <v>19</v>
      </c>
      <c r="C34" s="85">
        <v>543</v>
      </c>
      <c r="D34" s="85" t="s">
        <v>304</v>
      </c>
      <c r="E34" s="114">
        <v>255208</v>
      </c>
      <c r="F34" s="114"/>
      <c r="G34" s="114">
        <v>255208</v>
      </c>
      <c r="H34" s="114">
        <v>4333</v>
      </c>
      <c r="I34" s="114">
        <v>259541</v>
      </c>
      <c r="J34" s="114">
        <f>+I34*J6</f>
        <v>10381.64</v>
      </c>
      <c r="K34" s="114">
        <f t="shared" si="2"/>
        <v>14714.64</v>
      </c>
      <c r="L34" s="114"/>
      <c r="M34" s="114">
        <f t="shared" si="3"/>
        <v>269922.64</v>
      </c>
    </row>
    <row r="35" spans="1:13" ht="15.75">
      <c r="A35" s="169"/>
      <c r="B35" s="107">
        <v>20</v>
      </c>
      <c r="C35" s="85">
        <v>544</v>
      </c>
      <c r="D35" s="85" t="s">
        <v>297</v>
      </c>
      <c r="E35" s="114">
        <v>728112</v>
      </c>
      <c r="F35" s="114"/>
      <c r="G35" s="114">
        <v>728112</v>
      </c>
      <c r="H35" s="114">
        <v>12363</v>
      </c>
      <c r="I35" s="114">
        <v>740475</v>
      </c>
      <c r="J35" s="114">
        <f>+I35*J6</f>
        <v>29619</v>
      </c>
      <c r="K35" s="114">
        <f t="shared" si="2"/>
        <v>41982</v>
      </c>
      <c r="L35" s="114"/>
      <c r="M35" s="114">
        <f t="shared" si="3"/>
        <v>770094</v>
      </c>
    </row>
    <row r="36" spans="1:13" ht="15.75">
      <c r="A36" s="169"/>
      <c r="B36" s="107">
        <v>21</v>
      </c>
      <c r="C36" s="85">
        <v>545</v>
      </c>
      <c r="D36" s="85" t="s">
        <v>305</v>
      </c>
      <c r="E36" s="114">
        <v>80318</v>
      </c>
      <c r="F36" s="114"/>
      <c r="G36" s="114">
        <v>80318</v>
      </c>
      <c r="H36" s="114">
        <v>1364</v>
      </c>
      <c r="I36" s="114">
        <v>81682</v>
      </c>
      <c r="J36" s="114">
        <f>+I36*J6</f>
        <v>3267.28</v>
      </c>
      <c r="K36" s="114">
        <f t="shared" si="2"/>
        <v>4631.2800000000007</v>
      </c>
      <c r="L36" s="114"/>
      <c r="M36" s="114">
        <f t="shared" si="3"/>
        <v>84949.28</v>
      </c>
    </row>
    <row r="37" spans="1:13" ht="15.75">
      <c r="A37" s="169"/>
      <c r="B37" s="107">
        <v>22</v>
      </c>
      <c r="C37" s="85" t="s">
        <v>306</v>
      </c>
      <c r="D37" s="85"/>
      <c r="E37" s="168">
        <f t="shared" ref="E37:J37" si="4">SUM(E27:E36)</f>
        <v>4331157</v>
      </c>
      <c r="F37" s="168">
        <f t="shared" si="4"/>
        <v>0</v>
      </c>
      <c r="G37" s="168">
        <f t="shared" si="4"/>
        <v>4331157</v>
      </c>
      <c r="H37" s="168">
        <f t="shared" si="4"/>
        <v>72250</v>
      </c>
      <c r="I37" s="168">
        <f t="shared" si="4"/>
        <v>4403407</v>
      </c>
      <c r="J37" s="168">
        <f t="shared" si="4"/>
        <v>165132.1</v>
      </c>
      <c r="K37" s="168">
        <f>SUM(K27:K36)</f>
        <v>237382.1</v>
      </c>
      <c r="L37" s="168">
        <f>SUM(L27:L36)</f>
        <v>0</v>
      </c>
      <c r="M37" s="168">
        <f>SUM(M27:M36)</f>
        <v>4568539.1000000006</v>
      </c>
    </row>
    <row r="38" spans="1:13" ht="15.75">
      <c r="A38" s="169"/>
      <c r="B38" s="107"/>
      <c r="C38" s="85"/>
      <c r="D38" s="85"/>
      <c r="E38" s="114"/>
      <c r="F38" s="114"/>
      <c r="G38" s="114"/>
      <c r="H38" s="114"/>
      <c r="I38" s="114"/>
      <c r="J38" s="114"/>
      <c r="K38" s="114"/>
      <c r="L38" s="114"/>
      <c r="M38" s="85"/>
    </row>
    <row r="39" spans="1:13" ht="15.75">
      <c r="A39" s="169"/>
      <c r="B39" s="107"/>
      <c r="C39" s="85" t="s">
        <v>307</v>
      </c>
      <c r="D39" s="85"/>
      <c r="E39" s="114"/>
      <c r="F39" s="114"/>
      <c r="G39" s="114"/>
      <c r="H39" s="114"/>
      <c r="I39" s="114"/>
      <c r="J39" s="114"/>
      <c r="K39" s="114"/>
      <c r="L39" s="114"/>
      <c r="M39" s="85"/>
    </row>
    <row r="40" spans="1:13" ht="15.75">
      <c r="A40" s="169" t="s">
        <v>98</v>
      </c>
      <c r="B40" s="107">
        <v>23</v>
      </c>
      <c r="C40" s="85">
        <v>546</v>
      </c>
      <c r="D40" s="85" t="s">
        <v>290</v>
      </c>
      <c r="E40" s="114">
        <v>126245</v>
      </c>
      <c r="F40" s="114"/>
      <c r="G40" s="114">
        <v>126245</v>
      </c>
      <c r="H40" s="114">
        <v>1918</v>
      </c>
      <c r="I40" s="114">
        <v>128163</v>
      </c>
      <c r="J40" s="114">
        <f>+I40*J5</f>
        <v>3204.0750000000003</v>
      </c>
      <c r="K40" s="114">
        <f t="shared" ref="K40:K47" si="5">+J40+H40</f>
        <v>5122.0750000000007</v>
      </c>
      <c r="L40" s="114"/>
      <c r="M40" s="114">
        <f t="shared" ref="M40:M47" si="6">+G40+K40+L40</f>
        <v>131367.07500000001</v>
      </c>
    </row>
    <row r="41" spans="1:13" ht="15.75">
      <c r="A41" s="169"/>
      <c r="B41" s="107">
        <v>24</v>
      </c>
      <c r="C41" s="85">
        <v>547</v>
      </c>
      <c r="D41" s="85" t="s">
        <v>291</v>
      </c>
      <c r="E41" s="114">
        <v>0</v>
      </c>
      <c r="F41" s="114"/>
      <c r="G41" s="114">
        <v>0</v>
      </c>
      <c r="H41" s="114">
        <v>0</v>
      </c>
      <c r="I41" s="114">
        <v>0</v>
      </c>
      <c r="J41" s="114">
        <f>+I41*J6</f>
        <v>0</v>
      </c>
      <c r="K41" s="114">
        <f t="shared" si="5"/>
        <v>0</v>
      </c>
      <c r="L41" s="114"/>
      <c r="M41" s="114">
        <f t="shared" si="6"/>
        <v>0</v>
      </c>
    </row>
    <row r="42" spans="1:13" ht="15.75">
      <c r="A42" s="169"/>
      <c r="B42" s="107">
        <v>25</v>
      </c>
      <c r="C42" s="85">
        <v>548</v>
      </c>
      <c r="D42" s="85" t="s">
        <v>308</v>
      </c>
      <c r="E42" s="114">
        <v>126769</v>
      </c>
      <c r="F42" s="114"/>
      <c r="G42" s="114">
        <v>126769</v>
      </c>
      <c r="H42" s="114">
        <v>2153</v>
      </c>
      <c r="I42" s="114">
        <v>128922</v>
      </c>
      <c r="J42" s="114">
        <f>+I42*J6</f>
        <v>5156.88</v>
      </c>
      <c r="K42" s="114">
        <f t="shared" si="5"/>
        <v>7309.88</v>
      </c>
      <c r="L42" s="114"/>
      <c r="M42" s="114">
        <f t="shared" si="6"/>
        <v>134078.88</v>
      </c>
    </row>
    <row r="43" spans="1:13" ht="15.75">
      <c r="A43" s="169"/>
      <c r="B43" s="107">
        <v>26</v>
      </c>
      <c r="C43" s="85">
        <v>549</v>
      </c>
      <c r="D43" s="85" t="s">
        <v>309</v>
      </c>
      <c r="E43" s="114">
        <v>75450</v>
      </c>
      <c r="F43" s="114"/>
      <c r="G43" s="114">
        <v>75450</v>
      </c>
      <c r="H43" s="114">
        <v>1281</v>
      </c>
      <c r="I43" s="114">
        <v>76731</v>
      </c>
      <c r="J43" s="114">
        <f>+I43*J6</f>
        <v>3069.2400000000002</v>
      </c>
      <c r="K43" s="114">
        <f t="shared" si="5"/>
        <v>4350.24</v>
      </c>
      <c r="L43" s="114"/>
      <c r="M43" s="114">
        <f t="shared" si="6"/>
        <v>79800.240000000005</v>
      </c>
    </row>
    <row r="44" spans="1:13" ht="15.75">
      <c r="A44" s="169" t="s">
        <v>98</v>
      </c>
      <c r="B44" s="107">
        <v>27</v>
      </c>
      <c r="C44" s="85">
        <v>551</v>
      </c>
      <c r="D44" s="85" t="s">
        <v>290</v>
      </c>
      <c r="E44" s="114">
        <v>58489</v>
      </c>
      <c r="F44" s="114"/>
      <c r="G44" s="114">
        <v>58489</v>
      </c>
      <c r="H44" s="114">
        <v>888</v>
      </c>
      <c r="I44" s="114">
        <v>59377</v>
      </c>
      <c r="J44" s="114">
        <f>+I44*J5</f>
        <v>1484.4250000000002</v>
      </c>
      <c r="K44" s="114">
        <f t="shared" si="5"/>
        <v>2372.4250000000002</v>
      </c>
      <c r="L44" s="114"/>
      <c r="M44" s="114">
        <f t="shared" si="6"/>
        <v>60861.425000000003</v>
      </c>
    </row>
    <row r="45" spans="1:13" ht="15.75">
      <c r="A45" s="169"/>
      <c r="B45" s="107">
        <v>28</v>
      </c>
      <c r="C45" s="85">
        <v>552</v>
      </c>
      <c r="D45" s="85" t="s">
        <v>295</v>
      </c>
      <c r="E45" s="114">
        <v>1156</v>
      </c>
      <c r="F45" s="114"/>
      <c r="G45" s="114">
        <v>1156</v>
      </c>
      <c r="H45" s="114">
        <v>20</v>
      </c>
      <c r="I45" s="114">
        <v>1176</v>
      </c>
      <c r="J45" s="114">
        <f>+I45*J6</f>
        <v>47.04</v>
      </c>
      <c r="K45" s="114">
        <f t="shared" si="5"/>
        <v>67.039999999999992</v>
      </c>
      <c r="L45" s="114"/>
      <c r="M45" s="114">
        <f t="shared" si="6"/>
        <v>1223.04</v>
      </c>
    </row>
    <row r="46" spans="1:13" ht="15.75">
      <c r="A46" s="169"/>
      <c r="B46" s="107">
        <v>29</v>
      </c>
      <c r="C46" s="85">
        <v>553</v>
      </c>
      <c r="D46" s="85" t="s">
        <v>310</v>
      </c>
      <c r="E46" s="114">
        <v>103919</v>
      </c>
      <c r="F46" s="114"/>
      <c r="G46" s="114">
        <v>103919</v>
      </c>
      <c r="H46" s="114">
        <v>1765</v>
      </c>
      <c r="I46" s="114">
        <v>105684</v>
      </c>
      <c r="J46" s="114">
        <f>+I46*J6</f>
        <v>4227.3599999999997</v>
      </c>
      <c r="K46" s="114">
        <f t="shared" si="5"/>
        <v>5992.36</v>
      </c>
      <c r="L46" s="114"/>
      <c r="M46" s="114">
        <f t="shared" si="6"/>
        <v>109911.36</v>
      </c>
    </row>
    <row r="47" spans="1:13" ht="15.75">
      <c r="A47" s="169"/>
      <c r="B47" s="107">
        <v>30</v>
      </c>
      <c r="C47" s="85">
        <v>554</v>
      </c>
      <c r="D47" s="85" t="s">
        <v>311</v>
      </c>
      <c r="E47" s="114">
        <v>43699</v>
      </c>
      <c r="F47" s="114"/>
      <c r="G47" s="114">
        <v>43699</v>
      </c>
      <c r="H47" s="114">
        <v>742</v>
      </c>
      <c r="I47" s="114">
        <v>44441</v>
      </c>
      <c r="J47" s="114">
        <f>+I47*J6</f>
        <v>1777.64</v>
      </c>
      <c r="K47" s="114">
        <f t="shared" si="5"/>
        <v>2519.6400000000003</v>
      </c>
      <c r="L47" s="114"/>
      <c r="M47" s="114">
        <f t="shared" si="6"/>
        <v>46218.64</v>
      </c>
    </row>
    <row r="48" spans="1:13" ht="15.75">
      <c r="A48" s="169"/>
      <c r="B48" s="107">
        <v>31</v>
      </c>
      <c r="C48" s="85" t="s">
        <v>312</v>
      </c>
      <c r="D48" s="85"/>
      <c r="E48" s="168">
        <f t="shared" ref="E48:J48" si="7">SUM(E40:E47)</f>
        <v>535727</v>
      </c>
      <c r="F48" s="168">
        <f t="shared" si="7"/>
        <v>0</v>
      </c>
      <c r="G48" s="168">
        <f t="shared" si="7"/>
        <v>535727</v>
      </c>
      <c r="H48" s="168">
        <f t="shared" si="7"/>
        <v>8767</v>
      </c>
      <c r="I48" s="168">
        <f t="shared" si="7"/>
        <v>544494</v>
      </c>
      <c r="J48" s="168">
        <f t="shared" si="7"/>
        <v>18966.66</v>
      </c>
      <c r="K48" s="168">
        <f>SUM(K40:K47)</f>
        <v>27733.66</v>
      </c>
      <c r="L48" s="168">
        <f>SUM(L40:L47)</f>
        <v>0</v>
      </c>
      <c r="M48" s="168">
        <f>SUM(M40:M47)</f>
        <v>563460.65999999992</v>
      </c>
    </row>
    <row r="49" spans="1:13" ht="15.75">
      <c r="A49" s="169"/>
      <c r="B49" s="107"/>
      <c r="C49" s="85"/>
      <c r="D49" s="85"/>
      <c r="E49" s="114"/>
      <c r="F49" s="114"/>
      <c r="G49" s="114"/>
      <c r="H49" s="114"/>
      <c r="I49" s="114"/>
      <c r="J49" s="114"/>
      <c r="K49" s="114"/>
      <c r="L49" s="114"/>
      <c r="M49" s="85"/>
    </row>
    <row r="50" spans="1:13" ht="15.75">
      <c r="A50" s="169"/>
      <c r="B50" s="107"/>
      <c r="C50" s="85" t="s">
        <v>313</v>
      </c>
      <c r="D50" s="85"/>
      <c r="E50" s="114"/>
      <c r="F50" s="114"/>
      <c r="G50" s="114"/>
      <c r="H50" s="114"/>
      <c r="I50" s="114"/>
      <c r="J50" s="114"/>
      <c r="K50" s="114"/>
      <c r="L50" s="114"/>
      <c r="M50" s="85"/>
    </row>
    <row r="51" spans="1:13" ht="15.75">
      <c r="A51" s="169" t="s">
        <v>98</v>
      </c>
      <c r="B51" s="107">
        <v>32</v>
      </c>
      <c r="C51" s="85">
        <v>556</v>
      </c>
      <c r="D51" s="85" t="s">
        <v>314</v>
      </c>
      <c r="E51" s="114">
        <v>160960</v>
      </c>
      <c r="F51" s="114"/>
      <c r="G51" s="114">
        <v>160960</v>
      </c>
      <c r="H51" s="114">
        <v>2445</v>
      </c>
      <c r="I51" s="114">
        <v>163405</v>
      </c>
      <c r="J51" s="114">
        <f>+I51*J5</f>
        <v>4085.125</v>
      </c>
      <c r="K51" s="114">
        <f>+J51+H51</f>
        <v>6530.125</v>
      </c>
      <c r="L51" s="114"/>
      <c r="M51" s="114">
        <f>+G51+K51+L51</f>
        <v>167490.125</v>
      </c>
    </row>
    <row r="52" spans="1:13" ht="15.75">
      <c r="A52" s="169" t="s">
        <v>98</v>
      </c>
      <c r="B52" s="107">
        <v>33</v>
      </c>
      <c r="C52" s="85">
        <v>557</v>
      </c>
      <c r="D52" s="85" t="s">
        <v>315</v>
      </c>
      <c r="E52" s="114">
        <v>1843660</v>
      </c>
      <c r="F52" s="114">
        <v>-88409</v>
      </c>
      <c r="G52" s="114">
        <v>1755251</v>
      </c>
      <c r="H52" s="114">
        <v>26662</v>
      </c>
      <c r="I52" s="114">
        <v>1781913</v>
      </c>
      <c r="J52" s="114">
        <f>+I52*J5</f>
        <v>44547.825000000004</v>
      </c>
      <c r="K52" s="114">
        <f>+J52+H52</f>
        <v>71209.825000000012</v>
      </c>
      <c r="L52" s="114">
        <f>1343+88409</f>
        <v>89752</v>
      </c>
      <c r="M52" s="114">
        <f>+G52+K52+L52</f>
        <v>1916212.825</v>
      </c>
    </row>
    <row r="53" spans="1:13" ht="15.75">
      <c r="A53" s="169"/>
      <c r="B53" s="107">
        <v>34</v>
      </c>
      <c r="C53" s="85" t="s">
        <v>316</v>
      </c>
      <c r="D53" s="85"/>
      <c r="E53" s="168">
        <f t="shared" ref="E53:J53" si="8">SUM(E51:E52)</f>
        <v>2004620</v>
      </c>
      <c r="F53" s="168">
        <f t="shared" si="8"/>
        <v>-88409</v>
      </c>
      <c r="G53" s="168">
        <f t="shared" si="8"/>
        <v>1916211</v>
      </c>
      <c r="H53" s="168">
        <f t="shared" si="8"/>
        <v>29107</v>
      </c>
      <c r="I53" s="168">
        <f t="shared" si="8"/>
        <v>1945318</v>
      </c>
      <c r="J53" s="168">
        <f t="shared" si="8"/>
        <v>48632.950000000004</v>
      </c>
      <c r="K53" s="168">
        <f>SUM(K51:K52)</f>
        <v>77739.950000000012</v>
      </c>
      <c r="L53" s="168">
        <f>SUM(L51:L52)</f>
        <v>89752</v>
      </c>
      <c r="M53" s="168">
        <f>SUM(M51:M52)</f>
        <v>2083702.95</v>
      </c>
    </row>
    <row r="54" spans="1:13" ht="15.75">
      <c r="A54" s="169"/>
      <c r="B54" s="107"/>
      <c r="C54" s="85"/>
      <c r="D54" s="85"/>
      <c r="E54" s="114"/>
      <c r="F54" s="114"/>
      <c r="G54" s="114"/>
      <c r="H54" s="114"/>
      <c r="I54" s="114"/>
      <c r="J54" s="114"/>
      <c r="K54" s="114"/>
      <c r="L54" s="114"/>
      <c r="M54" s="114"/>
    </row>
    <row r="55" spans="1:13" ht="15.75">
      <c r="A55" s="169"/>
      <c r="B55" s="107">
        <v>35</v>
      </c>
      <c r="C55" s="85" t="s">
        <v>317</v>
      </c>
      <c r="D55" s="85"/>
      <c r="E55" s="168">
        <f t="shared" ref="E55:L55" si="9">+E53+E48+E37+E24</f>
        <v>8395686</v>
      </c>
      <c r="F55" s="168">
        <f t="shared" si="9"/>
        <v>-88409</v>
      </c>
      <c r="G55" s="168">
        <f t="shared" si="9"/>
        <v>8307277</v>
      </c>
      <c r="H55" s="168">
        <f t="shared" si="9"/>
        <v>135749</v>
      </c>
      <c r="I55" s="168">
        <f t="shared" si="9"/>
        <v>8443026</v>
      </c>
      <c r="J55" s="168">
        <f t="shared" si="9"/>
        <v>292541.73000000004</v>
      </c>
      <c r="K55" s="168">
        <f t="shared" si="9"/>
        <v>428290.73</v>
      </c>
      <c r="L55" s="168">
        <f t="shared" si="9"/>
        <v>89752</v>
      </c>
      <c r="M55" s="168">
        <f>+M53+M48+M37+M24</f>
        <v>8825319.7300000004</v>
      </c>
    </row>
    <row r="56" spans="1:13" ht="15.75">
      <c r="A56" s="169"/>
      <c r="B56" s="107"/>
      <c r="C56" s="85"/>
      <c r="D56" s="85"/>
      <c r="E56" s="114"/>
      <c r="F56" s="114"/>
      <c r="G56" s="114"/>
      <c r="H56" s="114"/>
      <c r="I56" s="114"/>
      <c r="J56" s="114"/>
      <c r="K56" s="114"/>
      <c r="L56" s="114"/>
      <c r="M56" s="85"/>
    </row>
    <row r="57" spans="1:13" ht="15.75">
      <c r="A57" s="169"/>
      <c r="B57" s="107"/>
      <c r="C57" s="85" t="s">
        <v>45</v>
      </c>
      <c r="D57" s="85"/>
      <c r="E57" s="114"/>
      <c r="F57" s="114"/>
      <c r="G57" s="114"/>
      <c r="H57" s="114"/>
      <c r="I57" s="114"/>
      <c r="J57" s="114"/>
      <c r="K57" s="114"/>
      <c r="L57" s="114"/>
      <c r="M57" s="85"/>
    </row>
    <row r="58" spans="1:13" ht="15.75">
      <c r="A58" s="169" t="s">
        <v>98</v>
      </c>
      <c r="B58" s="107">
        <v>36</v>
      </c>
      <c r="C58" s="85">
        <v>560</v>
      </c>
      <c r="D58" s="85" t="s">
        <v>290</v>
      </c>
      <c r="E58" s="114">
        <v>727913</v>
      </c>
      <c r="F58" s="114"/>
      <c r="G58" s="114">
        <v>727913</v>
      </c>
      <c r="H58" s="114">
        <v>11057</v>
      </c>
      <c r="I58" s="114">
        <v>738970</v>
      </c>
      <c r="J58" s="114">
        <f>+I58*J5</f>
        <v>18474.25</v>
      </c>
      <c r="K58" s="114">
        <f t="shared" ref="K58:K70" si="10">+J58+H58</f>
        <v>29531.25</v>
      </c>
      <c r="L58" s="114"/>
      <c r="M58" s="114">
        <f t="shared" ref="M58:M70" si="11">+G58+K58+L58</f>
        <v>757444.25</v>
      </c>
    </row>
    <row r="59" spans="1:13" ht="15.75">
      <c r="A59" s="169" t="s">
        <v>98</v>
      </c>
      <c r="B59" s="107">
        <v>37</v>
      </c>
      <c r="C59" s="85">
        <v>561</v>
      </c>
      <c r="D59" s="85" t="s">
        <v>318</v>
      </c>
      <c r="E59" s="114">
        <v>813174</v>
      </c>
      <c r="F59" s="114"/>
      <c r="G59" s="114">
        <v>813174</v>
      </c>
      <c r="H59" s="114">
        <v>12352</v>
      </c>
      <c r="I59" s="114">
        <v>825526</v>
      </c>
      <c r="J59" s="114">
        <f>+I59*J5</f>
        <v>20638.150000000001</v>
      </c>
      <c r="K59" s="114">
        <f t="shared" si="10"/>
        <v>32990.15</v>
      </c>
      <c r="L59" s="114"/>
      <c r="M59" s="114">
        <f t="shared" si="11"/>
        <v>846164.15</v>
      </c>
    </row>
    <row r="60" spans="1:13" ht="15.75">
      <c r="A60" s="169"/>
      <c r="B60" s="107">
        <v>38</v>
      </c>
      <c r="C60" s="85">
        <v>562</v>
      </c>
      <c r="D60" s="85" t="s">
        <v>319</v>
      </c>
      <c r="E60" s="114">
        <v>61978</v>
      </c>
      <c r="F60" s="114"/>
      <c r="G60" s="114">
        <v>61978</v>
      </c>
      <c r="H60" s="114">
        <v>1052</v>
      </c>
      <c r="I60" s="114">
        <v>63030</v>
      </c>
      <c r="J60" s="114">
        <f>+I60*J6</f>
        <v>2521.2000000000003</v>
      </c>
      <c r="K60" s="114">
        <f t="shared" si="10"/>
        <v>3573.2000000000003</v>
      </c>
      <c r="L60" s="114"/>
      <c r="M60" s="114">
        <f t="shared" si="11"/>
        <v>65551.199999999997</v>
      </c>
    </row>
    <row r="61" spans="1:13" ht="15.75">
      <c r="A61" s="169"/>
      <c r="B61" s="107">
        <v>39</v>
      </c>
      <c r="C61" s="85">
        <v>563</v>
      </c>
      <c r="D61" s="85" t="s">
        <v>320</v>
      </c>
      <c r="E61" s="114">
        <v>62541</v>
      </c>
      <c r="F61" s="114"/>
      <c r="G61" s="114">
        <v>62541</v>
      </c>
      <c r="H61" s="114">
        <v>1062</v>
      </c>
      <c r="I61" s="114">
        <v>63603</v>
      </c>
      <c r="J61" s="114">
        <f>+I61*J6</f>
        <v>2544.12</v>
      </c>
      <c r="K61" s="114">
        <f t="shared" si="10"/>
        <v>3606.12</v>
      </c>
      <c r="L61" s="114"/>
      <c r="M61" s="114">
        <f t="shared" si="11"/>
        <v>66147.12</v>
      </c>
    </row>
    <row r="62" spans="1:13" ht="15.75">
      <c r="A62" s="169"/>
      <c r="B62" s="107">
        <v>40</v>
      </c>
      <c r="C62" s="85">
        <v>564</v>
      </c>
      <c r="D62" s="85" t="s">
        <v>321</v>
      </c>
      <c r="E62" s="114">
        <v>0</v>
      </c>
      <c r="F62" s="114"/>
      <c r="G62" s="114">
        <v>0</v>
      </c>
      <c r="H62" s="114">
        <v>0</v>
      </c>
      <c r="I62" s="114">
        <v>0</v>
      </c>
      <c r="J62" s="114">
        <f>+I62*J6</f>
        <v>0</v>
      </c>
      <c r="K62" s="114">
        <f t="shared" si="10"/>
        <v>0</v>
      </c>
      <c r="L62" s="114"/>
      <c r="M62" s="114">
        <f t="shared" si="11"/>
        <v>0</v>
      </c>
    </row>
    <row r="63" spans="1:13" ht="15.75">
      <c r="A63" s="169"/>
      <c r="B63" s="107">
        <v>41</v>
      </c>
      <c r="C63" s="85">
        <v>566</v>
      </c>
      <c r="D63" s="85" t="s">
        <v>322</v>
      </c>
      <c r="E63" s="114">
        <v>173751</v>
      </c>
      <c r="F63" s="114"/>
      <c r="G63" s="114">
        <v>173751</v>
      </c>
      <c r="H63" s="114">
        <v>2950</v>
      </c>
      <c r="I63" s="114">
        <v>176701</v>
      </c>
      <c r="J63" s="114">
        <f>+I63*J6</f>
        <v>7068.04</v>
      </c>
      <c r="K63" s="114">
        <f t="shared" si="10"/>
        <v>10018.040000000001</v>
      </c>
      <c r="L63" s="114"/>
      <c r="M63" s="114">
        <f t="shared" si="11"/>
        <v>183769.04</v>
      </c>
    </row>
    <row r="64" spans="1:13" ht="15.75">
      <c r="A64" s="169"/>
      <c r="B64" s="107">
        <v>42</v>
      </c>
      <c r="C64" s="85">
        <v>567</v>
      </c>
      <c r="D64" s="85"/>
      <c r="E64" s="114">
        <v>344</v>
      </c>
      <c r="F64" s="114"/>
      <c r="G64" s="114">
        <v>344</v>
      </c>
      <c r="H64" s="114">
        <v>6</v>
      </c>
      <c r="I64" s="114">
        <v>350</v>
      </c>
      <c r="J64" s="114">
        <f>+I64*J6</f>
        <v>14</v>
      </c>
      <c r="K64" s="114">
        <f t="shared" si="10"/>
        <v>20</v>
      </c>
      <c r="L64" s="114"/>
      <c r="M64" s="114">
        <f t="shared" si="11"/>
        <v>364</v>
      </c>
    </row>
    <row r="65" spans="1:13" ht="15.75">
      <c r="A65" s="169" t="s">
        <v>98</v>
      </c>
      <c r="B65" s="107">
        <v>43</v>
      </c>
      <c r="C65" s="85">
        <v>568</v>
      </c>
      <c r="D65" s="85" t="s">
        <v>290</v>
      </c>
      <c r="E65" s="114">
        <v>164356</v>
      </c>
      <c r="F65" s="114"/>
      <c r="G65" s="114">
        <v>164356</v>
      </c>
      <c r="H65" s="114">
        <v>2497</v>
      </c>
      <c r="I65" s="114">
        <v>166853</v>
      </c>
      <c r="J65" s="114">
        <f>+I65*J5</f>
        <v>4171.3249999999998</v>
      </c>
      <c r="K65" s="114">
        <f t="shared" si="10"/>
        <v>6668.3249999999998</v>
      </c>
      <c r="L65" s="114"/>
      <c r="M65" s="114">
        <f t="shared" si="11"/>
        <v>171024.32500000001</v>
      </c>
    </row>
    <row r="66" spans="1:13" ht="15.75">
      <c r="A66" s="169"/>
      <c r="B66" s="107">
        <v>44</v>
      </c>
      <c r="C66" s="85">
        <v>569</v>
      </c>
      <c r="D66" s="85" t="s">
        <v>295</v>
      </c>
      <c r="E66" s="114">
        <v>74666</v>
      </c>
      <c r="F66" s="114"/>
      <c r="G66" s="114">
        <v>74666</v>
      </c>
      <c r="H66" s="114">
        <v>1268</v>
      </c>
      <c r="I66" s="114">
        <v>75934</v>
      </c>
      <c r="J66" s="114">
        <f>+I66*J6</f>
        <v>3037.36</v>
      </c>
      <c r="K66" s="114">
        <f t="shared" si="10"/>
        <v>4305.3600000000006</v>
      </c>
      <c r="L66" s="114"/>
      <c r="M66" s="114">
        <f t="shared" si="11"/>
        <v>78971.360000000001</v>
      </c>
    </row>
    <row r="67" spans="1:13" ht="15.75">
      <c r="A67" s="169"/>
      <c r="B67" s="107">
        <v>45</v>
      </c>
      <c r="C67" s="85">
        <v>570</v>
      </c>
      <c r="D67" s="85" t="s">
        <v>323</v>
      </c>
      <c r="E67" s="114">
        <v>302682</v>
      </c>
      <c r="F67" s="114"/>
      <c r="G67" s="114">
        <v>302682</v>
      </c>
      <c r="H67" s="114">
        <v>5140</v>
      </c>
      <c r="I67" s="114">
        <v>307822</v>
      </c>
      <c r="J67" s="114">
        <f>+I67*J6</f>
        <v>12312.880000000001</v>
      </c>
      <c r="K67" s="114">
        <f t="shared" si="10"/>
        <v>17452.88</v>
      </c>
      <c r="L67" s="114"/>
      <c r="M67" s="114">
        <f t="shared" si="11"/>
        <v>320134.88</v>
      </c>
    </row>
    <row r="68" spans="1:13" ht="15.75">
      <c r="A68" s="169"/>
      <c r="B68" s="107">
        <v>46</v>
      </c>
      <c r="C68" s="85">
        <v>571</v>
      </c>
      <c r="D68" s="85" t="s">
        <v>324</v>
      </c>
      <c r="E68" s="114">
        <v>30200</v>
      </c>
      <c r="F68" s="114"/>
      <c r="G68" s="114">
        <v>30200</v>
      </c>
      <c r="H68" s="114">
        <v>513</v>
      </c>
      <c r="I68" s="114">
        <v>30713</v>
      </c>
      <c r="J68" s="114">
        <f>+I68*J6</f>
        <v>1228.52</v>
      </c>
      <c r="K68" s="114">
        <f t="shared" si="10"/>
        <v>1741.52</v>
      </c>
      <c r="L68" s="114"/>
      <c r="M68" s="114">
        <f t="shared" si="11"/>
        <v>31941.52</v>
      </c>
    </row>
    <row r="69" spans="1:13" ht="15.75">
      <c r="A69" s="169"/>
      <c r="B69" s="107">
        <v>47</v>
      </c>
      <c r="C69" s="85">
        <v>572</v>
      </c>
      <c r="D69" s="85" t="s">
        <v>325</v>
      </c>
      <c r="E69" s="114">
        <v>2647</v>
      </c>
      <c r="F69" s="114"/>
      <c r="G69" s="114">
        <v>2647</v>
      </c>
      <c r="H69" s="114">
        <v>45</v>
      </c>
      <c r="I69" s="114">
        <v>2692</v>
      </c>
      <c r="J69" s="114">
        <f>+I69*J6</f>
        <v>107.68</v>
      </c>
      <c r="K69" s="114">
        <f t="shared" si="10"/>
        <v>152.68</v>
      </c>
      <c r="L69" s="114"/>
      <c r="M69" s="114">
        <f t="shared" si="11"/>
        <v>2799.68</v>
      </c>
    </row>
    <row r="70" spans="1:13" ht="15.75">
      <c r="A70" s="169"/>
      <c r="B70" s="107">
        <v>48</v>
      </c>
      <c r="C70" s="85">
        <v>573</v>
      </c>
      <c r="D70" s="85" t="s">
        <v>326</v>
      </c>
      <c r="E70" s="114">
        <v>11942</v>
      </c>
      <c r="F70" s="114"/>
      <c r="G70" s="114">
        <v>11942</v>
      </c>
      <c r="H70" s="114">
        <v>203</v>
      </c>
      <c r="I70" s="114">
        <v>12145</v>
      </c>
      <c r="J70" s="114">
        <f>+I70*J6</f>
        <v>485.8</v>
      </c>
      <c r="K70" s="114">
        <f t="shared" si="10"/>
        <v>688.8</v>
      </c>
      <c r="L70" s="114"/>
      <c r="M70" s="114">
        <f t="shared" si="11"/>
        <v>12630.8</v>
      </c>
    </row>
    <row r="71" spans="1:13" ht="15.75">
      <c r="A71" s="169"/>
      <c r="B71" s="107">
        <v>49</v>
      </c>
      <c r="C71" s="85" t="s">
        <v>327</v>
      </c>
      <c r="D71" s="85"/>
      <c r="E71" s="168">
        <f t="shared" ref="E71:J71" si="12">SUM(E58:E70)</f>
        <v>2426194</v>
      </c>
      <c r="F71" s="168">
        <f t="shared" si="12"/>
        <v>0</v>
      </c>
      <c r="G71" s="168">
        <f t="shared" si="12"/>
        <v>2426194</v>
      </c>
      <c r="H71" s="168">
        <f t="shared" si="12"/>
        <v>38145</v>
      </c>
      <c r="I71" s="168">
        <f t="shared" si="12"/>
        <v>2464339</v>
      </c>
      <c r="J71" s="168">
        <f t="shared" si="12"/>
        <v>72603.324999999997</v>
      </c>
      <c r="K71" s="168">
        <f>SUM(K58:K70)</f>
        <v>110748.32500000001</v>
      </c>
      <c r="L71" s="168">
        <f>SUM(L58:L70)</f>
        <v>0</v>
      </c>
      <c r="M71" s="168">
        <f>SUM(M58:M70)</f>
        <v>2536942.3249999997</v>
      </c>
    </row>
    <row r="72" spans="1:13" ht="15.75">
      <c r="A72" s="169"/>
      <c r="B72" s="107"/>
      <c r="C72" s="85"/>
      <c r="D72" s="85"/>
      <c r="E72" s="114"/>
      <c r="F72" s="114"/>
      <c r="G72" s="114"/>
      <c r="H72" s="114"/>
      <c r="I72" s="114"/>
      <c r="J72" s="114"/>
      <c r="K72" s="114"/>
      <c r="L72" s="114"/>
      <c r="M72" s="85"/>
    </row>
    <row r="73" spans="1:13" ht="15.75">
      <c r="A73" s="169"/>
      <c r="B73" s="107"/>
      <c r="C73" s="85" t="s">
        <v>267</v>
      </c>
      <c r="D73" s="85"/>
      <c r="E73" s="114"/>
      <c r="F73" s="114"/>
      <c r="G73" s="114"/>
      <c r="H73" s="114"/>
      <c r="I73" s="114"/>
      <c r="J73" s="114"/>
      <c r="K73" s="114"/>
      <c r="L73" s="114"/>
      <c r="M73" s="85"/>
    </row>
    <row r="74" spans="1:13" ht="15.75">
      <c r="A74" s="169" t="s">
        <v>98</v>
      </c>
      <c r="B74" s="107">
        <v>50</v>
      </c>
      <c r="C74" s="85">
        <v>580</v>
      </c>
      <c r="D74" s="85" t="s">
        <v>290</v>
      </c>
      <c r="E74" s="114">
        <v>600639</v>
      </c>
      <c r="F74" s="114"/>
      <c r="G74" s="114">
        <v>600639</v>
      </c>
      <c r="H74" s="114">
        <v>9124</v>
      </c>
      <c r="I74" s="114">
        <v>609763</v>
      </c>
      <c r="J74" s="114">
        <f>+I74*J5</f>
        <v>15244.075000000001</v>
      </c>
      <c r="K74" s="114">
        <f t="shared" ref="K74:K92" si="13">+J74+H74</f>
        <v>24368.075000000001</v>
      </c>
      <c r="L74" s="114"/>
      <c r="M74" s="114">
        <f t="shared" ref="M74:M92" si="14">+G74+K74+L74</f>
        <v>625007.07499999995</v>
      </c>
    </row>
    <row r="75" spans="1:13" ht="15.75">
      <c r="A75" s="169" t="s">
        <v>98</v>
      </c>
      <c r="B75" s="107">
        <v>51</v>
      </c>
      <c r="C75" s="85">
        <v>581</v>
      </c>
      <c r="D75" s="85" t="s">
        <v>318</v>
      </c>
      <c r="E75" s="114">
        <v>0</v>
      </c>
      <c r="F75" s="114"/>
      <c r="G75" s="114">
        <v>0</v>
      </c>
      <c r="H75" s="114">
        <v>0</v>
      </c>
      <c r="I75" s="114">
        <v>0</v>
      </c>
      <c r="J75" s="114">
        <f>+I75*J6</f>
        <v>0</v>
      </c>
      <c r="K75" s="114">
        <f t="shared" si="13"/>
        <v>0</v>
      </c>
      <c r="L75" s="114"/>
      <c r="M75" s="114">
        <f t="shared" si="14"/>
        <v>0</v>
      </c>
    </row>
    <row r="76" spans="1:13" ht="15.75">
      <c r="A76" s="169"/>
      <c r="B76" s="107">
        <v>52</v>
      </c>
      <c r="C76" s="85">
        <v>582</v>
      </c>
      <c r="D76" s="85" t="s">
        <v>319</v>
      </c>
      <c r="E76" s="114">
        <v>187653</v>
      </c>
      <c r="F76" s="114"/>
      <c r="G76" s="114">
        <v>187653</v>
      </c>
      <c r="H76" s="114">
        <v>3186</v>
      </c>
      <c r="I76" s="114">
        <v>190839</v>
      </c>
      <c r="J76" s="114">
        <f>+I76*J6</f>
        <v>7633.56</v>
      </c>
      <c r="K76" s="114">
        <f t="shared" si="13"/>
        <v>10819.560000000001</v>
      </c>
      <c r="L76" s="114"/>
      <c r="M76" s="114">
        <f t="shared" si="14"/>
        <v>198472.56</v>
      </c>
    </row>
    <row r="77" spans="1:13" ht="15.75">
      <c r="A77" s="169"/>
      <c r="B77" s="107">
        <v>53</v>
      </c>
      <c r="C77" s="85">
        <v>583</v>
      </c>
      <c r="D77" s="85" t="s">
        <v>320</v>
      </c>
      <c r="E77" s="114">
        <v>1100282</v>
      </c>
      <c r="F77" s="114"/>
      <c r="G77" s="114">
        <v>1100282</v>
      </c>
      <c r="H77" s="114">
        <v>18683</v>
      </c>
      <c r="I77" s="114">
        <v>1118965</v>
      </c>
      <c r="J77" s="114">
        <f>+I77*J6</f>
        <v>44758.6</v>
      </c>
      <c r="K77" s="114">
        <f t="shared" si="13"/>
        <v>63441.599999999999</v>
      </c>
      <c r="L77" s="114"/>
      <c r="M77" s="114">
        <f t="shared" si="14"/>
        <v>1163723.6000000001</v>
      </c>
    </row>
    <row r="78" spans="1:13" ht="15.75">
      <c r="A78" s="169"/>
      <c r="B78" s="107">
        <v>54</v>
      </c>
      <c r="C78" s="85">
        <v>584</v>
      </c>
      <c r="D78" s="85" t="s">
        <v>328</v>
      </c>
      <c r="E78" s="114">
        <v>535265</v>
      </c>
      <c r="F78" s="114"/>
      <c r="G78" s="114">
        <v>535265</v>
      </c>
      <c r="H78" s="114">
        <v>9089</v>
      </c>
      <c r="I78" s="114">
        <v>544354</v>
      </c>
      <c r="J78" s="114">
        <f>+I78*J6</f>
        <v>21774.16</v>
      </c>
      <c r="K78" s="114">
        <f t="shared" si="13"/>
        <v>30863.16</v>
      </c>
      <c r="L78" s="114"/>
      <c r="M78" s="114">
        <f t="shared" si="14"/>
        <v>566128.16</v>
      </c>
    </row>
    <row r="79" spans="1:13" ht="15.75">
      <c r="A79" s="169"/>
      <c r="B79" s="107">
        <v>55</v>
      </c>
      <c r="C79" s="85">
        <v>585</v>
      </c>
      <c r="D79" s="85" t="s">
        <v>329</v>
      </c>
      <c r="E79" s="114">
        <v>18642</v>
      </c>
      <c r="F79" s="114"/>
      <c r="G79" s="114">
        <v>18642</v>
      </c>
      <c r="H79" s="114">
        <v>317</v>
      </c>
      <c r="I79" s="114">
        <v>18959</v>
      </c>
      <c r="J79" s="114">
        <f>+I79*J6</f>
        <v>758.36</v>
      </c>
      <c r="K79" s="114">
        <f t="shared" si="13"/>
        <v>1075.3600000000001</v>
      </c>
      <c r="L79" s="114"/>
      <c r="M79" s="114">
        <f t="shared" si="14"/>
        <v>19717.36</v>
      </c>
    </row>
    <row r="80" spans="1:13" ht="15.75">
      <c r="A80" s="169"/>
      <c r="B80" s="107">
        <v>56</v>
      </c>
      <c r="C80" s="85">
        <v>586</v>
      </c>
      <c r="D80" s="85" t="s">
        <v>330</v>
      </c>
      <c r="E80" s="114">
        <v>855301</v>
      </c>
      <c r="F80" s="114"/>
      <c r="G80" s="114">
        <v>855301</v>
      </c>
      <c r="H80" s="114">
        <v>14523</v>
      </c>
      <c r="I80" s="114">
        <v>869824</v>
      </c>
      <c r="J80" s="114">
        <f>+I80*J6</f>
        <v>34792.959999999999</v>
      </c>
      <c r="K80" s="114">
        <f t="shared" si="13"/>
        <v>49315.96</v>
      </c>
      <c r="L80" s="114"/>
      <c r="M80" s="114">
        <f t="shared" si="14"/>
        <v>904616.95999999996</v>
      </c>
    </row>
    <row r="81" spans="1:13" ht="15.75">
      <c r="A81" s="169"/>
      <c r="B81" s="107">
        <v>57</v>
      </c>
      <c r="C81" s="85">
        <v>587</v>
      </c>
      <c r="D81" s="85" t="s">
        <v>331</v>
      </c>
      <c r="E81" s="114">
        <v>231968</v>
      </c>
      <c r="F81" s="114"/>
      <c r="G81" s="114">
        <v>231968</v>
      </c>
      <c r="H81" s="114">
        <v>3939</v>
      </c>
      <c r="I81" s="114">
        <v>235907</v>
      </c>
      <c r="J81" s="114">
        <f>+I81*J6</f>
        <v>9436.2800000000007</v>
      </c>
      <c r="K81" s="114">
        <f t="shared" si="13"/>
        <v>13375.28</v>
      </c>
      <c r="L81" s="114"/>
      <c r="M81" s="114">
        <f t="shared" si="14"/>
        <v>245343.28</v>
      </c>
    </row>
    <row r="82" spans="1:13" ht="15.75">
      <c r="A82" s="169"/>
      <c r="B82" s="107">
        <v>58</v>
      </c>
      <c r="C82" s="85">
        <v>588</v>
      </c>
      <c r="D82" s="85" t="s">
        <v>332</v>
      </c>
      <c r="E82" s="114">
        <v>1952760</v>
      </c>
      <c r="F82" s="114"/>
      <c r="G82" s="114">
        <v>1952760</v>
      </c>
      <c r="H82" s="114">
        <v>33158</v>
      </c>
      <c r="I82" s="114">
        <v>1985918</v>
      </c>
      <c r="J82" s="114">
        <f>+I82*J6</f>
        <v>79436.72</v>
      </c>
      <c r="K82" s="114">
        <f t="shared" si="13"/>
        <v>112594.72</v>
      </c>
      <c r="L82" s="114"/>
      <c r="M82" s="114">
        <f t="shared" si="14"/>
        <v>2065354.72</v>
      </c>
    </row>
    <row r="83" spans="1:13" ht="15.75">
      <c r="A83" s="169"/>
      <c r="B83" s="107">
        <v>59</v>
      </c>
      <c r="C83" s="85">
        <v>589</v>
      </c>
      <c r="D83" s="85" t="s">
        <v>333</v>
      </c>
      <c r="E83" s="114">
        <v>949</v>
      </c>
      <c r="F83" s="114"/>
      <c r="G83" s="114">
        <v>949</v>
      </c>
      <c r="H83" s="114">
        <v>16</v>
      </c>
      <c r="I83" s="114">
        <v>965</v>
      </c>
      <c r="J83" s="114">
        <f>+I83*J6</f>
        <v>38.6</v>
      </c>
      <c r="K83" s="114">
        <f t="shared" si="13"/>
        <v>54.6</v>
      </c>
      <c r="L83" s="114"/>
      <c r="M83" s="114">
        <f t="shared" si="14"/>
        <v>1003.6</v>
      </c>
    </row>
    <row r="84" spans="1:13" ht="15.75">
      <c r="A84" s="169" t="s">
        <v>98</v>
      </c>
      <c r="B84" s="107">
        <v>60</v>
      </c>
      <c r="C84" s="85">
        <v>590</v>
      </c>
      <c r="D84" s="85" t="s">
        <v>290</v>
      </c>
      <c r="E84" s="114">
        <v>342593</v>
      </c>
      <c r="F84" s="114"/>
      <c r="G84" s="114">
        <v>342593</v>
      </c>
      <c r="H84" s="114">
        <v>5204</v>
      </c>
      <c r="I84" s="114">
        <v>347797</v>
      </c>
      <c r="J84" s="114">
        <f>+I84*J5</f>
        <v>8694.9250000000011</v>
      </c>
      <c r="K84" s="114">
        <f t="shared" si="13"/>
        <v>13898.925000000001</v>
      </c>
      <c r="L84" s="114"/>
      <c r="M84" s="114">
        <f t="shared" si="14"/>
        <v>356491.92499999999</v>
      </c>
    </row>
    <row r="85" spans="1:13" ht="15.75">
      <c r="A85" s="169"/>
      <c r="B85" s="107">
        <v>61</v>
      </c>
      <c r="C85" s="85">
        <v>591</v>
      </c>
      <c r="D85" s="85" t="s">
        <v>295</v>
      </c>
      <c r="E85" s="114">
        <v>48999</v>
      </c>
      <c r="F85" s="114"/>
      <c r="G85" s="114">
        <v>48999</v>
      </c>
      <c r="H85" s="114">
        <v>832</v>
      </c>
      <c r="I85" s="114">
        <v>49831</v>
      </c>
      <c r="J85" s="114">
        <f>+I85*J6</f>
        <v>1993.24</v>
      </c>
      <c r="K85" s="114">
        <f t="shared" si="13"/>
        <v>2825.24</v>
      </c>
      <c r="L85" s="114"/>
      <c r="M85" s="114">
        <f t="shared" si="14"/>
        <v>51824.24</v>
      </c>
    </row>
    <row r="86" spans="1:13" ht="15.75">
      <c r="A86" s="169"/>
      <c r="B86" s="107">
        <v>62</v>
      </c>
      <c r="C86" s="85">
        <v>592</v>
      </c>
      <c r="D86" s="85" t="s">
        <v>334</v>
      </c>
      <c r="E86" s="114">
        <v>305043</v>
      </c>
      <c r="F86" s="114"/>
      <c r="G86" s="114">
        <v>305043</v>
      </c>
      <c r="H86" s="114">
        <v>5180</v>
      </c>
      <c r="I86" s="114">
        <v>310223</v>
      </c>
      <c r="J86" s="114">
        <f>+I86*J6</f>
        <v>12408.92</v>
      </c>
      <c r="K86" s="114">
        <f t="shared" si="13"/>
        <v>17588.919999999998</v>
      </c>
      <c r="L86" s="114"/>
      <c r="M86" s="114">
        <f t="shared" si="14"/>
        <v>322631.92</v>
      </c>
    </row>
    <row r="87" spans="1:13" ht="15.75">
      <c r="A87" s="169"/>
      <c r="B87" s="107">
        <v>63</v>
      </c>
      <c r="C87" s="85">
        <v>593</v>
      </c>
      <c r="D87" s="85" t="s">
        <v>324</v>
      </c>
      <c r="E87" s="114">
        <v>1294950</v>
      </c>
      <c r="F87" s="114"/>
      <c r="G87" s="114">
        <v>1294950</v>
      </c>
      <c r="H87" s="114">
        <v>21988</v>
      </c>
      <c r="I87" s="114">
        <v>1316938</v>
      </c>
      <c r="J87" s="114">
        <f>+I87*J6</f>
        <v>52677.520000000004</v>
      </c>
      <c r="K87" s="114">
        <f t="shared" si="13"/>
        <v>74665.52</v>
      </c>
      <c r="L87" s="114"/>
      <c r="M87" s="114">
        <f t="shared" si="14"/>
        <v>1369615.52</v>
      </c>
    </row>
    <row r="88" spans="1:13" ht="15.75">
      <c r="A88" s="169"/>
      <c r="B88" s="107">
        <v>64</v>
      </c>
      <c r="C88" s="85">
        <v>594</v>
      </c>
      <c r="D88" s="85" t="s">
        <v>335</v>
      </c>
      <c r="E88" s="114">
        <v>443724</v>
      </c>
      <c r="F88" s="114"/>
      <c r="G88" s="114">
        <v>443724</v>
      </c>
      <c r="H88" s="114">
        <v>7534</v>
      </c>
      <c r="I88" s="114">
        <v>451258</v>
      </c>
      <c r="J88" s="114">
        <f>+I88*J6</f>
        <v>18050.32</v>
      </c>
      <c r="K88" s="114">
        <f t="shared" si="13"/>
        <v>25584.32</v>
      </c>
      <c r="L88" s="114"/>
      <c r="M88" s="114">
        <f t="shared" si="14"/>
        <v>469308.32</v>
      </c>
    </row>
    <row r="89" spans="1:13" ht="15.75">
      <c r="A89" s="169"/>
      <c r="B89" s="107">
        <v>65</v>
      </c>
      <c r="C89" s="85">
        <v>595</v>
      </c>
      <c r="D89" s="85" t="s">
        <v>336</v>
      </c>
      <c r="E89" s="114">
        <v>310557</v>
      </c>
      <c r="F89" s="114"/>
      <c r="G89" s="114">
        <v>310557</v>
      </c>
      <c r="H89" s="114">
        <v>5273</v>
      </c>
      <c r="I89" s="114">
        <v>315830</v>
      </c>
      <c r="J89" s="114">
        <f>+I89*J6</f>
        <v>12633.2</v>
      </c>
      <c r="K89" s="114">
        <f t="shared" si="13"/>
        <v>17906.2</v>
      </c>
      <c r="L89" s="114"/>
      <c r="M89" s="114">
        <f t="shared" si="14"/>
        <v>328463.2</v>
      </c>
    </row>
    <row r="90" spans="1:13" ht="15.75">
      <c r="A90" s="169"/>
      <c r="B90" s="107">
        <v>66</v>
      </c>
      <c r="C90" s="85">
        <v>596</v>
      </c>
      <c r="D90" s="85" t="s">
        <v>337</v>
      </c>
      <c r="E90" s="114">
        <v>187819</v>
      </c>
      <c r="F90" s="114"/>
      <c r="G90" s="114">
        <v>187819</v>
      </c>
      <c r="H90" s="114">
        <v>3189</v>
      </c>
      <c r="I90" s="114">
        <v>191008</v>
      </c>
      <c r="J90" s="114">
        <f>+I90*J6</f>
        <v>7640.32</v>
      </c>
      <c r="K90" s="114">
        <f t="shared" si="13"/>
        <v>10829.32</v>
      </c>
      <c r="L90" s="114"/>
      <c r="M90" s="114">
        <f t="shared" si="14"/>
        <v>198648.32000000001</v>
      </c>
    </row>
    <row r="91" spans="1:13" ht="15.75">
      <c r="A91" s="169"/>
      <c r="B91" s="107">
        <v>67</v>
      </c>
      <c r="C91" s="85">
        <v>597</v>
      </c>
      <c r="D91" s="85" t="s">
        <v>338</v>
      </c>
      <c r="E91" s="114">
        <v>56013</v>
      </c>
      <c r="F91" s="114"/>
      <c r="G91" s="114">
        <v>56013</v>
      </c>
      <c r="H91" s="114">
        <v>951</v>
      </c>
      <c r="I91" s="114">
        <v>56964</v>
      </c>
      <c r="J91" s="114">
        <f>+I91*J6</f>
        <v>2278.56</v>
      </c>
      <c r="K91" s="114">
        <f t="shared" si="13"/>
        <v>3229.56</v>
      </c>
      <c r="L91" s="114"/>
      <c r="M91" s="114">
        <f t="shared" si="14"/>
        <v>59242.559999999998</v>
      </c>
    </row>
    <row r="92" spans="1:13" ht="15.75">
      <c r="A92" s="169"/>
      <c r="B92" s="107">
        <v>68</v>
      </c>
      <c r="C92" s="85">
        <v>598</v>
      </c>
      <c r="D92" s="85" t="s">
        <v>332</v>
      </c>
      <c r="E92" s="114">
        <v>167765</v>
      </c>
      <c r="F92" s="114"/>
      <c r="G92" s="114">
        <v>167765</v>
      </c>
      <c r="H92" s="114">
        <v>2849</v>
      </c>
      <c r="I92" s="114">
        <v>170614</v>
      </c>
      <c r="J92" s="114">
        <f>+I92*J6</f>
        <v>6824.56</v>
      </c>
      <c r="K92" s="114">
        <f t="shared" si="13"/>
        <v>9673.5600000000013</v>
      </c>
      <c r="L92" s="114"/>
      <c r="M92" s="114">
        <f t="shared" si="14"/>
        <v>177438.56</v>
      </c>
    </row>
    <row r="93" spans="1:13" ht="15.75">
      <c r="A93" s="169"/>
      <c r="B93" s="107">
        <v>69</v>
      </c>
      <c r="C93" s="85" t="s">
        <v>268</v>
      </c>
      <c r="D93" s="85"/>
      <c r="E93" s="168">
        <f t="shared" ref="E93:M93" si="15">SUM(E74:E92)</f>
        <v>8640922</v>
      </c>
      <c r="F93" s="168">
        <f t="shared" si="15"/>
        <v>0</v>
      </c>
      <c r="G93" s="168">
        <f t="shared" si="15"/>
        <v>8640922</v>
      </c>
      <c r="H93" s="168">
        <f t="shared" si="15"/>
        <v>145035</v>
      </c>
      <c r="I93" s="168">
        <f t="shared" si="15"/>
        <v>8785957</v>
      </c>
      <c r="J93" s="168">
        <f t="shared" si="15"/>
        <v>337074.88</v>
      </c>
      <c r="K93" s="168">
        <f t="shared" si="15"/>
        <v>482109.87999999995</v>
      </c>
      <c r="L93" s="168">
        <f t="shared" si="15"/>
        <v>0</v>
      </c>
      <c r="M93" s="168">
        <f t="shared" si="15"/>
        <v>9123031.8800000008</v>
      </c>
    </row>
    <row r="94" spans="1:13" ht="15.75">
      <c r="A94" s="169"/>
      <c r="B94" s="107"/>
      <c r="C94" s="85"/>
      <c r="D94" s="85"/>
      <c r="E94" s="114"/>
      <c r="F94" s="114"/>
      <c r="G94" s="114"/>
      <c r="H94" s="114"/>
      <c r="I94" s="114"/>
      <c r="J94" s="114"/>
      <c r="K94" s="114"/>
      <c r="L94" s="114"/>
      <c r="M94" s="85"/>
    </row>
    <row r="95" spans="1:13" ht="15.75">
      <c r="A95" s="169"/>
      <c r="B95" s="107"/>
      <c r="C95" s="85" t="s">
        <v>339</v>
      </c>
      <c r="D95" s="85"/>
      <c r="E95" s="114"/>
      <c r="F95" s="114"/>
      <c r="G95" s="114"/>
      <c r="H95" s="114"/>
      <c r="I95" s="114"/>
      <c r="J95" s="114"/>
      <c r="K95" s="114"/>
      <c r="L95" s="114"/>
      <c r="M95" s="85"/>
    </row>
    <row r="96" spans="1:13" ht="15.75">
      <c r="A96" s="169" t="s">
        <v>98</v>
      </c>
      <c r="B96" s="107">
        <v>70</v>
      </c>
      <c r="C96" s="85">
        <v>901</v>
      </c>
      <c r="D96" s="85" t="s">
        <v>340</v>
      </c>
      <c r="E96" s="114">
        <v>221076</v>
      </c>
      <c r="F96" s="114"/>
      <c r="G96" s="114">
        <v>221076</v>
      </c>
      <c r="H96" s="114">
        <v>3358</v>
      </c>
      <c r="I96" s="114">
        <v>224434</v>
      </c>
      <c r="J96" s="114">
        <f>+I96*J5</f>
        <v>5610.85</v>
      </c>
      <c r="K96" s="114">
        <f>+J96+H96</f>
        <v>8968.85</v>
      </c>
      <c r="L96" s="114"/>
      <c r="M96" s="114">
        <f>+G96+K96+L96</f>
        <v>230044.85</v>
      </c>
    </row>
    <row r="97" spans="1:13" ht="15.75">
      <c r="A97" s="169"/>
      <c r="B97" s="107">
        <v>71</v>
      </c>
      <c r="C97" s="85">
        <v>902</v>
      </c>
      <c r="D97" s="85" t="s">
        <v>341</v>
      </c>
      <c r="E97" s="114">
        <v>1251744</v>
      </c>
      <c r="F97" s="114"/>
      <c r="G97" s="114">
        <v>1251744</v>
      </c>
      <c r="H97" s="114">
        <v>21255</v>
      </c>
      <c r="I97" s="114">
        <v>1272999</v>
      </c>
      <c r="J97" s="114">
        <f>+I97*J6</f>
        <v>50919.96</v>
      </c>
      <c r="K97" s="114">
        <f>+J97+H97</f>
        <v>72174.959999999992</v>
      </c>
      <c r="L97" s="114"/>
      <c r="M97" s="114">
        <f>+G97+K97+L97</f>
        <v>1323918.96</v>
      </c>
    </row>
    <row r="98" spans="1:13" ht="15.75">
      <c r="A98" s="169" t="s">
        <v>98</v>
      </c>
      <c r="B98" s="107">
        <v>72</v>
      </c>
      <c r="C98" s="85">
        <v>903</v>
      </c>
      <c r="D98" s="85" t="s">
        <v>342</v>
      </c>
      <c r="E98" s="114">
        <v>2124985</v>
      </c>
      <c r="F98" s="114"/>
      <c r="G98" s="114">
        <v>2124985</v>
      </c>
      <c r="H98" s="114">
        <v>32279</v>
      </c>
      <c r="I98" s="114">
        <v>2157264</v>
      </c>
      <c r="J98" s="114">
        <f>+I98*J5</f>
        <v>53931.600000000006</v>
      </c>
      <c r="K98" s="114">
        <f>+J98+H98</f>
        <v>86210.6</v>
      </c>
      <c r="L98" s="114"/>
      <c r="M98" s="114">
        <f>+G98+K98+L98</f>
        <v>2211195.6</v>
      </c>
    </row>
    <row r="99" spans="1:13" ht="15.75">
      <c r="A99" s="169" t="s">
        <v>98</v>
      </c>
      <c r="B99" s="107">
        <v>73</v>
      </c>
      <c r="C99" s="85">
        <v>905</v>
      </c>
      <c r="D99" s="85" t="s">
        <v>343</v>
      </c>
      <c r="E99" s="114">
        <v>59208</v>
      </c>
      <c r="F99" s="114"/>
      <c r="G99" s="114">
        <v>59208</v>
      </c>
      <c r="H99" s="114">
        <v>899</v>
      </c>
      <c r="I99" s="114">
        <v>60107</v>
      </c>
      <c r="J99" s="114">
        <f>+I99*J5</f>
        <v>1502.6750000000002</v>
      </c>
      <c r="K99" s="114">
        <f>+J99+H99</f>
        <v>2401.6750000000002</v>
      </c>
      <c r="L99" s="114"/>
      <c r="M99" s="114">
        <f>+G99+K99+L99</f>
        <v>61609.675000000003</v>
      </c>
    </row>
    <row r="100" spans="1:13" ht="15.75">
      <c r="A100" s="169"/>
      <c r="B100" s="107">
        <v>74</v>
      </c>
      <c r="C100" s="85" t="s">
        <v>344</v>
      </c>
      <c r="D100" s="85"/>
      <c r="E100" s="168">
        <f t="shared" ref="E100:M100" si="16">SUM(E96:E99)</f>
        <v>3657013</v>
      </c>
      <c r="F100" s="168">
        <f t="shared" si="16"/>
        <v>0</v>
      </c>
      <c r="G100" s="168">
        <f t="shared" si="16"/>
        <v>3657013</v>
      </c>
      <c r="H100" s="168">
        <f t="shared" si="16"/>
        <v>57791</v>
      </c>
      <c r="I100" s="168">
        <f t="shared" si="16"/>
        <v>3714804</v>
      </c>
      <c r="J100" s="168">
        <f t="shared" si="16"/>
        <v>111965.08500000001</v>
      </c>
      <c r="K100" s="168">
        <f t="shared" si="16"/>
        <v>169756.08499999999</v>
      </c>
      <c r="L100" s="168">
        <f t="shared" si="16"/>
        <v>0</v>
      </c>
      <c r="M100" s="168">
        <f t="shared" si="16"/>
        <v>3826769.085</v>
      </c>
    </row>
    <row r="101" spans="1:13" ht="15.75">
      <c r="A101" s="169"/>
      <c r="B101" s="107"/>
      <c r="C101" s="85"/>
      <c r="D101" s="85"/>
      <c r="E101" s="114"/>
      <c r="F101" s="114"/>
      <c r="G101" s="114"/>
      <c r="H101" s="114"/>
      <c r="I101" s="114"/>
      <c r="J101" s="114"/>
      <c r="K101" s="114"/>
      <c r="L101" s="114"/>
      <c r="M101" s="85"/>
    </row>
    <row r="102" spans="1:13" ht="15.75">
      <c r="A102" s="169"/>
      <c r="B102" s="107"/>
      <c r="C102" s="85" t="s">
        <v>345</v>
      </c>
      <c r="D102" s="85"/>
      <c r="E102" s="114"/>
      <c r="F102" s="114"/>
      <c r="G102" s="114"/>
      <c r="H102" s="114"/>
      <c r="I102" s="114"/>
      <c r="J102" s="114"/>
      <c r="K102" s="114"/>
      <c r="L102" s="114"/>
      <c r="M102" s="85"/>
    </row>
    <row r="103" spans="1:13" ht="15.75">
      <c r="A103" s="169" t="s">
        <v>98</v>
      </c>
      <c r="B103" s="107">
        <v>75</v>
      </c>
      <c r="C103" s="85">
        <v>907</v>
      </c>
      <c r="D103" s="85" t="s">
        <v>340</v>
      </c>
      <c r="E103" s="114">
        <v>0</v>
      </c>
      <c r="F103" s="114"/>
      <c r="G103" s="114">
        <v>0</v>
      </c>
      <c r="H103" s="114">
        <v>0</v>
      </c>
      <c r="I103" s="114">
        <v>0</v>
      </c>
      <c r="J103" s="114">
        <f>+I103*J5</f>
        <v>0</v>
      </c>
      <c r="K103" s="114">
        <f>+J103+H103</f>
        <v>0</v>
      </c>
      <c r="L103" s="114"/>
      <c r="M103" s="114">
        <f>+G103+K103+L103</f>
        <v>0</v>
      </c>
    </row>
    <row r="104" spans="1:13" ht="15.75">
      <c r="A104" s="169" t="s">
        <v>98</v>
      </c>
      <c r="B104" s="107">
        <v>76</v>
      </c>
      <c r="C104" s="85">
        <v>908</v>
      </c>
      <c r="D104" s="85" t="s">
        <v>346</v>
      </c>
      <c r="E104" s="114">
        <v>198765</v>
      </c>
      <c r="F104" s="114"/>
      <c r="G104" s="114">
        <v>198765</v>
      </c>
      <c r="H104" s="114">
        <v>3019</v>
      </c>
      <c r="I104" s="114">
        <v>201784</v>
      </c>
      <c r="J104" s="114">
        <f>+I104*J5</f>
        <v>5044.6000000000004</v>
      </c>
      <c r="K104" s="114">
        <f>+J104+H104</f>
        <v>8063.6</v>
      </c>
      <c r="L104" s="114"/>
      <c r="M104" s="114">
        <f>+G104+K104+L104</f>
        <v>206828.6</v>
      </c>
    </row>
    <row r="105" spans="1:13" ht="15.75">
      <c r="A105" s="169" t="s">
        <v>98</v>
      </c>
      <c r="B105" s="107">
        <v>77</v>
      </c>
      <c r="C105" s="85">
        <v>909</v>
      </c>
      <c r="D105" s="85" t="s">
        <v>347</v>
      </c>
      <c r="E105" s="114">
        <v>10617</v>
      </c>
      <c r="F105" s="114"/>
      <c r="G105" s="114">
        <v>10617</v>
      </c>
      <c r="H105" s="114">
        <v>161</v>
      </c>
      <c r="I105" s="114">
        <v>10778</v>
      </c>
      <c r="J105" s="114">
        <f>+I105*J5</f>
        <v>269.45</v>
      </c>
      <c r="K105" s="114">
        <f>+J105+H105</f>
        <v>430.45</v>
      </c>
      <c r="L105" s="114"/>
      <c r="M105" s="114">
        <f>+G105+K105+L105</f>
        <v>11047.45</v>
      </c>
    </row>
    <row r="106" spans="1:13" ht="15.75">
      <c r="A106" s="169" t="s">
        <v>98</v>
      </c>
      <c r="B106" s="107">
        <v>78</v>
      </c>
      <c r="C106" s="85">
        <v>910</v>
      </c>
      <c r="D106" s="85" t="s">
        <v>348</v>
      </c>
      <c r="E106" s="114">
        <v>87</v>
      </c>
      <c r="F106" s="114"/>
      <c r="G106" s="114">
        <v>87</v>
      </c>
      <c r="H106" s="114">
        <v>1</v>
      </c>
      <c r="I106" s="114">
        <v>88</v>
      </c>
      <c r="J106" s="114">
        <f>+I106*J5</f>
        <v>2.2000000000000002</v>
      </c>
      <c r="K106" s="114">
        <f>+J106+H106</f>
        <v>3.2</v>
      </c>
      <c r="L106" s="114"/>
      <c r="M106" s="114">
        <f>+G106+K106+L106</f>
        <v>90.2</v>
      </c>
    </row>
    <row r="107" spans="1:13" ht="15.75">
      <c r="A107" s="169"/>
      <c r="B107" s="107">
        <v>79</v>
      </c>
      <c r="C107" s="85" t="s">
        <v>349</v>
      </c>
      <c r="D107" s="85"/>
      <c r="E107" s="168">
        <f t="shared" ref="E107:M107" si="17">SUM(E103:E106)</f>
        <v>209469</v>
      </c>
      <c r="F107" s="168">
        <f t="shared" si="17"/>
        <v>0</v>
      </c>
      <c r="G107" s="168">
        <f t="shared" si="17"/>
        <v>209469</v>
      </c>
      <c r="H107" s="168">
        <f t="shared" si="17"/>
        <v>3181</v>
      </c>
      <c r="I107" s="168">
        <f t="shared" si="17"/>
        <v>212650</v>
      </c>
      <c r="J107" s="168">
        <f t="shared" si="17"/>
        <v>5316.25</v>
      </c>
      <c r="K107" s="168">
        <f t="shared" si="17"/>
        <v>8497.2500000000018</v>
      </c>
      <c r="L107" s="168">
        <f t="shared" si="17"/>
        <v>0</v>
      </c>
      <c r="M107" s="168">
        <f t="shared" si="17"/>
        <v>217966.25000000003</v>
      </c>
    </row>
    <row r="108" spans="1:13" ht="15.75">
      <c r="A108" s="169"/>
      <c r="B108" s="107"/>
      <c r="C108" s="85"/>
      <c r="D108" s="85"/>
      <c r="E108" s="114"/>
      <c r="F108" s="114"/>
      <c r="G108" s="114"/>
      <c r="H108" s="114"/>
      <c r="I108" s="114"/>
      <c r="J108" s="114"/>
      <c r="K108" s="114"/>
      <c r="L108" s="114"/>
      <c r="M108" s="85"/>
    </row>
    <row r="109" spans="1:13" ht="15.75">
      <c r="A109" s="169"/>
      <c r="B109" s="107"/>
      <c r="C109" s="85" t="s">
        <v>350</v>
      </c>
      <c r="D109" s="85"/>
      <c r="E109" s="114"/>
      <c r="F109" s="114"/>
      <c r="G109" s="114"/>
      <c r="H109" s="114"/>
      <c r="I109" s="114"/>
      <c r="J109" s="114"/>
      <c r="K109" s="114"/>
      <c r="L109" s="114"/>
      <c r="M109" s="85"/>
    </row>
    <row r="110" spans="1:13" ht="15.75">
      <c r="A110" s="169" t="s">
        <v>98</v>
      </c>
      <c r="B110" s="107">
        <v>80</v>
      </c>
      <c r="C110" s="85">
        <v>911</v>
      </c>
      <c r="D110" s="85" t="s">
        <v>340</v>
      </c>
      <c r="E110" s="114">
        <v>0</v>
      </c>
      <c r="F110" s="114"/>
      <c r="G110" s="114">
        <v>0</v>
      </c>
      <c r="H110" s="114">
        <v>0</v>
      </c>
      <c r="I110" s="114">
        <v>0</v>
      </c>
      <c r="J110" s="114">
        <f>+I110*J5</f>
        <v>0</v>
      </c>
      <c r="K110" s="114">
        <f>+J110+H110</f>
        <v>0</v>
      </c>
      <c r="L110" s="114"/>
      <c r="M110" s="114">
        <f>+G110+K110+L110</f>
        <v>0</v>
      </c>
    </row>
    <row r="111" spans="1:13" ht="15.75">
      <c r="A111" s="169" t="s">
        <v>98</v>
      </c>
      <c r="B111" s="107">
        <v>81</v>
      </c>
      <c r="C111" s="85">
        <v>912</v>
      </c>
      <c r="D111" s="85" t="s">
        <v>351</v>
      </c>
      <c r="E111" s="114">
        <v>179975</v>
      </c>
      <c r="F111" s="114"/>
      <c r="G111" s="114">
        <v>179975</v>
      </c>
      <c r="H111" s="114">
        <v>2734</v>
      </c>
      <c r="I111" s="114">
        <v>182709</v>
      </c>
      <c r="J111" s="114">
        <f>+I111*J5</f>
        <v>4567.7250000000004</v>
      </c>
      <c r="K111" s="114">
        <f>+J111+H111</f>
        <v>7301.7250000000004</v>
      </c>
      <c r="L111" s="114"/>
      <c r="M111" s="114">
        <f>+G111+K111+L111</f>
        <v>187276.72500000001</v>
      </c>
    </row>
    <row r="112" spans="1:13" ht="15.75">
      <c r="A112" s="169" t="s">
        <v>98</v>
      </c>
      <c r="B112" s="107">
        <v>82</v>
      </c>
      <c r="C112" s="85">
        <v>913</v>
      </c>
      <c r="D112" s="85" t="s">
        <v>347</v>
      </c>
      <c r="E112" s="114">
        <v>0</v>
      </c>
      <c r="F112" s="114"/>
      <c r="G112" s="114">
        <v>0</v>
      </c>
      <c r="H112" s="114">
        <v>0</v>
      </c>
      <c r="I112" s="114">
        <v>0</v>
      </c>
      <c r="J112" s="114">
        <f>+I112*J5</f>
        <v>0</v>
      </c>
      <c r="K112" s="114">
        <f>+J112+H112</f>
        <v>0</v>
      </c>
      <c r="L112" s="114"/>
      <c r="M112" s="114">
        <f>+G112+K112+L112</f>
        <v>0</v>
      </c>
    </row>
    <row r="113" spans="1:13" ht="15.75">
      <c r="A113" s="169" t="s">
        <v>98</v>
      </c>
      <c r="B113" s="107">
        <v>83</v>
      </c>
      <c r="C113" s="85">
        <v>916</v>
      </c>
      <c r="D113" s="85" t="s">
        <v>352</v>
      </c>
      <c r="E113" s="114">
        <v>146454</v>
      </c>
      <c r="F113" s="114"/>
      <c r="G113" s="114">
        <v>146454</v>
      </c>
      <c r="H113" s="114">
        <v>2225</v>
      </c>
      <c r="I113" s="114">
        <v>148679</v>
      </c>
      <c r="J113" s="114">
        <f>+I113*J5</f>
        <v>3716.9750000000004</v>
      </c>
      <c r="K113" s="114">
        <f>+J113+H113</f>
        <v>5941.9750000000004</v>
      </c>
      <c r="L113" s="114"/>
      <c r="M113" s="114">
        <f>+G113+K113+L113</f>
        <v>152395.97500000001</v>
      </c>
    </row>
    <row r="114" spans="1:13" ht="15.75">
      <c r="A114" s="169"/>
      <c r="B114" s="107">
        <v>84</v>
      </c>
      <c r="C114" s="85" t="s">
        <v>353</v>
      </c>
      <c r="D114" s="85"/>
      <c r="E114" s="168">
        <f t="shared" ref="E114:J114" si="18">SUM(E110:E113)</f>
        <v>326429</v>
      </c>
      <c r="F114" s="168">
        <f t="shared" si="18"/>
        <v>0</v>
      </c>
      <c r="G114" s="168">
        <f t="shared" si="18"/>
        <v>326429</v>
      </c>
      <c r="H114" s="168">
        <f t="shared" si="18"/>
        <v>4959</v>
      </c>
      <c r="I114" s="168">
        <f t="shared" si="18"/>
        <v>331388</v>
      </c>
      <c r="J114" s="168">
        <f t="shared" si="18"/>
        <v>8284.7000000000007</v>
      </c>
      <c r="K114" s="168">
        <f>SUM(K110:K113)</f>
        <v>13243.7</v>
      </c>
      <c r="L114" s="168">
        <f>SUM(L110:L113)</f>
        <v>0</v>
      </c>
      <c r="M114" s="168">
        <f>SUM(M110:M113)</f>
        <v>339672.7</v>
      </c>
    </row>
    <row r="115" spans="1:13" ht="15.75">
      <c r="A115" s="169"/>
      <c r="B115" s="107"/>
      <c r="C115" s="85"/>
      <c r="D115" s="85"/>
      <c r="E115" s="114"/>
      <c r="F115" s="114"/>
      <c r="G115" s="114"/>
      <c r="H115" s="114"/>
      <c r="I115" s="114"/>
      <c r="J115" s="114"/>
      <c r="K115" s="114"/>
      <c r="L115" s="114"/>
      <c r="M115" s="85"/>
    </row>
    <row r="116" spans="1:13" ht="15.75">
      <c r="A116" s="169"/>
      <c r="B116" s="107"/>
      <c r="C116" s="85" t="s">
        <v>354</v>
      </c>
      <c r="D116" s="85"/>
      <c r="E116" s="114"/>
      <c r="F116" s="114"/>
      <c r="G116" s="114"/>
      <c r="H116" s="114"/>
      <c r="I116" s="114"/>
      <c r="J116" s="114"/>
      <c r="K116" s="114"/>
      <c r="L116" s="114"/>
      <c r="M116" s="85"/>
    </row>
    <row r="117" spans="1:13" ht="15.75">
      <c r="A117" s="169" t="s">
        <v>98</v>
      </c>
      <c r="B117" s="107">
        <v>85</v>
      </c>
      <c r="C117" s="85">
        <v>920</v>
      </c>
      <c r="D117" s="85" t="s">
        <v>355</v>
      </c>
      <c r="E117" s="114">
        <v>7181131</v>
      </c>
      <c r="F117" s="114">
        <v>-1301176</v>
      </c>
      <c r="G117" s="114">
        <v>5879955</v>
      </c>
      <c r="H117" s="114">
        <v>89317</v>
      </c>
      <c r="I117" s="114">
        <v>5969272</v>
      </c>
      <c r="J117" s="114">
        <f>+I117*J5</f>
        <v>149231.80000000002</v>
      </c>
      <c r="K117" s="114">
        <f t="shared" ref="K117:K127" si="19">+J117+H117</f>
        <v>238548.80000000002</v>
      </c>
      <c r="L117" s="114">
        <f>19765+1301176</f>
        <v>1320941</v>
      </c>
      <c r="M117" s="114">
        <f t="shared" ref="M117:M127" si="20">+G117+K117+L117</f>
        <v>7439444.7999999998</v>
      </c>
    </row>
    <row r="118" spans="1:13" ht="15.75">
      <c r="A118" s="169" t="s">
        <v>98</v>
      </c>
      <c r="B118" s="107">
        <v>86</v>
      </c>
      <c r="C118" s="85">
        <v>921</v>
      </c>
      <c r="D118" s="85" t="s">
        <v>356</v>
      </c>
      <c r="E118" s="114">
        <v>20490</v>
      </c>
      <c r="F118" s="114"/>
      <c r="G118" s="114">
        <v>20490</v>
      </c>
      <c r="H118" s="114">
        <v>311</v>
      </c>
      <c r="I118" s="114">
        <v>20801</v>
      </c>
      <c r="J118" s="114">
        <f>+I118*J5</f>
        <v>520.02499999999998</v>
      </c>
      <c r="K118" s="114">
        <f t="shared" si="19"/>
        <v>831.02499999999998</v>
      </c>
      <c r="L118" s="114"/>
      <c r="M118" s="114">
        <f t="shared" si="20"/>
        <v>21321.025000000001</v>
      </c>
    </row>
    <row r="119" spans="1:13" ht="15.75">
      <c r="A119" s="169" t="s">
        <v>98</v>
      </c>
      <c r="B119" s="107">
        <v>87</v>
      </c>
      <c r="C119" s="85">
        <v>923</v>
      </c>
      <c r="D119" s="85" t="s">
        <v>357</v>
      </c>
      <c r="E119" s="114">
        <v>1739</v>
      </c>
      <c r="F119" s="114"/>
      <c r="G119" s="114">
        <v>1739</v>
      </c>
      <c r="H119" s="114">
        <v>26</v>
      </c>
      <c r="I119" s="114">
        <v>1765</v>
      </c>
      <c r="J119" s="114">
        <f>+I119*J5</f>
        <v>44.125</v>
      </c>
      <c r="K119" s="114">
        <f t="shared" si="19"/>
        <v>70.125</v>
      </c>
      <c r="L119" s="114"/>
      <c r="M119" s="114">
        <f t="shared" si="20"/>
        <v>1809.125</v>
      </c>
    </row>
    <row r="120" spans="1:13" ht="15.75">
      <c r="A120" s="169" t="s">
        <v>98</v>
      </c>
      <c r="B120" s="107">
        <v>88</v>
      </c>
      <c r="C120" s="85">
        <v>924</v>
      </c>
      <c r="D120" s="85" t="s">
        <v>358</v>
      </c>
      <c r="E120" s="114">
        <v>0</v>
      </c>
      <c r="F120" s="114"/>
      <c r="G120" s="114">
        <v>0</v>
      </c>
      <c r="H120" s="114">
        <v>0</v>
      </c>
      <c r="I120" s="114">
        <v>0</v>
      </c>
      <c r="J120" s="114">
        <f>+I120*J5</f>
        <v>0</v>
      </c>
      <c r="K120" s="114">
        <f t="shared" si="19"/>
        <v>0</v>
      </c>
      <c r="L120" s="114"/>
      <c r="M120" s="114">
        <f t="shared" si="20"/>
        <v>0</v>
      </c>
    </row>
    <row r="121" spans="1:13" ht="15.75">
      <c r="A121" s="169" t="s">
        <v>98</v>
      </c>
      <c r="B121" s="107">
        <v>89</v>
      </c>
      <c r="C121" s="85">
        <v>925</v>
      </c>
      <c r="D121" s="85" t="s">
        <v>359</v>
      </c>
      <c r="E121" s="114">
        <v>120821</v>
      </c>
      <c r="F121" s="114"/>
      <c r="G121" s="114">
        <v>120821</v>
      </c>
      <c r="H121" s="114">
        <v>1835</v>
      </c>
      <c r="I121" s="114">
        <v>122656</v>
      </c>
      <c r="J121" s="114">
        <f>+I121*J5</f>
        <v>3066.4</v>
      </c>
      <c r="K121" s="114">
        <f t="shared" si="19"/>
        <v>4901.3999999999996</v>
      </c>
      <c r="L121" s="114"/>
      <c r="M121" s="114">
        <f t="shared" si="20"/>
        <v>125722.4</v>
      </c>
    </row>
    <row r="122" spans="1:13" ht="15.75">
      <c r="A122" s="169" t="s">
        <v>98</v>
      </c>
      <c r="B122" s="107">
        <v>90</v>
      </c>
      <c r="C122" s="85">
        <v>926</v>
      </c>
      <c r="D122" s="85" t="s">
        <v>360</v>
      </c>
      <c r="E122" s="114">
        <v>0</v>
      </c>
      <c r="F122" s="114"/>
      <c r="G122" s="114">
        <v>0</v>
      </c>
      <c r="H122" s="114">
        <v>0</v>
      </c>
      <c r="I122" s="114">
        <v>0</v>
      </c>
      <c r="J122" s="114">
        <f>+I122*J5</f>
        <v>0</v>
      </c>
      <c r="K122" s="114">
        <f t="shared" si="19"/>
        <v>0</v>
      </c>
      <c r="L122" s="114"/>
      <c r="M122" s="114">
        <f t="shared" si="20"/>
        <v>0</v>
      </c>
    </row>
    <row r="123" spans="1:13" ht="15.75">
      <c r="A123" s="169" t="s">
        <v>98</v>
      </c>
      <c r="B123" s="107">
        <v>91</v>
      </c>
      <c r="C123" s="85">
        <v>927</v>
      </c>
      <c r="D123" s="85" t="s">
        <v>361</v>
      </c>
      <c r="E123" s="114">
        <v>0</v>
      </c>
      <c r="F123" s="114"/>
      <c r="G123" s="114">
        <v>0</v>
      </c>
      <c r="H123" s="114">
        <v>0</v>
      </c>
      <c r="I123" s="114">
        <v>0</v>
      </c>
      <c r="J123" s="114">
        <f>+I123*J5</f>
        <v>0</v>
      </c>
      <c r="K123" s="114">
        <f t="shared" si="19"/>
        <v>0</v>
      </c>
      <c r="L123" s="114"/>
      <c r="M123" s="114">
        <f t="shared" si="20"/>
        <v>0</v>
      </c>
    </row>
    <row r="124" spans="1:13" ht="15.75">
      <c r="A124" s="169" t="s">
        <v>98</v>
      </c>
      <c r="B124" s="107">
        <v>92</v>
      </c>
      <c r="C124" s="85">
        <v>928</v>
      </c>
      <c r="D124" s="85" t="s">
        <v>362</v>
      </c>
      <c r="E124" s="114">
        <v>506923</v>
      </c>
      <c r="F124" s="114"/>
      <c r="G124" s="114">
        <v>506923</v>
      </c>
      <c r="H124" s="114">
        <v>7700</v>
      </c>
      <c r="I124" s="114">
        <v>514623</v>
      </c>
      <c r="J124" s="114">
        <f>+I124*J5</f>
        <v>12865.575000000001</v>
      </c>
      <c r="K124" s="114">
        <f t="shared" si="19"/>
        <v>20565.575000000001</v>
      </c>
      <c r="L124" s="114"/>
      <c r="M124" s="114">
        <f t="shared" si="20"/>
        <v>527488.57499999995</v>
      </c>
    </row>
    <row r="125" spans="1:13" ht="15.75">
      <c r="A125" s="169" t="s">
        <v>98</v>
      </c>
      <c r="B125" s="107">
        <v>93</v>
      </c>
      <c r="C125" s="85">
        <v>930</v>
      </c>
      <c r="D125" s="85" t="s">
        <v>363</v>
      </c>
      <c r="E125" s="114">
        <v>272019</v>
      </c>
      <c r="F125" s="114">
        <v>0</v>
      </c>
      <c r="G125" s="114">
        <v>272019</v>
      </c>
      <c r="H125" s="114">
        <v>4132</v>
      </c>
      <c r="I125" s="114">
        <v>276151</v>
      </c>
      <c r="J125" s="114">
        <f>+I125*J5</f>
        <v>6903.7750000000005</v>
      </c>
      <c r="K125" s="114">
        <f t="shared" si="19"/>
        <v>11035.775000000001</v>
      </c>
      <c r="L125" s="114"/>
      <c r="M125" s="114">
        <f t="shared" si="20"/>
        <v>283054.77500000002</v>
      </c>
    </row>
    <row r="126" spans="1:13" ht="15.75">
      <c r="A126" s="169" t="s">
        <v>98</v>
      </c>
      <c r="B126" s="107">
        <v>94</v>
      </c>
      <c r="C126" s="85">
        <v>931</v>
      </c>
      <c r="D126" s="85" t="s">
        <v>364</v>
      </c>
      <c r="E126" s="114">
        <v>0</v>
      </c>
      <c r="F126" s="114"/>
      <c r="G126" s="114">
        <v>0</v>
      </c>
      <c r="H126" s="114">
        <v>0</v>
      </c>
      <c r="I126" s="114">
        <v>0</v>
      </c>
      <c r="J126" s="114">
        <f>+I126*J5</f>
        <v>0</v>
      </c>
      <c r="K126" s="114">
        <f t="shared" si="19"/>
        <v>0</v>
      </c>
      <c r="L126" s="114"/>
      <c r="M126" s="114">
        <f t="shared" si="20"/>
        <v>0</v>
      </c>
    </row>
    <row r="127" spans="1:13" ht="15.75">
      <c r="A127" s="169"/>
      <c r="B127" s="107">
        <v>95</v>
      </c>
      <c r="C127" s="85">
        <v>935</v>
      </c>
      <c r="D127" s="85" t="s">
        <v>365</v>
      </c>
      <c r="E127" s="114">
        <v>786972</v>
      </c>
      <c r="F127" s="114"/>
      <c r="G127" s="114">
        <v>786972</v>
      </c>
      <c r="H127" s="114">
        <v>13363</v>
      </c>
      <c r="I127" s="114">
        <v>800335</v>
      </c>
      <c r="J127" s="114">
        <f>+I127*J6</f>
        <v>32013.4</v>
      </c>
      <c r="K127" s="114">
        <f t="shared" si="19"/>
        <v>45376.4</v>
      </c>
      <c r="L127" s="114"/>
      <c r="M127" s="114">
        <f t="shared" si="20"/>
        <v>832348.4</v>
      </c>
    </row>
    <row r="128" spans="1:13" ht="15.75">
      <c r="A128" s="169"/>
      <c r="B128" s="107">
        <v>96</v>
      </c>
      <c r="C128" s="85" t="s">
        <v>366</v>
      </c>
      <c r="D128" s="85"/>
      <c r="E128" s="168">
        <f t="shared" ref="E128:M128" si="21">SUM(E117:E127)</f>
        <v>8890095</v>
      </c>
      <c r="F128" s="168">
        <f t="shared" si="21"/>
        <v>-1301176</v>
      </c>
      <c r="G128" s="168">
        <f t="shared" si="21"/>
        <v>7588919</v>
      </c>
      <c r="H128" s="168">
        <f t="shared" si="21"/>
        <v>116684</v>
      </c>
      <c r="I128" s="168">
        <f t="shared" si="21"/>
        <v>7705603</v>
      </c>
      <c r="J128" s="168">
        <f t="shared" si="21"/>
        <v>204645.1</v>
      </c>
      <c r="K128" s="168">
        <f t="shared" si="21"/>
        <v>321329.10000000003</v>
      </c>
      <c r="L128" s="168">
        <f t="shared" si="21"/>
        <v>1320941</v>
      </c>
      <c r="M128" s="168">
        <f t="shared" si="21"/>
        <v>9231189.1000000015</v>
      </c>
    </row>
    <row r="129" spans="1:13" ht="15.75">
      <c r="A129" s="169"/>
      <c r="B129" s="107"/>
      <c r="C129" s="85"/>
      <c r="D129" s="85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1:13" ht="16.5" thickBot="1">
      <c r="A130" s="169"/>
      <c r="B130" s="107">
        <v>97</v>
      </c>
      <c r="C130" s="202" t="s">
        <v>367</v>
      </c>
      <c r="D130" s="202"/>
      <c r="E130" s="120">
        <f t="shared" ref="E130:L130" si="22">+E128+E114+E107+E100+E93+E71+E55</f>
        <v>32545808</v>
      </c>
      <c r="F130" s="120">
        <f t="shared" si="22"/>
        <v>-1389585</v>
      </c>
      <c r="G130" s="120">
        <f t="shared" si="22"/>
        <v>31156223</v>
      </c>
      <c r="H130" s="120">
        <f t="shared" si="22"/>
        <v>501544</v>
      </c>
      <c r="I130" s="120">
        <f t="shared" si="22"/>
        <v>31657767</v>
      </c>
      <c r="J130" s="120">
        <f t="shared" si="22"/>
        <v>1032431.0700000001</v>
      </c>
      <c r="K130" s="120">
        <f t="shared" si="22"/>
        <v>1533975.0699999998</v>
      </c>
      <c r="L130" s="120">
        <f t="shared" si="22"/>
        <v>1410693</v>
      </c>
      <c r="M130" s="120">
        <f>+M128+M114+M107+M100+M93+M71+M55</f>
        <v>34100891.07</v>
      </c>
    </row>
    <row r="131" spans="1:13" ht="16.5" thickTop="1">
      <c r="A131" s="169"/>
      <c r="B131" s="107"/>
      <c r="C131" s="85"/>
      <c r="D131" s="85"/>
      <c r="E131" s="114"/>
      <c r="F131" s="114"/>
      <c r="G131" s="114"/>
      <c r="H131" s="114"/>
      <c r="I131" s="114"/>
      <c r="J131" s="114"/>
      <c r="K131" s="114"/>
      <c r="L131" s="114"/>
      <c r="M131" s="85"/>
    </row>
    <row r="132" spans="1:13" ht="15.75">
      <c r="A132" s="192"/>
      <c r="B132" s="89" t="s">
        <v>251</v>
      </c>
      <c r="C132" s="89"/>
      <c r="D132" s="89"/>
      <c r="E132" s="114"/>
      <c r="F132" s="114"/>
      <c r="G132" s="114"/>
      <c r="H132" s="114"/>
      <c r="I132" s="114"/>
      <c r="J132" s="114"/>
      <c r="K132" s="114"/>
      <c r="L132" s="114"/>
      <c r="M132" s="85"/>
    </row>
    <row r="133" spans="1:13" ht="15.75">
      <c r="A133" s="192"/>
      <c r="B133" s="85" t="s">
        <v>368</v>
      </c>
      <c r="C133" s="85"/>
      <c r="D133" s="85"/>
      <c r="E133" s="114"/>
      <c r="F133" s="114"/>
      <c r="G133" s="114"/>
      <c r="H133" s="114"/>
      <c r="I133" s="114"/>
      <c r="J133" s="114"/>
      <c r="K133" s="114"/>
      <c r="L133" s="114"/>
      <c r="M133" s="85"/>
    </row>
    <row r="134" spans="1:13" ht="15.75">
      <c r="A134" s="192"/>
      <c r="B134" s="85"/>
      <c r="C134" s="85"/>
      <c r="D134" s="85"/>
      <c r="E134" s="114"/>
      <c r="F134" s="114"/>
      <c r="G134" s="114"/>
      <c r="H134" s="114"/>
      <c r="I134" s="114"/>
      <c r="J134" s="114"/>
      <c r="K134" s="114"/>
      <c r="L134" s="114"/>
      <c r="M134" s="85"/>
    </row>
    <row r="135" spans="1:13" ht="15.75">
      <c r="A135" s="169"/>
      <c r="B135" s="107"/>
      <c r="C135" s="85"/>
      <c r="D135" s="85"/>
      <c r="E135" s="114"/>
      <c r="F135" s="114"/>
      <c r="G135" s="114"/>
      <c r="H135" s="114"/>
      <c r="I135" s="114"/>
      <c r="J135" s="114"/>
      <c r="K135" s="114"/>
      <c r="L135" s="114"/>
      <c r="M135" s="85"/>
    </row>
    <row r="136" spans="1:13" ht="15.75">
      <c r="A136" s="169"/>
      <c r="B136" s="85"/>
      <c r="C136" s="85"/>
      <c r="D136" s="85"/>
      <c r="E136" s="114"/>
      <c r="F136" s="114"/>
      <c r="G136" s="114"/>
      <c r="H136" s="114"/>
      <c r="I136" s="114"/>
      <c r="J136" s="114"/>
      <c r="K136" s="114"/>
      <c r="L136" s="114"/>
      <c r="M136" s="85"/>
    </row>
    <row r="137" spans="1:13" ht="15.75">
      <c r="A137" s="169"/>
      <c r="B137" s="85"/>
      <c r="C137" s="85"/>
      <c r="D137" s="85"/>
      <c r="E137" s="114"/>
      <c r="F137" s="114"/>
      <c r="G137" s="114"/>
      <c r="H137" s="114"/>
      <c r="I137" s="114"/>
      <c r="J137" s="114"/>
      <c r="K137" s="114"/>
      <c r="L137" s="114"/>
      <c r="M137" s="85"/>
    </row>
    <row r="138" spans="1:13" ht="15.75">
      <c r="A138" s="169"/>
      <c r="B138" s="85"/>
      <c r="C138" s="85"/>
      <c r="D138" s="85"/>
      <c r="E138" s="114"/>
      <c r="F138" s="114"/>
      <c r="G138" s="114"/>
      <c r="H138" s="114"/>
      <c r="I138" s="114"/>
      <c r="J138" s="114"/>
      <c r="K138" s="114"/>
      <c r="L138" s="114"/>
      <c r="M138" s="85"/>
    </row>
    <row r="139" spans="1:13" ht="15.75">
      <c r="A139" s="169"/>
      <c r="B139" s="85"/>
      <c r="C139" s="85"/>
      <c r="D139" s="85"/>
      <c r="E139" s="114"/>
      <c r="F139" s="114"/>
      <c r="G139" s="114"/>
      <c r="H139" s="114"/>
      <c r="I139" s="114"/>
      <c r="J139" s="114"/>
      <c r="K139" s="114"/>
      <c r="L139" s="114"/>
      <c r="M139" s="85"/>
    </row>
    <row r="140" spans="1:13" ht="15.75">
      <c r="A140" s="169"/>
      <c r="B140" s="85"/>
      <c r="C140" s="85"/>
      <c r="D140" s="85"/>
      <c r="E140" s="114"/>
      <c r="F140" s="114"/>
      <c r="G140" s="114"/>
      <c r="H140" s="114"/>
      <c r="I140" s="114"/>
      <c r="J140" s="114"/>
      <c r="K140" s="114"/>
      <c r="L140" s="114"/>
      <c r="M140" s="85"/>
    </row>
    <row r="141" spans="1:13" ht="15.75">
      <c r="A141" s="169"/>
      <c r="B141" s="85"/>
      <c r="C141" s="85"/>
      <c r="D141" s="85"/>
      <c r="E141" s="114"/>
      <c r="F141" s="114"/>
      <c r="G141" s="114"/>
      <c r="H141" s="114"/>
      <c r="I141" s="114"/>
      <c r="J141" s="114"/>
      <c r="K141" s="114"/>
      <c r="L141" s="114"/>
      <c r="M141" s="85"/>
    </row>
    <row r="142" spans="1:13" ht="15.75">
      <c r="A142" s="169"/>
      <c r="B142" s="85"/>
      <c r="C142" s="85"/>
      <c r="D142" s="85"/>
      <c r="E142" s="114"/>
      <c r="F142" s="114"/>
      <c r="G142" s="114"/>
      <c r="H142" s="114"/>
      <c r="I142" s="114"/>
      <c r="J142" s="114"/>
      <c r="K142" s="114"/>
      <c r="L142" s="114"/>
      <c r="M142" s="85"/>
    </row>
    <row r="143" spans="1:13" ht="15.75">
      <c r="A143" s="169"/>
      <c r="B143" s="85"/>
      <c r="C143" s="85"/>
      <c r="D143" s="85"/>
      <c r="E143" s="114"/>
      <c r="F143" s="114"/>
      <c r="G143" s="114"/>
      <c r="H143" s="114"/>
      <c r="I143" s="114"/>
      <c r="J143" s="114"/>
      <c r="K143" s="114"/>
      <c r="L143" s="114"/>
      <c r="M143" s="85"/>
    </row>
    <row r="144" spans="1:13" ht="15.75">
      <c r="A144" s="169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</row>
    <row r="145" spans="1:13" ht="15.75">
      <c r="A145" s="169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</row>
    <row r="146" spans="1:13" ht="15.75">
      <c r="A146" s="169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</row>
    <row r="147" spans="1:13" ht="15.75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</row>
    <row r="148" spans="1:13" ht="15.75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</row>
    <row r="149" spans="1:13" ht="15.75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59" orientation="landscape" r:id="rId1"/>
  <headerFooter alignWithMargins="0">
    <oddHeader>&amp;R&amp;"Times New Roman,Regular"Docket No. UE-090134
Exhibit No. __(HL-3)
Schedule C-2.1 (Electric)
&amp;P of &amp;N</oddHeader>
  </headerFooter>
  <rowBreaks count="1" manualBreakCount="1">
    <brk id="48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"/>
  <sheetViews>
    <sheetView topLeftCell="A16" workbookViewId="0">
      <selection activeCell="C26" sqref="C26"/>
    </sheetView>
  </sheetViews>
  <sheetFormatPr defaultRowHeight="12.75"/>
  <cols>
    <col min="2" max="2" width="1" customWidth="1"/>
    <col min="3" max="3" width="45.7109375" customWidth="1"/>
    <col min="4" max="4" width="0.7109375" customWidth="1"/>
    <col min="5" max="5" width="13.1406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/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521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5"/>
    </row>
    <row r="10" spans="1:8" ht="15.75">
      <c r="A10" s="87"/>
      <c r="B10" s="85"/>
      <c r="C10" s="85"/>
      <c r="D10" s="85"/>
      <c r="E10" s="85"/>
      <c r="F10" s="85"/>
      <c r="G10" s="85"/>
      <c r="H10" s="85"/>
    </row>
    <row r="11" spans="1:8" ht="15.75">
      <c r="A11" s="160">
        <v>1</v>
      </c>
      <c r="B11" s="85"/>
      <c r="C11" s="85" t="s">
        <v>431</v>
      </c>
      <c r="D11" s="83"/>
      <c r="E11" s="121">
        <v>239543</v>
      </c>
      <c r="F11" s="83"/>
      <c r="G11" s="97" t="s">
        <v>250</v>
      </c>
      <c r="H11" s="83"/>
    </row>
    <row r="12" spans="1:8" ht="15.75">
      <c r="A12" s="160"/>
      <c r="B12" s="85"/>
      <c r="C12" s="83"/>
      <c r="D12" s="83"/>
      <c r="E12" s="83"/>
      <c r="F12" s="83"/>
      <c r="G12" s="83"/>
      <c r="H12" s="83"/>
    </row>
    <row r="13" spans="1:8" ht="15.75">
      <c r="A13" s="160">
        <v>2</v>
      </c>
      <c r="B13" s="85"/>
      <c r="C13" s="85" t="s">
        <v>404</v>
      </c>
      <c r="D13" s="85"/>
      <c r="E13" s="167">
        <f>+E15-E11</f>
        <v>-218435.20384999999</v>
      </c>
      <c r="F13" s="83"/>
      <c r="G13" s="83"/>
      <c r="H13" s="83"/>
    </row>
    <row r="14" spans="1:8" ht="15.75">
      <c r="A14" s="160"/>
      <c r="B14" s="85"/>
      <c r="C14" s="83"/>
      <c r="D14" s="83"/>
      <c r="E14" s="83"/>
      <c r="F14" s="83"/>
      <c r="G14" s="83"/>
      <c r="H14" s="83"/>
    </row>
    <row r="15" spans="1:8" ht="15.75">
      <c r="A15" s="160">
        <v>3</v>
      </c>
      <c r="B15" s="85"/>
      <c r="C15" s="83" t="s">
        <v>430</v>
      </c>
      <c r="D15" s="83"/>
      <c r="E15" s="167">
        <f>E30</f>
        <v>21107.796150000002</v>
      </c>
      <c r="F15" s="83"/>
      <c r="G15" s="90" t="s">
        <v>252</v>
      </c>
      <c r="H15" s="83"/>
    </row>
    <row r="16" spans="1:8" ht="15.75">
      <c r="A16" s="160"/>
      <c r="B16" s="85"/>
      <c r="C16" s="83"/>
      <c r="D16" s="83"/>
      <c r="E16" s="83"/>
      <c r="F16" s="83"/>
      <c r="G16" s="83"/>
      <c r="H16" s="83"/>
    </row>
    <row r="17" spans="1:8" ht="15.75">
      <c r="A17" s="161">
        <v>4</v>
      </c>
      <c r="B17" s="84"/>
      <c r="C17" s="162" t="s">
        <v>246</v>
      </c>
      <c r="D17" s="84"/>
      <c r="E17" s="163">
        <v>0.35</v>
      </c>
      <c r="F17" s="84"/>
      <c r="G17" s="165"/>
      <c r="H17" s="173"/>
    </row>
    <row r="18" spans="1:8" ht="15.75">
      <c r="A18" s="161"/>
      <c r="B18" s="84"/>
      <c r="C18" s="164"/>
      <c r="D18" s="84"/>
      <c r="E18" s="165"/>
      <c r="F18" s="84"/>
      <c r="G18" s="165"/>
      <c r="H18" s="173"/>
    </row>
    <row r="19" spans="1:8" ht="15.75">
      <c r="A19" s="161">
        <v>5</v>
      </c>
      <c r="B19" s="84"/>
      <c r="C19" s="162" t="s">
        <v>508</v>
      </c>
      <c r="D19" s="84"/>
      <c r="E19" s="117">
        <f>E15*-E17</f>
        <v>-7387.7286525</v>
      </c>
      <c r="F19" s="84"/>
      <c r="G19" s="165" t="s">
        <v>396</v>
      </c>
      <c r="H19" s="173"/>
    </row>
    <row r="20" spans="1:8" ht="15.75">
      <c r="A20" s="161"/>
      <c r="B20" s="84"/>
      <c r="C20" s="164"/>
      <c r="D20" s="84"/>
      <c r="E20" s="165"/>
      <c r="F20" s="84"/>
      <c r="G20" s="165"/>
      <c r="H20" s="173"/>
    </row>
    <row r="21" spans="1:8" ht="16.5" thickBot="1">
      <c r="A21" s="161">
        <v>6</v>
      </c>
      <c r="B21" s="84"/>
      <c r="C21" s="162" t="s">
        <v>461</v>
      </c>
      <c r="D21" s="84"/>
      <c r="E21" s="166">
        <f>-E15-E19</f>
        <v>-13720.067497500002</v>
      </c>
      <c r="F21" s="84"/>
      <c r="G21" s="165" t="s">
        <v>397</v>
      </c>
      <c r="H21" s="173"/>
    </row>
    <row r="22" spans="1:8" ht="16.5" thickTop="1">
      <c r="A22" s="97"/>
      <c r="B22" s="84"/>
      <c r="C22" s="164"/>
      <c r="D22" s="84"/>
      <c r="E22" s="165"/>
      <c r="F22" s="84"/>
      <c r="G22" s="165"/>
      <c r="H22" s="173"/>
    </row>
    <row r="23" spans="1:8" ht="15.75">
      <c r="A23" s="97"/>
      <c r="B23" s="84"/>
      <c r="C23" s="164"/>
      <c r="D23" s="84"/>
      <c r="E23" s="172"/>
      <c r="F23" s="84"/>
      <c r="G23" s="165"/>
      <c r="H23" s="173"/>
    </row>
    <row r="24" spans="1:8" ht="15.75">
      <c r="A24" s="97"/>
      <c r="B24" s="84"/>
      <c r="C24" s="164"/>
      <c r="D24" s="84"/>
      <c r="E24" s="165"/>
      <c r="F24" s="84"/>
      <c r="G24" s="165"/>
      <c r="H24" s="173"/>
    </row>
    <row r="25" spans="1:8" ht="15.75">
      <c r="A25" s="97"/>
      <c r="B25" s="84"/>
      <c r="C25" s="164"/>
      <c r="D25" s="84"/>
      <c r="E25" s="165"/>
      <c r="F25" s="84"/>
      <c r="G25" s="165"/>
      <c r="H25" s="173"/>
    </row>
    <row r="26" spans="1:8" ht="15.75">
      <c r="A26" s="97" t="s">
        <v>250</v>
      </c>
      <c r="B26" s="84"/>
      <c r="C26" s="162" t="s">
        <v>386</v>
      </c>
      <c r="D26" s="84"/>
      <c r="E26" s="165"/>
      <c r="F26" s="84"/>
      <c r="G26" s="165"/>
      <c r="H26" s="173"/>
    </row>
    <row r="27" spans="1:8" ht="15.75">
      <c r="A27" s="97"/>
      <c r="B27" s="84"/>
      <c r="C27" s="162"/>
      <c r="D27" s="84"/>
      <c r="E27" s="84"/>
      <c r="F27" s="84"/>
      <c r="G27" s="84"/>
      <c r="H27" s="173"/>
    </row>
    <row r="28" spans="1:8" ht="15.75">
      <c r="A28" s="87" t="s">
        <v>252</v>
      </c>
      <c r="B28" s="85"/>
      <c r="C28" s="85" t="s">
        <v>387</v>
      </c>
      <c r="D28" s="85"/>
      <c r="E28" s="114">
        <v>1389585</v>
      </c>
      <c r="F28" s="85"/>
      <c r="G28" s="85" t="s">
        <v>388</v>
      </c>
      <c r="H28" s="85"/>
    </row>
    <row r="29" spans="1:8" ht="15.75">
      <c r="A29" s="87"/>
      <c r="B29" s="85"/>
      <c r="C29" s="85" t="s">
        <v>389</v>
      </c>
      <c r="D29" s="85"/>
      <c r="E29" s="174">
        <v>1.519E-2</v>
      </c>
      <c r="F29" s="85"/>
      <c r="G29" s="85" t="s">
        <v>390</v>
      </c>
      <c r="H29" s="85"/>
    </row>
    <row r="30" spans="1:8" ht="15.75">
      <c r="A30" s="87"/>
      <c r="B30" s="85"/>
      <c r="C30" s="85" t="s">
        <v>391</v>
      </c>
      <c r="D30" s="85"/>
      <c r="E30" s="114">
        <f>+E28*E29</f>
        <v>21107.796150000002</v>
      </c>
      <c r="F30" s="85"/>
      <c r="G30" s="85"/>
      <c r="H30" s="85"/>
    </row>
    <row r="31" spans="1:8" ht="15.75">
      <c r="A31" s="87"/>
      <c r="B31" s="85"/>
      <c r="C31" s="85"/>
      <c r="D31" s="85"/>
      <c r="E31" s="85"/>
      <c r="F31" s="85"/>
      <c r="G31" s="85"/>
      <c r="H31" s="85"/>
    </row>
    <row r="32" spans="1:8" ht="15.75">
      <c r="A32" s="87" t="s">
        <v>388</v>
      </c>
      <c r="B32" s="85"/>
      <c r="C32" s="85" t="s">
        <v>392</v>
      </c>
      <c r="D32" s="85"/>
      <c r="E32" s="114"/>
      <c r="F32" s="85"/>
      <c r="G32" s="85"/>
      <c r="H32" s="85"/>
    </row>
    <row r="33" spans="1:8" ht="15.75">
      <c r="A33" s="87"/>
      <c r="B33" s="85"/>
      <c r="C33" s="85"/>
      <c r="D33" s="85"/>
      <c r="E33" s="85"/>
      <c r="F33" s="85"/>
      <c r="G33" s="85"/>
      <c r="H33" s="85"/>
    </row>
    <row r="34" spans="1:8" ht="15.75">
      <c r="A34" s="87" t="s">
        <v>390</v>
      </c>
      <c r="B34" s="85"/>
      <c r="C34" s="85" t="s">
        <v>393</v>
      </c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C-3 (Electric)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>
      <selection activeCell="A2" sqref="A2:H2"/>
    </sheetView>
  </sheetViews>
  <sheetFormatPr defaultRowHeight="12.75"/>
  <cols>
    <col min="2" max="2" width="1" customWidth="1"/>
    <col min="3" max="3" width="44.28515625" customWidth="1"/>
    <col min="4" max="4" width="1.140625" customWidth="1"/>
    <col min="5" max="5" width="13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541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09" t="s">
        <v>146</v>
      </c>
      <c r="C12" s="209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/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/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/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0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114"/>
      <c r="F21" s="85"/>
      <c r="G21" s="189"/>
      <c r="H21" s="85"/>
    </row>
    <row r="22" spans="1:8" ht="15.75">
      <c r="A22" s="160">
        <v>8</v>
      </c>
      <c r="B22" s="159"/>
      <c r="C22" s="159" t="s">
        <v>264</v>
      </c>
      <c r="D22" s="159"/>
      <c r="E22" s="114"/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'C-4.1'!C40/1000</f>
        <v>6.3395085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'C-4.1'!C60/1000</f>
        <v>8.8362454652621345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114">
        <f>SUM(E21:E24)</f>
        <v>15.175753965262135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89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89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89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114">
        <f>+E25+E31+E33+E34+E35+E41</f>
        <v>15.175753965262135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165">
        <f>+E17-E42</f>
        <v>-15.175753965262135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117">
        <f>+E44*E46</f>
        <v>-5.3115138878417474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166">
        <f>+E44-E48</f>
        <v>-9.8642400774203871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0" t="s">
        <v>173</v>
      </c>
      <c r="C52" s="210"/>
      <c r="D52" s="210"/>
      <c r="F52" s="85"/>
      <c r="G52" s="85"/>
      <c r="H52" s="85"/>
    </row>
    <row r="53" spans="1:8" ht="15.75">
      <c r="A53" s="161">
        <v>29</v>
      </c>
      <c r="B53" s="210" t="s">
        <v>174</v>
      </c>
      <c r="C53" s="210"/>
      <c r="D53" s="210"/>
      <c r="E53" s="85"/>
      <c r="F53" s="85"/>
      <c r="G53" s="85"/>
      <c r="H53" s="85"/>
    </row>
    <row r="54" spans="1:8" ht="15.75">
      <c r="A54" s="161">
        <v>30</v>
      </c>
      <c r="B54" s="209"/>
      <c r="C54" s="209" t="s">
        <v>175</v>
      </c>
      <c r="D54" s="209"/>
      <c r="E54" s="114"/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'C-4.1'!C16/1000</f>
        <v>1311.5402110999999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/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1311.5402110999999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'C-4.1'!C28/1000</f>
        <v>1065.8473866000002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1065.8473866000002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'C-4.1'!C50/1000</f>
        <v>-123.09830120221316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09" t="s">
        <v>185</v>
      </c>
      <c r="C67" s="209"/>
      <c r="D67" s="209"/>
      <c r="E67" s="114">
        <f>+E59-E60+E64</f>
        <v>122.59452329778652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528</v>
      </c>
      <c r="B70" s="85"/>
      <c r="C70" s="85"/>
      <c r="D70" s="85"/>
      <c r="E70" s="85"/>
      <c r="F70" s="85"/>
      <c r="G70" s="85"/>
      <c r="H70" s="85"/>
    </row>
    <row r="71" spans="1:8" ht="15.75">
      <c r="A71" s="85"/>
      <c r="E71" s="85"/>
    </row>
    <row r="72" spans="1:8" ht="15.75">
      <c r="A72" s="85"/>
      <c r="E72" s="85"/>
    </row>
    <row r="73" spans="1:8" ht="15.75">
      <c r="A73" s="85"/>
      <c r="E73" s="85"/>
    </row>
    <row r="74" spans="1:8" ht="15.75">
      <c r="E74" s="85"/>
    </row>
    <row r="75" spans="1:8" ht="15.75">
      <c r="E7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60" orientation="portrait" r:id="rId1"/>
  <headerFooter alignWithMargins="0">
    <oddHeader>&amp;R&amp;"Times New Roman,Regular"Docket No. UE-090134
Exhibit No. __(HL-3)
Schedule C-4 (Electric)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opLeftCell="A19" workbookViewId="0">
      <selection activeCell="G20" sqref="G20"/>
    </sheetView>
  </sheetViews>
  <sheetFormatPr defaultRowHeight="12.75"/>
  <cols>
    <col min="1" max="1" width="14.5703125" customWidth="1"/>
    <col min="2" max="2" width="16.5703125" customWidth="1"/>
    <col min="3" max="3" width="17.42578125" customWidth="1"/>
    <col min="4" max="4" width="2.140625" customWidth="1"/>
    <col min="5" max="5" width="15.7109375" customWidth="1"/>
  </cols>
  <sheetData>
    <row r="1" spans="1:7" ht="15.75">
      <c r="A1" s="292" t="str">
        <f>'C-4'!A1:H1</f>
        <v>AVISTA UTILITIES</v>
      </c>
      <c r="B1" s="294"/>
      <c r="C1" s="294"/>
      <c r="D1" s="294"/>
      <c r="E1" s="294"/>
    </row>
    <row r="2" spans="1:7" ht="15.75">
      <c r="A2" s="292" t="str">
        <f>'C-4'!A2:H2</f>
        <v>Washington Electric System</v>
      </c>
      <c r="B2" s="294"/>
      <c r="C2" s="294"/>
      <c r="D2" s="294"/>
      <c r="E2" s="294"/>
    </row>
    <row r="3" spans="1:7" ht="15.75">
      <c r="A3" s="292" t="str">
        <f>'C-4'!A3:H3</f>
        <v>Test Year Twelve Months Ended September 30, 2008</v>
      </c>
      <c r="B3" s="294"/>
      <c r="C3" s="294"/>
      <c r="D3" s="294"/>
      <c r="E3" s="294"/>
    </row>
    <row r="5" spans="1:7" ht="15.75">
      <c r="A5" s="176" t="s">
        <v>577</v>
      </c>
    </row>
    <row r="6" spans="1:7" ht="15.75">
      <c r="A6" s="176" t="s">
        <v>525</v>
      </c>
      <c r="B6" s="176"/>
      <c r="C6" s="85"/>
      <c r="D6" s="85"/>
      <c r="E6" s="85"/>
      <c r="F6" s="85"/>
      <c r="G6" s="85"/>
    </row>
    <row r="7" spans="1:7" ht="15.75">
      <c r="A7" s="85"/>
      <c r="B7" s="85"/>
      <c r="C7" s="85"/>
      <c r="D7" s="85"/>
      <c r="E7" s="85"/>
      <c r="F7" s="85"/>
      <c r="G7" s="85"/>
    </row>
    <row r="8" spans="1:7" ht="15.75">
      <c r="A8" s="85"/>
      <c r="B8" s="88" t="s">
        <v>526</v>
      </c>
      <c r="C8" s="88" t="s">
        <v>223</v>
      </c>
      <c r="D8" s="90"/>
      <c r="E8" s="88" t="s">
        <v>239</v>
      </c>
      <c r="F8" s="85"/>
      <c r="G8" s="85"/>
    </row>
    <row r="9" spans="1:7" ht="15.75">
      <c r="A9" s="214">
        <v>39692</v>
      </c>
      <c r="B9" s="114">
        <v>1024889772</v>
      </c>
      <c r="C9" s="114"/>
      <c r="D9" s="114"/>
      <c r="E9" s="83" t="s">
        <v>534</v>
      </c>
      <c r="F9" s="85"/>
      <c r="G9" s="85"/>
    </row>
    <row r="10" spans="1:7" ht="15.75">
      <c r="A10" s="214">
        <v>39722</v>
      </c>
      <c r="B10" s="114">
        <v>1027151135</v>
      </c>
      <c r="C10" s="114">
        <f>+B10-B9</f>
        <v>2261363</v>
      </c>
      <c r="D10" s="114"/>
      <c r="E10" s="83"/>
      <c r="F10" s="85"/>
      <c r="G10" s="85"/>
    </row>
    <row r="11" spans="1:7" ht="15.75">
      <c r="A11" s="214">
        <v>39753</v>
      </c>
      <c r="B11" s="114">
        <v>1027226699</v>
      </c>
      <c r="C11" s="114">
        <f>+B11-B10</f>
        <v>75564</v>
      </c>
      <c r="D11" s="114"/>
      <c r="E11" s="83"/>
      <c r="F11" s="85"/>
      <c r="G11" s="85"/>
    </row>
    <row r="12" spans="1:7" ht="15.75">
      <c r="A12" s="214">
        <v>39783</v>
      </c>
      <c r="B12" s="121">
        <v>1030981459</v>
      </c>
      <c r="C12" s="167">
        <f>+B12-B11</f>
        <v>3754760</v>
      </c>
      <c r="D12" s="121"/>
      <c r="E12" s="85"/>
      <c r="F12" s="85"/>
      <c r="G12" s="85"/>
    </row>
    <row r="13" spans="1:7" ht="15.75">
      <c r="A13" s="85"/>
      <c r="B13" s="114"/>
      <c r="C13" s="114"/>
      <c r="D13" s="114"/>
      <c r="E13" s="85"/>
      <c r="F13" s="85"/>
      <c r="G13" s="85"/>
    </row>
    <row r="14" spans="1:7" ht="15.75">
      <c r="A14" s="83"/>
      <c r="B14" s="216" t="s">
        <v>538</v>
      </c>
      <c r="C14" s="121">
        <f>AVERAGE(C10:C12)</f>
        <v>2030562.3333333333</v>
      </c>
      <c r="D14" s="121"/>
      <c r="E14" s="85"/>
      <c r="F14" s="85"/>
      <c r="G14" s="85"/>
    </row>
    <row r="15" spans="1:7" ht="15.75">
      <c r="B15" s="216" t="s">
        <v>539</v>
      </c>
      <c r="C15" s="179">
        <v>0.64590000000000003</v>
      </c>
      <c r="D15" s="219"/>
      <c r="E15" s="85"/>
      <c r="F15" s="85"/>
      <c r="G15" s="85"/>
    </row>
    <row r="16" spans="1:7" ht="16.5" thickBot="1">
      <c r="A16" s="85"/>
      <c r="B16" s="216" t="s">
        <v>540</v>
      </c>
      <c r="C16" s="218">
        <f>+C14*C15</f>
        <v>1311540.2111</v>
      </c>
      <c r="D16" s="121"/>
      <c r="E16" s="85"/>
      <c r="F16" s="85"/>
      <c r="G16" s="85"/>
    </row>
    <row r="17" spans="1:7" ht="16.5" thickTop="1">
      <c r="A17" s="85"/>
      <c r="B17" s="114"/>
      <c r="C17" s="217"/>
      <c r="D17" s="217"/>
      <c r="E17" s="85"/>
      <c r="F17" s="85"/>
      <c r="G17" s="85"/>
    </row>
    <row r="18" spans="1:7" ht="15.75">
      <c r="A18" s="176" t="s">
        <v>482</v>
      </c>
      <c r="B18" s="215"/>
      <c r="C18" s="114"/>
      <c r="D18" s="114"/>
      <c r="E18" s="85"/>
      <c r="F18" s="85"/>
      <c r="G18" s="85"/>
    </row>
    <row r="19" spans="1:7" ht="15.75">
      <c r="A19" s="85"/>
      <c r="B19" s="85"/>
      <c r="C19" s="85"/>
      <c r="D19" s="85"/>
      <c r="E19" s="85"/>
      <c r="F19" s="85"/>
      <c r="G19" s="85"/>
    </row>
    <row r="20" spans="1:7" ht="15.75">
      <c r="A20" s="85"/>
      <c r="B20" s="88" t="s">
        <v>526</v>
      </c>
      <c r="C20" s="88" t="s">
        <v>223</v>
      </c>
      <c r="D20" s="90"/>
      <c r="E20" s="88" t="s">
        <v>239</v>
      </c>
      <c r="F20" s="85"/>
      <c r="G20" s="85"/>
    </row>
    <row r="21" spans="1:7" ht="15.75">
      <c r="A21" s="214">
        <v>39692</v>
      </c>
      <c r="B21" s="114">
        <v>-386130957</v>
      </c>
      <c r="C21" s="114"/>
      <c r="D21" s="114"/>
      <c r="E21" s="83" t="s">
        <v>534</v>
      </c>
      <c r="F21" s="85"/>
      <c r="G21" s="85"/>
    </row>
    <row r="22" spans="1:7" ht="15.75">
      <c r="A22" s="214">
        <v>39722</v>
      </c>
      <c r="B22" s="114">
        <v>-379431028</v>
      </c>
      <c r="C22" s="114">
        <f>+B22-B21</f>
        <v>6699929</v>
      </c>
      <c r="D22" s="114"/>
      <c r="E22" s="83"/>
      <c r="F22" s="85"/>
      <c r="G22" s="85"/>
    </row>
    <row r="23" spans="1:7" ht="15.75">
      <c r="A23" s="214">
        <v>39753</v>
      </c>
      <c r="B23" s="114">
        <v>-381583065</v>
      </c>
      <c r="C23" s="114">
        <f>+B23-B22</f>
        <v>-2152037</v>
      </c>
      <c r="D23" s="114"/>
      <c r="E23" s="85"/>
      <c r="F23" s="85"/>
      <c r="G23" s="85"/>
    </row>
    <row r="24" spans="1:7" ht="15.75">
      <c r="A24" s="214">
        <v>39783</v>
      </c>
      <c r="B24" s="121">
        <v>-381180435</v>
      </c>
      <c r="C24" s="167">
        <f>+B24-B23</f>
        <v>402630</v>
      </c>
      <c r="D24" s="121"/>
      <c r="E24" s="85"/>
      <c r="F24" s="85"/>
      <c r="G24" s="85"/>
    </row>
    <row r="25" spans="1:7" ht="15.75">
      <c r="A25" s="85"/>
      <c r="B25" s="114"/>
      <c r="C25" s="114"/>
      <c r="D25" s="114"/>
      <c r="E25" s="85"/>
      <c r="F25" s="85"/>
      <c r="G25" s="85"/>
    </row>
    <row r="26" spans="1:7" ht="15.75">
      <c r="A26" s="85"/>
      <c r="B26" s="216" t="s">
        <v>538</v>
      </c>
      <c r="C26" s="121">
        <f>AVERAGE(C22:C24)</f>
        <v>1650174</v>
      </c>
      <c r="D26" s="121"/>
      <c r="E26" s="85"/>
      <c r="F26" s="85"/>
      <c r="G26" s="85"/>
    </row>
    <row r="27" spans="1:7" ht="15.75">
      <c r="B27" s="216" t="s">
        <v>539</v>
      </c>
      <c r="C27" s="179">
        <v>0.64590000000000003</v>
      </c>
      <c r="D27" s="219"/>
      <c r="E27" s="85"/>
      <c r="F27" s="85"/>
      <c r="G27" s="85"/>
    </row>
    <row r="28" spans="1:7" ht="16.5" thickBot="1">
      <c r="B28" s="216" t="s">
        <v>540</v>
      </c>
      <c r="C28" s="218">
        <f>+C26*C27</f>
        <v>1065847.3866000001</v>
      </c>
      <c r="D28" s="121"/>
      <c r="E28" s="85"/>
      <c r="F28" s="85"/>
      <c r="G28" s="85"/>
    </row>
    <row r="29" spans="1:7" ht="16.5" thickTop="1">
      <c r="A29" s="85"/>
      <c r="B29" s="85"/>
      <c r="C29" s="85"/>
      <c r="D29" s="85"/>
      <c r="E29" s="85"/>
      <c r="F29" s="85"/>
      <c r="G29" s="85"/>
    </row>
    <row r="30" spans="1:7" ht="15.75">
      <c r="A30" s="176" t="s">
        <v>527</v>
      </c>
      <c r="B30" s="176"/>
      <c r="C30" s="85"/>
      <c r="D30" s="85"/>
      <c r="E30" s="85"/>
      <c r="F30" s="85"/>
      <c r="G30" s="85"/>
    </row>
    <row r="31" spans="1:7" ht="15.75">
      <c r="A31" s="85"/>
      <c r="B31" s="85"/>
      <c r="C31" s="85"/>
      <c r="D31" s="85"/>
      <c r="E31" s="85"/>
      <c r="F31" s="85"/>
      <c r="G31" s="85"/>
    </row>
    <row r="32" spans="1:7" ht="15.75">
      <c r="A32" s="85"/>
      <c r="B32" s="89" t="s">
        <v>526</v>
      </c>
      <c r="C32" s="88" t="s">
        <v>223</v>
      </c>
      <c r="D32" s="90"/>
      <c r="E32" s="88" t="s">
        <v>239</v>
      </c>
      <c r="F32" s="85"/>
      <c r="G32" s="85"/>
    </row>
    <row r="33" spans="1:7" ht="15.75">
      <c r="A33" s="214">
        <v>39692</v>
      </c>
      <c r="B33" s="121">
        <v>2211402</v>
      </c>
      <c r="C33" s="90"/>
      <c r="D33" s="90"/>
      <c r="E33" s="83" t="s">
        <v>534</v>
      </c>
      <c r="F33" s="85"/>
      <c r="G33" s="85"/>
    </row>
    <row r="34" spans="1:7" ht="15.75">
      <c r="A34" s="214">
        <v>39722</v>
      </c>
      <c r="B34" s="114">
        <v>2212840</v>
      </c>
      <c r="C34" s="114">
        <f>+B34-B33</f>
        <v>1438</v>
      </c>
      <c r="D34" s="114"/>
      <c r="F34" s="85"/>
      <c r="G34" s="85"/>
    </row>
    <row r="35" spans="1:7" ht="15.75">
      <c r="A35" s="214">
        <v>39753</v>
      </c>
      <c r="B35" s="114">
        <v>2216706</v>
      </c>
      <c r="C35" s="114">
        <f>+B35-B34</f>
        <v>3866</v>
      </c>
      <c r="D35" s="114"/>
      <c r="E35" s="85"/>
      <c r="F35" s="85"/>
      <c r="G35" s="85"/>
    </row>
    <row r="36" spans="1:7" ht="15.75">
      <c r="A36" s="214">
        <v>39783</v>
      </c>
      <c r="B36" s="121">
        <v>2221217</v>
      </c>
      <c r="C36" s="167">
        <f>+B36-B35</f>
        <v>4511</v>
      </c>
      <c r="D36" s="121"/>
      <c r="E36" s="85"/>
      <c r="F36" s="85"/>
      <c r="G36" s="85"/>
    </row>
    <row r="37" spans="1:7" ht="15.75">
      <c r="A37" s="85"/>
      <c r="B37" s="114"/>
      <c r="C37" s="114"/>
      <c r="D37" s="114"/>
      <c r="E37" s="85"/>
      <c r="F37" s="85"/>
      <c r="G37" s="85"/>
    </row>
    <row r="38" spans="1:7" ht="15.75">
      <c r="A38" s="85"/>
      <c r="B38" s="216" t="s">
        <v>211</v>
      </c>
      <c r="C38" s="121">
        <f>SUM(C34:C36)</f>
        <v>9815</v>
      </c>
      <c r="D38" s="121"/>
      <c r="E38" s="85"/>
      <c r="F38" s="85"/>
      <c r="G38" s="85"/>
    </row>
    <row r="39" spans="1:7" ht="15.75">
      <c r="A39" s="85"/>
      <c r="B39" s="216" t="s">
        <v>539</v>
      </c>
      <c r="C39" s="179">
        <v>0.64590000000000003</v>
      </c>
      <c r="D39" s="219"/>
      <c r="E39" s="85"/>
      <c r="F39" s="85"/>
      <c r="G39" s="85"/>
    </row>
    <row r="40" spans="1:7" ht="16.5" thickBot="1">
      <c r="A40" s="83"/>
      <c r="B40" s="216" t="s">
        <v>540</v>
      </c>
      <c r="C40" s="218">
        <f>+C38*C39</f>
        <v>6339.5084999999999</v>
      </c>
      <c r="D40" s="121"/>
      <c r="E40" s="85"/>
      <c r="F40" s="85"/>
      <c r="G40" s="85"/>
    </row>
    <row r="41" spans="1:7" ht="16.5" thickTop="1">
      <c r="A41" s="85"/>
      <c r="B41" s="85"/>
      <c r="C41" s="85"/>
      <c r="D41" s="85"/>
      <c r="E41" s="85"/>
      <c r="F41" s="85"/>
      <c r="G41" s="85"/>
    </row>
    <row r="42" spans="1:7" ht="15.75">
      <c r="A42" s="176" t="s">
        <v>529</v>
      </c>
      <c r="B42" s="85"/>
      <c r="C42" s="85"/>
      <c r="D42" s="85"/>
      <c r="E42" s="85"/>
      <c r="F42" s="85"/>
      <c r="G42" s="85"/>
    </row>
    <row r="43" spans="1:7" ht="15.75">
      <c r="F43" s="85"/>
      <c r="G43" s="85"/>
    </row>
    <row r="44" spans="1:7" ht="15.75">
      <c r="A44" s="87" t="s">
        <v>532</v>
      </c>
      <c r="B44" s="87"/>
      <c r="C44" s="87" t="s">
        <v>535</v>
      </c>
      <c r="D44" s="87"/>
      <c r="E44" s="87"/>
      <c r="F44" s="85"/>
      <c r="G44" s="85"/>
    </row>
    <row r="45" spans="1:7" ht="15.75">
      <c r="A45" s="88" t="s">
        <v>533</v>
      </c>
      <c r="B45" s="88" t="s">
        <v>531</v>
      </c>
      <c r="C45" s="88" t="s">
        <v>536</v>
      </c>
      <c r="D45" s="88"/>
      <c r="E45" s="88" t="s">
        <v>239</v>
      </c>
      <c r="F45" s="85"/>
      <c r="G45" s="85"/>
    </row>
    <row r="46" spans="1:7" ht="15.75">
      <c r="A46" s="114">
        <f>'C-1.1'!B30</f>
        <v>-65072</v>
      </c>
      <c r="B46" s="114">
        <f>'C-1.1'!B15</f>
        <v>693304</v>
      </c>
      <c r="C46" s="213">
        <f>+A46/B46</f>
        <v>-9.3857817061491058E-2</v>
      </c>
      <c r="D46" s="213"/>
      <c r="E46" s="85" t="s">
        <v>510</v>
      </c>
      <c r="F46" s="85"/>
      <c r="G46" s="85"/>
    </row>
    <row r="47" spans="1:7" ht="15.75">
      <c r="A47" s="85"/>
      <c r="B47" s="85"/>
      <c r="C47" s="85"/>
      <c r="D47" s="85"/>
      <c r="E47" s="85"/>
      <c r="F47" s="85"/>
      <c r="G47" s="85"/>
    </row>
    <row r="48" spans="1:7" ht="15.75">
      <c r="A48" s="85"/>
      <c r="B48" s="85"/>
      <c r="C48" s="167">
        <f>C16</f>
        <v>1311540.2111</v>
      </c>
      <c r="D48" s="121"/>
      <c r="E48" s="85"/>
      <c r="F48" s="85"/>
      <c r="G48" s="85"/>
    </row>
    <row r="49" spans="1:7" ht="15.75">
      <c r="A49" s="85"/>
      <c r="B49" s="85"/>
      <c r="C49" s="121"/>
      <c r="D49" s="121"/>
      <c r="E49" s="85"/>
      <c r="F49" s="85"/>
      <c r="G49" s="85"/>
    </row>
    <row r="50" spans="1:7" ht="16.5" thickBot="1">
      <c r="A50" s="85"/>
      <c r="B50" s="216" t="s">
        <v>540</v>
      </c>
      <c r="C50" s="120">
        <f>+C48*C46</f>
        <v>-123098.30120221316</v>
      </c>
      <c r="D50" s="121"/>
      <c r="E50" s="85"/>
      <c r="F50" s="85"/>
      <c r="G50" s="85"/>
    </row>
    <row r="51" spans="1:7" ht="16.5" thickTop="1">
      <c r="A51" s="85"/>
      <c r="B51" s="85"/>
      <c r="C51" s="85"/>
      <c r="D51" s="85"/>
      <c r="E51" s="85"/>
      <c r="F51" s="85"/>
      <c r="G51" s="85"/>
    </row>
    <row r="52" spans="1:7" ht="15.75">
      <c r="A52" s="176" t="s">
        <v>489</v>
      </c>
      <c r="B52" s="85"/>
      <c r="C52" s="85"/>
      <c r="D52" s="85"/>
      <c r="E52" s="85"/>
      <c r="F52" s="85"/>
      <c r="G52" s="85"/>
    </row>
    <row r="53" spans="1:7" ht="15.75">
      <c r="A53" s="176"/>
      <c r="B53" s="85"/>
      <c r="C53" s="85"/>
      <c r="D53" s="85"/>
      <c r="E53" s="85"/>
      <c r="F53" s="85"/>
      <c r="G53" s="85"/>
    </row>
    <row r="54" spans="1:7" ht="15.75">
      <c r="A54" s="87" t="s">
        <v>532</v>
      </c>
      <c r="B54" s="87"/>
      <c r="C54" s="87" t="s">
        <v>535</v>
      </c>
      <c r="D54" s="87"/>
      <c r="E54" s="85"/>
      <c r="F54" s="85"/>
      <c r="G54" s="85"/>
    </row>
    <row r="55" spans="1:7" ht="15.75">
      <c r="A55" s="88" t="s">
        <v>489</v>
      </c>
      <c r="B55" s="88" t="s">
        <v>531</v>
      </c>
      <c r="C55" s="89" t="s">
        <v>537</v>
      </c>
      <c r="D55" s="83"/>
      <c r="E55" s="88" t="s">
        <v>239</v>
      </c>
      <c r="F55" s="85"/>
      <c r="G55" s="85"/>
    </row>
    <row r="56" spans="1:7" ht="15.75">
      <c r="A56" s="114">
        <f>'C-1.1'!B45</f>
        <v>4671</v>
      </c>
      <c r="B56" s="114">
        <f>B46</f>
        <v>693304</v>
      </c>
      <c r="C56" s="213">
        <f>+A56/B56</f>
        <v>6.7373042705652928E-3</v>
      </c>
      <c r="D56" s="213"/>
      <c r="E56" s="85" t="s">
        <v>510</v>
      </c>
      <c r="F56" s="85"/>
      <c r="G56" s="85"/>
    </row>
    <row r="57" spans="1:7" ht="15.75">
      <c r="A57" s="85"/>
      <c r="B57" s="85"/>
      <c r="C57" s="85"/>
      <c r="D57" s="85"/>
      <c r="E57" s="85"/>
      <c r="F57" s="85"/>
      <c r="G57" s="85"/>
    </row>
    <row r="58" spans="1:7" ht="15.75">
      <c r="A58" s="85"/>
      <c r="B58" s="85"/>
      <c r="C58" s="167">
        <f>C16</f>
        <v>1311540.2111</v>
      </c>
      <c r="D58" s="121"/>
      <c r="E58" s="85"/>
    </row>
    <row r="59" spans="1:7" ht="15.75">
      <c r="A59" s="85"/>
      <c r="B59" s="85"/>
      <c r="C59" s="85"/>
      <c r="D59" s="85"/>
      <c r="E59" s="85"/>
    </row>
    <row r="60" spans="1:7" ht="16.5" thickBot="1">
      <c r="A60" s="85"/>
      <c r="B60" s="216" t="s">
        <v>540</v>
      </c>
      <c r="C60" s="120">
        <f>+C56*C58</f>
        <v>8836.2454652621345</v>
      </c>
      <c r="D60" s="121"/>
      <c r="E60" s="85"/>
    </row>
    <row r="61" spans="1:7" ht="16.5" thickTop="1">
      <c r="A61" s="85"/>
      <c r="B61" s="85"/>
      <c r="C61" s="85"/>
      <c r="D61" s="85"/>
      <c r="E61" s="85"/>
    </row>
    <row r="62" spans="1:7" ht="15.75">
      <c r="A62" s="85"/>
      <c r="B62" s="85"/>
      <c r="C62" s="85"/>
      <c r="D62" s="85"/>
      <c r="E62" s="85"/>
    </row>
    <row r="63" spans="1:7" ht="15.75">
      <c r="A63" s="85"/>
      <c r="B63" s="85"/>
      <c r="C63" s="85"/>
      <c r="D63" s="85"/>
      <c r="E63" s="85"/>
    </row>
    <row r="64" spans="1:7" ht="15.75">
      <c r="C64" s="85"/>
      <c r="D64" s="85"/>
      <c r="E64" s="85"/>
    </row>
  </sheetData>
  <mergeCells count="3">
    <mergeCell ref="A1:E1"/>
    <mergeCell ref="A2:E2"/>
    <mergeCell ref="A3:E3"/>
  </mergeCells>
  <phoneticPr fontId="12" type="noConversion"/>
  <pageMargins left="0.75" right="0.75" top="1" bottom="1" header="0.5" footer="0.5"/>
  <pageSetup scale="70" orientation="portrait" r:id="rId1"/>
  <headerFooter alignWithMargins="0">
    <oddHeader>&amp;R&amp;"Times New Roman,Regular"Docket No. UE-090134
Exhibit No. __(HL-3)
Schedule C-4.1 (Electric)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opLeftCell="A55" workbookViewId="0">
      <selection activeCell="C62" sqref="C62"/>
    </sheetView>
  </sheetViews>
  <sheetFormatPr defaultRowHeight="12.75"/>
  <cols>
    <col min="2" max="2" width="1" customWidth="1"/>
    <col min="3" max="3" width="44.28515625" customWidth="1"/>
    <col min="4" max="4" width="1.140625" customWidth="1"/>
    <col min="5" max="5" width="13.5703125" customWidth="1"/>
    <col min="6" max="6" width="1" customWidth="1"/>
    <col min="7" max="7" width="10.5703125" bestFit="1" customWidth="1"/>
    <col min="9" max="9" width="10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542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09" t="s">
        <v>146</v>
      </c>
      <c r="C12" s="209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/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/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/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0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114"/>
      <c r="F21" s="85"/>
      <c r="G21" s="189"/>
      <c r="H21" s="85"/>
    </row>
    <row r="22" spans="1:8" ht="15.75">
      <c r="A22" s="160">
        <v>8</v>
      </c>
      <c r="B22" s="159"/>
      <c r="C22" s="159" t="s">
        <v>264</v>
      </c>
      <c r="D22" s="159"/>
      <c r="E22" s="114"/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'C-5.1'!C51/1000</f>
        <v>29.466603900000003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'C-5.1'!C72/1000</f>
        <v>15.825736781532775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114">
        <f>SUM(E21:E24)</f>
        <v>45.292340681532778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89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89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89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114">
        <f>+E25+E31+E33+E34+E35+E41</f>
        <v>45.292340681532778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165">
        <f>+E17-E42</f>
        <v>-45.292340681532778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117">
        <f>+E44*E46</f>
        <v>-15.852319238536472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166">
        <f>+E44-E48</f>
        <v>-29.440021442996304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0" t="s">
        <v>173</v>
      </c>
      <c r="C52" s="210"/>
      <c r="D52" s="210"/>
      <c r="F52" s="85"/>
      <c r="G52" s="85"/>
      <c r="H52" s="85"/>
    </row>
    <row r="53" spans="1:8" ht="15.75">
      <c r="A53" s="161">
        <v>29</v>
      </c>
      <c r="B53" s="210" t="s">
        <v>174</v>
      </c>
      <c r="C53" s="210"/>
      <c r="D53" s="210"/>
      <c r="E53" s="85"/>
      <c r="F53" s="85"/>
      <c r="G53" s="85"/>
      <c r="H53" s="85"/>
    </row>
    <row r="54" spans="1:8" ht="15.75">
      <c r="A54" s="161">
        <v>30</v>
      </c>
      <c r="B54" s="209"/>
      <c r="C54" s="209" t="s">
        <v>175</v>
      </c>
      <c r="D54" s="209"/>
      <c r="E54" s="114"/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'C-5.1'!C19/1000</f>
        <v>2348.9716578000002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/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2348.9716578000002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'C-5.1'!C35/1000</f>
        <v>-1343.4717847000002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-1343.4717847000002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'C-5.1'!C62/1000</f>
        <v>-220.4693521404198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09" t="s">
        <v>185</v>
      </c>
      <c r="C67" s="209"/>
      <c r="D67" s="209"/>
      <c r="E67" s="114">
        <f>+E59-E60+E64</f>
        <v>3471.9740903595807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543</v>
      </c>
      <c r="B70" s="85"/>
      <c r="C70" s="85"/>
      <c r="D70" s="85"/>
      <c r="E70" s="85"/>
      <c r="F70" s="85"/>
      <c r="G70" s="85"/>
      <c r="H70" s="85"/>
    </row>
    <row r="71" spans="1:8" ht="15.75">
      <c r="A71" s="85"/>
      <c r="E71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60" orientation="portrait" r:id="rId1"/>
  <headerFooter alignWithMargins="0">
    <oddHeader xml:space="preserve">&amp;R&amp;"Times New Roman,Regular"Docket UE-090134
Exhibit No. __(HL-3)
Schedule C-5 (Electric)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opLeftCell="A47" workbookViewId="0">
      <selection activeCell="A57" sqref="A57"/>
    </sheetView>
  </sheetViews>
  <sheetFormatPr defaultRowHeight="12.75"/>
  <cols>
    <col min="1" max="1" width="14.42578125" customWidth="1"/>
    <col min="2" max="2" width="18" customWidth="1"/>
    <col min="3" max="3" width="17.42578125" customWidth="1"/>
    <col min="4" max="4" width="1.7109375" customWidth="1"/>
    <col min="5" max="5" width="15.5703125" customWidth="1"/>
  </cols>
  <sheetData>
    <row r="1" spans="1:7" ht="15.75">
      <c r="A1" s="292" t="str">
        <f>'C-5'!A1:H1</f>
        <v>AVISTA UTILITIES</v>
      </c>
      <c r="B1" s="294"/>
      <c r="C1" s="294"/>
      <c r="D1" s="294"/>
      <c r="E1" s="294"/>
    </row>
    <row r="2" spans="1:7" ht="15.75">
      <c r="A2" s="292" t="str">
        <f>'C-5'!A2:H2</f>
        <v>Washington Electric System</v>
      </c>
      <c r="B2" s="294"/>
      <c r="C2" s="294"/>
      <c r="D2" s="294"/>
      <c r="E2" s="294"/>
    </row>
    <row r="3" spans="1:7" ht="15.75">
      <c r="A3" s="292" t="str">
        <f>'C-5'!A3:H3</f>
        <v>Test Year Twelve Months Ended September 30, 2008</v>
      </c>
      <c r="B3" s="294"/>
      <c r="C3" s="294"/>
      <c r="D3" s="294"/>
      <c r="E3" s="294"/>
    </row>
    <row r="4" spans="1:7" ht="15.75">
      <c r="A4" s="201"/>
      <c r="B4" s="224"/>
      <c r="C4" s="224"/>
      <c r="D4" s="224"/>
      <c r="E4" s="224"/>
    </row>
    <row r="5" spans="1:7" ht="15.75">
      <c r="A5" s="176" t="s">
        <v>578</v>
      </c>
    </row>
    <row r="6" spans="1:7" ht="15.75">
      <c r="A6" s="176" t="s">
        <v>525</v>
      </c>
      <c r="B6" s="176"/>
      <c r="C6" s="85"/>
      <c r="D6" s="85"/>
      <c r="E6" s="85"/>
      <c r="F6" s="85"/>
      <c r="G6" s="85"/>
    </row>
    <row r="7" spans="1:7" ht="15.75">
      <c r="A7" s="85"/>
      <c r="B7" s="85"/>
      <c r="C7" s="85"/>
      <c r="D7" s="85"/>
      <c r="E7" s="85"/>
      <c r="F7" s="85"/>
      <c r="G7" s="85"/>
    </row>
    <row r="8" spans="1:7" ht="15.75">
      <c r="A8" s="85"/>
      <c r="B8" s="89" t="s">
        <v>526</v>
      </c>
      <c r="C8" s="89" t="s">
        <v>223</v>
      </c>
      <c r="D8" s="89"/>
      <c r="E8" s="88" t="s">
        <v>239</v>
      </c>
      <c r="F8" s="85"/>
      <c r="G8" s="85"/>
    </row>
    <row r="9" spans="1:7" ht="15.75">
      <c r="A9" s="214">
        <v>39783</v>
      </c>
      <c r="B9" s="121">
        <v>1030981459</v>
      </c>
      <c r="C9" s="83"/>
      <c r="D9" s="83"/>
      <c r="E9" s="83" t="s">
        <v>534</v>
      </c>
      <c r="F9" s="85"/>
      <c r="G9" s="85"/>
    </row>
    <row r="10" spans="1:7" ht="15.75">
      <c r="A10" s="214">
        <v>39814</v>
      </c>
      <c r="B10" s="121">
        <v>1031128830</v>
      </c>
      <c r="C10" s="121">
        <f t="shared" ref="C10:C15" si="0">+B10-B9</f>
        <v>147371</v>
      </c>
      <c r="D10" s="121"/>
      <c r="E10" s="85"/>
      <c r="F10" s="85"/>
      <c r="G10" s="85"/>
    </row>
    <row r="11" spans="1:7" ht="15.75">
      <c r="A11" s="214">
        <v>39845</v>
      </c>
      <c r="B11" s="121">
        <v>1031934549</v>
      </c>
      <c r="C11" s="121">
        <f t="shared" si="0"/>
        <v>805719</v>
      </c>
      <c r="D11" s="121"/>
      <c r="E11" s="85"/>
      <c r="F11" s="85"/>
      <c r="G11" s="85"/>
    </row>
    <row r="12" spans="1:7" ht="15.75">
      <c r="A12" s="214">
        <v>39873</v>
      </c>
      <c r="B12" s="121">
        <v>1032351153</v>
      </c>
      <c r="C12" s="121">
        <f t="shared" si="0"/>
        <v>416604</v>
      </c>
      <c r="D12" s="121"/>
      <c r="E12" s="85"/>
      <c r="F12" s="85"/>
      <c r="G12" s="85"/>
    </row>
    <row r="13" spans="1:7" ht="15.75">
      <c r="A13" s="214">
        <v>39904</v>
      </c>
      <c r="B13" s="121">
        <v>1032964116</v>
      </c>
      <c r="C13" s="121">
        <f t="shared" si="0"/>
        <v>612963</v>
      </c>
      <c r="D13" s="121"/>
      <c r="E13" s="85"/>
      <c r="F13" s="85"/>
      <c r="G13" s="85"/>
    </row>
    <row r="14" spans="1:7" ht="15.75">
      <c r="A14" s="214">
        <v>39934</v>
      </c>
      <c r="B14" s="114">
        <v>1051012459</v>
      </c>
      <c r="C14" s="121">
        <f t="shared" si="0"/>
        <v>18048343</v>
      </c>
      <c r="D14" s="121"/>
      <c r="E14" s="85"/>
      <c r="F14" s="85"/>
      <c r="G14" s="85"/>
    </row>
    <row r="15" spans="1:7" ht="15.75">
      <c r="A15" s="214">
        <v>39965</v>
      </c>
      <c r="B15" s="114">
        <v>1052801911</v>
      </c>
      <c r="C15" s="167">
        <f t="shared" si="0"/>
        <v>1789452</v>
      </c>
      <c r="D15" s="121"/>
      <c r="E15" s="85"/>
      <c r="F15" s="85"/>
      <c r="G15" s="85"/>
    </row>
    <row r="16" spans="1:7" ht="15.75">
      <c r="A16" s="85"/>
      <c r="B16" s="114"/>
      <c r="C16" s="114"/>
      <c r="D16" s="114"/>
      <c r="E16" s="85"/>
      <c r="F16" s="85"/>
      <c r="G16" s="85"/>
    </row>
    <row r="17" spans="1:7" ht="15.75">
      <c r="A17" s="85"/>
      <c r="B17" s="216" t="s">
        <v>538</v>
      </c>
      <c r="C17" s="114">
        <f>AVERAGE(C10:C15)</f>
        <v>3636742</v>
      </c>
      <c r="D17" s="114"/>
      <c r="E17" s="85"/>
      <c r="F17" s="85"/>
      <c r="G17" s="85"/>
    </row>
    <row r="18" spans="1:7" ht="15.75">
      <c r="A18" s="85"/>
      <c r="B18" s="216" t="s">
        <v>539</v>
      </c>
      <c r="C18" s="179">
        <v>0.64590000000000003</v>
      </c>
      <c r="D18" s="198"/>
      <c r="E18" s="85"/>
      <c r="F18" s="85"/>
      <c r="G18" s="85"/>
    </row>
    <row r="19" spans="1:7" ht="16.5" thickBot="1">
      <c r="A19" s="114" t="s">
        <v>540</v>
      </c>
      <c r="C19" s="218">
        <f>+C17*C18</f>
        <v>2348971.6578000002</v>
      </c>
      <c r="D19" s="121"/>
      <c r="E19" s="85"/>
      <c r="F19" s="85"/>
      <c r="G19" s="85"/>
    </row>
    <row r="20" spans="1:7" ht="16.5" thickTop="1">
      <c r="A20" s="85"/>
      <c r="B20" s="114"/>
      <c r="C20" s="114"/>
      <c r="D20" s="114"/>
      <c r="E20" s="85"/>
      <c r="F20" s="85"/>
      <c r="G20" s="85"/>
    </row>
    <row r="21" spans="1:7" ht="15.75">
      <c r="A21" s="85"/>
      <c r="B21" s="114"/>
      <c r="C21" s="114"/>
      <c r="D21" s="114"/>
      <c r="E21" s="85"/>
      <c r="F21" s="85"/>
      <c r="G21" s="85"/>
    </row>
    <row r="22" spans="1:7" ht="15.75">
      <c r="A22" s="176" t="s">
        <v>482</v>
      </c>
      <c r="B22" s="215"/>
      <c r="C22" s="114"/>
      <c r="D22" s="114"/>
      <c r="E22" s="85"/>
      <c r="F22" s="85"/>
      <c r="G22" s="85"/>
    </row>
    <row r="23" spans="1:7" ht="15.75">
      <c r="A23" s="85"/>
      <c r="B23" s="85"/>
      <c r="C23" s="85"/>
      <c r="D23" s="85"/>
      <c r="E23" s="85"/>
      <c r="F23" s="85"/>
      <c r="G23" s="85"/>
    </row>
    <row r="24" spans="1:7" ht="15.75">
      <c r="A24" s="85"/>
      <c r="B24" s="89" t="s">
        <v>526</v>
      </c>
      <c r="C24" s="89" t="s">
        <v>223</v>
      </c>
      <c r="D24" s="83"/>
      <c r="E24" s="88" t="s">
        <v>239</v>
      </c>
      <c r="F24" s="85"/>
      <c r="G24" s="85"/>
    </row>
    <row r="25" spans="1:7" ht="15.75">
      <c r="A25" s="214">
        <v>39783</v>
      </c>
      <c r="B25" s="121">
        <v>-381180435</v>
      </c>
      <c r="C25" s="83"/>
      <c r="D25" s="83"/>
      <c r="E25" s="83" t="s">
        <v>534</v>
      </c>
      <c r="F25" s="85"/>
      <c r="G25" s="85"/>
    </row>
    <row r="26" spans="1:7" ht="15.75">
      <c r="A26" s="214">
        <v>39814</v>
      </c>
      <c r="B26" s="121">
        <v>-383392667</v>
      </c>
      <c r="C26" s="121">
        <f t="shared" ref="C26:C31" si="1">+B26-B25</f>
        <v>-2212232</v>
      </c>
      <c r="D26" s="121"/>
      <c r="E26" s="85"/>
      <c r="F26" s="85"/>
      <c r="G26" s="85"/>
    </row>
    <row r="27" spans="1:7" ht="15.75">
      <c r="A27" s="214">
        <v>39845</v>
      </c>
      <c r="B27" s="121">
        <v>-385616082</v>
      </c>
      <c r="C27" s="121">
        <f t="shared" si="1"/>
        <v>-2223415</v>
      </c>
      <c r="D27" s="121"/>
      <c r="E27" s="85"/>
      <c r="F27" s="85"/>
      <c r="G27" s="85"/>
    </row>
    <row r="28" spans="1:7" ht="15.75">
      <c r="A28" s="214">
        <v>39873</v>
      </c>
      <c r="B28" s="121">
        <v>-387111091</v>
      </c>
      <c r="C28" s="121">
        <f t="shared" si="1"/>
        <v>-1495009</v>
      </c>
      <c r="D28" s="121"/>
      <c r="E28" s="85"/>
      <c r="F28" s="85"/>
      <c r="G28" s="85"/>
    </row>
    <row r="29" spans="1:7" ht="15.75">
      <c r="A29" s="214">
        <v>39904</v>
      </c>
      <c r="B29" s="121">
        <v>-389341365</v>
      </c>
      <c r="C29" s="121">
        <f t="shared" si="1"/>
        <v>-2230274</v>
      </c>
      <c r="D29" s="121"/>
      <c r="E29" s="85"/>
      <c r="F29" s="85"/>
      <c r="G29" s="85"/>
    </row>
    <row r="30" spans="1:7" ht="15.75">
      <c r="A30" s="214">
        <v>39934</v>
      </c>
      <c r="B30" s="114">
        <v>-391588206</v>
      </c>
      <c r="C30" s="121">
        <f t="shared" si="1"/>
        <v>-2246841</v>
      </c>
      <c r="D30" s="121"/>
      <c r="E30" s="85"/>
      <c r="F30" s="85"/>
      <c r="G30" s="85"/>
    </row>
    <row r="31" spans="1:7" ht="15.75">
      <c r="A31" s="214">
        <v>39965</v>
      </c>
      <c r="B31" s="114">
        <v>-393660433</v>
      </c>
      <c r="C31" s="167">
        <f t="shared" si="1"/>
        <v>-2072227</v>
      </c>
      <c r="D31" s="121"/>
      <c r="E31" s="85"/>
      <c r="F31" s="85"/>
      <c r="G31" s="85"/>
    </row>
    <row r="32" spans="1:7" ht="15.75">
      <c r="A32" s="85"/>
      <c r="B32" s="114"/>
      <c r="C32" s="114"/>
      <c r="D32" s="114"/>
      <c r="E32" s="85"/>
      <c r="F32" s="85"/>
      <c r="G32" s="85"/>
    </row>
    <row r="33" spans="1:7" ht="15.75">
      <c r="A33" s="85"/>
      <c r="B33" s="216" t="s">
        <v>538</v>
      </c>
      <c r="C33" s="114">
        <f>AVERAGE(C26:C31)</f>
        <v>-2079999.6666666667</v>
      </c>
      <c r="D33" s="114"/>
      <c r="E33" s="85"/>
      <c r="F33" s="85"/>
      <c r="G33" s="85"/>
    </row>
    <row r="34" spans="1:7" ht="15.75">
      <c r="A34" s="85"/>
      <c r="B34" s="216" t="s">
        <v>539</v>
      </c>
      <c r="C34" s="179">
        <v>0.64590000000000003</v>
      </c>
      <c r="D34" s="198"/>
      <c r="E34" s="85"/>
      <c r="F34" s="85"/>
      <c r="G34" s="85"/>
    </row>
    <row r="35" spans="1:7" ht="16.5" thickBot="1">
      <c r="A35" s="114" t="s">
        <v>540</v>
      </c>
      <c r="C35" s="218">
        <f>+C33*C34</f>
        <v>-1343471.7847000002</v>
      </c>
      <c r="D35" s="121"/>
      <c r="E35" s="85"/>
      <c r="F35" s="85"/>
      <c r="G35" s="85"/>
    </row>
    <row r="36" spans="1:7" ht="16.5" thickTop="1">
      <c r="A36" s="85"/>
      <c r="B36" s="85"/>
      <c r="C36" s="85"/>
      <c r="D36" s="85"/>
      <c r="E36" s="85"/>
      <c r="F36" s="85"/>
      <c r="G36" s="85"/>
    </row>
    <row r="37" spans="1:7" ht="15.75">
      <c r="A37" s="85"/>
      <c r="B37" s="85"/>
      <c r="C37" s="85"/>
      <c r="D37" s="85"/>
      <c r="E37" s="85"/>
      <c r="F37" s="85"/>
      <c r="G37" s="85"/>
    </row>
    <row r="38" spans="1:7" ht="15.75">
      <c r="A38" s="176" t="s">
        <v>527</v>
      </c>
      <c r="B38" s="176"/>
      <c r="C38" s="85"/>
      <c r="D38" s="85"/>
      <c r="E38" s="85"/>
      <c r="F38" s="85"/>
      <c r="G38" s="85"/>
    </row>
    <row r="39" spans="1:7" ht="15.75">
      <c r="A39" s="85"/>
      <c r="B39" s="85"/>
      <c r="C39" s="85"/>
      <c r="D39" s="85"/>
      <c r="E39" s="85"/>
      <c r="F39" s="85"/>
      <c r="G39" s="85"/>
    </row>
    <row r="40" spans="1:7" ht="15.75">
      <c r="A40" s="85"/>
      <c r="B40" s="89" t="s">
        <v>526</v>
      </c>
      <c r="C40" s="89" t="s">
        <v>223</v>
      </c>
      <c r="D40" s="83"/>
      <c r="E40" s="88" t="s">
        <v>239</v>
      </c>
      <c r="F40" s="85"/>
      <c r="G40" s="85"/>
    </row>
    <row r="41" spans="1:7" ht="15.75">
      <c r="A41" s="214">
        <v>39783</v>
      </c>
      <c r="B41" s="121">
        <v>2221217</v>
      </c>
      <c r="C41" s="121"/>
      <c r="D41" s="121"/>
      <c r="E41" s="83" t="s">
        <v>534</v>
      </c>
      <c r="F41" s="85"/>
      <c r="G41" s="85"/>
    </row>
    <row r="42" spans="1:7" ht="15.75">
      <c r="A42" s="214">
        <v>39814</v>
      </c>
      <c r="B42" s="121">
        <v>2225516</v>
      </c>
      <c r="C42" s="121">
        <f t="shared" ref="C42:C47" si="2">+B42-B41</f>
        <v>4299</v>
      </c>
      <c r="D42" s="121"/>
      <c r="E42" s="85"/>
      <c r="F42" s="85"/>
      <c r="G42" s="85"/>
    </row>
    <row r="43" spans="1:7" ht="15.75">
      <c r="A43" s="214">
        <v>39845</v>
      </c>
      <c r="B43" s="121">
        <v>2225952</v>
      </c>
      <c r="C43" s="121">
        <f t="shared" si="2"/>
        <v>436</v>
      </c>
      <c r="D43" s="121"/>
      <c r="E43" s="85"/>
      <c r="F43" s="85"/>
      <c r="G43" s="85"/>
    </row>
    <row r="44" spans="1:7" ht="15.75">
      <c r="A44" s="214">
        <v>39873</v>
      </c>
      <c r="B44" s="121">
        <v>2226824</v>
      </c>
      <c r="C44" s="121">
        <f t="shared" si="2"/>
        <v>872</v>
      </c>
      <c r="D44" s="121"/>
      <c r="E44" s="85"/>
      <c r="F44" s="85"/>
      <c r="G44" s="85"/>
    </row>
    <row r="45" spans="1:7" ht="15.75">
      <c r="A45" s="214">
        <v>39904</v>
      </c>
      <c r="B45" s="121">
        <v>2228013</v>
      </c>
      <c r="C45" s="121">
        <f t="shared" si="2"/>
        <v>1189</v>
      </c>
      <c r="D45" s="121"/>
      <c r="E45" s="85"/>
      <c r="F45" s="85"/>
      <c r="G45" s="85"/>
    </row>
    <row r="46" spans="1:7" ht="15.75">
      <c r="A46" s="214">
        <v>39934</v>
      </c>
      <c r="B46" s="114">
        <v>2243033</v>
      </c>
      <c r="C46" s="121">
        <f t="shared" si="2"/>
        <v>15020</v>
      </c>
      <c r="D46" s="121"/>
      <c r="E46" s="85"/>
      <c r="F46" s="85"/>
      <c r="G46" s="85"/>
    </row>
    <row r="47" spans="1:7" ht="15.75">
      <c r="A47" s="214">
        <v>39965</v>
      </c>
      <c r="B47" s="114">
        <v>2266838</v>
      </c>
      <c r="C47" s="167">
        <f t="shared" si="2"/>
        <v>23805</v>
      </c>
      <c r="D47" s="121"/>
      <c r="E47" s="85"/>
      <c r="F47" s="85"/>
      <c r="G47" s="85"/>
    </row>
    <row r="48" spans="1:7" ht="15.75">
      <c r="A48" s="85"/>
      <c r="B48" s="114"/>
      <c r="C48" s="114"/>
      <c r="D48" s="114"/>
      <c r="E48" s="85"/>
      <c r="F48" s="85"/>
      <c r="G48" s="85"/>
    </row>
    <row r="49" spans="1:8" ht="15.75">
      <c r="B49" s="85" t="s">
        <v>211</v>
      </c>
      <c r="C49" s="121">
        <f>SUM(C41:C47)</f>
        <v>45621</v>
      </c>
      <c r="D49" s="121"/>
      <c r="E49" s="85"/>
      <c r="F49" s="85"/>
      <c r="G49" s="85"/>
    </row>
    <row r="50" spans="1:8" ht="15.75">
      <c r="A50" s="85"/>
      <c r="B50" s="216" t="s">
        <v>539</v>
      </c>
      <c r="C50" s="179">
        <v>0.64590000000000003</v>
      </c>
      <c r="D50" s="198"/>
      <c r="E50" s="85"/>
      <c r="F50" s="85"/>
      <c r="G50" s="85"/>
    </row>
    <row r="51" spans="1:8" ht="16.5" thickBot="1">
      <c r="A51" s="114" t="s">
        <v>540</v>
      </c>
      <c r="C51" s="218">
        <f>+C50*C49</f>
        <v>29466.603900000002</v>
      </c>
      <c r="D51" s="121"/>
      <c r="E51" s="85"/>
      <c r="F51" s="85"/>
      <c r="G51" s="85"/>
    </row>
    <row r="52" spans="1:8" ht="16.5" thickTop="1">
      <c r="A52" s="85"/>
      <c r="B52" s="85"/>
      <c r="C52" s="85"/>
      <c r="D52" s="85"/>
      <c r="E52" s="85"/>
      <c r="F52" s="85"/>
      <c r="G52" s="85"/>
    </row>
    <row r="53" spans="1:8" ht="15.75">
      <c r="A53" s="85"/>
      <c r="B53" s="85"/>
      <c r="C53" s="85"/>
      <c r="D53" s="85"/>
      <c r="E53" s="85"/>
      <c r="F53" s="85"/>
      <c r="G53" s="85"/>
    </row>
    <row r="54" spans="1:8" ht="15.75">
      <c r="A54" s="176" t="s">
        <v>529</v>
      </c>
      <c r="B54" s="85"/>
      <c r="C54" s="85"/>
      <c r="D54" s="85"/>
      <c r="E54" s="85"/>
      <c r="F54" s="85"/>
      <c r="G54" s="85"/>
    </row>
    <row r="55" spans="1:8" ht="15.75">
      <c r="A55" s="176"/>
      <c r="B55" s="85"/>
      <c r="C55" s="85"/>
      <c r="D55" s="85"/>
      <c r="E55" s="85"/>
      <c r="F55" s="85"/>
      <c r="G55" s="85"/>
    </row>
    <row r="56" spans="1:8" ht="15.75">
      <c r="A56" s="87" t="s">
        <v>532</v>
      </c>
      <c r="B56" s="87"/>
      <c r="C56" s="87" t="s">
        <v>535</v>
      </c>
      <c r="D56" s="87"/>
      <c r="E56" s="87"/>
      <c r="F56" s="85"/>
      <c r="G56" s="85"/>
    </row>
    <row r="57" spans="1:8" ht="15.75">
      <c r="A57" s="88" t="s">
        <v>533</v>
      </c>
      <c r="B57" s="88" t="s">
        <v>531</v>
      </c>
      <c r="C57" s="88" t="s">
        <v>536</v>
      </c>
      <c r="D57" s="88"/>
      <c r="E57" s="88" t="s">
        <v>239</v>
      </c>
      <c r="G57" s="85"/>
    </row>
    <row r="58" spans="1:8" ht="15.75">
      <c r="A58" s="114">
        <f>'C-1.1'!B30</f>
        <v>-65072</v>
      </c>
      <c r="B58" s="114">
        <f>'C-1.1'!B15</f>
        <v>693304</v>
      </c>
      <c r="C58" s="213">
        <f>+A58/B58</f>
        <v>-9.3857817061491058E-2</v>
      </c>
      <c r="D58" s="213"/>
      <c r="E58" s="85" t="s">
        <v>510</v>
      </c>
      <c r="F58" s="85"/>
      <c r="G58" s="85"/>
      <c r="H58" s="85"/>
    </row>
    <row r="59" spans="1:8" ht="15.75">
      <c r="A59" s="85"/>
      <c r="B59" s="85"/>
      <c r="C59" s="85"/>
      <c r="D59" s="85"/>
      <c r="E59" s="85"/>
      <c r="F59" s="85"/>
      <c r="G59" s="85"/>
      <c r="H59" s="85"/>
    </row>
    <row r="60" spans="1:8" ht="15.75">
      <c r="A60" s="85"/>
      <c r="B60" s="85"/>
      <c r="C60" s="167">
        <f>C19</f>
        <v>2348971.6578000002</v>
      </c>
      <c r="D60" s="121"/>
      <c r="E60" s="85"/>
      <c r="F60" s="85"/>
      <c r="G60" s="85"/>
      <c r="H60" s="85"/>
    </row>
    <row r="61" spans="1:8" ht="15.75">
      <c r="A61" s="85"/>
      <c r="B61" s="85"/>
      <c r="C61" s="121"/>
      <c r="D61" s="121"/>
      <c r="E61" s="85"/>
      <c r="F61" s="85"/>
      <c r="G61" s="85"/>
      <c r="H61" s="85"/>
    </row>
    <row r="62" spans="1:8" ht="16.5" thickBot="1">
      <c r="A62" s="85"/>
      <c r="B62" s="85"/>
      <c r="C62" s="120">
        <f>+C60*C58</f>
        <v>-220469.3521404198</v>
      </c>
      <c r="D62" s="121"/>
      <c r="E62" s="85"/>
      <c r="F62" s="85"/>
      <c r="G62" s="85"/>
      <c r="H62" s="85"/>
    </row>
    <row r="63" spans="1:8" ht="16.5" thickTop="1">
      <c r="A63" s="85"/>
      <c r="B63" s="85"/>
      <c r="C63" s="85"/>
      <c r="D63" s="85"/>
      <c r="E63" s="85"/>
      <c r="F63" s="85"/>
      <c r="G63" s="85"/>
      <c r="H63" s="85"/>
    </row>
    <row r="64" spans="1:8" ht="15.75">
      <c r="A64" s="176" t="s">
        <v>489</v>
      </c>
      <c r="B64" s="85"/>
      <c r="C64" s="85"/>
      <c r="D64" s="85"/>
      <c r="E64" s="85"/>
      <c r="F64" s="85"/>
      <c r="G64" s="85"/>
      <c r="H64" s="85"/>
    </row>
    <row r="65" spans="1:8" ht="15.75">
      <c r="A65" s="176"/>
      <c r="B65" s="85"/>
      <c r="C65" s="85"/>
      <c r="D65" s="85"/>
      <c r="E65" s="85"/>
      <c r="F65" s="85"/>
      <c r="G65" s="85"/>
      <c r="H65" s="85"/>
    </row>
    <row r="66" spans="1:8" ht="15.75">
      <c r="A66" s="87" t="s">
        <v>532</v>
      </c>
      <c r="B66" s="87"/>
      <c r="C66" s="87" t="s">
        <v>535</v>
      </c>
      <c r="D66" s="87"/>
      <c r="E66" s="85"/>
      <c r="F66" s="85"/>
      <c r="G66" s="85"/>
      <c r="H66" s="85"/>
    </row>
    <row r="67" spans="1:8" ht="15.75">
      <c r="A67" s="88" t="s">
        <v>489</v>
      </c>
      <c r="B67" s="88" t="s">
        <v>531</v>
      </c>
      <c r="C67" s="89" t="s">
        <v>537</v>
      </c>
      <c r="D67" s="83"/>
      <c r="E67" s="88" t="s">
        <v>239</v>
      </c>
      <c r="F67" s="85"/>
      <c r="G67" s="85"/>
      <c r="H67" s="85"/>
    </row>
    <row r="68" spans="1:8" ht="15.75">
      <c r="A68" s="114">
        <f>'C-1.1'!B45</f>
        <v>4671</v>
      </c>
      <c r="B68" s="114">
        <f>B58</f>
        <v>693304</v>
      </c>
      <c r="C68" s="213">
        <f>+A68/B68</f>
        <v>6.7373042705652928E-3</v>
      </c>
      <c r="D68" s="213"/>
      <c r="E68" s="85" t="s">
        <v>510</v>
      </c>
      <c r="F68" s="85"/>
      <c r="G68" s="85"/>
      <c r="H68" s="85"/>
    </row>
    <row r="69" spans="1:8" ht="15.75">
      <c r="A69" s="85"/>
      <c r="B69" s="85"/>
      <c r="C69" s="85"/>
      <c r="D69" s="85"/>
      <c r="E69" s="85"/>
      <c r="F69" s="85"/>
      <c r="G69" s="85"/>
      <c r="H69" s="85"/>
    </row>
    <row r="70" spans="1:8" ht="15.75">
      <c r="A70" s="85"/>
      <c r="B70" s="85"/>
      <c r="C70" s="167">
        <f>C19</f>
        <v>2348971.6578000002</v>
      </c>
      <c r="D70" s="121"/>
      <c r="E70" s="85"/>
      <c r="F70" s="85"/>
      <c r="G70" s="85"/>
      <c r="H70" s="85"/>
    </row>
    <row r="71" spans="1:8" ht="15.75">
      <c r="A71" s="85"/>
      <c r="B71" s="85"/>
      <c r="C71" s="85"/>
      <c r="D71" s="85"/>
      <c r="E71" s="85"/>
      <c r="F71" s="85"/>
      <c r="G71" s="85"/>
      <c r="H71" s="85"/>
    </row>
    <row r="72" spans="1:8" ht="16.5" thickBot="1">
      <c r="A72" s="85"/>
      <c r="B72" s="85"/>
      <c r="C72" s="120">
        <f>+C68*C70</f>
        <v>15825.736781532776</v>
      </c>
      <c r="D72" s="121"/>
      <c r="E72" s="85"/>
      <c r="F72" s="85"/>
      <c r="G72" s="85"/>
      <c r="H72" s="85"/>
    </row>
    <row r="73" spans="1:8" ht="16.5" thickTop="1">
      <c r="A73" s="85"/>
      <c r="B73" s="85"/>
      <c r="C73" s="85"/>
      <c r="D73" s="85"/>
      <c r="E73" s="85"/>
      <c r="F73" s="85"/>
      <c r="G73" s="85"/>
      <c r="H73" s="85"/>
    </row>
    <row r="74" spans="1:8" ht="15.75">
      <c r="A74" s="85"/>
      <c r="B74" s="85"/>
      <c r="C74" s="85"/>
      <c r="D74" s="85"/>
      <c r="E74" s="85"/>
      <c r="F74" s="85"/>
      <c r="G74" s="85"/>
      <c r="H74" s="85"/>
    </row>
    <row r="75" spans="1:8" ht="15.75">
      <c r="A75" s="85"/>
      <c r="B75" s="85"/>
      <c r="C75" s="85"/>
      <c r="D75" s="85"/>
      <c r="E75" s="85"/>
      <c r="F75" s="85"/>
      <c r="G75" s="85"/>
      <c r="H75" s="85"/>
    </row>
    <row r="76" spans="1:8" ht="15.75">
      <c r="A76" s="85" t="s">
        <v>530</v>
      </c>
      <c r="B76" s="85"/>
      <c r="C76" s="85"/>
      <c r="D76" s="85"/>
      <c r="E76" s="85"/>
      <c r="F76" s="85"/>
      <c r="G76" s="85"/>
      <c r="H76" s="85"/>
    </row>
    <row r="77" spans="1:8" ht="15.75">
      <c r="A77" s="85"/>
      <c r="B77" s="85"/>
      <c r="C77" s="85"/>
      <c r="D77" s="85"/>
      <c r="E77" s="85"/>
      <c r="F77" s="85"/>
      <c r="G77" s="85"/>
      <c r="H77" s="85"/>
    </row>
    <row r="78" spans="1:8" ht="15.75">
      <c r="A78" s="85"/>
      <c r="B78" s="85"/>
      <c r="C78" s="85"/>
      <c r="D78" s="85"/>
      <c r="E78" s="85"/>
      <c r="F78" s="85"/>
      <c r="G78" s="85"/>
      <c r="H78" s="85"/>
    </row>
    <row r="79" spans="1:8" ht="15.75">
      <c r="A79" s="85"/>
      <c r="B79" s="85"/>
      <c r="C79" s="85"/>
      <c r="D79" s="85"/>
      <c r="E79" s="85"/>
      <c r="F79" s="85"/>
      <c r="G79" s="85"/>
      <c r="H79" s="85"/>
    </row>
    <row r="80" spans="1:8" ht="15.75">
      <c r="A80" s="85"/>
      <c r="B80" s="85"/>
      <c r="C80" s="85"/>
      <c r="D80" s="85"/>
      <c r="E80" s="85"/>
      <c r="F80" s="85"/>
      <c r="G80" s="85"/>
      <c r="H80" s="85"/>
    </row>
    <row r="81" spans="1:8" ht="15.75">
      <c r="A81" s="85"/>
      <c r="B81" s="85"/>
      <c r="C81" s="85"/>
      <c r="D81" s="85"/>
      <c r="E81" s="85"/>
      <c r="F81" s="85"/>
      <c r="G81" s="85"/>
      <c r="H81" s="85"/>
    </row>
    <row r="82" spans="1:8" ht="15.75">
      <c r="A82" s="85"/>
      <c r="B82" s="85"/>
      <c r="C82" s="85"/>
      <c r="D82" s="85"/>
      <c r="E82" s="85"/>
      <c r="F82" s="85"/>
      <c r="G82" s="85"/>
      <c r="H82" s="85"/>
    </row>
    <row r="83" spans="1:8" ht="15.75">
      <c r="A83" s="85"/>
      <c r="B83" s="85"/>
      <c r="C83" s="85"/>
      <c r="D83" s="85"/>
      <c r="E83" s="85"/>
      <c r="F83" s="85"/>
      <c r="G83" s="85"/>
    </row>
  </sheetData>
  <mergeCells count="3">
    <mergeCell ref="A1:E1"/>
    <mergeCell ref="A2:E2"/>
    <mergeCell ref="A3:E3"/>
  </mergeCells>
  <phoneticPr fontId="12" type="noConversion"/>
  <pageMargins left="0.75" right="0.75" top="1" bottom="1" header="0.5" footer="0.5"/>
  <pageSetup scale="55" orientation="portrait" r:id="rId1"/>
  <headerFooter alignWithMargins="0">
    <oddHeader>&amp;R&amp;"Times New Roman,Regular"Docket No. UE-090134
Exhibit No.__(HL-3)
Schedule C-5.1 (Electric)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workbookViewId="0">
      <selection activeCell="E11" sqref="E11"/>
    </sheetView>
  </sheetViews>
  <sheetFormatPr defaultRowHeight="12.75"/>
  <cols>
    <col min="2" max="2" width="1" customWidth="1"/>
    <col min="3" max="3" width="45.7109375" customWidth="1"/>
    <col min="4" max="4" width="0.7109375" customWidth="1"/>
    <col min="5" max="5" width="11.7109375" customWidth="1"/>
    <col min="6" max="6" width="0.7109375" customWidth="1"/>
    <col min="7" max="7" width="13.140625" customWidth="1"/>
    <col min="8" max="8" width="1" customWidth="1"/>
    <col min="9" max="9" width="12.28515625" customWidth="1"/>
    <col min="10" max="10" width="0.85546875" customWidth="1"/>
    <col min="11" max="11" width="11.7109375" customWidth="1"/>
  </cols>
  <sheetData>
    <row r="1" spans="1:11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5.75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15.75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</row>
    <row r="6" spans="1:11" ht="15.75">
      <c r="A6" s="85" t="s">
        <v>522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</row>
    <row r="7" spans="1:11" ht="15.75">
      <c r="B7" s="85"/>
      <c r="C7" s="85"/>
      <c r="D7" s="85"/>
      <c r="E7" s="85"/>
      <c r="F7" s="85"/>
      <c r="G7" s="87" t="s">
        <v>394</v>
      </c>
      <c r="H7" s="87"/>
      <c r="I7" s="87"/>
      <c r="J7" s="85"/>
      <c r="K7" s="85"/>
    </row>
    <row r="8" spans="1:11" ht="15.75">
      <c r="A8" s="85"/>
      <c r="B8" s="85"/>
      <c r="C8" s="85"/>
      <c r="D8" s="85"/>
      <c r="E8" s="85"/>
      <c r="F8" s="85"/>
      <c r="G8" s="87" t="s">
        <v>395</v>
      </c>
      <c r="H8" s="87"/>
      <c r="I8" s="87"/>
      <c r="J8" s="85"/>
      <c r="K8" s="85"/>
    </row>
    <row r="9" spans="1:11" ht="15.75">
      <c r="B9" s="85"/>
      <c r="C9" s="85"/>
      <c r="D9" s="85"/>
      <c r="E9" s="85" t="s">
        <v>412</v>
      </c>
      <c r="F9" s="85"/>
      <c r="G9" s="87">
        <v>2010</v>
      </c>
      <c r="H9" s="87"/>
      <c r="I9" s="87"/>
      <c r="J9" s="85"/>
    </row>
    <row r="10" spans="1:11" ht="15.75">
      <c r="A10" s="85"/>
      <c r="B10" s="85"/>
      <c r="C10" s="85"/>
      <c r="D10" s="85"/>
      <c r="E10" s="85" t="s">
        <v>590</v>
      </c>
      <c r="F10" s="85"/>
      <c r="G10" s="87" t="s">
        <v>409</v>
      </c>
      <c r="H10" s="87"/>
      <c r="I10" s="87" t="s">
        <v>413</v>
      </c>
      <c r="J10" s="85"/>
    </row>
    <row r="11" spans="1:11" ht="15.75">
      <c r="A11" s="88" t="s">
        <v>261</v>
      </c>
      <c r="B11" s="85"/>
      <c r="C11" s="89" t="s">
        <v>192</v>
      </c>
      <c r="D11" s="83"/>
      <c r="E11" s="89" t="s">
        <v>76</v>
      </c>
      <c r="F11" s="83"/>
      <c r="G11" s="88" t="s">
        <v>410</v>
      </c>
      <c r="H11" s="87"/>
      <c r="I11" s="88" t="s">
        <v>411</v>
      </c>
      <c r="J11" s="83"/>
    </row>
    <row r="12" spans="1:11" ht="15.75">
      <c r="A12" s="87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75">
      <c r="A13" s="160">
        <v>1</v>
      </c>
      <c r="B13" s="85"/>
      <c r="C13" s="85" t="s">
        <v>421</v>
      </c>
      <c r="D13" s="83"/>
      <c r="E13" s="121">
        <f>+G13+I13</f>
        <v>828615</v>
      </c>
      <c r="F13" s="83"/>
      <c r="G13" s="121">
        <v>258360</v>
      </c>
      <c r="H13" s="83"/>
      <c r="I13" s="118">
        <v>570255</v>
      </c>
      <c r="J13" s="97"/>
      <c r="K13" s="83" t="s">
        <v>250</v>
      </c>
    </row>
    <row r="14" spans="1:11" ht="15.75">
      <c r="A14" s="160"/>
      <c r="B14" s="85"/>
      <c r="C14" s="83"/>
      <c r="D14" s="83"/>
      <c r="E14" s="83"/>
      <c r="F14" s="83"/>
      <c r="G14" s="83"/>
      <c r="H14" s="83"/>
      <c r="I14" s="83"/>
      <c r="J14" s="83"/>
      <c r="K14" s="83"/>
    </row>
    <row r="15" spans="1:11" ht="15.75">
      <c r="A15" s="160">
        <v>2</v>
      </c>
      <c r="B15" s="160">
        <v>2</v>
      </c>
      <c r="C15" s="85" t="s">
        <v>420</v>
      </c>
      <c r="E15" s="117">
        <f>+G15+I15</f>
        <v>-570255</v>
      </c>
      <c r="F15" s="84"/>
      <c r="G15" s="163"/>
      <c r="H15" s="84"/>
      <c r="I15" s="167">
        <f>-I13</f>
        <v>-570255</v>
      </c>
      <c r="J15" s="90"/>
      <c r="K15" s="83"/>
    </row>
    <row r="16" spans="1:11" ht="15.75">
      <c r="A16" s="160"/>
      <c r="B16" s="160"/>
      <c r="C16" s="83"/>
      <c r="E16" s="83"/>
      <c r="F16" s="83"/>
      <c r="G16" s="83"/>
      <c r="H16" s="83"/>
      <c r="I16" s="83"/>
      <c r="J16" s="83"/>
      <c r="K16" s="83"/>
    </row>
    <row r="17" spans="1:11" ht="15.75">
      <c r="A17" s="160">
        <v>3</v>
      </c>
      <c r="B17" s="160">
        <v>3</v>
      </c>
      <c r="C17" s="85" t="s">
        <v>429</v>
      </c>
      <c r="E17" s="121">
        <f>SUM(E13:E15)</f>
        <v>258360</v>
      </c>
      <c r="F17" s="83"/>
      <c r="G17" s="165"/>
      <c r="H17" s="83"/>
      <c r="I17" s="90"/>
      <c r="J17" s="121"/>
      <c r="K17" s="121"/>
    </row>
    <row r="18" spans="1:11" ht="15.75">
      <c r="A18" s="161"/>
      <c r="B18" s="160"/>
      <c r="C18" s="83"/>
      <c r="E18" s="83"/>
      <c r="F18" s="83"/>
      <c r="G18" s="83"/>
      <c r="H18" s="83"/>
      <c r="I18" s="83"/>
      <c r="J18" s="165"/>
      <c r="K18" s="173"/>
    </row>
    <row r="19" spans="1:11" ht="15.75">
      <c r="A19" s="161">
        <v>4</v>
      </c>
      <c r="B19" s="161">
        <v>4</v>
      </c>
      <c r="C19" s="162" t="s">
        <v>246</v>
      </c>
      <c r="E19" s="163">
        <v>0.35</v>
      </c>
      <c r="F19" s="84"/>
      <c r="J19" s="165"/>
      <c r="K19" s="173"/>
    </row>
    <row r="20" spans="1:11" ht="15.75">
      <c r="A20" s="161"/>
      <c r="B20" s="161"/>
      <c r="C20" s="164"/>
      <c r="E20" s="165"/>
      <c r="F20" s="84"/>
      <c r="J20" s="165"/>
      <c r="K20" s="173"/>
    </row>
    <row r="21" spans="1:11" ht="15.75">
      <c r="A21" s="161">
        <v>5</v>
      </c>
      <c r="B21" s="161">
        <v>5</v>
      </c>
      <c r="C21" s="162" t="s">
        <v>508</v>
      </c>
      <c r="E21" s="117">
        <f>+E17*-E19</f>
        <v>-90426</v>
      </c>
      <c r="F21" s="84"/>
      <c r="G21" s="165" t="s">
        <v>396</v>
      </c>
      <c r="J21" s="84"/>
      <c r="K21" s="165"/>
    </row>
    <row r="22" spans="1:11" ht="15.75">
      <c r="A22" s="161"/>
      <c r="B22" s="97"/>
      <c r="C22" s="164"/>
      <c r="E22" s="165"/>
      <c r="F22" s="84"/>
      <c r="G22" s="165"/>
      <c r="J22" s="84"/>
      <c r="K22" s="165"/>
    </row>
    <row r="23" spans="1:11" ht="16.5" thickBot="1">
      <c r="A23" s="161">
        <v>6</v>
      </c>
      <c r="B23" s="97">
        <v>6</v>
      </c>
      <c r="C23" s="162" t="s">
        <v>461</v>
      </c>
      <c r="E23" s="166">
        <f>-E17-E21</f>
        <v>-167934</v>
      </c>
      <c r="F23" s="84"/>
      <c r="G23" s="165" t="s">
        <v>397</v>
      </c>
      <c r="J23" s="84"/>
      <c r="K23" s="165"/>
    </row>
    <row r="24" spans="1:11" ht="16.5" thickTop="1">
      <c r="A24" s="97"/>
      <c r="B24" s="97"/>
      <c r="C24" s="84"/>
      <c r="D24" s="164"/>
      <c r="E24" s="84"/>
      <c r="F24" s="84"/>
      <c r="G24" s="165"/>
      <c r="H24" s="84"/>
      <c r="I24" s="165"/>
      <c r="J24" s="84"/>
      <c r="K24" s="165"/>
    </row>
    <row r="25" spans="1:11" ht="15.75">
      <c r="A25" s="97"/>
      <c r="B25" s="84"/>
      <c r="C25" s="162"/>
      <c r="D25" s="84"/>
      <c r="E25" s="84"/>
      <c r="F25" s="84"/>
      <c r="G25" s="100"/>
      <c r="H25" s="100"/>
      <c r="I25" s="165"/>
      <c r="J25" s="84"/>
      <c r="K25" s="165"/>
    </row>
    <row r="26" spans="1:11" ht="15.75">
      <c r="A26" s="186" t="s">
        <v>251</v>
      </c>
      <c r="B26" s="96"/>
      <c r="C26" s="190"/>
      <c r="D26" s="96"/>
      <c r="E26" s="96"/>
      <c r="F26" s="96"/>
      <c r="G26" s="117"/>
      <c r="H26" s="96"/>
      <c r="I26" s="117"/>
      <c r="J26" s="165"/>
      <c r="K26" s="173"/>
    </row>
    <row r="27" spans="1:11" ht="15.75">
      <c r="A27" s="97"/>
      <c r="B27" s="84"/>
      <c r="C27" s="164"/>
      <c r="D27" s="84"/>
      <c r="E27" s="84"/>
      <c r="F27" s="84"/>
      <c r="G27" s="165"/>
      <c r="H27" s="84"/>
      <c r="I27" s="165"/>
      <c r="J27" s="165"/>
      <c r="K27" s="173"/>
    </row>
    <row r="28" spans="1:11" ht="15.75">
      <c r="A28" s="97" t="s">
        <v>448</v>
      </c>
      <c r="B28" s="84"/>
      <c r="C28" s="162"/>
      <c r="D28" s="84"/>
      <c r="E28" s="84"/>
      <c r="F28" s="84"/>
      <c r="G28" s="165"/>
      <c r="H28" s="84"/>
      <c r="I28" s="165"/>
      <c r="J28" s="165"/>
      <c r="K28" s="173"/>
    </row>
    <row r="29" spans="1:11" ht="15.75">
      <c r="A29" s="97"/>
      <c r="B29" s="84"/>
      <c r="C29" s="162"/>
      <c r="D29" s="84"/>
      <c r="E29" s="84"/>
      <c r="F29" s="84"/>
      <c r="G29" s="84"/>
      <c r="H29" s="84"/>
      <c r="I29" s="84"/>
      <c r="J29" s="84"/>
      <c r="K29" s="173"/>
    </row>
    <row r="30" spans="1:11" ht="15.75">
      <c r="A30" s="90"/>
      <c r="B30" s="83"/>
      <c r="C30" s="83"/>
      <c r="D30" s="83"/>
      <c r="E30" s="83"/>
      <c r="F30" s="83"/>
      <c r="G30" s="121"/>
      <c r="H30" s="83"/>
      <c r="I30" s="83"/>
      <c r="J30" s="83"/>
      <c r="K30" s="85"/>
    </row>
    <row r="31" spans="1:11" ht="15.75">
      <c r="A31" s="90"/>
      <c r="B31" s="83"/>
      <c r="C31" s="83"/>
      <c r="D31" s="83"/>
      <c r="E31" s="83"/>
      <c r="F31" s="83"/>
      <c r="G31" s="175"/>
      <c r="H31" s="83"/>
      <c r="I31" s="83"/>
      <c r="J31" s="83"/>
      <c r="K31" s="85"/>
    </row>
    <row r="32" spans="1:11" ht="15.75">
      <c r="A32" s="90"/>
      <c r="B32" s="83"/>
      <c r="C32" s="83"/>
      <c r="D32" s="83"/>
      <c r="E32" s="83"/>
      <c r="F32" s="83"/>
      <c r="G32" s="121"/>
      <c r="H32" s="83"/>
      <c r="I32" s="83"/>
      <c r="J32" s="83"/>
      <c r="K32" s="85"/>
    </row>
    <row r="33" spans="1:11" ht="15.75">
      <c r="A33" s="90"/>
      <c r="B33" s="83"/>
      <c r="C33" s="83"/>
      <c r="D33" s="83"/>
      <c r="E33" s="83"/>
      <c r="F33" s="83"/>
      <c r="G33" s="83"/>
      <c r="H33" s="83"/>
      <c r="I33" s="83"/>
      <c r="J33" s="83"/>
      <c r="K33" s="85"/>
    </row>
    <row r="34" spans="1:11" ht="15.75">
      <c r="A34" s="90"/>
      <c r="B34" s="83"/>
      <c r="C34" s="83"/>
      <c r="D34" s="83"/>
      <c r="E34" s="83"/>
      <c r="F34" s="83"/>
      <c r="G34" s="83"/>
      <c r="H34" s="83"/>
      <c r="I34" s="83"/>
      <c r="J34" s="83"/>
      <c r="K34" s="85"/>
    </row>
    <row r="35" spans="1:11" ht="15.75">
      <c r="A35" s="90"/>
      <c r="B35" s="83"/>
      <c r="C35" s="83"/>
      <c r="D35" s="83"/>
      <c r="E35" s="83"/>
      <c r="F35" s="83"/>
      <c r="G35" s="83"/>
      <c r="H35" s="83"/>
      <c r="I35" s="83"/>
      <c r="J35" s="83"/>
      <c r="K35" s="85"/>
    </row>
    <row r="36" spans="1:11" ht="15.75">
      <c r="A36" s="90"/>
      <c r="B36" s="83"/>
      <c r="C36" s="83"/>
      <c r="D36" s="83"/>
      <c r="E36" s="83"/>
      <c r="F36" s="83"/>
      <c r="G36" s="83"/>
      <c r="H36" s="83"/>
      <c r="I36" s="83"/>
      <c r="J36" s="83"/>
      <c r="K36" s="85"/>
    </row>
    <row r="37" spans="1:11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5"/>
    </row>
    <row r="38" spans="1:11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</sheetData>
  <mergeCells count="3">
    <mergeCell ref="A1:K1"/>
    <mergeCell ref="A2:K2"/>
    <mergeCell ref="A3:K3"/>
  </mergeCells>
  <phoneticPr fontId="12" type="noConversion"/>
  <pageMargins left="0.75" right="0.75" top="1" bottom="1" header="0.5" footer="0.5"/>
  <pageSetup scale="84" orientation="portrait" r:id="rId1"/>
  <headerFooter alignWithMargins="0">
    <oddHeader>&amp;R&amp;"Times New Roman,Regular"Docket No. UE-090134
Exhibit No. (HL-3)
Schedule C-6 (Electric)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opLeftCell="A19" workbookViewId="0">
      <selection activeCell="E29" sqref="E29"/>
    </sheetView>
  </sheetViews>
  <sheetFormatPr defaultRowHeight="12.75"/>
  <cols>
    <col min="2" max="2" width="1" customWidth="1"/>
    <col min="3" max="3" width="49.140625" customWidth="1"/>
    <col min="4" max="4" width="0.7109375" customWidth="1"/>
    <col min="5" max="5" width="12.85546875" customWidth="1"/>
    <col min="6" max="6" width="1" customWidth="1"/>
    <col min="7" max="7" width="13.140625" customWidth="1"/>
    <col min="8" max="8" width="1" customWidth="1"/>
    <col min="9" max="9" width="10.7109375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523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8" t="s">
        <v>261</v>
      </c>
      <c r="B9" s="85"/>
      <c r="C9" s="89" t="s">
        <v>192</v>
      </c>
      <c r="D9" s="83"/>
      <c r="E9" s="88" t="s">
        <v>238</v>
      </c>
      <c r="F9" s="90"/>
      <c r="G9" s="90"/>
      <c r="H9" s="87"/>
      <c r="I9" s="83"/>
    </row>
    <row r="10" spans="1:9" ht="15.75">
      <c r="A10" s="90"/>
      <c r="B10" s="85"/>
      <c r="C10" s="83"/>
      <c r="D10" s="83"/>
      <c r="E10" s="83"/>
      <c r="F10" s="83"/>
      <c r="H10" s="87"/>
      <c r="I10" s="83"/>
    </row>
    <row r="11" spans="1:9" ht="15.75">
      <c r="A11" s="87"/>
      <c r="B11" s="85"/>
      <c r="C11" s="85"/>
      <c r="D11" s="85"/>
      <c r="E11" s="85"/>
      <c r="F11" s="85"/>
      <c r="G11" s="85"/>
      <c r="H11" s="85"/>
      <c r="I11" s="85"/>
    </row>
    <row r="12" spans="1:9" ht="15.75">
      <c r="A12" s="160">
        <v>1</v>
      </c>
      <c r="B12" s="85"/>
      <c r="C12" s="85" t="s">
        <v>422</v>
      </c>
      <c r="D12" s="83"/>
      <c r="E12" s="121">
        <f>G31</f>
        <v>1873110</v>
      </c>
      <c r="F12" s="83"/>
      <c r="G12" s="121" t="s">
        <v>250</v>
      </c>
      <c r="H12" s="83"/>
      <c r="I12" s="83"/>
    </row>
    <row r="13" spans="1:9" ht="15.75">
      <c r="A13" s="160"/>
      <c r="B13" s="85"/>
      <c r="C13" s="85"/>
      <c r="D13" s="83"/>
      <c r="E13" s="176"/>
      <c r="F13" s="83"/>
      <c r="G13" s="121"/>
      <c r="H13" s="83"/>
      <c r="I13" s="83"/>
    </row>
    <row r="14" spans="1:9" ht="15.75">
      <c r="A14" s="160">
        <v>2</v>
      </c>
      <c r="B14" s="85"/>
      <c r="C14" s="85" t="s">
        <v>408</v>
      </c>
      <c r="D14" s="83"/>
      <c r="E14" s="167">
        <f>G33</f>
        <v>-631690.19999999995</v>
      </c>
      <c r="F14" s="83"/>
      <c r="G14" s="121" t="s">
        <v>252</v>
      </c>
      <c r="H14" s="83"/>
      <c r="I14" s="83"/>
    </row>
    <row r="15" spans="1:9" ht="15.75">
      <c r="A15" s="160"/>
      <c r="B15" s="85"/>
      <c r="C15" s="85"/>
      <c r="D15" s="83"/>
      <c r="E15" s="121"/>
      <c r="F15" s="83"/>
      <c r="G15" s="121"/>
      <c r="H15" s="83"/>
      <c r="I15" s="83"/>
    </row>
    <row r="16" spans="1:9" ht="15.75">
      <c r="A16" s="160">
        <v>3</v>
      </c>
      <c r="B16" s="85"/>
      <c r="C16" s="85" t="s">
        <v>428</v>
      </c>
      <c r="D16" s="83"/>
      <c r="E16" s="121">
        <f>G32</f>
        <v>1241419.8</v>
      </c>
      <c r="F16" s="83"/>
      <c r="G16" s="121"/>
      <c r="H16" s="83"/>
      <c r="I16" s="83"/>
    </row>
    <row r="17" spans="1:10" ht="15.75">
      <c r="A17" s="160"/>
      <c r="B17" s="85"/>
      <c r="C17" s="83"/>
      <c r="D17" s="83"/>
      <c r="E17" s="121"/>
      <c r="F17" s="83"/>
      <c r="G17" s="121"/>
      <c r="H17" s="83"/>
      <c r="I17" s="83"/>
      <c r="J17" s="100"/>
    </row>
    <row r="18" spans="1:10" ht="15.75">
      <c r="A18" s="160">
        <v>4</v>
      </c>
      <c r="C18" s="85" t="s">
        <v>246</v>
      </c>
      <c r="D18" s="83"/>
      <c r="E18" s="179">
        <v>0.35</v>
      </c>
      <c r="F18" s="83"/>
      <c r="G18" s="83"/>
      <c r="H18" s="83"/>
      <c r="I18" s="83"/>
      <c r="J18" s="100"/>
    </row>
    <row r="19" spans="1:10" ht="15.75">
      <c r="A19" s="160"/>
      <c r="B19" s="85"/>
      <c r="C19" s="83"/>
      <c r="D19" s="83"/>
      <c r="E19" s="121"/>
      <c r="F19" s="83"/>
      <c r="G19" s="121"/>
      <c r="H19" s="83"/>
      <c r="I19" s="83"/>
      <c r="J19" s="100"/>
    </row>
    <row r="20" spans="1:10" ht="15.75">
      <c r="A20" s="160">
        <v>5</v>
      </c>
      <c r="B20" s="85"/>
      <c r="C20" s="83" t="s">
        <v>508</v>
      </c>
      <c r="D20" s="83"/>
      <c r="E20" s="167">
        <f>+E16*-E18</f>
        <v>-434496.93</v>
      </c>
      <c r="F20" s="83"/>
      <c r="G20" s="83"/>
      <c r="H20" s="83"/>
      <c r="I20" s="83"/>
      <c r="J20" s="100"/>
    </row>
    <row r="21" spans="1:10" ht="15.75">
      <c r="A21" s="160"/>
      <c r="B21" s="85"/>
      <c r="C21" s="83"/>
      <c r="D21" s="83"/>
      <c r="E21" s="100"/>
      <c r="F21" s="83"/>
      <c r="G21" s="121"/>
      <c r="H21" s="83"/>
      <c r="I21" s="83"/>
      <c r="J21" s="100"/>
    </row>
    <row r="22" spans="1:10" ht="16.5" thickBot="1">
      <c r="A22" s="161">
        <v>6</v>
      </c>
      <c r="B22" s="84"/>
      <c r="C22" s="162" t="s">
        <v>461</v>
      </c>
      <c r="D22" s="84"/>
      <c r="E22" s="166">
        <f>-E16-E20</f>
        <v>-806922.87000000011</v>
      </c>
      <c r="F22" s="84"/>
      <c r="G22" s="165"/>
      <c r="H22" s="84"/>
      <c r="I22" s="173"/>
      <c r="J22" s="100"/>
    </row>
    <row r="23" spans="1:10" ht="16.5" thickTop="1">
      <c r="A23" s="161"/>
      <c r="B23" s="84"/>
      <c r="C23" s="162"/>
      <c r="D23" s="84"/>
      <c r="E23" s="100"/>
      <c r="F23" s="100"/>
      <c r="G23" s="178"/>
      <c r="H23" s="84"/>
      <c r="I23" s="165"/>
      <c r="J23" s="100"/>
    </row>
    <row r="24" spans="1:10" ht="15.75">
      <c r="A24" s="161"/>
      <c r="B24" s="84"/>
      <c r="C24" s="164"/>
      <c r="D24" s="84"/>
      <c r="E24" s="100"/>
      <c r="F24" s="100"/>
      <c r="G24" s="165"/>
      <c r="H24" s="84"/>
      <c r="I24" s="165"/>
      <c r="J24" s="100"/>
    </row>
    <row r="25" spans="1:10" ht="15.75">
      <c r="A25" s="161"/>
      <c r="B25" s="84"/>
      <c r="C25" s="164"/>
      <c r="D25" s="84"/>
      <c r="E25" s="100"/>
      <c r="F25" s="100"/>
      <c r="G25" s="165"/>
      <c r="H25" s="84"/>
      <c r="I25" s="165"/>
      <c r="J25" s="100"/>
    </row>
    <row r="26" spans="1:10" ht="15.75">
      <c r="A26" s="191" t="s">
        <v>251</v>
      </c>
      <c r="B26" s="96"/>
      <c r="C26" s="190"/>
      <c r="D26" s="96"/>
      <c r="E26" s="102"/>
      <c r="F26" s="102"/>
      <c r="G26" s="117"/>
      <c r="H26" s="84"/>
      <c r="I26" s="165"/>
      <c r="J26" s="100"/>
    </row>
    <row r="27" spans="1:10" ht="15.75">
      <c r="A27" s="161"/>
      <c r="B27" s="84"/>
      <c r="C27" s="164"/>
      <c r="D27" s="84"/>
      <c r="E27" s="100"/>
      <c r="F27" s="100"/>
      <c r="G27" s="165"/>
      <c r="H27" s="84"/>
      <c r="I27" s="165"/>
      <c r="J27" s="100"/>
    </row>
    <row r="28" spans="1:10" ht="15.75">
      <c r="A28" s="161"/>
      <c r="B28" s="84"/>
      <c r="C28" s="164"/>
      <c r="D28" s="84"/>
      <c r="E28" s="100"/>
      <c r="F28" s="100"/>
      <c r="G28" s="165"/>
      <c r="H28" s="84"/>
      <c r="I28" s="165"/>
      <c r="J28" s="100"/>
    </row>
    <row r="29" spans="1:10" ht="15.75">
      <c r="A29" s="161"/>
      <c r="B29" s="84"/>
      <c r="C29" s="164"/>
      <c r="D29" s="84"/>
      <c r="E29" s="89" t="s">
        <v>592</v>
      </c>
      <c r="F29" s="83"/>
      <c r="G29" s="117" t="s">
        <v>407</v>
      </c>
      <c r="H29" s="84"/>
      <c r="I29" s="165"/>
      <c r="J29" s="100"/>
    </row>
    <row r="30" spans="1:10" ht="15.75">
      <c r="A30" s="161"/>
      <c r="B30" s="84"/>
      <c r="C30" s="162"/>
      <c r="D30" s="84"/>
      <c r="E30" s="84"/>
      <c r="F30" s="84"/>
      <c r="G30" s="177">
        <v>0.64590000000000003</v>
      </c>
      <c r="H30" s="84"/>
      <c r="I30" s="165"/>
      <c r="J30" s="100"/>
    </row>
    <row r="31" spans="1:10" ht="15.75">
      <c r="A31" s="161"/>
      <c r="B31" s="84"/>
      <c r="C31" s="164" t="s">
        <v>405</v>
      </c>
      <c r="D31" s="84"/>
      <c r="E31" s="121">
        <v>2900000</v>
      </c>
      <c r="F31" s="83"/>
      <c r="G31" s="121">
        <f>+E31*G30</f>
        <v>1873110</v>
      </c>
      <c r="H31" s="84"/>
      <c r="I31" s="165" t="s">
        <v>250</v>
      </c>
      <c r="J31" s="100"/>
    </row>
    <row r="32" spans="1:10" ht="15.75">
      <c r="A32" s="161"/>
      <c r="B32" s="84"/>
      <c r="C32" s="180" t="s">
        <v>406</v>
      </c>
      <c r="D32" s="84"/>
      <c r="E32" s="121">
        <v>1922000</v>
      </c>
      <c r="F32" s="83"/>
      <c r="G32" s="167">
        <f>+E32*G30</f>
        <v>1241419.8</v>
      </c>
      <c r="H32" s="84"/>
      <c r="I32" s="165" t="s">
        <v>252</v>
      </c>
      <c r="J32" s="100"/>
    </row>
    <row r="33" spans="1:10" ht="15.75">
      <c r="A33" s="161"/>
      <c r="B33" s="84"/>
      <c r="C33" s="85" t="s">
        <v>403</v>
      </c>
      <c r="D33" s="84"/>
      <c r="F33" s="83"/>
      <c r="G33" s="121">
        <f>+G32-G31</f>
        <v>-631690.19999999995</v>
      </c>
      <c r="H33" s="84"/>
      <c r="I33" s="165"/>
      <c r="J33" s="100"/>
    </row>
    <row r="34" spans="1:10" ht="15.75">
      <c r="A34" s="97"/>
      <c r="B34" s="84"/>
      <c r="H34" s="84"/>
      <c r="I34" s="173"/>
    </row>
    <row r="35" spans="1:10" ht="15.75">
      <c r="A35" s="97"/>
      <c r="B35" s="84"/>
      <c r="C35" s="164"/>
      <c r="D35" s="84"/>
      <c r="E35" s="176"/>
      <c r="F35" s="84"/>
      <c r="G35" s="172"/>
      <c r="H35" s="84"/>
      <c r="I35" s="173"/>
    </row>
    <row r="36" spans="1:10" ht="15.75">
      <c r="A36" s="97"/>
      <c r="B36" s="84"/>
      <c r="C36" s="164"/>
      <c r="D36" s="84"/>
      <c r="F36" s="84"/>
      <c r="G36" s="165"/>
      <c r="H36" s="84"/>
      <c r="I36" s="173"/>
    </row>
    <row r="37" spans="1:10" ht="15.75">
      <c r="A37" s="97"/>
      <c r="B37" s="84"/>
      <c r="C37" s="164"/>
      <c r="D37" s="84"/>
      <c r="E37" s="84"/>
      <c r="F37" s="84"/>
      <c r="G37" s="165"/>
      <c r="H37" s="84"/>
      <c r="I37" s="173"/>
    </row>
    <row r="38" spans="1:10" ht="15.75">
      <c r="A38" s="97"/>
      <c r="B38" s="84"/>
      <c r="C38" s="162"/>
      <c r="D38" s="84"/>
      <c r="H38" s="84"/>
      <c r="I38" s="173"/>
    </row>
    <row r="39" spans="1:10" ht="15.75">
      <c r="A39" s="97"/>
      <c r="B39" s="84"/>
      <c r="C39" s="162"/>
      <c r="D39" s="84"/>
      <c r="H39" s="83"/>
      <c r="I39" s="83"/>
    </row>
    <row r="40" spans="1:10" ht="15.75">
      <c r="A40" s="90"/>
      <c r="B40" s="83"/>
      <c r="C40" s="83"/>
      <c r="D40" s="83"/>
      <c r="H40" s="83"/>
      <c r="I40" s="83"/>
    </row>
    <row r="41" spans="1:10" ht="15.75">
      <c r="A41" s="90"/>
      <c r="B41" s="83"/>
      <c r="C41" s="83"/>
      <c r="D41" s="83"/>
      <c r="H41" s="83"/>
    </row>
    <row r="42" spans="1:10" ht="15.75">
      <c r="A42" s="90"/>
      <c r="B42" s="83"/>
      <c r="C42" s="83"/>
      <c r="D42" s="83"/>
      <c r="E42" s="121"/>
      <c r="F42" s="83"/>
      <c r="G42" s="121"/>
      <c r="H42" s="83"/>
      <c r="I42" s="83"/>
    </row>
    <row r="43" spans="1:10" ht="15.75">
      <c r="A43" s="90"/>
      <c r="B43" s="83"/>
      <c r="C43" s="83"/>
      <c r="D43" s="83"/>
      <c r="E43" s="121"/>
      <c r="F43" s="83"/>
      <c r="G43" s="121"/>
      <c r="H43" s="83"/>
      <c r="I43" s="83"/>
    </row>
    <row r="44" spans="1:10" ht="15.75">
      <c r="A44" s="90"/>
      <c r="B44" s="83"/>
      <c r="C44" s="83"/>
      <c r="D44" s="83"/>
      <c r="E44" s="121"/>
      <c r="F44" s="83"/>
      <c r="G44" s="121"/>
      <c r="H44" s="83"/>
      <c r="I44" s="83"/>
    </row>
    <row r="45" spans="1:10" ht="15.75">
      <c r="A45" s="90"/>
      <c r="B45" s="83"/>
      <c r="C45" s="83"/>
      <c r="D45" s="83"/>
      <c r="F45" s="83"/>
      <c r="G45" s="83"/>
      <c r="H45" s="83"/>
      <c r="I45" s="83"/>
    </row>
    <row r="46" spans="1:10" ht="15.75">
      <c r="A46" s="90"/>
      <c r="B46" s="83"/>
      <c r="C46" s="83"/>
      <c r="D46" s="83"/>
    </row>
    <row r="47" spans="1:10" ht="15.75">
      <c r="A47" s="83"/>
      <c r="B47" s="83"/>
      <c r="C47" s="83"/>
      <c r="D47" s="83"/>
      <c r="E47" s="83"/>
      <c r="F47" s="83"/>
      <c r="G47" s="83"/>
      <c r="H47" s="83"/>
      <c r="I47" s="85"/>
    </row>
    <row r="48" spans="1:10">
      <c r="A48" s="100"/>
      <c r="B48" s="100"/>
      <c r="C48" s="100"/>
      <c r="D48" s="100"/>
      <c r="E48" s="100"/>
      <c r="F48" s="100"/>
      <c r="G48" s="100"/>
      <c r="H48" s="100"/>
    </row>
  </sheetData>
  <mergeCells count="4">
    <mergeCell ref="A1:I1"/>
    <mergeCell ref="A2:I2"/>
    <mergeCell ref="A3:I3"/>
    <mergeCell ref="A4:I4"/>
  </mergeCells>
  <phoneticPr fontId="12" type="noConversion"/>
  <pageMargins left="0.75" right="0.75" top="1" bottom="1" header="0.5" footer="0.5"/>
  <pageSetup scale="92" orientation="portrait" r:id="rId1"/>
  <headerFooter alignWithMargins="0">
    <oddHeader>&amp;R&amp;"Times New Roman,Regular"Docket No. UE-090134
Exhibit No. __(HL-3)
Schedule C-7 (Electric)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selection activeCell="A5" sqref="A5"/>
    </sheetView>
  </sheetViews>
  <sheetFormatPr defaultRowHeight="12.75"/>
  <cols>
    <col min="2" max="2" width="1" customWidth="1"/>
    <col min="3" max="3" width="48.28515625" customWidth="1"/>
    <col min="4" max="4" width="12.42578125" customWidth="1"/>
    <col min="5" max="5" width="0.7109375" customWidth="1"/>
    <col min="6" max="6" width="13.140625" customWidth="1"/>
    <col min="7" max="7" width="1" customWidth="1"/>
    <col min="8" max="8" width="12.28515625" customWidth="1"/>
    <col min="9" max="9" width="0.85546875" customWidth="1"/>
    <col min="10" max="10" width="11.7109375" customWidth="1"/>
  </cols>
  <sheetData>
    <row r="1" spans="1:10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  <c r="J3" s="292"/>
    </row>
    <row r="4" spans="1:10" ht="15.75">
      <c r="A4" s="292"/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5.75">
      <c r="A5" s="85" t="s">
        <v>398</v>
      </c>
      <c r="B5" s="85"/>
      <c r="C5" s="85"/>
      <c r="D5" s="85"/>
      <c r="E5" s="85"/>
      <c r="F5" s="87"/>
      <c r="G5" s="87"/>
      <c r="H5" s="87"/>
      <c r="I5" s="85"/>
      <c r="J5" s="85"/>
    </row>
    <row r="6" spans="1:10" ht="15.75">
      <c r="A6" s="85"/>
      <c r="B6" s="85"/>
      <c r="C6" s="85"/>
      <c r="D6" s="87"/>
      <c r="E6" s="87"/>
      <c r="F6" s="87"/>
      <c r="G6" s="87"/>
      <c r="H6" s="87"/>
      <c r="I6" s="85"/>
      <c r="J6" s="85"/>
    </row>
    <row r="7" spans="1:10" ht="15.75">
      <c r="B7" s="85"/>
      <c r="C7" s="85"/>
      <c r="D7" s="87"/>
      <c r="E7" s="87"/>
      <c r="F7" s="87"/>
      <c r="G7" s="87"/>
      <c r="H7" s="87" t="s">
        <v>399</v>
      </c>
      <c r="I7" s="85"/>
      <c r="J7" s="85"/>
    </row>
    <row r="8" spans="1:10" ht="15.75">
      <c r="A8" s="85"/>
      <c r="B8" s="85"/>
      <c r="C8" s="85"/>
      <c r="D8" s="87" t="s">
        <v>211</v>
      </c>
      <c r="E8" s="87"/>
      <c r="F8" s="87" t="s">
        <v>399</v>
      </c>
      <c r="G8" s="87"/>
      <c r="H8" s="87" t="s">
        <v>401</v>
      </c>
      <c r="I8" s="85"/>
    </row>
    <row r="9" spans="1:10" ht="15.75">
      <c r="A9" s="88" t="s">
        <v>261</v>
      </c>
      <c r="B9" s="85"/>
      <c r="C9" s="89" t="s">
        <v>192</v>
      </c>
      <c r="D9" s="88" t="s">
        <v>76</v>
      </c>
      <c r="E9" s="90"/>
      <c r="F9" s="88" t="s">
        <v>400</v>
      </c>
      <c r="G9" s="87"/>
      <c r="H9" s="88" t="s">
        <v>402</v>
      </c>
      <c r="I9" s="83"/>
    </row>
    <row r="10" spans="1:10" ht="15.75">
      <c r="A10" s="87"/>
      <c r="B10" s="85"/>
      <c r="C10" s="85"/>
      <c r="D10" s="85"/>
      <c r="E10" s="85"/>
      <c r="F10" s="85"/>
      <c r="G10" s="85"/>
      <c r="H10" s="85"/>
      <c r="I10" s="85"/>
    </row>
    <row r="11" spans="1:10" ht="15.75">
      <c r="A11" s="160">
        <v>1</v>
      </c>
      <c r="B11" s="85"/>
      <c r="C11" s="85" t="s">
        <v>425</v>
      </c>
      <c r="D11" s="121">
        <f>+H11+F11</f>
        <v>550457</v>
      </c>
      <c r="E11" s="83"/>
      <c r="F11" s="121">
        <v>-17414</v>
      </c>
      <c r="G11" s="83"/>
      <c r="H11" s="118">
        <v>567871</v>
      </c>
      <c r="I11" s="97"/>
      <c r="J11" t="s">
        <v>250</v>
      </c>
    </row>
    <row r="12" spans="1:10" ht="15.75">
      <c r="A12" s="160"/>
      <c r="B12" s="85"/>
      <c r="C12" s="83"/>
      <c r="D12" s="83"/>
      <c r="E12" s="83"/>
      <c r="F12" s="83"/>
      <c r="G12" s="83"/>
      <c r="H12" s="83"/>
      <c r="I12" s="83"/>
    </row>
    <row r="13" spans="1:10" ht="15.75">
      <c r="A13" s="160">
        <v>2</v>
      </c>
      <c r="B13" s="85"/>
      <c r="C13" s="85" t="s">
        <v>426</v>
      </c>
      <c r="D13" s="117">
        <f>+D15-D11</f>
        <v>-567871</v>
      </c>
      <c r="E13" s="84"/>
      <c r="F13" s="163"/>
      <c r="G13" s="84"/>
      <c r="H13" s="167">
        <f>-H11</f>
        <v>-567871</v>
      </c>
    </row>
    <row r="14" spans="1:10" ht="15.75">
      <c r="A14" s="160"/>
      <c r="B14" s="85"/>
      <c r="C14" s="83"/>
      <c r="D14" s="83"/>
      <c r="E14" s="83"/>
      <c r="F14" s="83"/>
      <c r="G14" s="83"/>
      <c r="H14" s="83"/>
      <c r="I14" s="83"/>
    </row>
    <row r="15" spans="1:10" ht="15.75">
      <c r="A15" s="160">
        <v>3</v>
      </c>
      <c r="B15" s="85"/>
      <c r="C15" s="85" t="s">
        <v>427</v>
      </c>
      <c r="D15" s="121">
        <f>+F15+H15</f>
        <v>-17414</v>
      </c>
      <c r="E15" s="83"/>
      <c r="F15" s="165">
        <f>F11</f>
        <v>-17414</v>
      </c>
      <c r="G15" s="83"/>
      <c r="H15" s="90"/>
      <c r="I15" s="90"/>
    </row>
    <row r="16" spans="1:10" ht="15.75">
      <c r="A16" s="160"/>
      <c r="B16" s="85"/>
      <c r="C16" s="83"/>
      <c r="D16" s="83"/>
      <c r="E16" s="83"/>
      <c r="F16" s="83"/>
      <c r="G16" s="83"/>
      <c r="H16" s="83"/>
      <c r="I16" s="83"/>
    </row>
    <row r="17" spans="1:12" ht="15.75">
      <c r="A17" s="161">
        <v>4</v>
      </c>
      <c r="B17" s="84"/>
      <c r="C17" s="162" t="s">
        <v>246</v>
      </c>
      <c r="D17" s="163">
        <v>0.35</v>
      </c>
      <c r="E17" s="84"/>
      <c r="K17" s="84"/>
      <c r="L17" s="165"/>
    </row>
    <row r="18" spans="1:12" ht="15.75">
      <c r="A18" s="161"/>
      <c r="B18" s="84"/>
      <c r="C18" s="164"/>
      <c r="D18" s="165"/>
      <c r="E18" s="84"/>
      <c r="K18" s="84"/>
      <c r="L18" s="165"/>
    </row>
    <row r="19" spans="1:12" ht="15.75">
      <c r="A19" s="161">
        <v>5</v>
      </c>
      <c r="B19" s="84"/>
      <c r="C19" s="162" t="s">
        <v>275</v>
      </c>
      <c r="D19" s="117">
        <f>+D15*-D17</f>
        <v>6094.9</v>
      </c>
      <c r="E19" s="84"/>
      <c r="F19" s="165" t="s">
        <v>396</v>
      </c>
      <c r="K19" s="84"/>
    </row>
    <row r="20" spans="1:12" ht="15.75">
      <c r="A20" s="97"/>
      <c r="B20" s="84"/>
      <c r="C20" s="164"/>
      <c r="D20" s="165"/>
      <c r="E20" s="84"/>
      <c r="F20" s="165"/>
      <c r="K20" s="84"/>
    </row>
    <row r="21" spans="1:12" ht="16.5" thickBot="1">
      <c r="A21" s="97">
        <v>6</v>
      </c>
      <c r="B21" s="84"/>
      <c r="C21" s="162" t="s">
        <v>276</v>
      </c>
      <c r="D21" s="166">
        <f>-D15-D19</f>
        <v>11319.1</v>
      </c>
      <c r="E21" s="84"/>
      <c r="F21" s="165" t="s">
        <v>397</v>
      </c>
      <c r="K21" s="84"/>
    </row>
    <row r="22" spans="1:12" ht="16.5" thickTop="1">
      <c r="A22" s="97"/>
      <c r="B22" s="84"/>
      <c r="C22" s="164"/>
      <c r="D22" s="84"/>
      <c r="E22" s="84"/>
      <c r="F22" s="165"/>
      <c r="G22" s="84"/>
      <c r="H22" s="165"/>
      <c r="I22" s="165"/>
      <c r="J22" s="173"/>
    </row>
    <row r="25" spans="1:12">
      <c r="A25" s="102" t="s">
        <v>251</v>
      </c>
      <c r="B25" s="102"/>
      <c r="C25" s="102"/>
      <c r="D25" s="102"/>
      <c r="E25" s="102"/>
      <c r="F25" s="102"/>
      <c r="G25" s="102"/>
      <c r="H25" s="102"/>
    </row>
    <row r="27" spans="1:12">
      <c r="A27" t="s">
        <v>449</v>
      </c>
    </row>
  </sheetData>
  <mergeCells count="4">
    <mergeCell ref="A1:J1"/>
    <mergeCell ref="A2:J2"/>
    <mergeCell ref="A3:J3"/>
    <mergeCell ref="A4:J4"/>
  </mergeCells>
  <phoneticPr fontId="12" type="noConversion"/>
  <pageMargins left="0.75" right="0.75" top="1" bottom="1" header="0.5" footer="0.5"/>
  <pageSetup scale="82" orientation="portrait" r:id="rId1"/>
  <headerFooter alignWithMargins="0">
    <oddHeader>&amp;R&amp;"Times New Roman,Regular"Docket No. UE-090134
Exhibit No. (HL-3)
Schedule C-8 (Electric)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opLeftCell="A16" workbookViewId="0">
      <selection sqref="A1:I15"/>
    </sheetView>
  </sheetViews>
  <sheetFormatPr defaultRowHeight="12.75"/>
  <cols>
    <col min="2" max="2" width="1" customWidth="1"/>
    <col min="3" max="3" width="44.28515625" customWidth="1"/>
    <col min="4" max="4" width="0.7109375" customWidth="1"/>
    <col min="5" max="5" width="14.7109375" customWidth="1"/>
    <col min="6" max="6" width="1" customWidth="1"/>
    <col min="7" max="7" width="14.140625" customWidth="1"/>
    <col min="8" max="8" width="1" customWidth="1"/>
    <col min="9" max="9" width="10.7109375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569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7" t="s">
        <v>17</v>
      </c>
      <c r="B9" s="85"/>
      <c r="C9" s="85"/>
      <c r="D9" s="85"/>
      <c r="E9" s="87"/>
      <c r="F9" s="87"/>
      <c r="G9" s="87"/>
      <c r="H9" s="87"/>
      <c r="I9" s="85"/>
    </row>
    <row r="10" spans="1:9" ht="15.75">
      <c r="A10" s="88" t="s">
        <v>60</v>
      </c>
      <c r="B10" s="85"/>
      <c r="C10" s="89" t="s">
        <v>192</v>
      </c>
      <c r="D10" s="83"/>
      <c r="E10" s="88" t="s">
        <v>238</v>
      </c>
      <c r="F10" s="90"/>
      <c r="G10" s="90"/>
      <c r="H10" s="87"/>
      <c r="I10" s="83"/>
    </row>
    <row r="11" spans="1:9" ht="15.75">
      <c r="A11" s="90"/>
      <c r="B11" s="85"/>
      <c r="C11" s="83"/>
      <c r="D11" s="83"/>
      <c r="E11" s="83"/>
      <c r="F11" s="83"/>
      <c r="G11" s="100"/>
      <c r="H11" s="87"/>
      <c r="I11" s="83"/>
    </row>
    <row r="12" spans="1:9" ht="15.75">
      <c r="A12" s="87"/>
      <c r="B12" s="85"/>
      <c r="C12" s="85"/>
      <c r="D12" s="85"/>
      <c r="E12" s="85"/>
      <c r="F12" s="85"/>
      <c r="G12" s="85"/>
      <c r="H12" s="85"/>
      <c r="I12" s="85"/>
    </row>
    <row r="13" spans="1:9" ht="15.75">
      <c r="A13" s="160">
        <v>1</v>
      </c>
      <c r="B13" s="85"/>
      <c r="C13" s="85" t="s">
        <v>423</v>
      </c>
      <c r="D13" s="83"/>
      <c r="E13" s="121">
        <f>E33</f>
        <v>283233</v>
      </c>
      <c r="F13" s="83"/>
      <c r="G13" s="121" t="s">
        <v>250</v>
      </c>
      <c r="H13" s="83"/>
      <c r="I13" s="83"/>
    </row>
    <row r="14" spans="1:9" ht="15.75">
      <c r="A14" s="160"/>
      <c r="B14" s="85"/>
      <c r="C14" s="85"/>
      <c r="D14" s="83"/>
      <c r="E14" s="176"/>
      <c r="F14" s="83"/>
      <c r="G14" s="121"/>
      <c r="H14" s="83"/>
      <c r="I14" s="83"/>
    </row>
    <row r="15" spans="1:9" ht="15.75">
      <c r="A15" s="160">
        <v>2</v>
      </c>
      <c r="B15" s="85"/>
      <c r="C15" s="85" t="s">
        <v>408</v>
      </c>
      <c r="D15" s="83"/>
      <c r="E15" s="167">
        <f>I33</f>
        <v>-64712</v>
      </c>
      <c r="F15" s="83"/>
      <c r="G15" s="121" t="s">
        <v>252</v>
      </c>
      <c r="H15" s="83"/>
      <c r="I15" s="83"/>
    </row>
    <row r="16" spans="1:9" ht="15.75">
      <c r="A16" s="160"/>
      <c r="B16" s="85"/>
      <c r="C16" s="85"/>
      <c r="D16" s="83"/>
      <c r="E16" s="121"/>
      <c r="F16" s="83"/>
      <c r="G16" s="121"/>
      <c r="H16" s="83"/>
      <c r="I16" s="83"/>
    </row>
    <row r="17" spans="1:9" ht="15.75">
      <c r="A17" s="160">
        <v>3</v>
      </c>
      <c r="B17" s="85"/>
      <c r="C17" s="85" t="s">
        <v>424</v>
      </c>
      <c r="D17" s="83"/>
      <c r="E17" s="121">
        <f>G33</f>
        <v>218521</v>
      </c>
      <c r="F17" s="83"/>
      <c r="G17" s="121"/>
      <c r="H17" s="83"/>
      <c r="I17" s="83"/>
    </row>
    <row r="18" spans="1:9" ht="15.75">
      <c r="A18" s="160"/>
      <c r="B18" s="85"/>
      <c r="C18" s="83"/>
      <c r="D18" s="83"/>
      <c r="E18" s="121"/>
      <c r="F18" s="83"/>
      <c r="G18" s="121"/>
      <c r="H18" s="83"/>
      <c r="I18" s="83"/>
    </row>
    <row r="19" spans="1:9" ht="15.75">
      <c r="A19" s="160">
        <v>4</v>
      </c>
      <c r="C19" s="85" t="s">
        <v>246</v>
      </c>
      <c r="D19" s="83"/>
      <c r="E19" s="179">
        <v>0.35</v>
      </c>
      <c r="F19" s="83"/>
      <c r="G19" s="83"/>
      <c r="H19" s="83"/>
      <c r="I19" s="83"/>
    </row>
    <row r="20" spans="1:9" ht="15.75">
      <c r="A20" s="160"/>
      <c r="B20" s="85"/>
      <c r="C20" s="83"/>
      <c r="D20" s="83"/>
      <c r="E20" s="121"/>
      <c r="F20" s="83"/>
      <c r="G20" s="121"/>
      <c r="H20" s="83"/>
      <c r="I20" s="83"/>
    </row>
    <row r="21" spans="1:9" ht="15.75">
      <c r="A21" s="160">
        <v>5</v>
      </c>
      <c r="B21" s="85"/>
      <c r="C21" s="83" t="s">
        <v>508</v>
      </c>
      <c r="D21" s="83"/>
      <c r="E21" s="167">
        <f>-E17*E19</f>
        <v>-76482.349999999991</v>
      </c>
      <c r="F21" s="83"/>
      <c r="G21" s="83"/>
      <c r="H21" s="83"/>
      <c r="I21" s="83"/>
    </row>
    <row r="22" spans="1:9" ht="15.75">
      <c r="A22" s="160"/>
      <c r="B22" s="85"/>
      <c r="C22" s="83"/>
      <c r="D22" s="83"/>
      <c r="E22" s="100"/>
      <c r="F22" s="83"/>
      <c r="G22" s="121"/>
      <c r="H22" s="83"/>
      <c r="I22" s="83"/>
    </row>
    <row r="23" spans="1:9" ht="16.5" thickBot="1">
      <c r="A23" s="161">
        <v>6</v>
      </c>
      <c r="B23" s="84"/>
      <c r="C23" s="162" t="s">
        <v>461</v>
      </c>
      <c r="D23" s="84"/>
      <c r="E23" s="166">
        <f>-E17-E21</f>
        <v>-142038.65000000002</v>
      </c>
      <c r="F23" s="84"/>
      <c r="G23" s="165"/>
      <c r="H23" s="84"/>
      <c r="I23" s="173"/>
    </row>
    <row r="24" spans="1:9" ht="16.5" thickTop="1">
      <c r="A24" s="161"/>
      <c r="B24" s="84"/>
      <c r="C24" s="162"/>
      <c r="D24" s="84"/>
      <c r="E24" s="100"/>
      <c r="F24" s="100"/>
      <c r="G24" s="178"/>
      <c r="H24" s="84"/>
      <c r="I24" s="165"/>
    </row>
    <row r="25" spans="1:9" ht="15.75">
      <c r="A25" s="161"/>
      <c r="B25" s="84"/>
      <c r="C25" s="162"/>
      <c r="D25" s="84"/>
      <c r="E25" s="100"/>
      <c r="F25" s="100"/>
      <c r="G25" s="178"/>
      <c r="H25" s="84"/>
      <c r="I25" s="165"/>
    </row>
    <row r="26" spans="1:9" ht="15.75">
      <c r="A26" s="191" t="s">
        <v>251</v>
      </c>
      <c r="B26" s="96"/>
      <c r="C26" s="193"/>
      <c r="D26" s="96"/>
      <c r="E26" s="102"/>
      <c r="F26" s="102"/>
      <c r="G26" s="163"/>
      <c r="H26" s="96"/>
      <c r="I26" s="117"/>
    </row>
    <row r="27" spans="1:9" ht="15.75">
      <c r="A27" s="161"/>
      <c r="B27" s="84"/>
      <c r="C27" s="164"/>
      <c r="D27" s="84"/>
      <c r="E27" s="90" t="s">
        <v>142</v>
      </c>
      <c r="F27" s="90"/>
      <c r="G27" s="118" t="s">
        <v>524</v>
      </c>
      <c r="H27" s="84"/>
      <c r="I27" s="165"/>
    </row>
    <row r="28" spans="1:9" ht="15.75">
      <c r="A28" s="161"/>
      <c r="B28" s="84"/>
      <c r="C28" s="164"/>
      <c r="D28" s="84"/>
      <c r="E28" s="90" t="s">
        <v>250</v>
      </c>
      <c r="F28" s="101"/>
      <c r="G28" s="118" t="s">
        <v>252</v>
      </c>
      <c r="H28" s="84"/>
      <c r="I28" s="165"/>
    </row>
    <row r="29" spans="1:9" ht="15.75">
      <c r="A29" s="161"/>
      <c r="B29" s="84"/>
      <c r="C29" s="164"/>
      <c r="D29" s="84"/>
      <c r="E29" s="105" t="s">
        <v>416</v>
      </c>
      <c r="F29" s="105"/>
      <c r="G29" s="105" t="s">
        <v>416</v>
      </c>
      <c r="H29" s="183"/>
      <c r="I29" s="184"/>
    </row>
    <row r="30" spans="1:9" ht="15.75">
      <c r="A30" s="161"/>
      <c r="B30" s="84"/>
      <c r="C30" s="164"/>
      <c r="D30" s="84"/>
      <c r="E30" s="105" t="s">
        <v>417</v>
      </c>
      <c r="F30" s="105"/>
      <c r="G30" s="105" t="s">
        <v>417</v>
      </c>
      <c r="H30" s="183"/>
      <c r="I30" s="184"/>
    </row>
    <row r="31" spans="1:9" ht="15.75">
      <c r="A31" s="161"/>
      <c r="B31" s="84"/>
      <c r="C31" s="164"/>
      <c r="D31" s="84"/>
      <c r="E31" s="106" t="s">
        <v>418</v>
      </c>
      <c r="F31" s="105"/>
      <c r="G31" s="106" t="s">
        <v>419</v>
      </c>
      <c r="H31" s="183"/>
      <c r="I31" s="185" t="s">
        <v>223</v>
      </c>
    </row>
    <row r="32" spans="1:9" ht="15.75">
      <c r="A32" s="161"/>
      <c r="B32" s="84"/>
      <c r="C32" s="162"/>
      <c r="D32" s="84"/>
      <c r="E32" s="84"/>
      <c r="F32" s="84"/>
      <c r="G32" s="177"/>
      <c r="H32" s="84"/>
      <c r="I32" s="165"/>
    </row>
    <row r="33" spans="1:9" ht="15.75">
      <c r="A33" s="161"/>
      <c r="B33" s="84"/>
      <c r="C33" s="164"/>
      <c r="D33" s="84"/>
      <c r="E33" s="121">
        <v>283233</v>
      </c>
      <c r="F33" s="83"/>
      <c r="G33" s="121">
        <v>218521</v>
      </c>
      <c r="H33" s="84"/>
      <c r="I33" s="165">
        <f>+G33-E33</f>
        <v>-64712</v>
      </c>
    </row>
    <row r="34" spans="1:9" ht="15.75">
      <c r="A34" s="161"/>
      <c r="B34" s="84"/>
      <c r="C34" s="180"/>
      <c r="D34" s="84"/>
      <c r="E34" s="121"/>
      <c r="F34" s="83"/>
      <c r="G34" s="121"/>
      <c r="H34" s="84"/>
      <c r="I34" s="165"/>
    </row>
    <row r="35" spans="1:9" ht="15.75">
      <c r="A35" s="161"/>
      <c r="B35" s="84"/>
      <c r="C35" s="85"/>
      <c r="D35" s="84"/>
      <c r="E35" s="176"/>
      <c r="F35" s="83"/>
      <c r="G35" s="121"/>
      <c r="H35" s="84"/>
      <c r="I35" s="165"/>
    </row>
    <row r="36" spans="1:9" ht="15.75">
      <c r="A36" s="97"/>
      <c r="B36" s="84"/>
      <c r="H36" s="84"/>
      <c r="I36" s="173"/>
    </row>
    <row r="37" spans="1:9" ht="15.75">
      <c r="A37" s="97"/>
      <c r="B37" s="84"/>
      <c r="C37" s="164"/>
      <c r="D37" s="84"/>
      <c r="E37" s="176"/>
      <c r="F37" s="84"/>
      <c r="G37" s="172"/>
      <c r="H37" s="84"/>
      <c r="I37" s="173"/>
    </row>
    <row r="38" spans="1:9" ht="15.75">
      <c r="A38" s="97"/>
      <c r="B38" s="84"/>
      <c r="C38" s="164"/>
      <c r="D38" s="84"/>
      <c r="F38" s="84"/>
      <c r="G38" s="165"/>
      <c r="H38" s="84"/>
      <c r="I38" s="173"/>
    </row>
    <row r="39" spans="1:9" ht="15.75">
      <c r="A39" s="97"/>
      <c r="B39" s="84"/>
      <c r="C39" s="164"/>
      <c r="D39" s="84"/>
      <c r="E39" s="84"/>
      <c r="F39" s="84"/>
      <c r="G39" s="165"/>
      <c r="H39" s="84"/>
      <c r="I39" s="173"/>
    </row>
    <row r="40" spans="1:9" ht="15.75">
      <c r="A40" s="97"/>
      <c r="B40" s="84"/>
      <c r="C40" s="162"/>
      <c r="D40" s="84"/>
      <c r="H40" s="84"/>
      <c r="I40" s="173"/>
    </row>
  </sheetData>
  <mergeCells count="4">
    <mergeCell ref="A1:I1"/>
    <mergeCell ref="A2:I2"/>
    <mergeCell ref="A3:I3"/>
    <mergeCell ref="A4:I4"/>
  </mergeCells>
  <phoneticPr fontId="12" type="noConversion"/>
  <pageMargins left="0.75" right="0.75" top="1" bottom="1" header="0.5" footer="0.5"/>
  <pageSetup scale="94" orientation="portrait" r:id="rId1"/>
  <headerFooter alignWithMargins="0">
    <oddHeader>&amp;R&amp;"Times New Roman,Regular"Docket No. UE-090134
Exhibit No. __(HL-3)
Schedule C-9 (Electric)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BH119"/>
  <sheetViews>
    <sheetView tabSelected="1" topLeftCell="X31" workbookViewId="0">
      <selection activeCell="AI27" sqref="AI27"/>
    </sheetView>
  </sheetViews>
  <sheetFormatPr defaultRowHeight="12.75"/>
  <cols>
    <col min="1" max="1" width="4.7109375" customWidth="1"/>
    <col min="2" max="3" width="1.7109375" customWidth="1"/>
    <col min="4" max="4" width="33.7109375" customWidth="1"/>
    <col min="5" max="6" width="11.7109375" customWidth="1"/>
    <col min="7" max="7" width="13.85546875" customWidth="1"/>
    <col min="8" max="11" width="11.7109375" customWidth="1"/>
    <col min="12" max="12" width="12.85546875" customWidth="1"/>
    <col min="13" max="13" width="11.42578125" customWidth="1"/>
    <col min="14" max="14" width="9.85546875" bestFit="1" customWidth="1"/>
    <col min="15" max="15" width="10.5703125" bestFit="1" customWidth="1"/>
    <col min="16" max="16" width="10" bestFit="1" customWidth="1"/>
    <col min="17" max="17" width="10.28515625" customWidth="1"/>
    <col min="18" max="18" width="11" customWidth="1"/>
    <col min="19" max="19" width="10.5703125" bestFit="1" customWidth="1"/>
    <col min="20" max="20" width="8.28515625" customWidth="1"/>
    <col min="21" max="21" width="12.85546875" customWidth="1"/>
    <col min="22" max="22" width="12.5703125" customWidth="1"/>
    <col min="23" max="23" width="10.85546875" bestFit="1" customWidth="1"/>
    <col min="24" max="24" width="13.7109375" customWidth="1"/>
    <col min="25" max="25" width="14.140625" customWidth="1"/>
    <col min="26" max="26" width="13.140625" customWidth="1"/>
    <col min="27" max="27" width="15" customWidth="1"/>
    <col min="28" max="28" width="11" bestFit="1" customWidth="1"/>
    <col min="29" max="29" width="9.28515625" bestFit="1" customWidth="1"/>
    <col min="30" max="32" width="0" hidden="1" customWidth="1"/>
    <col min="33" max="33" width="10.42578125" bestFit="1" customWidth="1"/>
    <col min="34" max="34" width="13.28515625" customWidth="1"/>
    <col min="35" max="35" width="15" customWidth="1"/>
    <col min="36" max="37" width="13.28515625" bestFit="1" customWidth="1"/>
    <col min="38" max="38" width="15" bestFit="1" customWidth="1"/>
    <col min="39" max="39" width="13.85546875" bestFit="1" customWidth="1"/>
    <col min="40" max="40" width="13.28515625" bestFit="1" customWidth="1"/>
    <col min="41" max="41" width="14.28515625" bestFit="1" customWidth="1"/>
    <col min="42" max="42" width="14.42578125" bestFit="1" customWidth="1"/>
    <col min="43" max="43" width="14.42578125" customWidth="1"/>
    <col min="44" max="46" width="13.28515625" bestFit="1" customWidth="1"/>
    <col min="47" max="47" width="16.7109375" customWidth="1"/>
    <col min="48" max="50" width="14.42578125" bestFit="1" customWidth="1"/>
    <col min="51" max="51" width="14.42578125" customWidth="1"/>
    <col min="52" max="52" width="11.42578125" customWidth="1"/>
    <col min="57" max="57" width="11.42578125" customWidth="1"/>
    <col min="58" max="58" width="12.140625" bestFit="1" customWidth="1"/>
  </cols>
  <sheetData>
    <row r="1" spans="1:58">
      <c r="A1" s="1" t="s">
        <v>0</v>
      </c>
      <c r="B1" s="2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5"/>
      <c r="AB1" s="6"/>
      <c r="AC1" s="5"/>
      <c r="AD1" s="7"/>
      <c r="AE1" s="7"/>
      <c r="AF1" s="7"/>
      <c r="AG1" s="7"/>
      <c r="AH1" s="6"/>
      <c r="AI1" s="6"/>
      <c r="AJ1" s="6"/>
      <c r="AK1" s="6"/>
      <c r="AL1" s="6"/>
      <c r="AM1" s="6"/>
      <c r="AN1" s="6"/>
      <c r="AO1" s="6"/>
      <c r="AP1" s="8"/>
      <c r="AQ1" s="6"/>
      <c r="AR1" s="6"/>
      <c r="AS1" s="6"/>
      <c r="AT1" s="6"/>
      <c r="AU1" s="6"/>
      <c r="AV1" s="6"/>
      <c r="AW1" s="6"/>
      <c r="AX1" s="6"/>
      <c r="AY1" s="6"/>
      <c r="AZ1" s="6"/>
      <c r="BA1" s="7"/>
      <c r="BB1" s="7"/>
      <c r="BC1" s="7"/>
      <c r="BD1" s="7"/>
      <c r="BE1" s="7"/>
      <c r="BF1" s="7"/>
    </row>
    <row r="2" spans="1:58">
      <c r="A2" s="1" t="s">
        <v>1</v>
      </c>
      <c r="B2" s="2"/>
      <c r="C2" s="2"/>
      <c r="D2" s="3"/>
      <c r="E2" s="4"/>
      <c r="F2" s="5"/>
      <c r="G2" s="6"/>
      <c r="H2" s="6"/>
      <c r="I2" s="6"/>
      <c r="J2" s="6"/>
      <c r="K2" s="6"/>
      <c r="L2" s="6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5"/>
      <c r="AB2" s="6"/>
      <c r="AC2" s="5"/>
      <c r="AD2" s="7"/>
      <c r="AE2" s="7"/>
      <c r="AF2" s="7"/>
      <c r="AG2" s="7"/>
      <c r="AH2" s="6"/>
      <c r="AI2" s="6"/>
      <c r="AJ2" s="6"/>
      <c r="AK2" s="6"/>
      <c r="AL2" s="6"/>
      <c r="AM2" s="6"/>
      <c r="AN2" s="6"/>
      <c r="AO2" s="6"/>
      <c r="AP2" s="8"/>
      <c r="AQ2" s="6"/>
      <c r="AR2" s="6"/>
      <c r="AS2" s="6"/>
      <c r="AT2" s="6"/>
      <c r="AU2" s="6"/>
      <c r="AV2" s="6"/>
      <c r="AW2" s="6"/>
      <c r="AX2" s="6"/>
      <c r="AY2" s="6"/>
      <c r="AZ2" s="6"/>
      <c r="BA2" s="7"/>
      <c r="BB2" s="7"/>
      <c r="BC2" s="7"/>
      <c r="BD2" s="7"/>
      <c r="BE2" s="7"/>
      <c r="BF2" s="7"/>
    </row>
    <row r="3" spans="1:58">
      <c r="A3" s="1" t="s">
        <v>2</v>
      </c>
      <c r="B3" s="2"/>
      <c r="C3" s="2"/>
      <c r="D3" s="3"/>
      <c r="E3" s="10"/>
      <c r="F3" s="11"/>
      <c r="G3" s="6"/>
      <c r="H3" s="6"/>
      <c r="I3" s="6"/>
      <c r="J3" s="6"/>
      <c r="K3" s="6"/>
      <c r="L3" s="6"/>
      <c r="M3" s="6"/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5"/>
      <c r="AB3" s="6"/>
      <c r="AC3" s="5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8"/>
      <c r="AQ3" s="6"/>
      <c r="AR3" s="6"/>
      <c r="AS3" s="6"/>
      <c r="AT3" s="6"/>
      <c r="AU3" s="6"/>
      <c r="AV3" s="6"/>
      <c r="AW3" s="6"/>
      <c r="AX3" s="6"/>
      <c r="AY3" s="6"/>
      <c r="AZ3" s="6"/>
      <c r="BA3" s="7"/>
      <c r="BB3" s="7"/>
      <c r="BC3" s="7"/>
      <c r="BD3" s="10"/>
      <c r="BE3" s="7"/>
      <c r="BF3" s="7"/>
    </row>
    <row r="4" spans="1:58">
      <c r="A4" s="1" t="s">
        <v>212</v>
      </c>
      <c r="B4" s="2"/>
      <c r="C4" s="2"/>
      <c r="D4" s="3"/>
      <c r="E4" s="10"/>
      <c r="F4" s="12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13"/>
      <c r="Y4" s="6"/>
      <c r="Z4" s="6"/>
      <c r="AA4" s="5"/>
      <c r="AB4" s="6"/>
      <c r="AC4" s="14"/>
      <c r="AD4" s="7"/>
      <c r="AE4" s="15"/>
      <c r="AF4" s="16"/>
      <c r="AG4" s="7"/>
      <c r="AH4" s="6"/>
      <c r="AI4" s="6"/>
      <c r="AJ4" s="6"/>
      <c r="AK4" s="6"/>
      <c r="AL4" s="6"/>
      <c r="AM4" s="6"/>
      <c r="AN4" s="6"/>
      <c r="AO4" s="6"/>
      <c r="AP4" s="8"/>
      <c r="AQ4" s="6"/>
      <c r="AR4" s="6"/>
      <c r="AS4" s="6"/>
      <c r="AT4" s="6"/>
      <c r="AU4" s="6"/>
      <c r="AV4" s="6"/>
      <c r="AW4" s="6"/>
      <c r="AX4" s="6"/>
      <c r="AY4" s="6"/>
      <c r="AZ4" s="6"/>
      <c r="BA4" s="16"/>
      <c r="BB4" s="16"/>
      <c r="BC4" s="16"/>
      <c r="BD4" s="207"/>
      <c r="BE4" s="16"/>
      <c r="BF4" s="7"/>
    </row>
    <row r="5" spans="1:58">
      <c r="A5" s="1" t="s">
        <v>3</v>
      </c>
      <c r="B5" s="2"/>
      <c r="C5" s="2"/>
      <c r="D5" s="3"/>
      <c r="E5" s="10"/>
      <c r="F5" s="5"/>
      <c r="G5" s="6"/>
      <c r="H5" s="6"/>
      <c r="I5" s="6"/>
      <c r="J5" s="6"/>
      <c r="K5" s="6"/>
      <c r="L5" s="6"/>
      <c r="M5" s="6"/>
      <c r="N5" s="7"/>
      <c r="O5" s="6"/>
      <c r="P5" s="6"/>
      <c r="Q5" s="6"/>
      <c r="R5" s="6"/>
      <c r="S5" s="6"/>
      <c r="T5" s="6"/>
      <c r="U5" s="6"/>
      <c r="V5" s="6"/>
      <c r="W5" s="6"/>
      <c r="X5" s="13"/>
      <c r="Y5" s="6"/>
      <c r="Z5" s="6"/>
      <c r="AA5" s="5"/>
      <c r="AB5" s="6"/>
      <c r="AC5" s="14"/>
      <c r="AD5" s="7"/>
      <c r="AE5" s="15"/>
      <c r="AF5" s="16"/>
      <c r="AG5" s="7"/>
      <c r="AH5" s="13" t="s">
        <v>597</v>
      </c>
      <c r="AI5" s="13" t="s">
        <v>597</v>
      </c>
      <c r="AJ5" s="6"/>
      <c r="AK5" s="6"/>
      <c r="AL5" s="6"/>
      <c r="AM5" s="6"/>
      <c r="AN5" s="6"/>
      <c r="AO5" s="17"/>
      <c r="AP5" s="18"/>
      <c r="AQ5" s="6"/>
      <c r="AR5" s="6"/>
      <c r="AS5" s="6"/>
      <c r="AT5" s="6"/>
      <c r="AU5" s="17"/>
      <c r="AV5" s="6"/>
      <c r="AW5" s="6"/>
      <c r="AX5" s="6"/>
      <c r="AY5" s="17"/>
      <c r="AZ5" s="6"/>
      <c r="BA5" s="16"/>
      <c r="BB5" s="16"/>
      <c r="BC5" s="16"/>
      <c r="BD5" s="207"/>
      <c r="BE5" s="16"/>
      <c r="BF5" s="7"/>
    </row>
    <row r="6" spans="1:58">
      <c r="A6" s="19"/>
      <c r="B6" s="20"/>
      <c r="C6" s="20"/>
      <c r="D6" s="19"/>
      <c r="E6" s="21"/>
      <c r="F6" s="22"/>
      <c r="G6" s="23"/>
      <c r="H6" s="23"/>
      <c r="I6" s="24"/>
      <c r="J6" s="23"/>
      <c r="K6" s="23"/>
      <c r="L6" s="25"/>
      <c r="M6" s="23"/>
      <c r="N6" s="26"/>
      <c r="O6" s="23"/>
      <c r="P6" s="23"/>
      <c r="Q6" s="23"/>
      <c r="R6" s="23"/>
      <c r="S6" s="23" t="s">
        <v>383</v>
      </c>
      <c r="T6" s="23"/>
      <c r="U6" s="23"/>
      <c r="V6" s="25"/>
      <c r="W6" s="23"/>
      <c r="X6" s="24"/>
      <c r="Y6" s="25"/>
      <c r="Z6" s="25"/>
      <c r="AB6" s="17"/>
      <c r="AC6" s="23" t="s">
        <v>579</v>
      </c>
      <c r="AD6" s="26"/>
      <c r="AE6" s="27"/>
      <c r="AF6" s="16"/>
      <c r="AG6" s="26"/>
      <c r="AH6" s="23" t="s">
        <v>596</v>
      </c>
      <c r="AI6" s="23" t="s">
        <v>369</v>
      </c>
      <c r="AJ6" s="17" t="s">
        <v>370</v>
      </c>
      <c r="AK6" s="17" t="s">
        <v>372</v>
      </c>
      <c r="AL6" s="17"/>
      <c r="AM6" s="18" t="s">
        <v>373</v>
      </c>
      <c r="AN6" s="18" t="s">
        <v>374</v>
      </c>
      <c r="AO6" s="18"/>
      <c r="AP6" s="18"/>
      <c r="AQ6" s="18"/>
      <c r="AR6" s="17"/>
      <c r="AS6" s="17" t="s">
        <v>375</v>
      </c>
      <c r="AT6" s="17"/>
      <c r="AU6" s="17" t="s">
        <v>376</v>
      </c>
      <c r="AV6" s="17" t="s">
        <v>377</v>
      </c>
      <c r="AW6" s="17"/>
      <c r="AX6" s="17"/>
      <c r="AY6" s="17" t="s">
        <v>378</v>
      </c>
      <c r="AZ6" s="17"/>
      <c r="BA6" s="265" t="s">
        <v>379</v>
      </c>
      <c r="BB6" s="265" t="s">
        <v>380</v>
      </c>
      <c r="BC6" s="265" t="s">
        <v>381</v>
      </c>
      <c r="BD6" s="265" t="s">
        <v>382</v>
      </c>
      <c r="BE6" s="265"/>
      <c r="BF6" s="26"/>
    </row>
    <row r="7" spans="1:58">
      <c r="A7" s="28"/>
      <c r="B7" s="29"/>
      <c r="C7" s="30"/>
      <c r="D7" s="31"/>
      <c r="E7" s="32"/>
      <c r="F7" s="33"/>
      <c r="G7" s="33"/>
      <c r="H7" s="33"/>
      <c r="I7" s="33"/>
      <c r="J7" s="33"/>
      <c r="K7" s="33"/>
      <c r="L7" s="32"/>
      <c r="M7" s="33"/>
      <c r="N7" s="33"/>
      <c r="O7" s="33"/>
      <c r="P7" s="32"/>
      <c r="Q7" s="33"/>
      <c r="R7" s="33"/>
      <c r="S7" s="33"/>
      <c r="T7" s="32"/>
      <c r="U7" s="32"/>
      <c r="V7" s="32"/>
      <c r="W7" s="33"/>
      <c r="X7" s="32"/>
      <c r="Y7" s="76"/>
      <c r="Z7" s="76"/>
      <c r="AA7" s="76"/>
      <c r="AB7" s="76"/>
      <c r="AC7" s="32"/>
      <c r="AD7" s="32"/>
      <c r="AE7" s="32"/>
      <c r="AF7" s="32"/>
      <c r="AG7" s="33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3"/>
    </row>
    <row r="8" spans="1:58">
      <c r="A8" s="35"/>
      <c r="B8" s="36"/>
      <c r="C8" s="37"/>
      <c r="D8" s="38"/>
      <c r="E8" s="39" t="s">
        <v>4</v>
      </c>
      <c r="F8" s="40" t="s">
        <v>189</v>
      </c>
      <c r="G8" s="40" t="s">
        <v>5</v>
      </c>
      <c r="H8" s="40" t="s">
        <v>6</v>
      </c>
      <c r="I8" s="40" t="s">
        <v>7</v>
      </c>
      <c r="J8" s="40" t="s">
        <v>8</v>
      </c>
      <c r="K8" s="40"/>
      <c r="L8" s="39"/>
      <c r="M8" s="40" t="s">
        <v>9</v>
      </c>
      <c r="N8" s="40"/>
      <c r="O8" s="40" t="s">
        <v>10</v>
      </c>
      <c r="P8" s="39"/>
      <c r="Q8" s="40"/>
      <c r="R8" s="40"/>
      <c r="S8" s="40" t="s">
        <v>11</v>
      </c>
      <c r="T8" s="39"/>
      <c r="U8" s="39" t="s">
        <v>10</v>
      </c>
      <c r="V8" s="39" t="s">
        <v>12</v>
      </c>
      <c r="W8" s="40" t="s">
        <v>10</v>
      </c>
      <c r="X8" s="39" t="s">
        <v>13</v>
      </c>
      <c r="Y8" s="77" t="s">
        <v>14</v>
      </c>
      <c r="Z8" s="77"/>
      <c r="AA8" s="77" t="s">
        <v>15</v>
      </c>
      <c r="AB8" s="77"/>
      <c r="AC8" s="39" t="s">
        <v>14</v>
      </c>
      <c r="AD8" s="39"/>
      <c r="AE8" s="39"/>
      <c r="AF8" s="39"/>
      <c r="AG8" s="40"/>
      <c r="AH8" s="78" t="s">
        <v>59</v>
      </c>
      <c r="AI8" s="78" t="s">
        <v>59</v>
      </c>
      <c r="AJ8" s="78" t="s">
        <v>59</v>
      </c>
      <c r="AK8" s="78" t="s">
        <v>59</v>
      </c>
      <c r="AL8" s="78" t="s">
        <v>16</v>
      </c>
      <c r="AM8" s="78" t="s">
        <v>59</v>
      </c>
      <c r="AN8" s="78" t="s">
        <v>59</v>
      </c>
      <c r="AO8" s="78" t="s">
        <v>16</v>
      </c>
      <c r="AP8" s="78" t="s">
        <v>59</v>
      </c>
      <c r="AQ8" s="78" t="s">
        <v>59</v>
      </c>
      <c r="AR8" s="78" t="s">
        <v>59</v>
      </c>
      <c r="AS8" s="78" t="s">
        <v>59</v>
      </c>
      <c r="AT8" s="78" t="s">
        <v>59</v>
      </c>
      <c r="AU8" s="78" t="s">
        <v>59</v>
      </c>
      <c r="AV8" s="78" t="s">
        <v>59</v>
      </c>
      <c r="AW8" s="78" t="s">
        <v>59</v>
      </c>
      <c r="AX8" s="78" t="s">
        <v>59</v>
      </c>
      <c r="AY8" s="78" t="s">
        <v>59</v>
      </c>
      <c r="AZ8" s="78" t="s">
        <v>59</v>
      </c>
      <c r="BA8" s="78"/>
      <c r="BB8" s="78" t="s">
        <v>255</v>
      </c>
      <c r="BC8" s="78"/>
      <c r="BD8" s="78"/>
      <c r="BE8" s="78" t="s">
        <v>59</v>
      </c>
      <c r="BF8" s="40" t="s">
        <v>188</v>
      </c>
    </row>
    <row r="9" spans="1:58">
      <c r="A9" s="35" t="s">
        <v>17</v>
      </c>
      <c r="B9" s="36"/>
      <c r="C9" s="37"/>
      <c r="D9" s="38"/>
      <c r="E9" s="39" t="s">
        <v>18</v>
      </c>
      <c r="F9" s="40" t="s">
        <v>19</v>
      </c>
      <c r="G9" s="40" t="s">
        <v>20</v>
      </c>
      <c r="H9" s="40" t="s">
        <v>21</v>
      </c>
      <c r="I9" s="40" t="s">
        <v>22</v>
      </c>
      <c r="J9" s="40" t="s">
        <v>23</v>
      </c>
      <c r="K9" s="40" t="s">
        <v>24</v>
      </c>
      <c r="L9" s="39" t="s">
        <v>25</v>
      </c>
      <c r="M9" s="40" t="s">
        <v>26</v>
      </c>
      <c r="N9" s="40" t="s">
        <v>27</v>
      </c>
      <c r="O9" s="40" t="s">
        <v>28</v>
      </c>
      <c r="P9" s="39" t="s">
        <v>29</v>
      </c>
      <c r="Q9" s="40" t="s">
        <v>30</v>
      </c>
      <c r="R9" s="40" t="s">
        <v>31</v>
      </c>
      <c r="S9" s="40" t="s">
        <v>32</v>
      </c>
      <c r="T9" s="39"/>
      <c r="U9" s="39" t="s">
        <v>33</v>
      </c>
      <c r="V9" s="39" t="s">
        <v>9</v>
      </c>
      <c r="W9" s="40" t="s">
        <v>34</v>
      </c>
      <c r="X9" s="39" t="s">
        <v>35</v>
      </c>
      <c r="Y9" s="77" t="s">
        <v>36</v>
      </c>
      <c r="Z9" s="40" t="s">
        <v>37</v>
      </c>
      <c r="AA9" s="40" t="s">
        <v>38</v>
      </c>
      <c r="AB9" s="77" t="s">
        <v>39</v>
      </c>
      <c r="AC9" s="39" t="s">
        <v>40</v>
      </c>
      <c r="AD9" s="40"/>
      <c r="AE9" s="39"/>
      <c r="AF9" s="40"/>
      <c r="AG9" s="40" t="s">
        <v>41</v>
      </c>
      <c r="AH9" s="78" t="s">
        <v>42</v>
      </c>
      <c r="AI9" s="78" t="s">
        <v>43</v>
      </c>
      <c r="AJ9" s="39" t="s">
        <v>44</v>
      </c>
      <c r="AK9" s="39" t="s">
        <v>44</v>
      </c>
      <c r="AL9" s="40" t="s">
        <v>45</v>
      </c>
      <c r="AM9" s="39" t="s">
        <v>46</v>
      </c>
      <c r="AN9" s="39" t="s">
        <v>46</v>
      </c>
      <c r="AO9" s="40" t="s">
        <v>47</v>
      </c>
      <c r="AP9" s="39" t="s">
        <v>48</v>
      </c>
      <c r="AQ9" s="39" t="s">
        <v>49</v>
      </c>
      <c r="AR9" s="39" t="s">
        <v>50</v>
      </c>
      <c r="AS9" s="39" t="s">
        <v>51</v>
      </c>
      <c r="AT9" s="40" t="s">
        <v>52</v>
      </c>
      <c r="AU9" s="39" t="s">
        <v>53</v>
      </c>
      <c r="AV9" s="39" t="s">
        <v>54</v>
      </c>
      <c r="AW9" s="39" t="s">
        <v>55</v>
      </c>
      <c r="AX9" s="40" t="s">
        <v>56</v>
      </c>
      <c r="AY9" s="39" t="s">
        <v>57</v>
      </c>
      <c r="AZ9" s="40" t="s">
        <v>58</v>
      </c>
      <c r="BA9" s="39" t="s">
        <v>259</v>
      </c>
      <c r="BB9" s="39" t="s">
        <v>256</v>
      </c>
      <c r="BC9" s="78" t="s">
        <v>255</v>
      </c>
      <c r="BD9" s="39" t="s">
        <v>24</v>
      </c>
      <c r="BE9" s="40" t="s">
        <v>208</v>
      </c>
      <c r="BF9" s="40" t="s">
        <v>59</v>
      </c>
    </row>
    <row r="10" spans="1:58">
      <c r="A10" s="41" t="s">
        <v>60</v>
      </c>
      <c r="B10" s="42"/>
      <c r="C10" s="43"/>
      <c r="D10" s="44" t="s">
        <v>61</v>
      </c>
      <c r="E10" s="45" t="s">
        <v>62</v>
      </c>
      <c r="F10" s="46" t="s">
        <v>63</v>
      </c>
      <c r="G10" s="46" t="s">
        <v>64</v>
      </c>
      <c r="H10" s="46" t="s">
        <v>65</v>
      </c>
      <c r="I10" s="46" t="s">
        <v>21</v>
      </c>
      <c r="J10" s="46" t="s">
        <v>66</v>
      </c>
      <c r="K10" s="46" t="s">
        <v>67</v>
      </c>
      <c r="L10" s="45" t="s">
        <v>68</v>
      </c>
      <c r="M10" s="46" t="s">
        <v>42</v>
      </c>
      <c r="N10" s="46" t="s">
        <v>69</v>
      </c>
      <c r="O10" s="46" t="s">
        <v>70</v>
      </c>
      <c r="P10" s="45" t="s">
        <v>71</v>
      </c>
      <c r="Q10" s="46" t="s">
        <v>72</v>
      </c>
      <c r="R10" s="46" t="s">
        <v>72</v>
      </c>
      <c r="S10" s="46" t="s">
        <v>73</v>
      </c>
      <c r="T10" s="45" t="s">
        <v>74</v>
      </c>
      <c r="U10" s="45" t="s">
        <v>75</v>
      </c>
      <c r="V10" s="45" t="s">
        <v>76</v>
      </c>
      <c r="W10" s="46" t="s">
        <v>77</v>
      </c>
      <c r="X10" s="45" t="s">
        <v>78</v>
      </c>
      <c r="Y10" s="79" t="s">
        <v>70</v>
      </c>
      <c r="Z10" s="46" t="s">
        <v>79</v>
      </c>
      <c r="AA10" s="46"/>
      <c r="AB10" s="79" t="s">
        <v>80</v>
      </c>
      <c r="AC10" s="45" t="s">
        <v>81</v>
      </c>
      <c r="AD10" s="46"/>
      <c r="AE10" s="45"/>
      <c r="AF10" s="46"/>
      <c r="AG10" s="46" t="s">
        <v>82</v>
      </c>
      <c r="AH10" s="45" t="s">
        <v>83</v>
      </c>
      <c r="AI10" s="45" t="s">
        <v>84</v>
      </c>
      <c r="AJ10" s="45" t="s">
        <v>85</v>
      </c>
      <c r="AK10" s="45" t="s">
        <v>86</v>
      </c>
      <c r="AL10" s="46" t="s">
        <v>87</v>
      </c>
      <c r="AM10" s="197" t="s">
        <v>88</v>
      </c>
      <c r="AN10" s="197" t="s">
        <v>89</v>
      </c>
      <c r="AO10" s="80" t="s">
        <v>90</v>
      </c>
      <c r="AP10" s="45" t="s">
        <v>91</v>
      </c>
      <c r="AQ10" s="45" t="s">
        <v>92</v>
      </c>
      <c r="AR10" s="45" t="s">
        <v>93</v>
      </c>
      <c r="AS10" s="45" t="s">
        <v>9</v>
      </c>
      <c r="AT10" s="46" t="s">
        <v>94</v>
      </c>
      <c r="AU10" s="45" t="s">
        <v>95</v>
      </c>
      <c r="AV10" s="45"/>
      <c r="AW10" s="45" t="s">
        <v>72</v>
      </c>
      <c r="AX10" s="46" t="s">
        <v>96</v>
      </c>
      <c r="AY10" s="45"/>
      <c r="AZ10" s="46" t="s">
        <v>97</v>
      </c>
      <c r="BA10" s="45" t="s">
        <v>57</v>
      </c>
      <c r="BB10" s="45" t="s">
        <v>257</v>
      </c>
      <c r="BC10" s="45" t="s">
        <v>258</v>
      </c>
      <c r="BD10" s="45" t="s">
        <v>260</v>
      </c>
      <c r="BE10" s="46" t="s">
        <v>211</v>
      </c>
      <c r="BF10" s="46" t="s">
        <v>82</v>
      </c>
    </row>
    <row r="11" spans="1:58">
      <c r="A11" s="47"/>
      <c r="B11" s="48"/>
      <c r="C11" s="48"/>
      <c r="D11" s="48" t="s">
        <v>98</v>
      </c>
      <c r="E11" s="49" t="s">
        <v>99</v>
      </c>
      <c r="F11" s="15" t="s">
        <v>100</v>
      </c>
      <c r="G11" s="15" t="s">
        <v>101</v>
      </c>
      <c r="H11" s="15" t="s">
        <v>102</v>
      </c>
      <c r="I11" s="15" t="s">
        <v>103</v>
      </c>
      <c r="J11" s="15" t="s">
        <v>104</v>
      </c>
      <c r="K11" s="15" t="s">
        <v>105</v>
      </c>
      <c r="L11" s="15" t="s">
        <v>106</v>
      </c>
      <c r="M11" s="15" t="s">
        <v>107</v>
      </c>
      <c r="N11" s="15" t="s">
        <v>108</v>
      </c>
      <c r="O11" s="15" t="s">
        <v>109</v>
      </c>
      <c r="P11" s="15" t="s">
        <v>110</v>
      </c>
      <c r="Q11" s="15" t="s">
        <v>111</v>
      </c>
      <c r="R11" s="15" t="s">
        <v>112</v>
      </c>
      <c r="S11" s="15" t="s">
        <v>113</v>
      </c>
      <c r="T11" s="81" t="s">
        <v>114</v>
      </c>
      <c r="U11" s="81" t="s">
        <v>115</v>
      </c>
      <c r="V11" s="15" t="s">
        <v>116</v>
      </c>
      <c r="W11" s="15" t="s">
        <v>117</v>
      </c>
      <c r="X11" s="15" t="s">
        <v>118</v>
      </c>
      <c r="Y11" s="15" t="s">
        <v>119</v>
      </c>
      <c r="Z11" s="15" t="s">
        <v>120</v>
      </c>
      <c r="AA11" s="15" t="s">
        <v>121</v>
      </c>
      <c r="AB11" s="50" t="s">
        <v>122</v>
      </c>
      <c r="AC11" s="81" t="s">
        <v>123</v>
      </c>
      <c r="AD11" s="50"/>
      <c r="AE11" s="50"/>
      <c r="AF11" s="50"/>
      <c r="AG11" s="50" t="s">
        <v>124</v>
      </c>
      <c r="AH11" s="81" t="s">
        <v>125</v>
      </c>
      <c r="AI11" s="81" t="s">
        <v>126</v>
      </c>
      <c r="AJ11" s="15" t="s">
        <v>127</v>
      </c>
      <c r="AK11" s="15" t="s">
        <v>128</v>
      </c>
      <c r="AL11" s="15" t="s">
        <v>129</v>
      </c>
      <c r="AM11" s="15" t="s">
        <v>130</v>
      </c>
      <c r="AN11" s="15" t="s">
        <v>131</v>
      </c>
      <c r="AO11" s="15" t="s">
        <v>132</v>
      </c>
      <c r="AP11" s="15" t="s">
        <v>133</v>
      </c>
      <c r="AQ11" s="15" t="s">
        <v>134</v>
      </c>
      <c r="AR11" s="15" t="s">
        <v>135</v>
      </c>
      <c r="AS11" s="15" t="s">
        <v>136</v>
      </c>
      <c r="AT11" s="15" t="s">
        <v>137</v>
      </c>
      <c r="AU11" s="15" t="s">
        <v>138</v>
      </c>
      <c r="AV11" s="15" t="s">
        <v>139</v>
      </c>
      <c r="AW11" s="15" t="s">
        <v>140</v>
      </c>
      <c r="AX11" s="15" t="s">
        <v>141</v>
      </c>
      <c r="AY11" s="15" t="s">
        <v>142</v>
      </c>
      <c r="AZ11" s="15" t="s">
        <v>143</v>
      </c>
      <c r="BA11" s="15"/>
      <c r="BB11" s="15"/>
      <c r="BC11" s="15"/>
      <c r="BD11" s="15"/>
      <c r="BE11" s="15"/>
      <c r="BF11" s="15" t="s">
        <v>144</v>
      </c>
    </row>
    <row r="12" spans="1:58">
      <c r="A12" s="3"/>
      <c r="B12" s="2"/>
      <c r="C12" s="2"/>
      <c r="D12" s="2"/>
      <c r="E12" s="10"/>
      <c r="F12" s="5"/>
      <c r="G12" s="6"/>
      <c r="H12" s="6"/>
      <c r="I12" s="6"/>
      <c r="J12" s="6"/>
      <c r="K12" s="6"/>
      <c r="L12" s="6"/>
      <c r="M12" s="6"/>
      <c r="N12" s="7"/>
      <c r="O12" s="6"/>
      <c r="P12" s="6"/>
      <c r="Q12" s="6"/>
      <c r="R12" s="6"/>
      <c r="S12" s="6"/>
      <c r="T12" s="51"/>
      <c r="U12" s="6"/>
      <c r="V12" s="6"/>
      <c r="W12" s="6"/>
      <c r="X12" s="6"/>
      <c r="Y12" s="6"/>
      <c r="Z12" s="6"/>
      <c r="AA12" s="6"/>
      <c r="AB12" s="6"/>
      <c r="AC12" s="52"/>
      <c r="AD12" s="7"/>
      <c r="AE12" s="7"/>
      <c r="AF12" s="7"/>
      <c r="AG12" s="7"/>
      <c r="AH12" s="51"/>
      <c r="AI12" s="51"/>
      <c r="AJ12" s="6"/>
      <c r="AK12" s="6"/>
      <c r="AL12" s="6"/>
      <c r="AM12" s="6"/>
      <c r="AN12" s="6"/>
      <c r="AO12" s="6"/>
      <c r="AP12" s="8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7"/>
      <c r="BB12" s="7"/>
      <c r="BC12" s="7"/>
      <c r="BD12" s="7"/>
      <c r="BE12" s="7"/>
      <c r="BF12" s="7"/>
    </row>
    <row r="13" spans="1:58">
      <c r="A13" s="3"/>
      <c r="B13" s="2" t="s">
        <v>145</v>
      </c>
      <c r="C13" s="2"/>
      <c r="D13" s="2"/>
      <c r="E13" s="10"/>
      <c r="F13" s="5"/>
      <c r="G13" s="6"/>
      <c r="H13" s="6"/>
      <c r="I13" s="6"/>
      <c r="J13" s="6"/>
      <c r="K13" s="6"/>
      <c r="L13" s="6"/>
      <c r="M13" s="6"/>
      <c r="N13" s="7"/>
      <c r="O13" s="6"/>
      <c r="P13" s="6"/>
      <c r="Q13" s="6"/>
      <c r="R13" s="6"/>
      <c r="S13" s="6"/>
      <c r="T13" s="51"/>
      <c r="U13" s="6"/>
      <c r="V13" s="6"/>
      <c r="W13" s="6"/>
      <c r="X13" s="6"/>
      <c r="Y13" s="6"/>
      <c r="Z13" s="6"/>
      <c r="AA13" s="6"/>
      <c r="AB13" s="6"/>
      <c r="AC13" s="52"/>
      <c r="AD13" s="7"/>
      <c r="AE13" s="7"/>
      <c r="AF13" s="7"/>
      <c r="AG13" s="7"/>
      <c r="AH13" s="51"/>
      <c r="AI13" s="51"/>
      <c r="AJ13" s="6"/>
      <c r="AK13" s="6"/>
      <c r="AL13" s="6"/>
      <c r="AM13" s="6"/>
      <c r="AN13" s="6"/>
      <c r="AO13" s="6"/>
      <c r="AP13" s="8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7"/>
      <c r="BB13" s="7"/>
      <c r="BC13" s="7"/>
      <c r="BD13" s="7"/>
      <c r="BE13" s="7"/>
      <c r="BF13" s="7"/>
    </row>
    <row r="14" spans="1:58">
      <c r="A14" s="53">
        <v>1</v>
      </c>
      <c r="B14" s="54" t="s">
        <v>146</v>
      </c>
      <c r="C14" s="54"/>
      <c r="D14" s="54"/>
      <c r="E14" s="55">
        <v>407849</v>
      </c>
      <c r="F14" s="56"/>
      <c r="G14" s="57"/>
      <c r="H14" s="57"/>
      <c r="I14" s="57"/>
      <c r="J14" s="57"/>
      <c r="K14" s="57"/>
      <c r="L14" s="57"/>
      <c r="M14" s="57"/>
      <c r="N14" s="58">
        <f>SUM(E14:M14)</f>
        <v>407849</v>
      </c>
      <c r="O14" s="59">
        <v>-13744</v>
      </c>
      <c r="P14" s="57"/>
      <c r="Q14" s="57"/>
      <c r="R14" s="57"/>
      <c r="S14" s="57"/>
      <c r="T14" s="57"/>
      <c r="U14" s="59">
        <v>-32702</v>
      </c>
      <c r="V14" s="57"/>
      <c r="W14" s="57"/>
      <c r="X14" s="57"/>
      <c r="Y14" s="57"/>
      <c r="Z14" s="57"/>
      <c r="AA14" s="59">
        <v>28750</v>
      </c>
      <c r="AB14" s="57"/>
      <c r="AC14" s="56"/>
      <c r="AD14" s="59"/>
      <c r="AE14" s="59"/>
      <c r="AF14" s="59"/>
      <c r="AG14" s="58">
        <f>SUM(N14:AC14)</f>
        <v>390153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8"/>
      <c r="BB14" s="58"/>
      <c r="BC14" s="58"/>
      <c r="BD14" s="58"/>
      <c r="BE14" s="58">
        <f>SUM(AH14:BD14)</f>
        <v>0</v>
      </c>
      <c r="BF14" s="58">
        <f>+BE14+AG14</f>
        <v>390153</v>
      </c>
    </row>
    <row r="15" spans="1:58">
      <c r="A15" s="53">
        <v>2</v>
      </c>
      <c r="B15" s="60" t="s">
        <v>147</v>
      </c>
      <c r="C15" s="60"/>
      <c r="D15" s="60"/>
      <c r="E15" s="61">
        <v>800</v>
      </c>
      <c r="F15" s="63"/>
      <c r="G15" s="63"/>
      <c r="H15" s="63"/>
      <c r="I15" s="63"/>
      <c r="J15" s="63"/>
      <c r="K15" s="63"/>
      <c r="L15" s="63"/>
      <c r="M15" s="63"/>
      <c r="N15" s="58">
        <f>SUM(E15:M15)</f>
        <v>800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58">
        <f>SUM(N15:AC15)</f>
        <v>800</v>
      </c>
      <c r="AH15" s="63"/>
      <c r="AI15" s="63"/>
      <c r="AJ15" s="63"/>
      <c r="AK15" s="63"/>
      <c r="AL15" s="63"/>
      <c r="AM15" s="63"/>
      <c r="AN15" s="63"/>
      <c r="AO15" s="63"/>
      <c r="AP15" s="61"/>
      <c r="AQ15" s="63"/>
      <c r="AR15" s="63"/>
      <c r="AS15" s="63"/>
      <c r="AT15" s="63"/>
      <c r="AU15" s="63"/>
      <c r="AV15" s="63"/>
      <c r="AW15" s="63"/>
      <c r="AX15" s="62"/>
      <c r="AY15" s="62"/>
      <c r="AZ15" s="62"/>
      <c r="BA15" s="63"/>
      <c r="BB15" s="63"/>
      <c r="BC15" s="63"/>
      <c r="BD15" s="63"/>
      <c r="BE15" s="58">
        <f>SUM(AH15:BD15)</f>
        <v>0</v>
      </c>
      <c r="BF15" s="58">
        <f>+BE15+AG15</f>
        <v>800</v>
      </c>
    </row>
    <row r="16" spans="1:58">
      <c r="A16" s="53">
        <v>3</v>
      </c>
      <c r="B16" s="60" t="s">
        <v>148</v>
      </c>
      <c r="C16" s="60"/>
      <c r="D16" s="60"/>
      <c r="E16" s="64">
        <v>126479</v>
      </c>
      <c r="F16" s="66"/>
      <c r="G16" s="66"/>
      <c r="H16" s="66"/>
      <c r="I16" s="66"/>
      <c r="J16" s="66"/>
      <c r="K16" s="66"/>
      <c r="L16" s="66"/>
      <c r="M16" s="66"/>
      <c r="N16" s="98">
        <f>SUM(E16:M16)</f>
        <v>126479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98">
        <f>SUM(N16:AC16)</f>
        <v>126479</v>
      </c>
      <c r="AH16" s="66">
        <v>-56623</v>
      </c>
      <c r="AI16" s="66">
        <f>'C-1'!E14</f>
        <v>-3349.804768</v>
      </c>
      <c r="AJ16" s="66"/>
      <c r="AK16" s="66"/>
      <c r="AL16" s="66"/>
      <c r="AM16" s="66"/>
      <c r="AN16" s="66"/>
      <c r="AO16" s="66"/>
      <c r="AP16" s="64"/>
      <c r="AQ16" s="66"/>
      <c r="AR16" s="66"/>
      <c r="AS16" s="66"/>
      <c r="AT16" s="66"/>
      <c r="AU16" s="66"/>
      <c r="AV16" s="66"/>
      <c r="AW16" s="66"/>
      <c r="AX16" s="65"/>
      <c r="AY16" s="65"/>
      <c r="AZ16" s="65"/>
      <c r="BA16" s="66"/>
      <c r="BB16" s="66"/>
      <c r="BC16" s="66"/>
      <c r="BD16" s="66"/>
      <c r="BE16" s="98">
        <f>SUM(AH16:BD16)</f>
        <v>-59972.804768000002</v>
      </c>
      <c r="BF16" s="98">
        <f>+BE16+AG16</f>
        <v>66506.195231999998</v>
      </c>
    </row>
    <row r="17" spans="1:58">
      <c r="A17" s="53">
        <v>4</v>
      </c>
      <c r="B17" s="60"/>
      <c r="C17" s="60" t="s">
        <v>149</v>
      </c>
      <c r="D17" s="60"/>
      <c r="E17" s="67">
        <f t="shared" ref="E17:AC17" si="0">SUM(E14:E16)</f>
        <v>535128</v>
      </c>
      <c r="F17" s="60">
        <f t="shared" si="0"/>
        <v>0</v>
      </c>
      <c r="G17" s="60">
        <f t="shared" si="0"/>
        <v>0</v>
      </c>
      <c r="H17" s="60">
        <f t="shared" si="0"/>
        <v>0</v>
      </c>
      <c r="I17" s="60">
        <f t="shared" si="0"/>
        <v>0</v>
      </c>
      <c r="J17" s="60">
        <f t="shared" si="0"/>
        <v>0</v>
      </c>
      <c r="K17" s="60">
        <f t="shared" si="0"/>
        <v>0</v>
      </c>
      <c r="L17" s="60">
        <f t="shared" si="0"/>
        <v>0</v>
      </c>
      <c r="M17" s="60">
        <f t="shared" si="0"/>
        <v>0</v>
      </c>
      <c r="N17" s="60">
        <f t="shared" si="0"/>
        <v>535128</v>
      </c>
      <c r="O17" s="60">
        <f t="shared" si="0"/>
        <v>-13744</v>
      </c>
      <c r="P17" s="60">
        <f t="shared" si="0"/>
        <v>0</v>
      </c>
      <c r="Q17" s="60">
        <f t="shared" si="0"/>
        <v>0</v>
      </c>
      <c r="R17" s="60">
        <f t="shared" si="0"/>
        <v>0</v>
      </c>
      <c r="S17" s="60">
        <f t="shared" si="0"/>
        <v>0</v>
      </c>
      <c r="T17" s="60">
        <f t="shared" si="0"/>
        <v>0</v>
      </c>
      <c r="U17" s="60">
        <f t="shared" si="0"/>
        <v>-32702</v>
      </c>
      <c r="V17" s="60">
        <f t="shared" si="0"/>
        <v>0</v>
      </c>
      <c r="W17" s="60">
        <f t="shared" si="0"/>
        <v>0</v>
      </c>
      <c r="X17" s="60">
        <f t="shared" si="0"/>
        <v>0</v>
      </c>
      <c r="Y17" s="60">
        <f t="shared" si="0"/>
        <v>0</v>
      </c>
      <c r="Z17" s="60">
        <f t="shared" si="0"/>
        <v>0</v>
      </c>
      <c r="AA17" s="60">
        <f t="shared" si="0"/>
        <v>28750</v>
      </c>
      <c r="AB17" s="60">
        <f t="shared" si="0"/>
        <v>0</v>
      </c>
      <c r="AC17" s="60">
        <f t="shared" si="0"/>
        <v>0</v>
      </c>
      <c r="AD17" s="60"/>
      <c r="AE17" s="60"/>
      <c r="AF17" s="60"/>
      <c r="AG17" s="60">
        <f t="shared" ref="AG17:AN17" si="1">SUM(AG14:AG16)</f>
        <v>517432</v>
      </c>
      <c r="AH17" s="60">
        <f t="shared" si="1"/>
        <v>-56623</v>
      </c>
      <c r="AI17" s="60">
        <f t="shared" si="1"/>
        <v>-3349.804768</v>
      </c>
      <c r="AJ17" s="60">
        <f t="shared" si="1"/>
        <v>0</v>
      </c>
      <c r="AK17" s="60">
        <f t="shared" si="1"/>
        <v>0</v>
      </c>
      <c r="AL17" s="60">
        <f t="shared" si="1"/>
        <v>0</v>
      </c>
      <c r="AM17" s="60">
        <f t="shared" si="1"/>
        <v>0</v>
      </c>
      <c r="AN17" s="60">
        <f t="shared" si="1"/>
        <v>0</v>
      </c>
      <c r="AO17" s="60">
        <f>SUM(AO14:AO16)</f>
        <v>0</v>
      </c>
      <c r="AP17" s="67">
        <f t="shared" ref="AP17:AZ17" si="2">SUM(AP14:AP16)</f>
        <v>0</v>
      </c>
      <c r="AQ17" s="60">
        <f t="shared" si="2"/>
        <v>0</v>
      </c>
      <c r="AR17" s="60">
        <f t="shared" si="2"/>
        <v>0</v>
      </c>
      <c r="AS17" s="60">
        <f t="shared" si="2"/>
        <v>0</v>
      </c>
      <c r="AT17" s="60">
        <f>SUM(AT14:AT16)</f>
        <v>0</v>
      </c>
      <c r="AU17" s="60">
        <f t="shared" si="2"/>
        <v>0</v>
      </c>
      <c r="AV17" s="60">
        <f t="shared" si="2"/>
        <v>0</v>
      </c>
      <c r="AW17" s="60">
        <f t="shared" si="2"/>
        <v>0</v>
      </c>
      <c r="AX17" s="60">
        <f t="shared" si="2"/>
        <v>0</v>
      </c>
      <c r="AY17" s="60">
        <f t="shared" si="2"/>
        <v>0</v>
      </c>
      <c r="AZ17" s="60">
        <f t="shared" si="2"/>
        <v>0</v>
      </c>
      <c r="BA17" s="60"/>
      <c r="BB17" s="60"/>
      <c r="BC17" s="60"/>
      <c r="BD17" s="60"/>
      <c r="BE17" s="60">
        <f>SUM(BE14:BE16)</f>
        <v>-59972.804768000002</v>
      </c>
      <c r="BF17" s="60">
        <f>SUM(BF14:BF16)</f>
        <v>457459.19523199997</v>
      </c>
    </row>
    <row r="18" spans="1:58">
      <c r="A18" s="53">
        <v>5</v>
      </c>
      <c r="B18" s="60" t="s">
        <v>150</v>
      </c>
      <c r="C18" s="60"/>
      <c r="D18" s="60"/>
      <c r="E18" s="64">
        <v>36572</v>
      </c>
      <c r="F18" s="66"/>
      <c r="G18" s="66"/>
      <c r="H18" s="66"/>
      <c r="I18" s="66"/>
      <c r="J18" s="66"/>
      <c r="K18" s="66"/>
      <c r="L18" s="66"/>
      <c r="M18" s="66"/>
      <c r="N18" s="66">
        <f>SUM(E18:M18)</f>
        <v>36572</v>
      </c>
      <c r="O18" s="66">
        <v>-16</v>
      </c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>
        <v>432</v>
      </c>
      <c r="AB18" s="66"/>
      <c r="AC18" s="66"/>
      <c r="AD18" s="66"/>
      <c r="AE18" s="66"/>
      <c r="AF18" s="66"/>
      <c r="AG18" s="98">
        <f>SUM(N18:AC18)</f>
        <v>36988</v>
      </c>
      <c r="AH18" s="66">
        <v>-27028</v>
      </c>
      <c r="AI18" s="66">
        <f>'C-1'!E16</f>
        <v>-303.73430200000001</v>
      </c>
      <c r="AJ18" s="66"/>
      <c r="AK18" s="66"/>
      <c r="AL18" s="66">
        <v>24</v>
      </c>
      <c r="AM18" s="66"/>
      <c r="AN18" s="66"/>
      <c r="AO18" s="66"/>
      <c r="AP18" s="64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98">
        <f>SUM(AH18:BD18)</f>
        <v>-27307.734302000001</v>
      </c>
      <c r="BF18" s="98">
        <f>+BE18+AG18</f>
        <v>9680.2656979999992</v>
      </c>
    </row>
    <row r="19" spans="1:58">
      <c r="A19" s="53">
        <v>6</v>
      </c>
      <c r="B19" s="60"/>
      <c r="C19" s="60" t="s">
        <v>151</v>
      </c>
      <c r="D19" s="60"/>
      <c r="E19" s="67">
        <f t="shared" ref="E19:AC19" si="3">SUM(E17:E18)</f>
        <v>571700</v>
      </c>
      <c r="F19" s="60">
        <f t="shared" si="3"/>
        <v>0</v>
      </c>
      <c r="G19" s="60">
        <f t="shared" si="3"/>
        <v>0</v>
      </c>
      <c r="H19" s="60">
        <f t="shared" si="3"/>
        <v>0</v>
      </c>
      <c r="I19" s="60">
        <f t="shared" si="3"/>
        <v>0</v>
      </c>
      <c r="J19" s="60">
        <f t="shared" si="3"/>
        <v>0</v>
      </c>
      <c r="K19" s="60">
        <f t="shared" si="3"/>
        <v>0</v>
      </c>
      <c r="L19" s="60">
        <f t="shared" si="3"/>
        <v>0</v>
      </c>
      <c r="M19" s="60">
        <f t="shared" si="3"/>
        <v>0</v>
      </c>
      <c r="N19" s="60">
        <f t="shared" si="3"/>
        <v>571700</v>
      </c>
      <c r="O19" s="60">
        <f t="shared" si="3"/>
        <v>-13760</v>
      </c>
      <c r="P19" s="60">
        <f t="shared" si="3"/>
        <v>0</v>
      </c>
      <c r="Q19" s="60">
        <f t="shared" si="3"/>
        <v>0</v>
      </c>
      <c r="R19" s="60">
        <f t="shared" si="3"/>
        <v>0</v>
      </c>
      <c r="S19" s="60">
        <f t="shared" si="3"/>
        <v>0</v>
      </c>
      <c r="T19" s="60">
        <f t="shared" si="3"/>
        <v>0</v>
      </c>
      <c r="U19" s="60">
        <f t="shared" si="3"/>
        <v>-32702</v>
      </c>
      <c r="V19" s="60">
        <f t="shared" si="3"/>
        <v>0</v>
      </c>
      <c r="W19" s="60">
        <f t="shared" si="3"/>
        <v>0</v>
      </c>
      <c r="X19" s="60">
        <f t="shared" si="3"/>
        <v>0</v>
      </c>
      <c r="Y19" s="60">
        <f t="shared" si="3"/>
        <v>0</v>
      </c>
      <c r="Z19" s="60">
        <f t="shared" si="3"/>
        <v>0</v>
      </c>
      <c r="AA19" s="60">
        <f t="shared" si="3"/>
        <v>29182</v>
      </c>
      <c r="AB19" s="60">
        <f t="shared" si="3"/>
        <v>0</v>
      </c>
      <c r="AC19" s="60">
        <f t="shared" si="3"/>
        <v>0</v>
      </c>
      <c r="AD19" s="60"/>
      <c r="AE19" s="60"/>
      <c r="AF19" s="60"/>
      <c r="AG19" s="60">
        <f t="shared" ref="AG19:AN19" si="4">SUM(AG17:AG18)</f>
        <v>554420</v>
      </c>
      <c r="AH19" s="60">
        <f t="shared" si="4"/>
        <v>-83651</v>
      </c>
      <c r="AI19" s="60">
        <f t="shared" si="4"/>
        <v>-3653.5390699999998</v>
      </c>
      <c r="AJ19" s="60">
        <f t="shared" si="4"/>
        <v>0</v>
      </c>
      <c r="AK19" s="60">
        <f t="shared" si="4"/>
        <v>0</v>
      </c>
      <c r="AL19" s="60">
        <f t="shared" si="4"/>
        <v>24</v>
      </c>
      <c r="AM19" s="60">
        <f t="shared" si="4"/>
        <v>0</v>
      </c>
      <c r="AN19" s="60">
        <f t="shared" si="4"/>
        <v>0</v>
      </c>
      <c r="AO19" s="60">
        <f>SUM(AO17:AO18)</f>
        <v>0</v>
      </c>
      <c r="AP19" s="67">
        <f t="shared" ref="AP19:AZ19" si="5">SUM(AP17:AP18)</f>
        <v>0</v>
      </c>
      <c r="AQ19" s="60">
        <f t="shared" si="5"/>
        <v>0</v>
      </c>
      <c r="AR19" s="60">
        <f t="shared" si="5"/>
        <v>0</v>
      </c>
      <c r="AS19" s="60">
        <f t="shared" si="5"/>
        <v>0</v>
      </c>
      <c r="AT19" s="60">
        <f>SUM(AT17:AT18)</f>
        <v>0</v>
      </c>
      <c r="AU19" s="60">
        <f t="shared" si="5"/>
        <v>0</v>
      </c>
      <c r="AV19" s="60">
        <f t="shared" si="5"/>
        <v>0</v>
      </c>
      <c r="AW19" s="60">
        <f t="shared" si="5"/>
        <v>0</v>
      </c>
      <c r="AX19" s="60">
        <f t="shared" si="5"/>
        <v>0</v>
      </c>
      <c r="AY19" s="60">
        <f t="shared" si="5"/>
        <v>0</v>
      </c>
      <c r="AZ19" s="60">
        <f t="shared" si="5"/>
        <v>0</v>
      </c>
      <c r="BA19" s="60"/>
      <c r="BB19" s="60"/>
      <c r="BC19" s="60"/>
      <c r="BD19" s="60"/>
      <c r="BE19" s="60">
        <f>SUM(BE17:BE18)</f>
        <v>-87280.539069999999</v>
      </c>
      <c r="BF19" s="60">
        <f>SUM(BF17:BF18)</f>
        <v>467139.46092999994</v>
      </c>
    </row>
    <row r="20" spans="1:58">
      <c r="A20" s="53"/>
      <c r="B20" s="60"/>
      <c r="C20" s="60"/>
      <c r="D20" s="60"/>
      <c r="E20" s="6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1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</row>
    <row r="21" spans="1:58">
      <c r="A21" s="53"/>
      <c r="B21" s="60" t="s">
        <v>152</v>
      </c>
      <c r="C21" s="60"/>
      <c r="D21" s="60"/>
      <c r="E21" s="61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1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</row>
    <row r="22" spans="1:58">
      <c r="A22" s="53"/>
      <c r="B22" s="60" t="s">
        <v>153</v>
      </c>
      <c r="C22" s="60"/>
      <c r="D22" s="60"/>
      <c r="E22" s="61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1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58">
        <f>SUM(AH22:BD22)</f>
        <v>0</v>
      </c>
      <c r="BF22" s="63">
        <f>SUM(AG22:AZ22)</f>
        <v>0</v>
      </c>
    </row>
    <row r="23" spans="1:58">
      <c r="A23" s="53">
        <v>7</v>
      </c>
      <c r="B23" s="60"/>
      <c r="C23" s="60" t="s">
        <v>154</v>
      </c>
      <c r="D23" s="60"/>
      <c r="E23" s="61">
        <v>175800</v>
      </c>
      <c r="F23" s="63"/>
      <c r="G23" s="63"/>
      <c r="H23" s="63"/>
      <c r="I23" s="63"/>
      <c r="J23" s="63"/>
      <c r="K23" s="63"/>
      <c r="L23" s="63"/>
      <c r="M23" s="63"/>
      <c r="N23" s="63">
        <f>SUM(E23:M23)</f>
        <v>175800</v>
      </c>
      <c r="O23" s="63"/>
      <c r="P23" s="63"/>
      <c r="Q23" s="63"/>
      <c r="R23" s="63"/>
      <c r="S23" s="63"/>
      <c r="T23" s="63"/>
      <c r="U23" s="63">
        <v>-17668</v>
      </c>
      <c r="V23" s="63">
        <v>9</v>
      </c>
      <c r="W23" s="63"/>
      <c r="X23" s="63"/>
      <c r="Y23" s="63"/>
      <c r="Z23" s="63"/>
      <c r="AA23" s="63">
        <v>-70</v>
      </c>
      <c r="AB23" s="63"/>
      <c r="AC23" s="63"/>
      <c r="AD23" s="63"/>
      <c r="AE23" s="63"/>
      <c r="AF23" s="63"/>
      <c r="AG23" s="58">
        <f>SUM(N23:AC23)</f>
        <v>158071</v>
      </c>
      <c r="AH23" s="279">
        <v>-11530</v>
      </c>
      <c r="AI23" s="279">
        <f>'C-1'!E21</f>
        <v>-7036.2676331505008</v>
      </c>
      <c r="AJ23" s="63">
        <f>'C-2'!E12</f>
        <v>539.03905499999996</v>
      </c>
      <c r="AK23" s="63"/>
      <c r="AL23" s="63">
        <v>103</v>
      </c>
      <c r="AM23" s="63"/>
      <c r="AN23" s="63"/>
      <c r="AO23" s="63"/>
      <c r="AP23" s="61"/>
      <c r="AQ23" s="63"/>
      <c r="AR23" s="63">
        <v>1677</v>
      </c>
      <c r="AS23" s="63"/>
      <c r="AT23" s="63"/>
      <c r="AU23" s="63">
        <f>'C-7'!E16/1000</f>
        <v>1241.4198000000001</v>
      </c>
      <c r="AV23" s="63"/>
      <c r="AW23" s="63"/>
      <c r="AX23" s="63">
        <v>1041</v>
      </c>
      <c r="AY23" s="63"/>
      <c r="AZ23" s="63">
        <v>656</v>
      </c>
      <c r="BA23" s="63"/>
      <c r="BB23" s="63"/>
      <c r="BC23" s="63"/>
      <c r="BD23" s="63"/>
      <c r="BE23" s="283">
        <f>SUM(AH23:BD23)</f>
        <v>-13308.808778150498</v>
      </c>
      <c r="BF23" s="283">
        <f>+BE23+AG23</f>
        <v>144762.1912218495</v>
      </c>
    </row>
    <row r="24" spans="1:58">
      <c r="A24" s="53">
        <v>8</v>
      </c>
      <c r="B24" s="60"/>
      <c r="C24" s="60" t="s">
        <v>155</v>
      </c>
      <c r="D24" s="60"/>
      <c r="E24" s="61">
        <v>147076</v>
      </c>
      <c r="F24" s="63"/>
      <c r="G24" s="63"/>
      <c r="H24" s="63"/>
      <c r="I24" s="63"/>
      <c r="J24" s="63"/>
      <c r="K24" s="63"/>
      <c r="L24" s="63"/>
      <c r="M24" s="63"/>
      <c r="N24" s="63">
        <f>SUM(E24:M24)</f>
        <v>147076</v>
      </c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58">
        <f>SUM(N24:AC24)</f>
        <v>147076</v>
      </c>
      <c r="AH24" s="63">
        <v>-66597</v>
      </c>
      <c r="AI24" s="63">
        <f>'C-1'!E22</f>
        <v>-3858.825863</v>
      </c>
      <c r="AJ24" s="63"/>
      <c r="AK24" s="63"/>
      <c r="AL24" s="63"/>
      <c r="AM24" s="63"/>
      <c r="AN24" s="63"/>
      <c r="AO24" s="63"/>
      <c r="AP24" s="61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58">
        <f>SUM(AH24:BD24)</f>
        <v>-70455.825863000005</v>
      </c>
      <c r="BF24" s="58">
        <f>+BE24+AG24</f>
        <v>76620.174136999995</v>
      </c>
    </row>
    <row r="25" spans="1:58">
      <c r="A25" s="53">
        <v>9</v>
      </c>
      <c r="B25" s="60"/>
      <c r="C25" s="60" t="s">
        <v>156</v>
      </c>
      <c r="D25" s="60"/>
      <c r="E25" s="61">
        <v>23675</v>
      </c>
      <c r="F25" s="63"/>
      <c r="G25" s="63"/>
      <c r="H25" s="63">
        <v>-202</v>
      </c>
      <c r="I25" s="63"/>
      <c r="J25" s="63"/>
      <c r="K25" s="63"/>
      <c r="L25" s="63">
        <v>-685</v>
      </c>
      <c r="M25" s="63"/>
      <c r="N25" s="63">
        <f>SUM(E25:M25)</f>
        <v>22788</v>
      </c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>
        <v>2688</v>
      </c>
      <c r="AB25" s="63"/>
      <c r="AC25" s="63"/>
      <c r="AD25" s="63"/>
      <c r="AE25" s="63"/>
      <c r="AF25" s="63"/>
      <c r="AG25" s="58">
        <f>SUM(N25:AC25)</f>
        <v>25476</v>
      </c>
      <c r="AH25" s="63"/>
      <c r="AI25" s="63">
        <f>'C-1'!E23</f>
        <v>-726.80731500000013</v>
      </c>
      <c r="AJ25" s="63"/>
      <c r="AK25" s="63"/>
      <c r="AL25" s="63"/>
      <c r="AM25" s="63">
        <f>'C-4'!E23</f>
        <v>6.3395085</v>
      </c>
      <c r="AN25" s="63">
        <f>'C-5'!E23</f>
        <v>29.466603900000003</v>
      </c>
      <c r="AO25" s="63">
        <v>158</v>
      </c>
      <c r="AP25" s="61"/>
      <c r="AQ25" s="63"/>
      <c r="AR25" s="63">
        <v>1959</v>
      </c>
      <c r="AS25" s="63">
        <f>'C-6'!E17/1000</f>
        <v>258.36</v>
      </c>
      <c r="AT25" s="63">
        <v>3516</v>
      </c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58">
        <f>SUM(AH25:BD25)</f>
        <v>5200.3587974000002</v>
      </c>
      <c r="BF25" s="58">
        <f>+BE25+AG25</f>
        <v>30676.3587974</v>
      </c>
    </row>
    <row r="26" spans="1:58">
      <c r="A26" s="53">
        <v>10</v>
      </c>
      <c r="B26" s="60"/>
      <c r="C26" s="60" t="s">
        <v>157</v>
      </c>
      <c r="D26" s="60"/>
      <c r="E26" s="64">
        <v>8935</v>
      </c>
      <c r="F26" s="66"/>
      <c r="G26" s="66"/>
      <c r="H26" s="66"/>
      <c r="I26" s="66"/>
      <c r="J26" s="66"/>
      <c r="K26" s="66"/>
      <c r="L26" s="66"/>
      <c r="M26" s="66"/>
      <c r="N26" s="66">
        <f>SUM(E26:M26)</f>
        <v>8935</v>
      </c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98">
        <f>SUM(N26:AC26)</f>
        <v>8935</v>
      </c>
      <c r="AH26" s="66"/>
      <c r="AI26" s="66">
        <f>'C-1'!E24</f>
        <v>-152.05045799999999</v>
      </c>
      <c r="AJ26" s="66"/>
      <c r="AK26" s="66"/>
      <c r="AL26" s="66"/>
      <c r="AM26" s="66">
        <f>'C-4'!E24</f>
        <v>8.8362454652621345</v>
      </c>
      <c r="AN26" s="66">
        <f>'C-5'!E24</f>
        <v>15.825736781532775</v>
      </c>
      <c r="AO26" s="66">
        <v>82</v>
      </c>
      <c r="AP26" s="64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98">
        <f>SUM(AH26:BD26)</f>
        <v>-45.388475753205086</v>
      </c>
      <c r="BF26" s="98">
        <f>+BE26+AG26</f>
        <v>8889.6115242467949</v>
      </c>
    </row>
    <row r="27" spans="1:58">
      <c r="A27" s="53">
        <v>11</v>
      </c>
      <c r="B27" s="60"/>
      <c r="C27" s="60"/>
      <c r="D27" s="60" t="s">
        <v>158</v>
      </c>
      <c r="E27" s="67">
        <f t="shared" ref="E27:AC27" si="6">SUM(E23:E26)</f>
        <v>355486</v>
      </c>
      <c r="F27" s="60">
        <f t="shared" si="6"/>
        <v>0</v>
      </c>
      <c r="G27" s="60">
        <f t="shared" si="6"/>
        <v>0</v>
      </c>
      <c r="H27" s="60">
        <f t="shared" si="6"/>
        <v>-202</v>
      </c>
      <c r="I27" s="60">
        <f t="shared" si="6"/>
        <v>0</v>
      </c>
      <c r="J27" s="60">
        <f t="shared" si="6"/>
        <v>0</v>
      </c>
      <c r="K27" s="60">
        <f t="shared" si="6"/>
        <v>0</v>
      </c>
      <c r="L27" s="60">
        <f t="shared" si="6"/>
        <v>-685</v>
      </c>
      <c r="M27" s="60">
        <f t="shared" si="6"/>
        <v>0</v>
      </c>
      <c r="N27" s="60">
        <f t="shared" si="6"/>
        <v>354599</v>
      </c>
      <c r="O27" s="60">
        <f t="shared" si="6"/>
        <v>0</v>
      </c>
      <c r="P27" s="60">
        <f t="shared" si="6"/>
        <v>0</v>
      </c>
      <c r="Q27" s="60">
        <f t="shared" si="6"/>
        <v>0</v>
      </c>
      <c r="R27" s="60">
        <f t="shared" si="6"/>
        <v>0</v>
      </c>
      <c r="S27" s="60">
        <f t="shared" si="6"/>
        <v>0</v>
      </c>
      <c r="T27" s="60">
        <f t="shared" si="6"/>
        <v>0</v>
      </c>
      <c r="U27" s="60">
        <f t="shared" si="6"/>
        <v>-17668</v>
      </c>
      <c r="V27" s="60">
        <f t="shared" si="6"/>
        <v>9</v>
      </c>
      <c r="W27" s="60">
        <f t="shared" si="6"/>
        <v>0</v>
      </c>
      <c r="X27" s="60">
        <f t="shared" si="6"/>
        <v>0</v>
      </c>
      <c r="Y27" s="60">
        <f t="shared" si="6"/>
        <v>0</v>
      </c>
      <c r="Z27" s="60">
        <f t="shared" si="6"/>
        <v>0</v>
      </c>
      <c r="AA27" s="60">
        <f t="shared" si="6"/>
        <v>2618</v>
      </c>
      <c r="AB27" s="60">
        <f t="shared" si="6"/>
        <v>0</v>
      </c>
      <c r="AC27" s="60">
        <f t="shared" si="6"/>
        <v>0</v>
      </c>
      <c r="AD27" s="60"/>
      <c r="AE27" s="60"/>
      <c r="AF27" s="60"/>
      <c r="AG27" s="60">
        <f t="shared" ref="AG27:AN27" si="7">SUM(AG23:AG26)</f>
        <v>339558</v>
      </c>
      <c r="AH27" s="280">
        <f t="shared" si="7"/>
        <v>-78127</v>
      </c>
      <c r="AI27" s="280">
        <f t="shared" si="7"/>
        <v>-11773.951269150501</v>
      </c>
      <c r="AJ27" s="60">
        <f t="shared" si="7"/>
        <v>539.03905499999996</v>
      </c>
      <c r="AK27" s="60">
        <f t="shared" si="7"/>
        <v>0</v>
      </c>
      <c r="AL27" s="60">
        <f t="shared" si="7"/>
        <v>103</v>
      </c>
      <c r="AM27" s="60">
        <f t="shared" si="7"/>
        <v>15.175753965262135</v>
      </c>
      <c r="AN27" s="60">
        <f t="shared" si="7"/>
        <v>45.292340681532778</v>
      </c>
      <c r="AO27" s="60">
        <f>SUM(AO23:AO26)</f>
        <v>240</v>
      </c>
      <c r="AP27" s="67">
        <f t="shared" ref="AP27:AX27" si="8">SUM(AP23:AP26)</f>
        <v>0</v>
      </c>
      <c r="AQ27" s="60">
        <f t="shared" si="8"/>
        <v>0</v>
      </c>
      <c r="AR27" s="60">
        <f t="shared" si="8"/>
        <v>3636</v>
      </c>
      <c r="AS27" s="60">
        <f t="shared" si="8"/>
        <v>258.36</v>
      </c>
      <c r="AT27" s="60">
        <f>SUM(AT23:AT26)</f>
        <v>3516</v>
      </c>
      <c r="AU27" s="60">
        <f t="shared" si="8"/>
        <v>1241.4198000000001</v>
      </c>
      <c r="AV27" s="60">
        <f t="shared" si="8"/>
        <v>0</v>
      </c>
      <c r="AW27" s="60">
        <f t="shared" si="8"/>
        <v>0</v>
      </c>
      <c r="AX27" s="60">
        <f t="shared" si="8"/>
        <v>1041</v>
      </c>
      <c r="AY27" s="60">
        <f t="shared" ref="AY27:BE27" si="9">SUM(AY23:AY26)</f>
        <v>0</v>
      </c>
      <c r="AZ27" s="60">
        <f t="shared" si="9"/>
        <v>656</v>
      </c>
      <c r="BA27" s="60">
        <f t="shared" si="9"/>
        <v>0</v>
      </c>
      <c r="BB27" s="60">
        <f t="shared" si="9"/>
        <v>0</v>
      </c>
      <c r="BC27" s="60">
        <f t="shared" si="9"/>
        <v>0</v>
      </c>
      <c r="BD27" s="60">
        <f t="shared" si="9"/>
        <v>0</v>
      </c>
      <c r="BE27" s="280">
        <f t="shared" si="9"/>
        <v>-78609.664319503718</v>
      </c>
      <c r="BF27" s="283">
        <f>+BE27+AG27</f>
        <v>260948.3356804963</v>
      </c>
    </row>
    <row r="28" spans="1:58">
      <c r="A28" s="53"/>
      <c r="B28" s="60"/>
      <c r="C28" s="60"/>
      <c r="D28" s="60"/>
      <c r="E28" s="61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1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</row>
    <row r="29" spans="1:58">
      <c r="A29" s="53"/>
      <c r="B29" s="60" t="s">
        <v>159</v>
      </c>
      <c r="C29" s="60"/>
      <c r="D29" s="60"/>
      <c r="E29" s="61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1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>
        <f>SUM(AG29:AZ29)</f>
        <v>0</v>
      </c>
    </row>
    <row r="30" spans="1:58">
      <c r="A30" s="53">
        <v>12</v>
      </c>
      <c r="B30" s="60"/>
      <c r="C30" s="60" t="s">
        <v>154</v>
      </c>
      <c r="D30" s="60"/>
      <c r="E30" s="61">
        <v>17279</v>
      </c>
      <c r="F30" s="63"/>
      <c r="G30" s="63"/>
      <c r="H30" s="63"/>
      <c r="I30" s="63"/>
      <c r="J30" s="63"/>
      <c r="K30" s="63"/>
      <c r="L30" s="63"/>
      <c r="M30" s="63"/>
      <c r="N30" s="63">
        <f>SUM(E30:M30)</f>
        <v>17279</v>
      </c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8">
        <f>SUM(N30:AC30)</f>
        <v>17279</v>
      </c>
      <c r="AH30" s="63"/>
      <c r="AI30" s="63"/>
      <c r="AJ30" s="63">
        <f>'C-2'!E19</f>
        <v>482.10987999999992</v>
      </c>
      <c r="AK30" s="63"/>
      <c r="AL30" s="63"/>
      <c r="AM30" s="63"/>
      <c r="AN30" s="63"/>
      <c r="AO30" s="63"/>
      <c r="AP30" s="61"/>
      <c r="AQ30" s="63"/>
      <c r="AR30" s="63"/>
      <c r="AS30" s="63"/>
      <c r="AT30" s="63"/>
      <c r="AU30" s="63"/>
      <c r="AV30" s="63"/>
      <c r="AW30" s="63"/>
      <c r="AX30" s="63">
        <v>778</v>
      </c>
      <c r="AY30" s="63"/>
      <c r="AZ30" s="63"/>
      <c r="BA30" s="63"/>
      <c r="BB30" s="63"/>
      <c r="BC30" s="63"/>
      <c r="BD30" s="63"/>
      <c r="BE30" s="58">
        <f>SUM(AH30:BD30)</f>
        <v>1260.10988</v>
      </c>
      <c r="BF30" s="58">
        <f>+BE30+AG30</f>
        <v>18539.10988</v>
      </c>
    </row>
    <row r="31" spans="1:58">
      <c r="A31" s="53">
        <v>13</v>
      </c>
      <c r="B31" s="60"/>
      <c r="C31" s="60" t="s">
        <v>160</v>
      </c>
      <c r="D31" s="60"/>
      <c r="E31" s="61">
        <v>14599</v>
      </c>
      <c r="F31" s="63"/>
      <c r="G31" s="63"/>
      <c r="H31" s="63"/>
      <c r="I31" s="63"/>
      <c r="J31" s="63"/>
      <c r="K31" s="63"/>
      <c r="L31" s="63">
        <v>857</v>
      </c>
      <c r="M31" s="63"/>
      <c r="N31" s="63">
        <f>SUM(E31:M31)</f>
        <v>15456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>
        <v>-122</v>
      </c>
      <c r="AA31" s="63"/>
      <c r="AB31" s="63"/>
      <c r="AC31" s="63"/>
      <c r="AD31" s="63"/>
      <c r="AE31" s="63"/>
      <c r="AF31" s="63"/>
      <c r="AG31" s="58">
        <f>SUM(N31:AC31)</f>
        <v>15334</v>
      </c>
      <c r="AH31" s="63"/>
      <c r="AI31" s="63"/>
      <c r="AJ31" s="63"/>
      <c r="AK31" s="63"/>
      <c r="AL31" s="63"/>
      <c r="AM31" s="63"/>
      <c r="AN31" s="63"/>
      <c r="AO31" s="63"/>
      <c r="AP31" s="61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58">
        <f>SUM(AH31:BD31)</f>
        <v>0</v>
      </c>
      <c r="BF31" s="58">
        <f>+BE31+AG31</f>
        <v>15334</v>
      </c>
    </row>
    <row r="32" spans="1:58">
      <c r="A32" s="53">
        <v>14</v>
      </c>
      <c r="B32" s="60"/>
      <c r="C32" s="60" t="s">
        <v>157</v>
      </c>
      <c r="D32" s="60"/>
      <c r="E32" s="64">
        <v>33186</v>
      </c>
      <c r="F32" s="66"/>
      <c r="G32" s="66"/>
      <c r="H32" s="66"/>
      <c r="I32" s="66"/>
      <c r="J32" s="66"/>
      <c r="K32" s="66"/>
      <c r="L32" s="66"/>
      <c r="M32" s="66"/>
      <c r="N32" s="66">
        <f>SUM(E32:M32)</f>
        <v>33186</v>
      </c>
      <c r="O32" s="66">
        <v>-13726</v>
      </c>
      <c r="P32" s="66"/>
      <c r="Q32" s="66"/>
      <c r="R32" s="66"/>
      <c r="S32" s="66"/>
      <c r="T32" s="66"/>
      <c r="U32" s="66">
        <v>-1262</v>
      </c>
      <c r="V32" s="66"/>
      <c r="W32" s="66"/>
      <c r="X32" s="66"/>
      <c r="Y32" s="66">
        <v>31</v>
      </c>
      <c r="Z32" s="66"/>
      <c r="AA32" s="66">
        <v>1127</v>
      </c>
      <c r="AB32" s="66"/>
      <c r="AC32" s="66"/>
      <c r="AD32" s="66"/>
      <c r="AE32" s="66"/>
      <c r="AF32" s="66"/>
      <c r="AG32" s="98">
        <f>SUM(N32:AC32)</f>
        <v>19356</v>
      </c>
      <c r="AH32" s="66"/>
      <c r="AI32" s="66"/>
      <c r="AJ32" s="66"/>
      <c r="AK32" s="66"/>
      <c r="AL32" s="66"/>
      <c r="AM32" s="66"/>
      <c r="AN32" s="66"/>
      <c r="AO32" s="66"/>
      <c r="AP32" s="64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98">
        <f>SUM(AH32:BD32)</f>
        <v>0</v>
      </c>
      <c r="BF32" s="98">
        <f>+BE32+AG32</f>
        <v>19356</v>
      </c>
    </row>
    <row r="33" spans="1:60">
      <c r="A33" s="53">
        <v>15</v>
      </c>
      <c r="B33" s="60"/>
      <c r="C33" s="60"/>
      <c r="D33" s="60" t="s">
        <v>161</v>
      </c>
      <c r="E33" s="67">
        <f t="shared" ref="E33:AC33" si="10">SUM(E30:E32)</f>
        <v>65064</v>
      </c>
      <c r="F33" s="60">
        <f t="shared" si="10"/>
        <v>0</v>
      </c>
      <c r="G33" s="60">
        <f t="shared" si="10"/>
        <v>0</v>
      </c>
      <c r="H33" s="60">
        <f t="shared" si="10"/>
        <v>0</v>
      </c>
      <c r="I33" s="60">
        <f t="shared" si="10"/>
        <v>0</v>
      </c>
      <c r="J33" s="60">
        <f t="shared" si="10"/>
        <v>0</v>
      </c>
      <c r="K33" s="60">
        <f t="shared" si="10"/>
        <v>0</v>
      </c>
      <c r="L33" s="60">
        <f t="shared" si="10"/>
        <v>857</v>
      </c>
      <c r="M33" s="60">
        <f t="shared" si="10"/>
        <v>0</v>
      </c>
      <c r="N33" s="60">
        <f t="shared" si="10"/>
        <v>65921</v>
      </c>
      <c r="O33" s="60">
        <f t="shared" si="10"/>
        <v>-13726</v>
      </c>
      <c r="P33" s="60">
        <f t="shared" si="10"/>
        <v>0</v>
      </c>
      <c r="Q33" s="60">
        <f t="shared" si="10"/>
        <v>0</v>
      </c>
      <c r="R33" s="60">
        <f t="shared" si="10"/>
        <v>0</v>
      </c>
      <c r="S33" s="60">
        <f t="shared" si="10"/>
        <v>0</v>
      </c>
      <c r="T33" s="60">
        <f t="shared" si="10"/>
        <v>0</v>
      </c>
      <c r="U33" s="60">
        <f t="shared" si="10"/>
        <v>-1262</v>
      </c>
      <c r="V33" s="60">
        <f t="shared" si="10"/>
        <v>0</v>
      </c>
      <c r="W33" s="60">
        <f t="shared" si="10"/>
        <v>0</v>
      </c>
      <c r="X33" s="60">
        <f t="shared" si="10"/>
        <v>0</v>
      </c>
      <c r="Y33" s="60">
        <f t="shared" si="10"/>
        <v>31</v>
      </c>
      <c r="Z33" s="60">
        <f t="shared" si="10"/>
        <v>-122</v>
      </c>
      <c r="AA33" s="60">
        <f t="shared" si="10"/>
        <v>1127</v>
      </c>
      <c r="AB33" s="60">
        <f t="shared" si="10"/>
        <v>0</v>
      </c>
      <c r="AC33" s="60">
        <f t="shared" si="10"/>
        <v>0</v>
      </c>
      <c r="AD33" s="60"/>
      <c r="AE33" s="60"/>
      <c r="AF33" s="60"/>
      <c r="AG33" s="60">
        <f t="shared" ref="AG33:AN33" si="11">SUM(AG30:AG32)</f>
        <v>51969</v>
      </c>
      <c r="AH33" s="60">
        <f t="shared" si="11"/>
        <v>0</v>
      </c>
      <c r="AI33" s="60">
        <f t="shared" si="11"/>
        <v>0</v>
      </c>
      <c r="AJ33" s="60">
        <f t="shared" si="11"/>
        <v>482.10987999999992</v>
      </c>
      <c r="AK33" s="60">
        <f t="shared" si="11"/>
        <v>0</v>
      </c>
      <c r="AL33" s="60">
        <f t="shared" si="11"/>
        <v>0</v>
      </c>
      <c r="AM33" s="60">
        <f t="shared" si="11"/>
        <v>0</v>
      </c>
      <c r="AN33" s="60">
        <f t="shared" si="11"/>
        <v>0</v>
      </c>
      <c r="AO33" s="60">
        <f>SUM(AO30:AO32)</f>
        <v>0</v>
      </c>
      <c r="AP33" s="67">
        <f t="shared" ref="AP33:AZ33" si="12">SUM(AP30:AP32)</f>
        <v>0</v>
      </c>
      <c r="AQ33" s="60">
        <f t="shared" si="12"/>
        <v>0</v>
      </c>
      <c r="AR33" s="60">
        <f t="shared" si="12"/>
        <v>0</v>
      </c>
      <c r="AS33" s="60">
        <f t="shared" si="12"/>
        <v>0</v>
      </c>
      <c r="AT33" s="60">
        <f>SUM(AT30:AT32)</f>
        <v>0</v>
      </c>
      <c r="AU33" s="60">
        <f t="shared" si="12"/>
        <v>0</v>
      </c>
      <c r="AV33" s="60">
        <f t="shared" si="12"/>
        <v>0</v>
      </c>
      <c r="AW33" s="60">
        <f t="shared" si="12"/>
        <v>0</v>
      </c>
      <c r="AX33" s="60">
        <f t="shared" si="12"/>
        <v>778</v>
      </c>
      <c r="AY33" s="60">
        <f t="shared" si="12"/>
        <v>0</v>
      </c>
      <c r="AZ33" s="60">
        <f t="shared" si="12"/>
        <v>0</v>
      </c>
      <c r="BA33" s="60">
        <f>SUM(BA30:BA32)</f>
        <v>0</v>
      </c>
      <c r="BB33" s="60">
        <f>SUM(BB30:BB32)</f>
        <v>0</v>
      </c>
      <c r="BC33" s="60">
        <f>SUM(BC30:BC32)</f>
        <v>0</v>
      </c>
      <c r="BD33" s="60">
        <f>SUM(BD30:BD32)</f>
        <v>0</v>
      </c>
      <c r="BE33" s="60">
        <f>SUM(BE30:BE32)</f>
        <v>1260.10988</v>
      </c>
      <c r="BF33" s="158">
        <f>+BE33+AG33</f>
        <v>53229.109880000004</v>
      </c>
    </row>
    <row r="34" spans="1:60">
      <c r="A34" s="53"/>
      <c r="B34" s="60"/>
      <c r="C34" s="60"/>
      <c r="D34" s="60"/>
      <c r="E34" s="6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1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</row>
    <row r="35" spans="1:60">
      <c r="A35" s="53">
        <v>16</v>
      </c>
      <c r="B35" s="60" t="s">
        <v>162</v>
      </c>
      <c r="C35" s="60"/>
      <c r="D35" s="60"/>
      <c r="E35" s="61">
        <v>8559</v>
      </c>
      <c r="F35" s="63"/>
      <c r="G35" s="63"/>
      <c r="H35" s="63"/>
      <c r="I35" s="63"/>
      <c r="J35" s="63"/>
      <c r="K35" s="63"/>
      <c r="L35" s="63"/>
      <c r="M35" s="63"/>
      <c r="N35" s="63">
        <f>SUM(E35:M35)</f>
        <v>8559</v>
      </c>
      <c r="O35" s="63"/>
      <c r="P35" s="63"/>
      <c r="Q35" s="63">
        <v>-108</v>
      </c>
      <c r="R35" s="63"/>
      <c r="S35" s="63"/>
      <c r="T35" s="63"/>
      <c r="U35" s="63">
        <v>-104</v>
      </c>
      <c r="V35" s="63"/>
      <c r="W35" s="63">
        <v>-516</v>
      </c>
      <c r="X35" s="63"/>
      <c r="Y35" s="63"/>
      <c r="Z35" s="63"/>
      <c r="AA35" s="63">
        <v>76</v>
      </c>
      <c r="AB35" s="63"/>
      <c r="AC35" s="63"/>
      <c r="AD35" s="63"/>
      <c r="AE35" s="63"/>
      <c r="AF35" s="63"/>
      <c r="AG35" s="58">
        <f>SUM(N35:AC35)</f>
        <v>7907</v>
      </c>
      <c r="AH35" s="63"/>
      <c r="AI35" s="63"/>
      <c r="AJ35" s="63">
        <f>'C-2'!E24</f>
        <v>169.75608499999998</v>
      </c>
      <c r="AK35" s="63"/>
      <c r="AL35" s="63"/>
      <c r="AM35" s="63"/>
      <c r="AN35" s="63"/>
      <c r="AO35" s="63"/>
      <c r="AP35" s="61"/>
      <c r="AQ35" s="63"/>
      <c r="AR35" s="63"/>
      <c r="AS35" s="63"/>
      <c r="AT35" s="63"/>
      <c r="AU35" s="63"/>
      <c r="AV35" s="63"/>
      <c r="AW35" s="63"/>
      <c r="AX35" s="63">
        <v>329</v>
      </c>
      <c r="AY35" s="63"/>
      <c r="AZ35" s="63"/>
      <c r="BA35" s="63"/>
      <c r="BB35" s="63"/>
      <c r="BC35" s="63"/>
      <c r="BD35" s="63"/>
      <c r="BE35" s="58">
        <f t="shared" ref="BE35:BE44" si="13">SUM(AH35:BD35)</f>
        <v>498.75608499999998</v>
      </c>
      <c r="BF35" s="58">
        <f>+BE35+AG35</f>
        <v>8405.7560850000009</v>
      </c>
    </row>
    <row r="36" spans="1:60">
      <c r="A36" s="53">
        <v>17</v>
      </c>
      <c r="B36" s="60" t="s">
        <v>163</v>
      </c>
      <c r="C36" s="60"/>
      <c r="D36" s="60"/>
      <c r="E36" s="61">
        <v>11359</v>
      </c>
      <c r="F36" s="63"/>
      <c r="G36" s="63"/>
      <c r="H36" s="63"/>
      <c r="I36" s="63"/>
      <c r="J36" s="63"/>
      <c r="K36" s="63"/>
      <c r="L36" s="63"/>
      <c r="M36" s="63"/>
      <c r="N36" s="63">
        <f>SUM(E36:M36)</f>
        <v>11359</v>
      </c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>
        <v>-10688</v>
      </c>
      <c r="AB36" s="63"/>
      <c r="AC36" s="63"/>
      <c r="AD36" s="63"/>
      <c r="AE36" s="63"/>
      <c r="AF36" s="63"/>
      <c r="AG36" s="58">
        <f>SUM(N36:AC36)</f>
        <v>671</v>
      </c>
      <c r="AH36" s="63"/>
      <c r="AI36" s="63"/>
      <c r="AJ36" s="63">
        <f>'C-2'!E25</f>
        <v>8.4972500000000011</v>
      </c>
      <c r="AK36" s="63"/>
      <c r="AL36" s="63"/>
      <c r="AM36" s="63"/>
      <c r="AN36" s="63"/>
      <c r="AO36" s="63"/>
      <c r="AP36" s="61"/>
      <c r="AQ36" s="63"/>
      <c r="AR36" s="63"/>
      <c r="AS36" s="63"/>
      <c r="AT36" s="63"/>
      <c r="AU36" s="63"/>
      <c r="AV36" s="63"/>
      <c r="AW36" s="63"/>
      <c r="AX36" s="63">
        <v>19</v>
      </c>
      <c r="AY36" s="63"/>
      <c r="AZ36" s="63"/>
      <c r="BA36" s="63"/>
      <c r="BB36" s="63"/>
      <c r="BC36" s="63"/>
      <c r="BD36" s="63"/>
      <c r="BE36" s="58">
        <f t="shared" si="13"/>
        <v>27.497250000000001</v>
      </c>
      <c r="BF36" s="58">
        <f>+BE36+AG36</f>
        <v>698.49725000000001</v>
      </c>
    </row>
    <row r="37" spans="1:60">
      <c r="A37" s="53">
        <v>18</v>
      </c>
      <c r="B37" s="60" t="s">
        <v>164</v>
      </c>
      <c r="C37" s="60"/>
      <c r="D37" s="60"/>
      <c r="E37" s="61">
        <v>696</v>
      </c>
      <c r="F37" s="63"/>
      <c r="G37" s="63"/>
      <c r="H37" s="63"/>
      <c r="I37" s="63"/>
      <c r="J37" s="63"/>
      <c r="K37" s="63"/>
      <c r="L37" s="63"/>
      <c r="M37" s="63"/>
      <c r="N37" s="63">
        <f>SUM(E37:M37)</f>
        <v>696</v>
      </c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58">
        <f>SUM(N37:AC37)</f>
        <v>696</v>
      </c>
      <c r="AH37" s="63"/>
      <c r="AI37" s="63"/>
      <c r="AJ37" s="63">
        <f>'C-2'!E26</f>
        <v>13.2437</v>
      </c>
      <c r="AK37" s="63"/>
      <c r="AL37" s="63"/>
      <c r="AM37" s="63"/>
      <c r="AN37" s="63"/>
      <c r="AO37" s="63"/>
      <c r="AP37" s="61"/>
      <c r="AQ37" s="63"/>
      <c r="AR37" s="63"/>
      <c r="AS37" s="63"/>
      <c r="AT37" s="63"/>
      <c r="AU37" s="63"/>
      <c r="AV37" s="63"/>
      <c r="AW37" s="63"/>
      <c r="AX37" s="63">
        <v>30</v>
      </c>
      <c r="AY37" s="63"/>
      <c r="AZ37" s="63"/>
      <c r="BA37" s="63"/>
      <c r="BB37" s="63"/>
      <c r="BC37" s="63"/>
      <c r="BD37" s="63"/>
      <c r="BE37" s="58">
        <f t="shared" si="13"/>
        <v>43.243700000000004</v>
      </c>
      <c r="BF37" s="58">
        <f>+BE37+AG37</f>
        <v>739.24369999999999</v>
      </c>
    </row>
    <row r="38" spans="1:60">
      <c r="A38" s="60"/>
      <c r="B38" s="60"/>
      <c r="C38" s="60"/>
      <c r="D38" s="60"/>
      <c r="E38" s="61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1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58">
        <f t="shared" si="13"/>
        <v>0</v>
      </c>
      <c r="BF38" s="63"/>
    </row>
    <row r="39" spans="1:60">
      <c r="A39" s="53"/>
      <c r="B39" s="60" t="s">
        <v>165</v>
      </c>
      <c r="C39" s="60"/>
      <c r="D39" s="60"/>
      <c r="E39" s="61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1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D39" s="63"/>
      <c r="BE39" s="58">
        <f t="shared" si="13"/>
        <v>0</v>
      </c>
      <c r="BF39" s="58"/>
    </row>
    <row r="40" spans="1:60">
      <c r="A40" s="53">
        <v>19</v>
      </c>
      <c r="B40" s="60"/>
      <c r="C40" s="60" t="s">
        <v>154</v>
      </c>
      <c r="D40" s="60"/>
      <c r="E40" s="61">
        <v>35147</v>
      </c>
      <c r="F40" s="63"/>
      <c r="G40" s="63"/>
      <c r="H40" s="63"/>
      <c r="I40" s="63"/>
      <c r="J40" s="63"/>
      <c r="K40" s="63"/>
      <c r="L40" s="63"/>
      <c r="M40" s="63"/>
      <c r="N40" s="63">
        <f>SUM(E40:M40)</f>
        <v>35147</v>
      </c>
      <c r="O40" s="63"/>
      <c r="P40" s="63"/>
      <c r="Q40" s="63"/>
      <c r="R40" s="63">
        <v>80</v>
      </c>
      <c r="S40" s="63">
        <v>86</v>
      </c>
      <c r="T40" s="63"/>
      <c r="U40" s="63">
        <v>-62</v>
      </c>
      <c r="V40" s="63"/>
      <c r="W40" s="63"/>
      <c r="X40" s="63">
        <v>-8</v>
      </c>
      <c r="Y40" s="63"/>
      <c r="Z40" s="63"/>
      <c r="AA40" s="63">
        <v>58</v>
      </c>
      <c r="AB40" s="63">
        <v>-214</v>
      </c>
      <c r="AC40" s="63"/>
      <c r="AD40" s="63"/>
      <c r="AE40" s="63"/>
      <c r="AF40" s="63"/>
      <c r="AG40" s="58">
        <f>SUM(N40:AC40)</f>
        <v>35087</v>
      </c>
      <c r="AH40" s="63"/>
      <c r="AI40" s="63"/>
      <c r="AJ40" s="63">
        <f>'C-2'!E29</f>
        <v>321.32910000000004</v>
      </c>
      <c r="AK40" s="63">
        <f>'C-3'!E15/1000</f>
        <v>21.107796150000002</v>
      </c>
      <c r="AL40" s="63"/>
      <c r="AM40" s="63"/>
      <c r="AN40" s="63"/>
      <c r="AO40" s="63"/>
      <c r="AP40" s="61"/>
      <c r="AQ40" s="63"/>
      <c r="AR40" s="63"/>
      <c r="AS40" s="63"/>
      <c r="AT40" s="63"/>
      <c r="AU40" s="63"/>
      <c r="AV40" s="63">
        <f>'C-8'!D15/1000</f>
        <v>-17.414000000000001</v>
      </c>
      <c r="AW40" s="63"/>
      <c r="AX40" s="63">
        <v>1768</v>
      </c>
      <c r="AY40" s="63">
        <f>'C-9'!E17/1000</f>
        <v>218.52099999999999</v>
      </c>
      <c r="AZ40" s="63"/>
      <c r="BA40" s="63">
        <f>'C-10'!E15/1000</f>
        <v>-408.428</v>
      </c>
      <c r="BB40" s="63">
        <f>'C-11'!E22/1000</f>
        <v>-22.614547686318001</v>
      </c>
      <c r="BC40" s="63">
        <f>'C-12'!E23/1000</f>
        <v>-272.16670091410799</v>
      </c>
      <c r="BD40" s="61">
        <f>'c-13'!E24/1000</f>
        <v>95.764806399999998</v>
      </c>
      <c r="BE40" s="58">
        <f t="shared" si="13"/>
        <v>1704.0994539495746</v>
      </c>
      <c r="BF40" s="58">
        <f>+BE40+AG40</f>
        <v>36791.099453949573</v>
      </c>
    </row>
    <row r="41" spans="1:60">
      <c r="A41" s="53">
        <v>20</v>
      </c>
      <c r="B41" s="60"/>
      <c r="C41" s="60" t="s">
        <v>160</v>
      </c>
      <c r="D41" s="60"/>
      <c r="E41" s="61">
        <v>7022</v>
      </c>
      <c r="F41" s="63"/>
      <c r="G41" s="63"/>
      <c r="H41" s="63"/>
      <c r="I41" s="63"/>
      <c r="J41" s="63"/>
      <c r="K41" s="63"/>
      <c r="L41" s="63">
        <v>-232</v>
      </c>
      <c r="M41" s="63"/>
      <c r="N41" s="63">
        <f>SUM(E41:M41)</f>
        <v>6790</v>
      </c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58">
        <f>SUM(N41:AC41)</f>
        <v>6790</v>
      </c>
      <c r="AH41" s="63"/>
      <c r="AI41" s="63"/>
      <c r="AJ41" s="63"/>
      <c r="AK41" s="63"/>
      <c r="AL41" s="63"/>
      <c r="AM41" s="63"/>
      <c r="AN41" s="63"/>
      <c r="AO41" s="63"/>
      <c r="AP41" s="61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58">
        <f t="shared" si="13"/>
        <v>0</v>
      </c>
      <c r="BF41" s="58">
        <f>+BE41+AG41</f>
        <v>6790</v>
      </c>
    </row>
    <row r="42" spans="1:60">
      <c r="A42" s="53">
        <v>21</v>
      </c>
      <c r="B42" s="60"/>
      <c r="C42" s="60" t="s">
        <v>157</v>
      </c>
      <c r="D42" s="60"/>
      <c r="E42" s="64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98">
        <f>SUM(N42:AC42)</f>
        <v>0</v>
      </c>
      <c r="AH42" s="66"/>
      <c r="AI42" s="66"/>
      <c r="AJ42" s="66"/>
      <c r="AK42" s="66"/>
      <c r="AL42" s="66"/>
      <c r="AM42" s="66"/>
      <c r="AN42" s="66"/>
      <c r="AO42" s="66"/>
      <c r="AP42" s="64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98">
        <f t="shared" si="13"/>
        <v>0</v>
      </c>
      <c r="BF42" s="98">
        <f>+BE42+AG42</f>
        <v>0</v>
      </c>
    </row>
    <row r="43" spans="1:60">
      <c r="A43" s="53">
        <v>22</v>
      </c>
      <c r="B43" s="60"/>
      <c r="C43" s="60"/>
      <c r="D43" s="60" t="s">
        <v>166</v>
      </c>
      <c r="E43" s="68">
        <f t="shared" ref="E43:AC43" si="14">SUM(E40:E42)</f>
        <v>42169</v>
      </c>
      <c r="F43" s="69">
        <f t="shared" si="14"/>
        <v>0</v>
      </c>
      <c r="G43" s="69">
        <f t="shared" si="14"/>
        <v>0</v>
      </c>
      <c r="H43" s="69">
        <f t="shared" si="14"/>
        <v>0</v>
      </c>
      <c r="I43" s="69">
        <f t="shared" si="14"/>
        <v>0</v>
      </c>
      <c r="J43" s="69">
        <f t="shared" si="14"/>
        <v>0</v>
      </c>
      <c r="K43" s="69">
        <f t="shared" si="14"/>
        <v>0</v>
      </c>
      <c r="L43" s="69">
        <f t="shared" si="14"/>
        <v>-232</v>
      </c>
      <c r="M43" s="69">
        <f t="shared" si="14"/>
        <v>0</v>
      </c>
      <c r="N43" s="69">
        <f t="shared" si="14"/>
        <v>41937</v>
      </c>
      <c r="O43" s="69">
        <f t="shared" si="14"/>
        <v>0</v>
      </c>
      <c r="P43" s="69">
        <f t="shared" si="14"/>
        <v>0</v>
      </c>
      <c r="Q43" s="69">
        <f t="shared" si="14"/>
        <v>0</v>
      </c>
      <c r="R43" s="69">
        <f t="shared" si="14"/>
        <v>80</v>
      </c>
      <c r="S43" s="69">
        <f t="shared" si="14"/>
        <v>86</v>
      </c>
      <c r="T43" s="69">
        <f t="shared" si="14"/>
        <v>0</v>
      </c>
      <c r="U43" s="69">
        <f t="shared" si="14"/>
        <v>-62</v>
      </c>
      <c r="V43" s="69">
        <f t="shared" si="14"/>
        <v>0</v>
      </c>
      <c r="W43" s="69">
        <f t="shared" si="14"/>
        <v>0</v>
      </c>
      <c r="X43" s="69">
        <f t="shared" si="14"/>
        <v>-8</v>
      </c>
      <c r="Y43" s="69">
        <f t="shared" si="14"/>
        <v>0</v>
      </c>
      <c r="Z43" s="69">
        <f t="shared" si="14"/>
        <v>0</v>
      </c>
      <c r="AA43" s="69">
        <f t="shared" si="14"/>
        <v>58</v>
      </c>
      <c r="AB43" s="69">
        <f t="shared" si="14"/>
        <v>-214</v>
      </c>
      <c r="AC43" s="69">
        <f t="shared" si="14"/>
        <v>0</v>
      </c>
      <c r="AD43" s="69"/>
      <c r="AE43" s="69"/>
      <c r="AF43" s="69"/>
      <c r="AG43" s="69">
        <f>SUM(AG40:AG42)</f>
        <v>41877</v>
      </c>
      <c r="AH43" s="69">
        <f t="shared" ref="AH43:AN43" si="15">SUM(AH40:AH42)</f>
        <v>0</v>
      </c>
      <c r="AI43" s="69">
        <f t="shared" si="15"/>
        <v>0</v>
      </c>
      <c r="AJ43" s="69">
        <f t="shared" si="15"/>
        <v>321.32910000000004</v>
      </c>
      <c r="AK43" s="69">
        <f t="shared" si="15"/>
        <v>21.107796150000002</v>
      </c>
      <c r="AL43" s="69">
        <f t="shared" si="15"/>
        <v>0</v>
      </c>
      <c r="AM43" s="69">
        <f t="shared" si="15"/>
        <v>0</v>
      </c>
      <c r="AN43" s="69">
        <f t="shared" si="15"/>
        <v>0</v>
      </c>
      <c r="AO43" s="69">
        <f>SUM(AO40:AO42)</f>
        <v>0</v>
      </c>
      <c r="AP43" s="68">
        <f t="shared" ref="AP43:AZ43" si="16">SUM(AP40:AP42)</f>
        <v>0</v>
      </c>
      <c r="AQ43" s="69">
        <f t="shared" si="16"/>
        <v>0</v>
      </c>
      <c r="AR43" s="69">
        <f t="shared" si="16"/>
        <v>0</v>
      </c>
      <c r="AS43" s="69">
        <f t="shared" si="16"/>
        <v>0</v>
      </c>
      <c r="AT43" s="69">
        <f>SUM(AT40:AT42)</f>
        <v>0</v>
      </c>
      <c r="AU43" s="69">
        <f t="shared" si="16"/>
        <v>0</v>
      </c>
      <c r="AV43" s="69">
        <f t="shared" si="16"/>
        <v>-17.414000000000001</v>
      </c>
      <c r="AW43" s="69">
        <f t="shared" si="16"/>
        <v>0</v>
      </c>
      <c r="AX43" s="69">
        <f t="shared" si="16"/>
        <v>1768</v>
      </c>
      <c r="AY43" s="69">
        <f t="shared" si="16"/>
        <v>218.52099999999999</v>
      </c>
      <c r="AZ43" s="69">
        <f t="shared" si="16"/>
        <v>0</v>
      </c>
      <c r="BA43" s="69">
        <f>SUM(BA40:BA42)</f>
        <v>-408.428</v>
      </c>
      <c r="BB43" s="69">
        <f>SUM(BB40:BB42)</f>
        <v>-22.614547686318001</v>
      </c>
      <c r="BC43" s="69">
        <f>SUM(BC40:BC42)</f>
        <v>-272.16670091410799</v>
      </c>
      <c r="BD43" s="69">
        <f>SUM(BD40:BD42)</f>
        <v>95.764806399999998</v>
      </c>
      <c r="BE43" s="187">
        <f t="shared" si="13"/>
        <v>1704.0994539495746</v>
      </c>
      <c r="BF43" s="187">
        <f>+BE43+AG43</f>
        <v>43581.099453949573</v>
      </c>
    </row>
    <row r="44" spans="1:60">
      <c r="A44" s="53">
        <v>23</v>
      </c>
      <c r="B44" s="60" t="s">
        <v>167</v>
      </c>
      <c r="C44" s="60"/>
      <c r="D44" s="60"/>
      <c r="E44" s="68">
        <f t="shared" ref="E44:AC44" si="17">E43+E37+E36+E35+E33+E27</f>
        <v>483333</v>
      </c>
      <c r="F44" s="69">
        <f t="shared" si="17"/>
        <v>0</v>
      </c>
      <c r="G44" s="69">
        <f t="shared" si="17"/>
        <v>0</v>
      </c>
      <c r="H44" s="69">
        <f t="shared" si="17"/>
        <v>-202</v>
      </c>
      <c r="I44" s="69">
        <f t="shared" si="17"/>
        <v>0</v>
      </c>
      <c r="J44" s="69">
        <f t="shared" si="17"/>
        <v>0</v>
      </c>
      <c r="K44" s="69">
        <f t="shared" si="17"/>
        <v>0</v>
      </c>
      <c r="L44" s="69">
        <f t="shared" si="17"/>
        <v>-60</v>
      </c>
      <c r="M44" s="69">
        <f t="shared" si="17"/>
        <v>0</v>
      </c>
      <c r="N44" s="69">
        <f t="shared" si="17"/>
        <v>483071</v>
      </c>
      <c r="O44" s="69">
        <f t="shared" si="17"/>
        <v>-13726</v>
      </c>
      <c r="P44" s="69">
        <f t="shared" si="17"/>
        <v>0</v>
      </c>
      <c r="Q44" s="69">
        <f t="shared" si="17"/>
        <v>-108</v>
      </c>
      <c r="R44" s="69">
        <f t="shared" si="17"/>
        <v>80</v>
      </c>
      <c r="S44" s="69">
        <f t="shared" si="17"/>
        <v>86</v>
      </c>
      <c r="T44" s="69">
        <f t="shared" si="17"/>
        <v>0</v>
      </c>
      <c r="U44" s="69">
        <f t="shared" si="17"/>
        <v>-19096</v>
      </c>
      <c r="V44" s="69">
        <f t="shared" si="17"/>
        <v>9</v>
      </c>
      <c r="W44" s="69">
        <f t="shared" si="17"/>
        <v>-516</v>
      </c>
      <c r="X44" s="69">
        <f t="shared" si="17"/>
        <v>-8</v>
      </c>
      <c r="Y44" s="69">
        <f t="shared" si="17"/>
        <v>31</v>
      </c>
      <c r="Z44" s="69">
        <f t="shared" si="17"/>
        <v>-122</v>
      </c>
      <c r="AA44" s="69">
        <f t="shared" si="17"/>
        <v>-6809</v>
      </c>
      <c r="AB44" s="69">
        <f t="shared" si="17"/>
        <v>-214</v>
      </c>
      <c r="AC44" s="69">
        <f t="shared" si="17"/>
        <v>0</v>
      </c>
      <c r="AD44" s="69"/>
      <c r="AE44" s="69"/>
      <c r="AF44" s="69"/>
      <c r="AG44" s="69">
        <f>AG43+AG37+AG36+AG35+AG33+AG27</f>
        <v>442678</v>
      </c>
      <c r="AH44" s="281">
        <f t="shared" ref="AH44:AN44" si="18">AH43+AH37+AH36+AH35+AH33+AH27</f>
        <v>-78127</v>
      </c>
      <c r="AI44" s="281">
        <f t="shared" si="18"/>
        <v>-11773.951269150501</v>
      </c>
      <c r="AJ44" s="69">
        <f t="shared" si="18"/>
        <v>1533.97507</v>
      </c>
      <c r="AK44" s="69">
        <f t="shared" si="18"/>
        <v>21.107796150000002</v>
      </c>
      <c r="AL44" s="69">
        <f t="shared" si="18"/>
        <v>103</v>
      </c>
      <c r="AM44" s="69">
        <f t="shared" si="18"/>
        <v>15.175753965262135</v>
      </c>
      <c r="AN44" s="69">
        <f t="shared" si="18"/>
        <v>45.292340681532778</v>
      </c>
      <c r="AO44" s="69">
        <f>AO43+AO37+AO36+AO35+AO33+AO27</f>
        <v>240</v>
      </c>
      <c r="AP44" s="68">
        <f t="shared" ref="AP44:AZ44" si="19">AP43+AP37+AP36+AP35+AP33+AP27</f>
        <v>0</v>
      </c>
      <c r="AQ44" s="69">
        <f t="shared" si="19"/>
        <v>0</v>
      </c>
      <c r="AR44" s="69">
        <f t="shared" si="19"/>
        <v>3636</v>
      </c>
      <c r="AS44" s="69">
        <f t="shared" si="19"/>
        <v>258.36</v>
      </c>
      <c r="AT44" s="69">
        <f>AT43+AT37+AT36+AT35+AT33+AT27</f>
        <v>3516</v>
      </c>
      <c r="AU44" s="69">
        <f t="shared" si="19"/>
        <v>1241.4198000000001</v>
      </c>
      <c r="AV44" s="69">
        <f t="shared" si="19"/>
        <v>-17.414000000000001</v>
      </c>
      <c r="AW44" s="69">
        <f t="shared" si="19"/>
        <v>0</v>
      </c>
      <c r="AX44" s="69">
        <f t="shared" si="19"/>
        <v>3965</v>
      </c>
      <c r="AY44" s="69">
        <f t="shared" si="19"/>
        <v>218.52099999999999</v>
      </c>
      <c r="AZ44" s="69">
        <f t="shared" si="19"/>
        <v>656</v>
      </c>
      <c r="BA44" s="69">
        <f>BA43+BA37+BA36+BA35+BA33+BA27</f>
        <v>-408.428</v>
      </c>
      <c r="BB44" s="69">
        <f>BB43+BB37+BB36+BB35+BB33+BB27</f>
        <v>-22.614547686318001</v>
      </c>
      <c r="BC44" s="69">
        <f>BC43+BC37+BC36+BC35+BC33+BC27</f>
        <v>-272.16670091410799</v>
      </c>
      <c r="BD44" s="69">
        <f>BD43+BD37+BD36+BD35+BD33+BD27</f>
        <v>95.764806399999998</v>
      </c>
      <c r="BE44" s="284">
        <f t="shared" si="13"/>
        <v>-75075.957950554148</v>
      </c>
      <c r="BF44" s="284">
        <f>+BE44+AG44</f>
        <v>367602.04204944585</v>
      </c>
    </row>
    <row r="45" spans="1:60">
      <c r="A45" s="53"/>
      <c r="B45" s="60"/>
      <c r="C45" s="60"/>
      <c r="D45" s="60"/>
      <c r="E45" s="67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7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</row>
    <row r="46" spans="1:60">
      <c r="A46" s="53">
        <v>24</v>
      </c>
      <c r="B46" s="60" t="s">
        <v>168</v>
      </c>
      <c r="C46" s="60"/>
      <c r="D46" s="60"/>
      <c r="E46" s="67">
        <f t="shared" ref="E46:J46" si="20">E19-E44</f>
        <v>88367</v>
      </c>
      <c r="F46" s="60">
        <f t="shared" si="20"/>
        <v>0</v>
      </c>
      <c r="G46" s="60">
        <f t="shared" si="20"/>
        <v>0</v>
      </c>
      <c r="H46" s="60">
        <f t="shared" si="20"/>
        <v>202</v>
      </c>
      <c r="I46" s="60">
        <f t="shared" si="20"/>
        <v>0</v>
      </c>
      <c r="J46" s="60">
        <f t="shared" si="20"/>
        <v>0</v>
      </c>
      <c r="K46" s="60">
        <f>K19-K44</f>
        <v>0</v>
      </c>
      <c r="L46" s="60">
        <f>L19-L44</f>
        <v>60</v>
      </c>
      <c r="M46" s="60">
        <f>M19-M44</f>
        <v>0</v>
      </c>
      <c r="N46" s="60">
        <f t="shared" ref="N46:AC46" si="21">N19-N44</f>
        <v>88629</v>
      </c>
      <c r="O46" s="60">
        <f t="shared" si="21"/>
        <v>-34</v>
      </c>
      <c r="P46" s="60">
        <f t="shared" si="21"/>
        <v>0</v>
      </c>
      <c r="Q46" s="60">
        <f t="shared" si="21"/>
        <v>108</v>
      </c>
      <c r="R46" s="60">
        <f t="shared" si="21"/>
        <v>-80</v>
      </c>
      <c r="S46" s="60">
        <f t="shared" si="21"/>
        <v>-86</v>
      </c>
      <c r="T46" s="60">
        <f t="shared" si="21"/>
        <v>0</v>
      </c>
      <c r="U46" s="60">
        <f t="shared" si="21"/>
        <v>-13606</v>
      </c>
      <c r="V46" s="60">
        <f t="shared" si="21"/>
        <v>-9</v>
      </c>
      <c r="W46" s="60">
        <f t="shared" si="21"/>
        <v>516</v>
      </c>
      <c r="X46" s="60">
        <f t="shared" si="21"/>
        <v>8</v>
      </c>
      <c r="Y46" s="60">
        <f t="shared" si="21"/>
        <v>-31</v>
      </c>
      <c r="Z46" s="60">
        <f t="shared" si="21"/>
        <v>122</v>
      </c>
      <c r="AA46" s="60">
        <f t="shared" si="21"/>
        <v>35991</v>
      </c>
      <c r="AB46" s="60">
        <f t="shared" si="21"/>
        <v>214</v>
      </c>
      <c r="AC46" s="60">
        <f t="shared" si="21"/>
        <v>0</v>
      </c>
      <c r="AD46" s="60"/>
      <c r="AE46" s="60"/>
      <c r="AF46" s="60"/>
      <c r="AG46" s="60">
        <f t="shared" ref="AG46:AN46" si="22">AG19-AG44</f>
        <v>111742</v>
      </c>
      <c r="AH46" s="280">
        <f t="shared" si="22"/>
        <v>-5524</v>
      </c>
      <c r="AI46" s="280">
        <f t="shared" si="22"/>
        <v>8120.4121991505008</v>
      </c>
      <c r="AJ46" s="60">
        <f t="shared" si="22"/>
        <v>-1533.97507</v>
      </c>
      <c r="AK46" s="60">
        <f t="shared" si="22"/>
        <v>-21.107796150000002</v>
      </c>
      <c r="AL46" s="60">
        <f t="shared" si="22"/>
        <v>-79</v>
      </c>
      <c r="AM46" s="60">
        <f t="shared" si="22"/>
        <v>-15.175753965262135</v>
      </c>
      <c r="AN46" s="60">
        <f t="shared" si="22"/>
        <v>-45.292340681532778</v>
      </c>
      <c r="AO46" s="60">
        <f>AO19-AO44</f>
        <v>-240</v>
      </c>
      <c r="AP46" s="67">
        <f t="shared" ref="AP46:AY46" si="23">AP19-AP44</f>
        <v>0</v>
      </c>
      <c r="AQ46" s="60">
        <f>AQ19-AQ44</f>
        <v>0</v>
      </c>
      <c r="AR46" s="60">
        <f t="shared" si="23"/>
        <v>-3636</v>
      </c>
      <c r="AS46" s="60">
        <f t="shared" si="23"/>
        <v>-258.36</v>
      </c>
      <c r="AT46" s="60">
        <f>AT19-AT44</f>
        <v>-3516</v>
      </c>
      <c r="AU46" s="60">
        <f t="shared" si="23"/>
        <v>-1241.4198000000001</v>
      </c>
      <c r="AV46" s="60">
        <f t="shared" si="23"/>
        <v>17.414000000000001</v>
      </c>
      <c r="AW46" s="60">
        <f>AW19-AW44</f>
        <v>0</v>
      </c>
      <c r="AX46" s="60">
        <f t="shared" si="23"/>
        <v>-3965</v>
      </c>
      <c r="AY46" s="60">
        <f t="shared" si="23"/>
        <v>-218.52099999999999</v>
      </c>
      <c r="AZ46" s="60">
        <f>AZ19-AZ44</f>
        <v>-656</v>
      </c>
      <c r="BA46" s="60">
        <f>BA19-BA44</f>
        <v>408.428</v>
      </c>
      <c r="BB46" s="60">
        <f>BB19-BB44</f>
        <v>22.614547686318001</v>
      </c>
      <c r="BC46" s="60">
        <f>BC19-BC44</f>
        <v>272.16670091410799</v>
      </c>
      <c r="BD46" s="60">
        <f>BD19-BD44</f>
        <v>-95.764806399999998</v>
      </c>
      <c r="BE46" s="283">
        <f>SUM(AH46:BD46)</f>
        <v>-12204.581119445871</v>
      </c>
      <c r="BF46" s="283">
        <f>+BE46+AG46</f>
        <v>99537.418880554134</v>
      </c>
      <c r="BG46" s="60"/>
      <c r="BH46" s="60"/>
    </row>
    <row r="47" spans="1:60">
      <c r="A47" s="53"/>
      <c r="B47" s="60"/>
      <c r="C47" s="60"/>
      <c r="D47" s="60"/>
      <c r="E47" s="61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1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58">
        <f>+BE47+AG47</f>
        <v>0</v>
      </c>
    </row>
    <row r="48" spans="1:60">
      <c r="A48" s="53"/>
      <c r="B48" s="60" t="s">
        <v>169</v>
      </c>
      <c r="C48" s="60"/>
      <c r="D48" s="60"/>
      <c r="E48" s="61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1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58">
        <f>+BE48+AG48</f>
        <v>0</v>
      </c>
    </row>
    <row r="49" spans="1:59">
      <c r="A49" s="53">
        <v>25</v>
      </c>
      <c r="B49" s="60" t="s">
        <v>170</v>
      </c>
      <c r="C49" s="60"/>
      <c r="D49" s="60"/>
      <c r="E49" s="61">
        <v>16759</v>
      </c>
      <c r="F49" s="63"/>
      <c r="G49" s="63"/>
      <c r="H49" s="63"/>
      <c r="I49" s="63"/>
      <c r="J49" s="63"/>
      <c r="K49" s="63"/>
      <c r="L49" s="63">
        <v>21</v>
      </c>
      <c r="M49" s="63"/>
      <c r="N49" s="63">
        <f>SUM(E49:M49)</f>
        <v>16780</v>
      </c>
      <c r="O49" s="63">
        <f t="shared" ref="O49:AB49" si="24">+O46*0.35</f>
        <v>-11.899999999999999</v>
      </c>
      <c r="P49" s="63">
        <f t="shared" si="24"/>
        <v>0</v>
      </c>
      <c r="Q49" s="63">
        <f t="shared" si="24"/>
        <v>37.799999999999997</v>
      </c>
      <c r="R49" s="63">
        <f t="shared" si="24"/>
        <v>-28</v>
      </c>
      <c r="S49" s="63">
        <f t="shared" si="24"/>
        <v>-30.099999999999998</v>
      </c>
      <c r="T49" s="63">
        <v>1715</v>
      </c>
      <c r="U49" s="63">
        <v>-10946</v>
      </c>
      <c r="V49" s="63">
        <f t="shared" si="24"/>
        <v>-3.15</v>
      </c>
      <c r="W49" s="63">
        <f t="shared" si="24"/>
        <v>180.6</v>
      </c>
      <c r="X49" s="63">
        <f t="shared" si="24"/>
        <v>2.8</v>
      </c>
      <c r="Y49" s="63">
        <f t="shared" si="24"/>
        <v>-10.85</v>
      </c>
      <c r="Z49" s="63">
        <f t="shared" si="24"/>
        <v>42.699999999999996</v>
      </c>
      <c r="AA49" s="63">
        <f t="shared" si="24"/>
        <v>12596.849999999999</v>
      </c>
      <c r="AB49" s="63">
        <f t="shared" si="24"/>
        <v>74.899999999999991</v>
      </c>
      <c r="AC49" s="61">
        <f>'C-15'!E26</f>
        <v>-331</v>
      </c>
      <c r="AD49" s="63"/>
      <c r="AE49" s="63"/>
      <c r="AF49" s="63"/>
      <c r="AG49" s="58">
        <f>SUM(N49:AC49)</f>
        <v>20069.650000000001</v>
      </c>
      <c r="AH49" s="279">
        <f>+AH46*0.35</f>
        <v>-1933.3999999999999</v>
      </c>
      <c r="AI49" s="279">
        <f t="shared" ref="AI49:BD49" si="25">+AI46*0.35</f>
        <v>2842.144269702675</v>
      </c>
      <c r="AJ49" s="63">
        <f t="shared" si="25"/>
        <v>-536.89127450000001</v>
      </c>
      <c r="AK49" s="63">
        <f t="shared" si="25"/>
        <v>-7.3877286524999999</v>
      </c>
      <c r="AL49" s="63">
        <f t="shared" si="25"/>
        <v>-27.65</v>
      </c>
      <c r="AM49" s="63">
        <f t="shared" si="25"/>
        <v>-5.3115138878417474</v>
      </c>
      <c r="AN49" s="63">
        <f t="shared" si="25"/>
        <v>-15.852319238536472</v>
      </c>
      <c r="AO49" s="63">
        <f t="shared" si="25"/>
        <v>-84</v>
      </c>
      <c r="AP49" s="63">
        <f t="shared" si="25"/>
        <v>0</v>
      </c>
      <c r="AQ49" s="63">
        <f t="shared" si="25"/>
        <v>0</v>
      </c>
      <c r="AR49" s="63">
        <f t="shared" si="25"/>
        <v>-1272.5999999999999</v>
      </c>
      <c r="AS49" s="63">
        <f t="shared" si="25"/>
        <v>-90.426000000000002</v>
      </c>
      <c r="AT49" s="63">
        <f t="shared" si="25"/>
        <v>-1230.5999999999999</v>
      </c>
      <c r="AU49" s="63">
        <f t="shared" si="25"/>
        <v>-434.49693000000002</v>
      </c>
      <c r="AV49" s="63">
        <f t="shared" si="25"/>
        <v>6.0949</v>
      </c>
      <c r="AW49" s="63">
        <f t="shared" si="25"/>
        <v>0</v>
      </c>
      <c r="AX49" s="63">
        <f t="shared" si="25"/>
        <v>-1387.75</v>
      </c>
      <c r="AY49" s="63">
        <f t="shared" si="25"/>
        <v>-76.482349999999997</v>
      </c>
      <c r="AZ49" s="63">
        <f t="shared" si="25"/>
        <v>-229.6</v>
      </c>
      <c r="BA49" s="63">
        <f t="shared" si="25"/>
        <v>142.94979999999998</v>
      </c>
      <c r="BB49" s="63">
        <f t="shared" si="25"/>
        <v>7.9150916902113</v>
      </c>
      <c r="BC49" s="63">
        <f t="shared" si="25"/>
        <v>95.258345319937789</v>
      </c>
      <c r="BD49" s="63">
        <f t="shared" si="25"/>
        <v>-33.517682239999999</v>
      </c>
      <c r="BE49" s="283">
        <f>SUM(AH49:BD49)</f>
        <v>-4271.6033918060539</v>
      </c>
      <c r="BF49" s="283">
        <f>+BE49+AG49</f>
        <v>15798.046608193948</v>
      </c>
    </row>
    <row r="50" spans="1:59">
      <c r="A50" s="53">
        <v>26</v>
      </c>
      <c r="B50" s="60" t="s">
        <v>171</v>
      </c>
      <c r="C50" s="60"/>
      <c r="D50" s="60"/>
      <c r="E50" s="61">
        <v>3070</v>
      </c>
      <c r="F50" s="63"/>
      <c r="G50" s="63"/>
      <c r="H50" s="63"/>
      <c r="I50" s="63"/>
      <c r="J50" s="63">
        <v>56</v>
      </c>
      <c r="K50" s="63"/>
      <c r="L50" s="63"/>
      <c r="M50" s="63"/>
      <c r="N50" s="63">
        <f>SUM(E50:M50)</f>
        <v>3126</v>
      </c>
      <c r="O50" s="63"/>
      <c r="P50" s="63"/>
      <c r="Q50" s="63"/>
      <c r="R50" s="63"/>
      <c r="S50" s="63"/>
      <c r="T50" s="63">
        <v>36</v>
      </c>
      <c r="U50" s="63">
        <v>6184</v>
      </c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58">
        <f>SUM(N50:AC50)</f>
        <v>9346</v>
      </c>
      <c r="AH50" s="63"/>
      <c r="AI50" s="63"/>
      <c r="AJ50" s="63"/>
      <c r="AK50" s="63"/>
      <c r="AL50" s="63"/>
      <c r="AM50" s="63"/>
      <c r="AN50" s="63"/>
      <c r="AO50" s="63"/>
      <c r="AP50" s="61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58">
        <f>SUM(AH50:BD50)</f>
        <v>0</v>
      </c>
      <c r="BF50" s="58">
        <f>+BE50+AG50</f>
        <v>9346</v>
      </c>
    </row>
    <row r="51" spans="1:59">
      <c r="A51" s="53"/>
      <c r="B51" s="60"/>
      <c r="C51" s="60"/>
      <c r="D51" s="60"/>
      <c r="E51" s="64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4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</row>
    <row r="52" spans="1:59">
      <c r="A52" s="3"/>
      <c r="B52" s="2"/>
      <c r="C52" s="2"/>
      <c r="D52" s="2"/>
      <c r="E52" s="10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10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</row>
    <row r="53" spans="1:59" ht="13.5" thickBot="1">
      <c r="A53" s="53">
        <v>27</v>
      </c>
      <c r="B53" s="54" t="s">
        <v>172</v>
      </c>
      <c r="C53" s="54"/>
      <c r="D53" s="54"/>
      <c r="E53" s="70">
        <f>E46-SUM(E49:E51)</f>
        <v>68538</v>
      </c>
      <c r="F53" s="71">
        <f>F46-SUM(F49:F51)</f>
        <v>0</v>
      </c>
      <c r="G53" s="71">
        <f t="shared" ref="G53:AC53" si="26">G46-SUM(G49:G51)</f>
        <v>0</v>
      </c>
      <c r="H53" s="71">
        <f t="shared" si="26"/>
        <v>202</v>
      </c>
      <c r="I53" s="71">
        <f t="shared" si="26"/>
        <v>0</v>
      </c>
      <c r="J53" s="71">
        <f t="shared" si="26"/>
        <v>-56</v>
      </c>
      <c r="K53" s="71">
        <f>K46-SUM(K49:K51)</f>
        <v>0</v>
      </c>
      <c r="L53" s="71">
        <f>L46-SUM(L49:L51)</f>
        <v>39</v>
      </c>
      <c r="M53" s="71">
        <f>M46-SUM(M49:M51)</f>
        <v>0</v>
      </c>
      <c r="N53" s="71">
        <f t="shared" si="26"/>
        <v>68723</v>
      </c>
      <c r="O53" s="71">
        <f t="shared" si="26"/>
        <v>-22.1</v>
      </c>
      <c r="P53" s="71">
        <f t="shared" si="26"/>
        <v>0</v>
      </c>
      <c r="Q53" s="71">
        <f t="shared" si="26"/>
        <v>70.2</v>
      </c>
      <c r="R53" s="71">
        <f t="shared" si="26"/>
        <v>-52</v>
      </c>
      <c r="S53" s="71">
        <f t="shared" si="26"/>
        <v>-55.900000000000006</v>
      </c>
      <c r="T53" s="71">
        <f t="shared" si="26"/>
        <v>-1751</v>
      </c>
      <c r="U53" s="71">
        <f>U46-SUM(U49:U51)</f>
        <v>-8844</v>
      </c>
      <c r="V53" s="71">
        <f t="shared" si="26"/>
        <v>-5.85</v>
      </c>
      <c r="W53" s="71">
        <f t="shared" si="26"/>
        <v>335.4</v>
      </c>
      <c r="X53" s="71">
        <f t="shared" si="26"/>
        <v>5.2</v>
      </c>
      <c r="Y53" s="71">
        <f t="shared" si="26"/>
        <v>-20.149999999999999</v>
      </c>
      <c r="Z53" s="71">
        <f t="shared" si="26"/>
        <v>79.300000000000011</v>
      </c>
      <c r="AA53" s="71">
        <f t="shared" si="26"/>
        <v>23394.15</v>
      </c>
      <c r="AB53" s="71">
        <f t="shared" si="26"/>
        <v>139.10000000000002</v>
      </c>
      <c r="AC53" s="71">
        <f t="shared" si="26"/>
        <v>331</v>
      </c>
      <c r="AD53" s="71"/>
      <c r="AE53" s="71"/>
      <c r="AF53" s="71"/>
      <c r="AG53" s="71">
        <f t="shared" ref="AG53:BD53" si="27">AG46-SUM(AG49:AG51)</f>
        <v>82326.350000000006</v>
      </c>
      <c r="AH53" s="282">
        <f t="shared" si="27"/>
        <v>-3590.6000000000004</v>
      </c>
      <c r="AI53" s="282">
        <f>AI46-SUM(AI49:AI51)</f>
        <v>5278.2679294478257</v>
      </c>
      <c r="AJ53" s="71">
        <f t="shared" si="27"/>
        <v>-997.08379549999995</v>
      </c>
      <c r="AK53" s="71">
        <f t="shared" si="27"/>
        <v>-13.720067497500002</v>
      </c>
      <c r="AL53" s="71">
        <f t="shared" si="27"/>
        <v>-51.35</v>
      </c>
      <c r="AM53" s="71">
        <f t="shared" si="27"/>
        <v>-9.8642400774203871</v>
      </c>
      <c r="AN53" s="71">
        <f t="shared" si="27"/>
        <v>-29.440021442996304</v>
      </c>
      <c r="AO53" s="71">
        <f>AO46-SUM(AO49:AO51)</f>
        <v>-156</v>
      </c>
      <c r="AP53" s="70">
        <f t="shared" si="27"/>
        <v>0</v>
      </c>
      <c r="AQ53" s="71">
        <f>AQ46-SUM(AQ49:AQ51)</f>
        <v>0</v>
      </c>
      <c r="AR53" s="71">
        <f t="shared" si="27"/>
        <v>-2363.4</v>
      </c>
      <c r="AS53" s="71">
        <f t="shared" si="27"/>
        <v>-167.93400000000003</v>
      </c>
      <c r="AT53" s="71">
        <f>AT46-SUM(AT49:AT51)</f>
        <v>-2285.4</v>
      </c>
      <c r="AU53" s="71">
        <f t="shared" si="27"/>
        <v>-806.9228700000001</v>
      </c>
      <c r="AV53" s="71">
        <f t="shared" si="27"/>
        <v>11.319100000000002</v>
      </c>
      <c r="AW53" s="71">
        <f>AW46-SUM(AW49:AW51)</f>
        <v>0</v>
      </c>
      <c r="AX53" s="71">
        <f t="shared" si="27"/>
        <v>-2577.25</v>
      </c>
      <c r="AY53" s="71">
        <f t="shared" si="27"/>
        <v>-142.03864999999999</v>
      </c>
      <c r="AZ53" s="71">
        <f>AZ46-SUM(AZ49:AZ51)</f>
        <v>-426.4</v>
      </c>
      <c r="BA53" s="71">
        <f t="shared" si="27"/>
        <v>265.47820000000002</v>
      </c>
      <c r="BB53" s="71">
        <f t="shared" si="27"/>
        <v>14.699455996106702</v>
      </c>
      <c r="BC53" s="71">
        <f t="shared" si="27"/>
        <v>176.90835559417019</v>
      </c>
      <c r="BD53" s="71">
        <f t="shared" si="27"/>
        <v>-62.247124159999998</v>
      </c>
      <c r="BE53" s="285">
        <f>SUM(AH53:BD53)</f>
        <v>-7932.9777276398163</v>
      </c>
      <c r="BF53" s="285">
        <f>+BE53+AG53</f>
        <v>74393.372272360197</v>
      </c>
      <c r="BG53" s="259"/>
    </row>
    <row r="54" spans="1:59" ht="13.5" thickTop="1">
      <c r="A54" s="3"/>
      <c r="B54" s="2"/>
      <c r="C54" s="2"/>
      <c r="D54" s="2"/>
      <c r="E54" s="10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10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</row>
    <row r="55" spans="1:59">
      <c r="A55" s="3"/>
      <c r="B55" s="2" t="s">
        <v>173</v>
      </c>
      <c r="C55" s="2"/>
      <c r="D55" s="2"/>
      <c r="E55" s="10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0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</row>
    <row r="56" spans="1:59">
      <c r="A56" s="3"/>
      <c r="B56" s="2" t="s">
        <v>174</v>
      </c>
      <c r="C56" s="2"/>
      <c r="D56" s="2"/>
      <c r="E56" s="10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10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</row>
    <row r="57" spans="1:59">
      <c r="A57" s="53">
        <v>28</v>
      </c>
      <c r="B57" s="54"/>
      <c r="C57" s="54" t="s">
        <v>175</v>
      </c>
      <c r="D57" s="54"/>
      <c r="E57" s="55">
        <v>22439</v>
      </c>
      <c r="F57" s="58"/>
      <c r="G57" s="58"/>
      <c r="H57" s="58"/>
      <c r="I57" s="58"/>
      <c r="J57" s="58"/>
      <c r="K57" s="58"/>
      <c r="L57" s="58"/>
      <c r="M57" s="58"/>
      <c r="N57" s="58">
        <f>SUM(E57:M57)</f>
        <v>22439</v>
      </c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>
        <f t="shared" ref="AG57:AG69" si="28">SUM(N57:AC57)</f>
        <v>22439</v>
      </c>
      <c r="AH57" s="58"/>
      <c r="AI57" s="58">
        <f>'C-1'!E54</f>
        <v>-1136.6299590000001</v>
      </c>
      <c r="AJ57" s="58"/>
      <c r="AK57" s="58"/>
      <c r="AL57" s="58"/>
      <c r="AM57" s="58"/>
      <c r="AN57" s="58"/>
      <c r="AO57" s="58"/>
      <c r="AP57" s="55"/>
      <c r="AQ57" s="58"/>
      <c r="AR57" s="58"/>
      <c r="AS57" s="58"/>
      <c r="AT57" s="58">
        <v>4398</v>
      </c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>
        <f>SUM(AH57:BD57)</f>
        <v>3261.3700410000001</v>
      </c>
      <c r="BF57" s="58">
        <f>+BE57+AG57</f>
        <v>25700.370041000002</v>
      </c>
    </row>
    <row r="58" spans="1:59">
      <c r="A58" s="53">
        <v>29</v>
      </c>
      <c r="B58" s="60"/>
      <c r="C58" s="60" t="s">
        <v>176</v>
      </c>
      <c r="D58" s="60"/>
      <c r="E58" s="61">
        <v>656077</v>
      </c>
      <c r="F58" s="63"/>
      <c r="G58" s="63"/>
      <c r="H58" s="63">
        <v>-7452</v>
      </c>
      <c r="I58" s="63">
        <v>436</v>
      </c>
      <c r="J58" s="63">
        <v>-5248</v>
      </c>
      <c r="K58" s="63"/>
      <c r="L58" s="63"/>
      <c r="M58" s="63">
        <v>79626</v>
      </c>
      <c r="N58" s="58">
        <f>SUM(E58:M58)</f>
        <v>723439</v>
      </c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58">
        <f t="shared" si="28"/>
        <v>723439</v>
      </c>
      <c r="AH58" s="63"/>
      <c r="AI58" s="63">
        <f>'C-1'!E55</f>
        <v>-13253.376393999997</v>
      </c>
      <c r="AJ58" s="63"/>
      <c r="AK58" s="63"/>
      <c r="AL58" s="63"/>
      <c r="AM58" s="63">
        <f>'C-4'!E55</f>
        <v>1311.5402110999999</v>
      </c>
      <c r="AN58" s="63">
        <f>'C-5'!E55</f>
        <v>2348.9716578000002</v>
      </c>
      <c r="AO58" s="63">
        <v>5464</v>
      </c>
      <c r="AP58" s="61"/>
      <c r="AQ58" s="63"/>
      <c r="AR58" s="63">
        <v>26703</v>
      </c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58">
        <f>SUM(AH58:BD58)</f>
        <v>22574.135474900002</v>
      </c>
      <c r="BF58" s="58">
        <f>+BE58+AG58</f>
        <v>746013.13547490002</v>
      </c>
    </row>
    <row r="59" spans="1:59">
      <c r="A59" s="53">
        <v>30</v>
      </c>
      <c r="B59" s="60"/>
      <c r="C59" s="60" t="s">
        <v>177</v>
      </c>
      <c r="D59" s="60"/>
      <c r="E59" s="61">
        <v>285760</v>
      </c>
      <c r="F59" s="63"/>
      <c r="G59" s="63"/>
      <c r="H59" s="63"/>
      <c r="I59" s="63"/>
      <c r="J59" s="63"/>
      <c r="K59" s="63"/>
      <c r="L59" s="63"/>
      <c r="M59" s="63"/>
      <c r="N59" s="58">
        <f>SUM(E59:M59)</f>
        <v>285760</v>
      </c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58">
        <f t="shared" si="28"/>
        <v>285760</v>
      </c>
      <c r="AH59" s="63"/>
      <c r="AI59" s="63">
        <f>'C-1'!E56</f>
        <v>-5535.7427200000002</v>
      </c>
      <c r="AJ59" s="63"/>
      <c r="AK59" s="63"/>
      <c r="AL59" s="63"/>
      <c r="AM59" s="63"/>
      <c r="AN59" s="63"/>
      <c r="AO59" s="63"/>
      <c r="AP59" s="61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58">
        <f>SUM(AH59:BD59)</f>
        <v>-5535.7427200000002</v>
      </c>
      <c r="BF59" s="58">
        <f>+BE59+AG59</f>
        <v>280224.25728000002</v>
      </c>
    </row>
    <row r="60" spans="1:59">
      <c r="A60" s="53">
        <v>31</v>
      </c>
      <c r="B60" s="60"/>
      <c r="C60" s="60" t="s">
        <v>159</v>
      </c>
      <c r="D60" s="60"/>
      <c r="E60" s="61">
        <v>552007</v>
      </c>
      <c r="F60" s="63"/>
      <c r="G60" s="63"/>
      <c r="H60" s="63"/>
      <c r="I60" s="63"/>
      <c r="J60" s="63"/>
      <c r="K60" s="63">
        <v>-231</v>
      </c>
      <c r="L60" s="63"/>
      <c r="M60" s="63"/>
      <c r="N60" s="58">
        <f>SUM(E60:M60)</f>
        <v>551776</v>
      </c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58">
        <f t="shared" si="28"/>
        <v>551776</v>
      </c>
      <c r="AH60" s="63"/>
      <c r="AI60" s="61"/>
      <c r="AJ60" s="63"/>
      <c r="AK60" s="63"/>
      <c r="AL60" s="63"/>
      <c r="AM60" s="63"/>
      <c r="AN60" s="63"/>
      <c r="AO60" s="63"/>
      <c r="AP60" s="61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58">
        <f>SUM(AH60:BD60)</f>
        <v>0</v>
      </c>
      <c r="BF60" s="58">
        <f>+BE60+AG60</f>
        <v>551776</v>
      </c>
    </row>
    <row r="61" spans="1:59">
      <c r="A61" s="53">
        <v>32</v>
      </c>
      <c r="B61" s="60"/>
      <c r="C61" s="60" t="s">
        <v>178</v>
      </c>
      <c r="D61" s="60"/>
      <c r="E61" s="64">
        <v>88036</v>
      </c>
      <c r="F61" s="66"/>
      <c r="G61" s="66"/>
      <c r="H61" s="66"/>
      <c r="I61" s="66"/>
      <c r="J61" s="66"/>
      <c r="K61" s="66"/>
      <c r="L61" s="66"/>
      <c r="M61" s="66"/>
      <c r="N61" s="98">
        <f>SUM(E61:M61)</f>
        <v>88036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98">
        <f t="shared" si="28"/>
        <v>88036</v>
      </c>
      <c r="AH61" s="66"/>
      <c r="AI61" s="64"/>
      <c r="AJ61" s="66"/>
      <c r="AK61" s="66"/>
      <c r="AL61" s="66"/>
      <c r="AM61" s="66"/>
      <c r="AN61" s="66"/>
      <c r="AO61" s="66"/>
      <c r="AP61" s="64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98">
        <f>SUM(AH61:BD61)</f>
        <v>0</v>
      </c>
      <c r="BF61" s="98">
        <f>+BE61+AG61</f>
        <v>88036</v>
      </c>
    </row>
    <row r="62" spans="1:59">
      <c r="A62" s="53">
        <v>33</v>
      </c>
      <c r="B62" s="60"/>
      <c r="C62" s="60"/>
      <c r="D62" s="60" t="s">
        <v>179</v>
      </c>
      <c r="E62" s="67">
        <f t="shared" ref="E62:AC62" si="29">SUM(E57:E61)</f>
        <v>1604319</v>
      </c>
      <c r="F62" s="60">
        <f t="shared" si="29"/>
        <v>0</v>
      </c>
      <c r="G62" s="60">
        <f t="shared" si="29"/>
        <v>0</v>
      </c>
      <c r="H62" s="60">
        <f t="shared" si="29"/>
        <v>-7452</v>
      </c>
      <c r="I62" s="60">
        <f t="shared" si="29"/>
        <v>436</v>
      </c>
      <c r="J62" s="60">
        <f t="shared" si="29"/>
        <v>-5248</v>
      </c>
      <c r="K62" s="60">
        <f t="shared" si="29"/>
        <v>-231</v>
      </c>
      <c r="L62" s="60">
        <f t="shared" si="29"/>
        <v>0</v>
      </c>
      <c r="M62" s="60">
        <f t="shared" si="29"/>
        <v>79626</v>
      </c>
      <c r="N62" s="60">
        <f t="shared" si="29"/>
        <v>1671450</v>
      </c>
      <c r="O62" s="60">
        <f t="shared" si="29"/>
        <v>0</v>
      </c>
      <c r="P62" s="60">
        <f t="shared" si="29"/>
        <v>0</v>
      </c>
      <c r="Q62" s="60">
        <f t="shared" si="29"/>
        <v>0</v>
      </c>
      <c r="R62" s="60">
        <f t="shared" si="29"/>
        <v>0</v>
      </c>
      <c r="S62" s="60">
        <f t="shared" si="29"/>
        <v>0</v>
      </c>
      <c r="T62" s="60">
        <f t="shared" si="29"/>
        <v>0</v>
      </c>
      <c r="U62" s="60">
        <f t="shared" si="29"/>
        <v>0</v>
      </c>
      <c r="V62" s="60">
        <f t="shared" si="29"/>
        <v>0</v>
      </c>
      <c r="W62" s="60">
        <f t="shared" si="29"/>
        <v>0</v>
      </c>
      <c r="X62" s="60">
        <f t="shared" si="29"/>
        <v>0</v>
      </c>
      <c r="Y62" s="60">
        <f t="shared" si="29"/>
        <v>0</v>
      </c>
      <c r="Z62" s="60">
        <f t="shared" si="29"/>
        <v>0</v>
      </c>
      <c r="AA62" s="60">
        <f t="shared" si="29"/>
        <v>0</v>
      </c>
      <c r="AB62" s="60">
        <f t="shared" si="29"/>
        <v>0</v>
      </c>
      <c r="AC62" s="60">
        <f t="shared" si="29"/>
        <v>0</v>
      </c>
      <c r="AD62" s="60"/>
      <c r="AE62" s="60"/>
      <c r="AF62" s="60"/>
      <c r="AG62" s="60">
        <f t="shared" ref="AG62:AN62" si="30">SUM(AG57:AG61)</f>
        <v>1671450</v>
      </c>
      <c r="AH62" s="60">
        <f t="shared" si="30"/>
        <v>0</v>
      </c>
      <c r="AI62" s="67">
        <f t="shared" si="30"/>
        <v>-19925.749072999999</v>
      </c>
      <c r="AJ62" s="60">
        <f t="shared" si="30"/>
        <v>0</v>
      </c>
      <c r="AK62" s="60">
        <f t="shared" si="30"/>
        <v>0</v>
      </c>
      <c r="AL62" s="60">
        <f t="shared" si="30"/>
        <v>0</v>
      </c>
      <c r="AM62" s="60">
        <f t="shared" si="30"/>
        <v>1311.5402110999999</v>
      </c>
      <c r="AN62" s="60">
        <f t="shared" si="30"/>
        <v>2348.9716578000002</v>
      </c>
      <c r="AO62" s="60">
        <f>SUM(AO57:AO61)</f>
        <v>5464</v>
      </c>
      <c r="AP62" s="67">
        <f t="shared" ref="AP62:BE62" si="31">SUM(AP57:AP61)</f>
        <v>0</v>
      </c>
      <c r="AQ62" s="60">
        <f t="shared" si="31"/>
        <v>0</v>
      </c>
      <c r="AR62" s="60">
        <f t="shared" si="31"/>
        <v>26703</v>
      </c>
      <c r="AS62" s="60">
        <f t="shared" si="31"/>
        <v>0</v>
      </c>
      <c r="AT62" s="60">
        <f>SUM(AT57:AT61)</f>
        <v>4398</v>
      </c>
      <c r="AU62" s="60">
        <f t="shared" si="31"/>
        <v>0</v>
      </c>
      <c r="AV62" s="60">
        <f t="shared" si="31"/>
        <v>0</v>
      </c>
      <c r="AW62" s="60">
        <f t="shared" si="31"/>
        <v>0</v>
      </c>
      <c r="AX62" s="60">
        <f t="shared" si="31"/>
        <v>0</v>
      </c>
      <c r="AY62" s="60">
        <f t="shared" si="31"/>
        <v>0</v>
      </c>
      <c r="AZ62" s="60">
        <f t="shared" si="31"/>
        <v>0</v>
      </c>
      <c r="BA62" s="60">
        <f>SUM(BA57:BA61)</f>
        <v>0</v>
      </c>
      <c r="BB62" s="60">
        <f>SUM(BB57:BB61)</f>
        <v>0</v>
      </c>
      <c r="BC62" s="60">
        <f>SUM(BC57:BC61)</f>
        <v>0</v>
      </c>
      <c r="BD62" s="60">
        <f>SUM(BD57:BD61)</f>
        <v>0</v>
      </c>
      <c r="BE62" s="60">
        <f t="shared" si="31"/>
        <v>20299.762795900002</v>
      </c>
      <c r="BF62" s="60">
        <f>SUM(BF57:BF61)</f>
        <v>1691749.7627959</v>
      </c>
    </row>
    <row r="63" spans="1:59">
      <c r="A63" s="53">
        <v>34</v>
      </c>
      <c r="B63" s="60" t="s">
        <v>180</v>
      </c>
      <c r="C63" s="60"/>
      <c r="D63" s="60"/>
      <c r="E63" s="61">
        <v>543584</v>
      </c>
      <c r="F63" s="63"/>
      <c r="G63" s="63"/>
      <c r="H63" s="63">
        <v>-5496</v>
      </c>
      <c r="I63" s="63"/>
      <c r="J63" s="63">
        <v>-3796</v>
      </c>
      <c r="K63" s="63"/>
      <c r="L63" s="63"/>
      <c r="M63" s="63"/>
      <c r="N63" s="63">
        <f>SUM(E63:M63)</f>
        <v>534292</v>
      </c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58">
        <f t="shared" si="28"/>
        <v>534292</v>
      </c>
      <c r="AH63" s="63"/>
      <c r="AI63" s="61">
        <f>'C-1'!E60</f>
        <v>-6470.140413000001</v>
      </c>
      <c r="AJ63" s="63"/>
      <c r="AK63" s="63"/>
      <c r="AL63" s="63"/>
      <c r="AM63" s="63">
        <f>-'C-4'!E60</f>
        <v>-1065.8473866000002</v>
      </c>
      <c r="AN63" s="63">
        <f>-'C-5'!E60</f>
        <v>1343.4717847000002</v>
      </c>
      <c r="AO63" s="63">
        <v>56</v>
      </c>
      <c r="AP63" s="61"/>
      <c r="AQ63" s="63"/>
      <c r="AR63" s="63">
        <v>560</v>
      </c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58">
        <f>SUM(AH63:BD63)</f>
        <v>-5576.5160149000012</v>
      </c>
      <c r="BF63" s="58">
        <f>+BE63+AG63</f>
        <v>528715.48398509994</v>
      </c>
    </row>
    <row r="64" spans="1:59">
      <c r="A64" s="53">
        <v>25</v>
      </c>
      <c r="B64" s="60" t="s">
        <v>181</v>
      </c>
      <c r="C64" s="60"/>
      <c r="D64" s="60"/>
      <c r="E64" s="64">
        <v>6907</v>
      </c>
      <c r="F64" s="66"/>
      <c r="G64" s="66"/>
      <c r="H64" s="66"/>
      <c r="I64" s="66"/>
      <c r="J64" s="66"/>
      <c r="K64" s="66"/>
      <c r="L64" s="66"/>
      <c r="M64" s="66">
        <v>57168</v>
      </c>
      <c r="N64" s="66">
        <f>SUM(E64:M64)</f>
        <v>64075</v>
      </c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98">
        <f t="shared" si="28"/>
        <v>64075</v>
      </c>
      <c r="AH64" s="66"/>
      <c r="AI64" s="64"/>
      <c r="AJ64" s="66"/>
      <c r="AK64" s="66"/>
      <c r="AL64" s="66"/>
      <c r="AM64" s="66"/>
      <c r="AN64" s="66"/>
      <c r="AO64" s="66"/>
      <c r="AP64" s="64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98">
        <f>SUM(AH64:BD64)</f>
        <v>0</v>
      </c>
      <c r="BF64" s="98">
        <f>+BE64+AG64</f>
        <v>64075</v>
      </c>
    </row>
    <row r="65" spans="1:58">
      <c r="A65" s="53">
        <v>36</v>
      </c>
      <c r="B65" s="60"/>
      <c r="C65" s="60" t="s">
        <v>182</v>
      </c>
      <c r="D65" s="60"/>
      <c r="E65" s="67">
        <f t="shared" ref="E65:AC65" si="32">SUM(E63:E64)</f>
        <v>550491</v>
      </c>
      <c r="F65" s="60">
        <f t="shared" si="32"/>
        <v>0</v>
      </c>
      <c r="G65" s="60">
        <f t="shared" si="32"/>
        <v>0</v>
      </c>
      <c r="H65" s="60">
        <f t="shared" si="32"/>
        <v>-5496</v>
      </c>
      <c r="I65" s="60">
        <f t="shared" si="32"/>
        <v>0</v>
      </c>
      <c r="J65" s="60">
        <f t="shared" si="32"/>
        <v>-3796</v>
      </c>
      <c r="K65" s="60">
        <f t="shared" si="32"/>
        <v>0</v>
      </c>
      <c r="L65" s="60">
        <f t="shared" si="32"/>
        <v>0</v>
      </c>
      <c r="M65" s="60">
        <f t="shared" si="32"/>
        <v>57168</v>
      </c>
      <c r="N65" s="60">
        <f t="shared" si="32"/>
        <v>598367</v>
      </c>
      <c r="O65" s="60">
        <f t="shared" si="32"/>
        <v>0</v>
      </c>
      <c r="P65" s="60">
        <f t="shared" si="32"/>
        <v>0</v>
      </c>
      <c r="Q65" s="60">
        <f t="shared" si="32"/>
        <v>0</v>
      </c>
      <c r="R65" s="60">
        <f t="shared" si="32"/>
        <v>0</v>
      </c>
      <c r="S65" s="60">
        <f t="shared" si="32"/>
        <v>0</v>
      </c>
      <c r="T65" s="60">
        <f t="shared" si="32"/>
        <v>0</v>
      </c>
      <c r="U65" s="60">
        <f t="shared" si="32"/>
        <v>0</v>
      </c>
      <c r="V65" s="60">
        <f t="shared" si="32"/>
        <v>0</v>
      </c>
      <c r="W65" s="60">
        <f t="shared" si="32"/>
        <v>0</v>
      </c>
      <c r="X65" s="60">
        <f t="shared" si="32"/>
        <v>0</v>
      </c>
      <c r="Y65" s="60">
        <f t="shared" si="32"/>
        <v>0</v>
      </c>
      <c r="Z65" s="60">
        <f t="shared" si="32"/>
        <v>0</v>
      </c>
      <c r="AA65" s="60">
        <f t="shared" si="32"/>
        <v>0</v>
      </c>
      <c r="AB65" s="60">
        <f t="shared" si="32"/>
        <v>0</v>
      </c>
      <c r="AC65" s="60">
        <f t="shared" si="32"/>
        <v>0</v>
      </c>
      <c r="AD65" s="60"/>
      <c r="AE65" s="60"/>
      <c r="AF65" s="60"/>
      <c r="AG65" s="60">
        <f t="shared" ref="AG65:AN65" si="33">SUM(AG63:AG64)</f>
        <v>598367</v>
      </c>
      <c r="AH65" s="60">
        <f t="shared" si="33"/>
        <v>0</v>
      </c>
      <c r="AI65" s="67">
        <f t="shared" si="33"/>
        <v>-6470.140413000001</v>
      </c>
      <c r="AJ65" s="60">
        <f t="shared" si="33"/>
        <v>0</v>
      </c>
      <c r="AK65" s="60">
        <f t="shared" si="33"/>
        <v>0</v>
      </c>
      <c r="AL65" s="60">
        <f t="shared" si="33"/>
        <v>0</v>
      </c>
      <c r="AM65" s="60">
        <f t="shared" si="33"/>
        <v>-1065.8473866000002</v>
      </c>
      <c r="AN65" s="60">
        <f t="shared" si="33"/>
        <v>1343.4717847000002</v>
      </c>
      <c r="AO65" s="60">
        <f>SUM(AO63:AO64)</f>
        <v>56</v>
      </c>
      <c r="AP65" s="67">
        <f t="shared" ref="AP65:BE65" si="34">SUM(AP63:AP64)</f>
        <v>0</v>
      </c>
      <c r="AQ65" s="60">
        <f t="shared" si="34"/>
        <v>0</v>
      </c>
      <c r="AR65" s="60">
        <f t="shared" si="34"/>
        <v>560</v>
      </c>
      <c r="AS65" s="60">
        <f t="shared" si="34"/>
        <v>0</v>
      </c>
      <c r="AT65" s="60">
        <f>SUM(AT63:AT64)</f>
        <v>0</v>
      </c>
      <c r="AU65" s="60">
        <f t="shared" si="34"/>
        <v>0</v>
      </c>
      <c r="AV65" s="60">
        <f t="shared" si="34"/>
        <v>0</v>
      </c>
      <c r="AW65" s="60">
        <f t="shared" si="34"/>
        <v>0</v>
      </c>
      <c r="AX65" s="60">
        <f t="shared" si="34"/>
        <v>0</v>
      </c>
      <c r="AY65" s="60">
        <f t="shared" si="34"/>
        <v>0</v>
      </c>
      <c r="AZ65" s="60">
        <f t="shared" si="34"/>
        <v>0</v>
      </c>
      <c r="BA65" s="60">
        <f>SUM(BA63:BA64)</f>
        <v>0</v>
      </c>
      <c r="BB65" s="60">
        <f>SUM(BB63:BB64)</f>
        <v>0</v>
      </c>
      <c r="BC65" s="60">
        <f>SUM(BC63:BC64)</f>
        <v>0</v>
      </c>
      <c r="BD65" s="60">
        <f>SUM(BD63:BD64)</f>
        <v>0</v>
      </c>
      <c r="BE65" s="60">
        <f t="shared" si="34"/>
        <v>-5576.5160149000012</v>
      </c>
      <c r="BF65" s="60">
        <f>SUM(BF63:BF64)</f>
        <v>592790.48398509994</v>
      </c>
    </row>
    <row r="66" spans="1:58">
      <c r="A66" s="53">
        <v>37</v>
      </c>
      <c r="B66" s="60" t="s">
        <v>183</v>
      </c>
      <c r="C66" s="60"/>
      <c r="D66" s="60"/>
      <c r="E66" s="61"/>
      <c r="F66" s="63"/>
      <c r="G66" s="63">
        <v>-194</v>
      </c>
      <c r="H66" s="63"/>
      <c r="I66" s="63"/>
      <c r="J66" s="63"/>
      <c r="K66" s="63"/>
      <c r="L66" s="63"/>
      <c r="M66" s="63"/>
      <c r="N66" s="63">
        <f>SUM(E66:M66)</f>
        <v>-194</v>
      </c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58">
        <f t="shared" si="28"/>
        <v>-194</v>
      </c>
      <c r="AH66" s="63"/>
      <c r="AI66" s="61">
        <f>'C-1'!E64</f>
        <v>1891.882599</v>
      </c>
      <c r="AJ66" s="63"/>
      <c r="AK66" s="63"/>
      <c r="AL66" s="63"/>
      <c r="AM66" s="63"/>
      <c r="AN66" s="63"/>
      <c r="AO66" s="63"/>
      <c r="AP66" s="61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58">
        <f>SUM(AH66:BD66)</f>
        <v>1891.882599</v>
      </c>
      <c r="BF66" s="58">
        <f>+BE66+AG66</f>
        <v>1697.882599</v>
      </c>
    </row>
    <row r="67" spans="1:58">
      <c r="A67" s="53">
        <v>38</v>
      </c>
      <c r="B67" s="60" t="s">
        <v>184</v>
      </c>
      <c r="C67" s="60"/>
      <c r="D67" s="60"/>
      <c r="E67" s="156"/>
      <c r="F67" s="157">
        <v>-142713</v>
      </c>
      <c r="G67" s="157">
        <v>68</v>
      </c>
      <c r="H67" s="157"/>
      <c r="I67" s="157"/>
      <c r="J67" s="157">
        <v>598</v>
      </c>
      <c r="K67" s="157"/>
      <c r="L67" s="157"/>
      <c r="M67" s="157">
        <v>-4036</v>
      </c>
      <c r="N67" s="157">
        <f>SUM(E67:M67)</f>
        <v>-146083</v>
      </c>
      <c r="O67" s="157"/>
      <c r="P67" s="157"/>
      <c r="Q67" s="157"/>
      <c r="R67" s="157"/>
      <c r="S67" s="157">
        <f>'C-14'!E30/1000</f>
        <v>2668.9619249999996</v>
      </c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8">
        <f t="shared" si="28"/>
        <v>-143414.03807499999</v>
      </c>
      <c r="AH67" s="157"/>
      <c r="AI67" s="156"/>
      <c r="AJ67" s="157"/>
      <c r="AK67" s="157"/>
      <c r="AL67" s="157"/>
      <c r="AM67" s="157">
        <f>'C-4'!E64</f>
        <v>-123.09830120221316</v>
      </c>
      <c r="AN67" s="157">
        <f>'C-5'!E64</f>
        <v>-220.4693521404198</v>
      </c>
      <c r="AO67" s="157">
        <v>-22</v>
      </c>
      <c r="AP67" s="156"/>
      <c r="AQ67" s="157"/>
      <c r="AR67" s="157">
        <v>-2818</v>
      </c>
      <c r="AS67" s="157"/>
      <c r="AT67" s="157">
        <v>-1539</v>
      </c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58">
        <f>SUM(AH67:BD67)</f>
        <v>-4722.5676533426331</v>
      </c>
      <c r="BF67" s="158">
        <f>+BE67+AG67</f>
        <v>-148136.60572834263</v>
      </c>
    </row>
    <row r="68" spans="1:58">
      <c r="A68" s="53">
        <v>39</v>
      </c>
      <c r="B68" s="60" t="s">
        <v>254</v>
      </c>
      <c r="C68" s="60"/>
      <c r="D68" s="60"/>
      <c r="E68" s="156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8">
        <f t="shared" si="28"/>
        <v>0</v>
      </c>
      <c r="AH68" s="157"/>
      <c r="AI68" s="157"/>
      <c r="AJ68" s="157"/>
      <c r="AK68" s="157"/>
      <c r="AL68" s="157"/>
      <c r="AM68" s="157"/>
      <c r="AN68" s="157"/>
      <c r="AO68" s="157"/>
      <c r="AP68" s="156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58">
        <f>SUM(AH68:BD68)</f>
        <v>0</v>
      </c>
      <c r="BF68" s="158"/>
    </row>
    <row r="69" spans="1:58">
      <c r="A69" s="53"/>
      <c r="B69" s="60"/>
      <c r="C69" s="60"/>
      <c r="D69" s="60"/>
      <c r="E69" s="68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>
        <f>-'C-14'!E26/1000</f>
        <v>-7625.6054999999997</v>
      </c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98">
        <f t="shared" si="28"/>
        <v>-7625.6054999999997</v>
      </c>
      <c r="AH69" s="69"/>
      <c r="AI69" s="69"/>
      <c r="AJ69" s="69"/>
      <c r="AK69" s="69"/>
      <c r="AL69" s="69"/>
      <c r="AM69" s="69"/>
      <c r="AN69" s="69"/>
      <c r="AO69" s="69"/>
      <c r="AP69" s="68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188"/>
      <c r="BB69" s="188"/>
      <c r="BC69" s="188"/>
      <c r="BD69" s="199">
        <f>'c-13'!E17/1000</f>
        <v>-2473.1083008000001</v>
      </c>
      <c r="BE69" s="98">
        <f>SUM(AH69:BD69)</f>
        <v>-2473.1083008000001</v>
      </c>
      <c r="BF69" s="98">
        <f>+BE69+AG69</f>
        <v>-10098.7138008</v>
      </c>
    </row>
    <row r="70" spans="1:58" ht="13.5" thickBot="1">
      <c r="A70" s="72">
        <v>40</v>
      </c>
      <c r="B70" s="54" t="s">
        <v>185</v>
      </c>
      <c r="C70" s="54"/>
      <c r="D70" s="54"/>
      <c r="E70" s="70">
        <f>E62-E65+E66+E67+E69</f>
        <v>1053828</v>
      </c>
      <c r="F70" s="70">
        <f t="shared" ref="F70:BE70" si="35">F62-F65+F66+F67+F69</f>
        <v>-142713</v>
      </c>
      <c r="G70" s="70">
        <f t="shared" si="35"/>
        <v>-126</v>
      </c>
      <c r="H70" s="70">
        <f t="shared" si="35"/>
        <v>-1956</v>
      </c>
      <c r="I70" s="70">
        <f t="shared" si="35"/>
        <v>436</v>
      </c>
      <c r="J70" s="70">
        <f t="shared" si="35"/>
        <v>-854</v>
      </c>
      <c r="K70" s="70">
        <f t="shared" si="35"/>
        <v>-231</v>
      </c>
      <c r="L70" s="70">
        <f t="shared" si="35"/>
        <v>0</v>
      </c>
      <c r="M70" s="70">
        <f t="shared" si="35"/>
        <v>18422</v>
      </c>
      <c r="N70" s="70">
        <f t="shared" si="35"/>
        <v>926806</v>
      </c>
      <c r="O70" s="70">
        <f t="shared" si="35"/>
        <v>0</v>
      </c>
      <c r="P70" s="70">
        <f t="shared" si="35"/>
        <v>0</v>
      </c>
      <c r="Q70" s="70">
        <f t="shared" si="35"/>
        <v>0</v>
      </c>
      <c r="R70" s="70">
        <f t="shared" si="35"/>
        <v>0</v>
      </c>
      <c r="S70" s="70">
        <f t="shared" si="35"/>
        <v>-4956.6435750000001</v>
      </c>
      <c r="T70" s="70">
        <f t="shared" si="35"/>
        <v>0</v>
      </c>
      <c r="U70" s="70">
        <f t="shared" si="35"/>
        <v>0</v>
      </c>
      <c r="V70" s="70">
        <f t="shared" si="35"/>
        <v>0</v>
      </c>
      <c r="W70" s="70">
        <f t="shared" si="35"/>
        <v>0</v>
      </c>
      <c r="X70" s="70">
        <f t="shared" si="35"/>
        <v>0</v>
      </c>
      <c r="Y70" s="70">
        <f t="shared" si="35"/>
        <v>0</v>
      </c>
      <c r="Z70" s="70">
        <f t="shared" si="35"/>
        <v>0</v>
      </c>
      <c r="AA70" s="70">
        <f t="shared" si="35"/>
        <v>0</v>
      </c>
      <c r="AB70" s="70">
        <f t="shared" si="35"/>
        <v>0</v>
      </c>
      <c r="AC70" s="70">
        <f t="shared" si="35"/>
        <v>0</v>
      </c>
      <c r="AD70" s="70">
        <f t="shared" si="35"/>
        <v>0</v>
      </c>
      <c r="AE70" s="70">
        <f t="shared" si="35"/>
        <v>0</v>
      </c>
      <c r="AF70" s="70">
        <f t="shared" si="35"/>
        <v>0</v>
      </c>
      <c r="AG70" s="70">
        <f t="shared" si="35"/>
        <v>921849.35642500001</v>
      </c>
      <c r="AH70" s="70">
        <f t="shared" si="35"/>
        <v>0</v>
      </c>
      <c r="AI70" s="70">
        <f t="shared" si="35"/>
        <v>-11563.726060999998</v>
      </c>
      <c r="AJ70" s="70">
        <f t="shared" si="35"/>
        <v>0</v>
      </c>
      <c r="AK70" s="70">
        <f t="shared" si="35"/>
        <v>0</v>
      </c>
      <c r="AL70" s="70">
        <f t="shared" si="35"/>
        <v>0</v>
      </c>
      <c r="AM70" s="70">
        <f t="shared" si="35"/>
        <v>2254.2892964977868</v>
      </c>
      <c r="AN70" s="70">
        <f t="shared" si="35"/>
        <v>785.03052095958026</v>
      </c>
      <c r="AO70" s="70">
        <f t="shared" si="35"/>
        <v>5386</v>
      </c>
      <c r="AP70" s="70">
        <f t="shared" si="35"/>
        <v>0</v>
      </c>
      <c r="AQ70" s="70">
        <f t="shared" si="35"/>
        <v>0</v>
      </c>
      <c r="AR70" s="70">
        <f t="shared" si="35"/>
        <v>23325</v>
      </c>
      <c r="AS70" s="70">
        <f t="shared" si="35"/>
        <v>0</v>
      </c>
      <c r="AT70" s="70">
        <f t="shared" si="35"/>
        <v>2859</v>
      </c>
      <c r="AU70" s="70">
        <f t="shared" si="35"/>
        <v>0</v>
      </c>
      <c r="AV70" s="70">
        <f t="shared" si="35"/>
        <v>0</v>
      </c>
      <c r="AW70" s="70">
        <f t="shared" si="35"/>
        <v>0</v>
      </c>
      <c r="AX70" s="70">
        <f t="shared" si="35"/>
        <v>0</v>
      </c>
      <c r="AY70" s="70">
        <f t="shared" si="35"/>
        <v>0</v>
      </c>
      <c r="AZ70" s="70">
        <f t="shared" si="35"/>
        <v>0</v>
      </c>
      <c r="BA70" s="70">
        <f t="shared" si="35"/>
        <v>0</v>
      </c>
      <c r="BB70" s="70">
        <f t="shared" si="35"/>
        <v>0</v>
      </c>
      <c r="BC70" s="70">
        <f t="shared" si="35"/>
        <v>0</v>
      </c>
      <c r="BD70" s="70">
        <f t="shared" si="35"/>
        <v>-2473.1083008000001</v>
      </c>
      <c r="BE70" s="70">
        <f t="shared" si="35"/>
        <v>20572.48545565737</v>
      </c>
      <c r="BF70" s="99">
        <f>+BE70+AG70</f>
        <v>942421.84188065736</v>
      </c>
    </row>
    <row r="71" spans="1:58" ht="13.5" thickTop="1">
      <c r="A71" s="53"/>
      <c r="B71" s="2"/>
      <c r="C71" s="2"/>
      <c r="D71" s="2"/>
      <c r="E71" s="73"/>
      <c r="F71" s="7"/>
      <c r="G71" s="7"/>
      <c r="H71" s="7"/>
      <c r="I71" s="7"/>
      <c r="J71" s="7"/>
      <c r="K71" s="7"/>
      <c r="L71" s="7"/>
      <c r="M71" s="7"/>
      <c r="N71" s="74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4"/>
      <c r="AH71" s="7"/>
      <c r="AI71" s="7"/>
      <c r="AJ71" s="7"/>
      <c r="AK71" s="7"/>
      <c r="AL71" s="7"/>
      <c r="AM71" s="7"/>
      <c r="AN71" s="7"/>
      <c r="AO71" s="7"/>
      <c r="AP71" s="10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4"/>
    </row>
    <row r="72" spans="1:58">
      <c r="A72" s="3"/>
      <c r="B72" s="2"/>
      <c r="C72" s="2"/>
      <c r="D72" s="2"/>
      <c r="E72" s="73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10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</row>
    <row r="73" spans="1:58">
      <c r="A73" s="3"/>
      <c r="B73" s="2"/>
      <c r="C73" s="2"/>
      <c r="D73" s="2"/>
      <c r="E73" s="73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10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</row>
    <row r="74" spans="1:58">
      <c r="A74" s="3"/>
      <c r="B74" s="2"/>
      <c r="C74" s="2"/>
      <c r="D74" s="2"/>
      <c r="E74" s="7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10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</row>
    <row r="75" spans="1:58">
      <c r="A75" s="3"/>
      <c r="B75" s="2"/>
      <c r="C75" s="2"/>
      <c r="D75" s="2"/>
      <c r="E75" s="10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10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</row>
    <row r="76" spans="1:58">
      <c r="A76" s="3"/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</row>
    <row r="77" spans="1:58">
      <c r="A77" s="3"/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</row>
    <row r="78" spans="1:58">
      <c r="A78" s="3"/>
      <c r="B78" s="2"/>
      <c r="C78" s="2"/>
      <c r="D78" s="2"/>
      <c r="E78" s="10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10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</row>
    <row r="79" spans="1:58">
      <c r="A79" s="3"/>
      <c r="B79" s="2"/>
      <c r="C79" s="2"/>
      <c r="D79" s="2"/>
      <c r="E79" s="10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10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</row>
    <row r="80" spans="1:58">
      <c r="A80" s="3"/>
      <c r="B80" s="2"/>
      <c r="C80" s="2"/>
      <c r="D80" s="73"/>
      <c r="E80" s="9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</row>
    <row r="81" spans="1:58">
      <c r="A81" s="3"/>
      <c r="B81" s="2"/>
      <c r="C81" s="2"/>
      <c r="D81" s="2"/>
      <c r="E81" s="9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</row>
    <row r="82" spans="1:58">
      <c r="A82" s="3"/>
      <c r="B82" s="2"/>
      <c r="C82" s="2"/>
      <c r="D82" s="2"/>
      <c r="E82" s="10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10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</row>
    <row r="83" spans="1:58">
      <c r="A83" s="3"/>
      <c r="B83" s="2"/>
      <c r="C83" s="2"/>
      <c r="D83" s="2"/>
      <c r="E83" s="10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</row>
    <row r="84" spans="1:58">
      <c r="A84" s="3"/>
      <c r="B84" s="2"/>
      <c r="C84" s="2"/>
      <c r="D84" s="2"/>
      <c r="E84" s="10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10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</row>
    <row r="85" spans="1:58"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</row>
    <row r="86" spans="1:58"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</row>
    <row r="87" spans="1:58"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</row>
    <row r="88" spans="1:58"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</row>
    <row r="89" spans="1:58"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</row>
    <row r="90" spans="1:58"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</row>
    <row r="91" spans="1:58"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</row>
    <row r="92" spans="1:58"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</row>
    <row r="93" spans="1:58"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</row>
    <row r="94" spans="1:58"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</row>
    <row r="95" spans="1:58"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</row>
    <row r="96" spans="1:58"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</row>
    <row r="97" spans="6:57"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</row>
    <row r="98" spans="6:57"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</row>
    <row r="99" spans="6:57"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</row>
    <row r="100" spans="6:57"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</row>
    <row r="101" spans="6:57"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</row>
    <row r="102" spans="6:57"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</row>
    <row r="103" spans="6:57"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</row>
    <row r="104" spans="6:57"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</row>
    <row r="105" spans="6:57"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</row>
    <row r="106" spans="6:57"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</row>
    <row r="107" spans="6:57"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</row>
    <row r="108" spans="6:57"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</row>
    <row r="109" spans="6:57"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</row>
    <row r="110" spans="6:57"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</row>
    <row r="111" spans="6:57"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</row>
    <row r="112" spans="6:57"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</row>
    <row r="113" spans="6:57"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</row>
    <row r="114" spans="6:57"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</row>
    <row r="115" spans="6:57"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</row>
    <row r="116" spans="6:57"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</row>
    <row r="117" spans="6:57"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</row>
    <row r="118" spans="6:57"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</row>
    <row r="119" spans="6:57"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</row>
  </sheetData>
  <phoneticPr fontId="12" type="noConversion"/>
  <pageMargins left="0.75" right="0.75" top="1" bottom="1" header="0.5" footer="0.5"/>
  <pageSetup scale="50" orientation="landscape" r:id="rId1"/>
  <headerFooter alignWithMargins="0">
    <oddHeader>&amp;R&amp;"Times New Roman,Regular"Docket No. UE-190134
Exhibit No. __(HL-3)
Schedule A-1 (Electric)
Page &amp;P of &amp;N
REVISED 09/03/09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>
      <selection activeCell="C11" sqref="C11"/>
    </sheetView>
  </sheetViews>
  <sheetFormatPr defaultRowHeight="12.75"/>
  <cols>
    <col min="2" max="2" width="1" customWidth="1"/>
    <col min="3" max="3" width="63.28515625" customWidth="1"/>
    <col min="4" max="4" width="0.7109375" customWidth="1"/>
    <col min="5" max="5" width="12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/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570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3"/>
    </row>
    <row r="10" spans="1:8" ht="15.75">
      <c r="A10" s="87"/>
      <c r="B10" s="85"/>
      <c r="C10" s="85"/>
      <c r="D10" s="85"/>
      <c r="E10" s="85"/>
      <c r="F10" s="85"/>
      <c r="G10" s="85"/>
      <c r="H10" s="83"/>
    </row>
    <row r="11" spans="1:8" ht="15.75">
      <c r="A11" s="160">
        <v>1</v>
      </c>
      <c r="B11" s="85"/>
      <c r="C11" s="85" t="s">
        <v>432</v>
      </c>
      <c r="D11" s="83"/>
      <c r="E11" s="121">
        <v>816856</v>
      </c>
      <c r="F11" s="83"/>
      <c r="G11" s="83" t="s">
        <v>433</v>
      </c>
      <c r="H11" s="83"/>
    </row>
    <row r="12" spans="1:8" ht="15.75">
      <c r="A12" s="160"/>
      <c r="B12" s="85"/>
      <c r="C12" s="85"/>
      <c r="D12" s="83"/>
      <c r="E12" s="121"/>
      <c r="F12" s="83"/>
      <c r="G12" s="83"/>
      <c r="H12" s="83"/>
    </row>
    <row r="13" spans="1:8" ht="15.75">
      <c r="A13" s="160">
        <v>2</v>
      </c>
      <c r="B13" s="85"/>
      <c r="C13" s="85" t="s">
        <v>450</v>
      </c>
      <c r="D13" s="85"/>
      <c r="E13" s="174">
        <v>-0.5</v>
      </c>
      <c r="F13" s="85"/>
      <c r="G13" s="85"/>
      <c r="H13" s="83"/>
    </row>
    <row r="14" spans="1:8" ht="15.75">
      <c r="A14" s="160"/>
      <c r="B14" s="85"/>
      <c r="C14" s="85"/>
      <c r="D14" s="85"/>
      <c r="E14" s="85"/>
      <c r="F14" s="85"/>
      <c r="G14" s="85"/>
      <c r="H14" s="83"/>
    </row>
    <row r="15" spans="1:8" ht="15.75">
      <c r="A15" s="160">
        <v>3</v>
      </c>
      <c r="B15" s="85"/>
      <c r="C15" s="85" t="s">
        <v>451</v>
      </c>
      <c r="D15" s="85"/>
      <c r="E15" s="121">
        <f>+E13*E11</f>
        <v>-408428</v>
      </c>
      <c r="F15" s="85"/>
      <c r="G15" s="85" t="s">
        <v>435</v>
      </c>
      <c r="H15" s="83"/>
    </row>
    <row r="16" spans="1:8" ht="15.75">
      <c r="A16" s="161"/>
      <c r="B16" s="84"/>
      <c r="C16" s="164"/>
      <c r="D16" s="84"/>
      <c r="E16" s="165"/>
      <c r="F16" s="84"/>
      <c r="G16" s="165"/>
      <c r="H16" s="83"/>
    </row>
    <row r="17" spans="1:8" ht="15.75">
      <c r="A17" s="161">
        <v>4</v>
      </c>
      <c r="B17" s="84"/>
      <c r="C17" s="162" t="s">
        <v>246</v>
      </c>
      <c r="D17" s="84"/>
      <c r="E17" s="163">
        <v>0.35</v>
      </c>
      <c r="F17" s="84"/>
      <c r="G17" s="165"/>
      <c r="H17" s="83"/>
    </row>
    <row r="18" spans="1:8" ht="15.75">
      <c r="A18" s="161"/>
      <c r="B18" s="84"/>
      <c r="C18" s="164"/>
      <c r="D18" s="84"/>
      <c r="E18" s="165"/>
      <c r="F18" s="84"/>
      <c r="G18" s="165"/>
      <c r="H18" s="83"/>
    </row>
    <row r="19" spans="1:8" ht="15.75">
      <c r="A19" s="161">
        <v>5</v>
      </c>
      <c r="B19" s="84"/>
      <c r="C19" s="162" t="s">
        <v>275</v>
      </c>
      <c r="D19" s="84"/>
      <c r="E19" s="117">
        <f>-E15*E17</f>
        <v>142949.79999999999</v>
      </c>
      <c r="F19" s="84"/>
      <c r="G19" s="165" t="s">
        <v>396</v>
      </c>
      <c r="H19" s="83"/>
    </row>
    <row r="20" spans="1:8" ht="15.75">
      <c r="A20" s="161"/>
      <c r="B20" s="84"/>
      <c r="C20" s="164"/>
      <c r="D20" s="84"/>
      <c r="E20" s="165"/>
      <c r="F20" s="84"/>
      <c r="G20" s="165"/>
      <c r="H20" s="83"/>
    </row>
    <row r="21" spans="1:8" ht="16.5" thickBot="1">
      <c r="A21" s="161">
        <v>6</v>
      </c>
      <c r="B21" s="84"/>
      <c r="C21" s="162" t="s">
        <v>276</v>
      </c>
      <c r="D21" s="84"/>
      <c r="E21" s="166">
        <f>-E15-E19</f>
        <v>265478.2</v>
      </c>
      <c r="F21" s="84"/>
      <c r="G21" s="165" t="s">
        <v>397</v>
      </c>
      <c r="H21" s="83"/>
    </row>
    <row r="22" spans="1:8" ht="16.5" thickTop="1">
      <c r="A22" s="97"/>
      <c r="B22" s="84"/>
      <c r="C22" s="164"/>
      <c r="D22" s="84"/>
      <c r="E22" s="165"/>
      <c r="F22" s="84"/>
      <c r="G22" s="165"/>
      <c r="H22" s="83"/>
    </row>
    <row r="23" spans="1:8" ht="15.75">
      <c r="A23" s="97"/>
      <c r="B23" s="84"/>
      <c r="C23" s="164"/>
      <c r="D23" s="84"/>
      <c r="E23" s="172"/>
      <c r="F23" s="84"/>
      <c r="G23" s="165"/>
      <c r="H23" s="83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84" orientation="portrait" r:id="rId1"/>
  <headerFooter alignWithMargins="0">
    <oddHeader xml:space="preserve">&amp;R&amp;"Times New Roman,Regular"Docket No. UE-090138
Exhibit No. __(HL-3)
Schedule C-10 (Electric)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opLeftCell="A10" workbookViewId="0">
      <selection activeCell="G19" sqref="G19"/>
    </sheetView>
  </sheetViews>
  <sheetFormatPr defaultRowHeight="12.75"/>
  <cols>
    <col min="2" max="2" width="1" customWidth="1"/>
    <col min="3" max="3" width="63.28515625" customWidth="1"/>
    <col min="4" max="4" width="0.7109375" customWidth="1"/>
    <col min="5" max="5" width="12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85"/>
      <c r="B4" s="85"/>
      <c r="C4" s="85"/>
      <c r="D4" s="85"/>
      <c r="E4" s="85"/>
      <c r="F4" s="85"/>
      <c r="G4" s="85"/>
      <c r="H4" s="85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 t="s">
        <v>436</v>
      </c>
      <c r="B6" s="85"/>
      <c r="C6" s="85"/>
      <c r="D6" s="85"/>
      <c r="E6" s="85"/>
      <c r="F6" s="85"/>
      <c r="G6" s="85"/>
      <c r="H6" s="85"/>
    </row>
    <row r="7" spans="1:8" ht="15.75">
      <c r="A7" s="85"/>
      <c r="B7" s="85"/>
      <c r="C7" s="85"/>
      <c r="D7" s="85"/>
      <c r="E7" s="85"/>
      <c r="F7" s="85"/>
      <c r="G7" s="85"/>
      <c r="H7" s="85"/>
    </row>
    <row r="8" spans="1:8" ht="15.75">
      <c r="A8" s="88" t="s">
        <v>261</v>
      </c>
      <c r="B8" s="85"/>
      <c r="C8" s="89" t="s">
        <v>192</v>
      </c>
      <c r="D8" s="83"/>
      <c r="E8" s="89" t="s">
        <v>238</v>
      </c>
      <c r="F8" s="85"/>
      <c r="G8" s="89" t="s">
        <v>239</v>
      </c>
      <c r="H8" s="85"/>
    </row>
    <row r="9" spans="1:8" ht="15.75">
      <c r="A9" s="87"/>
      <c r="B9" s="85"/>
      <c r="C9" s="85"/>
      <c r="D9" s="85"/>
      <c r="E9" s="85"/>
      <c r="F9" s="85"/>
      <c r="G9" s="85"/>
      <c r="H9" s="85"/>
    </row>
    <row r="10" spans="1:8" ht="15.75">
      <c r="A10" s="160">
        <v>1</v>
      </c>
      <c r="B10" s="85"/>
      <c r="C10" s="85" t="s">
        <v>437</v>
      </c>
      <c r="D10" s="83"/>
      <c r="E10" s="121">
        <v>96553</v>
      </c>
      <c r="F10" s="83"/>
      <c r="G10" s="83" t="s">
        <v>438</v>
      </c>
      <c r="H10" s="83"/>
    </row>
    <row r="11" spans="1:8" ht="15.75">
      <c r="A11" s="160"/>
      <c r="B11" s="85"/>
      <c r="C11" s="83"/>
      <c r="D11" s="83"/>
      <c r="E11" s="83"/>
      <c r="F11" s="83"/>
      <c r="G11" s="83"/>
      <c r="H11" s="83"/>
    </row>
    <row r="12" spans="1:8" ht="15.75">
      <c r="A12" s="160">
        <v>2</v>
      </c>
      <c r="B12" s="85"/>
      <c r="C12" s="85" t="s">
        <v>439</v>
      </c>
      <c r="D12" s="83"/>
      <c r="E12" s="174">
        <v>0.71960000000000002</v>
      </c>
      <c r="F12" s="83"/>
      <c r="G12" s="83" t="s">
        <v>440</v>
      </c>
      <c r="H12" s="83"/>
    </row>
    <row r="13" spans="1:8" ht="15.75">
      <c r="A13" s="160"/>
      <c r="B13" s="85"/>
      <c r="C13" s="83"/>
      <c r="D13" s="83"/>
      <c r="E13" s="83"/>
      <c r="F13" s="83"/>
      <c r="G13" s="83"/>
      <c r="H13" s="83"/>
    </row>
    <row r="14" spans="1:8" ht="15.75">
      <c r="A14" s="160">
        <v>3</v>
      </c>
      <c r="B14" s="85"/>
      <c r="C14" s="83" t="s">
        <v>441</v>
      </c>
      <c r="D14" s="83"/>
      <c r="E14" s="121">
        <f>+E10*E12</f>
        <v>69479.538799999995</v>
      </c>
      <c r="F14" s="83"/>
      <c r="G14" s="83" t="s">
        <v>435</v>
      </c>
      <c r="H14" s="83"/>
    </row>
    <row r="15" spans="1:8" ht="15.75">
      <c r="A15" s="160"/>
      <c r="B15" s="85"/>
      <c r="C15" s="83"/>
      <c r="D15" s="83"/>
      <c r="E15" s="83"/>
      <c r="F15" s="83"/>
      <c r="G15" s="83"/>
      <c r="H15" s="83"/>
    </row>
    <row r="16" spans="1:8" ht="15.75">
      <c r="A16" s="160">
        <v>4</v>
      </c>
      <c r="B16" s="85"/>
      <c r="C16" s="85" t="s">
        <v>442</v>
      </c>
      <c r="D16" s="83"/>
      <c r="E16" s="174">
        <v>0.65097000000000005</v>
      </c>
      <c r="F16" s="83"/>
      <c r="G16" s="83" t="s">
        <v>440</v>
      </c>
      <c r="H16" s="83"/>
    </row>
    <row r="17" spans="1:8" ht="15.75">
      <c r="A17" s="160"/>
      <c r="B17" s="85"/>
      <c r="C17" s="85"/>
      <c r="D17" s="85"/>
      <c r="E17" s="85"/>
      <c r="F17" s="85"/>
      <c r="G17" s="85"/>
      <c r="H17" s="85"/>
    </row>
    <row r="18" spans="1:8" ht="15.75">
      <c r="A18" s="160">
        <v>5</v>
      </c>
      <c r="B18" s="85"/>
      <c r="C18" s="85" t="s">
        <v>443</v>
      </c>
      <c r="D18" s="85"/>
      <c r="E18" s="114">
        <f>+E14*E16</f>
        <v>45229.095372636002</v>
      </c>
      <c r="F18" s="85"/>
      <c r="G18" s="83" t="s">
        <v>396</v>
      </c>
      <c r="H18" s="85"/>
    </row>
    <row r="19" spans="1:8" ht="15.75">
      <c r="A19" s="87"/>
      <c r="B19" s="85"/>
      <c r="C19" s="85"/>
      <c r="D19" s="85"/>
      <c r="E19" s="85"/>
      <c r="F19" s="85"/>
      <c r="G19" s="85"/>
      <c r="H19" s="85"/>
    </row>
    <row r="20" spans="1:8" ht="15.75">
      <c r="A20" s="160">
        <v>6</v>
      </c>
      <c r="B20" s="85"/>
      <c r="C20" s="85" t="s">
        <v>450</v>
      </c>
      <c r="D20" s="85"/>
      <c r="E20" s="174">
        <v>-0.5</v>
      </c>
      <c r="F20" s="85"/>
      <c r="G20" s="85"/>
      <c r="H20" s="85"/>
    </row>
    <row r="21" spans="1:8" ht="15.75">
      <c r="A21" s="160"/>
      <c r="B21" s="85"/>
      <c r="C21" s="85"/>
      <c r="D21" s="85"/>
      <c r="E21" s="85"/>
      <c r="F21" s="85"/>
      <c r="G21" s="85"/>
      <c r="H21" s="85"/>
    </row>
    <row r="22" spans="1:8" ht="15.75">
      <c r="A22" s="160">
        <v>7</v>
      </c>
      <c r="B22" s="85"/>
      <c r="C22" s="85" t="s">
        <v>452</v>
      </c>
      <c r="D22" s="85"/>
      <c r="E22" s="121">
        <f>+E18*E20</f>
        <v>-22614.547686318001</v>
      </c>
      <c r="F22" s="85"/>
      <c r="G22" s="85" t="s">
        <v>434</v>
      </c>
      <c r="H22" s="85"/>
    </row>
    <row r="23" spans="1:8" ht="15.75">
      <c r="A23" s="161"/>
      <c r="B23" s="84"/>
      <c r="C23" s="164"/>
      <c r="D23" s="84"/>
      <c r="E23" s="165"/>
      <c r="F23" s="84"/>
      <c r="G23" s="165"/>
      <c r="H23" s="173"/>
    </row>
    <row r="24" spans="1:8" ht="15.75">
      <c r="A24" s="161">
        <v>8</v>
      </c>
      <c r="B24" s="84"/>
      <c r="C24" s="162" t="s">
        <v>246</v>
      </c>
      <c r="D24" s="84"/>
      <c r="E24" s="163">
        <v>0.35</v>
      </c>
      <c r="F24" s="84"/>
      <c r="G24" s="165"/>
      <c r="H24" s="173"/>
    </row>
    <row r="25" spans="1:8" ht="15.75">
      <c r="A25" s="161"/>
      <c r="B25" s="84"/>
      <c r="C25" s="164"/>
      <c r="D25" s="84"/>
      <c r="E25" s="165"/>
      <c r="F25" s="84"/>
      <c r="G25" s="165"/>
      <c r="H25" s="173"/>
    </row>
    <row r="26" spans="1:8" ht="15.75">
      <c r="A26" s="161">
        <v>9</v>
      </c>
      <c r="B26" s="84"/>
      <c r="C26" s="162" t="s">
        <v>275</v>
      </c>
      <c r="D26" s="84"/>
      <c r="E26" s="117">
        <f>-E22*E24</f>
        <v>7915.0916902112995</v>
      </c>
      <c r="F26" s="84"/>
      <c r="G26" s="165" t="s">
        <v>384</v>
      </c>
      <c r="H26" s="173"/>
    </row>
    <row r="27" spans="1:8" ht="15.75">
      <c r="A27" s="161"/>
      <c r="B27" s="84"/>
      <c r="C27" s="164"/>
      <c r="D27" s="84"/>
      <c r="E27" s="165"/>
      <c r="F27" s="84"/>
      <c r="G27" s="165"/>
      <c r="H27" s="173"/>
    </row>
    <row r="28" spans="1:8" ht="16.5" thickBot="1">
      <c r="A28" s="161">
        <v>10</v>
      </c>
      <c r="B28" s="84"/>
      <c r="C28" s="162" t="s">
        <v>276</v>
      </c>
      <c r="D28" s="84"/>
      <c r="E28" s="166">
        <f>-E22-E26</f>
        <v>14699.455996106703</v>
      </c>
      <c r="F28" s="84"/>
      <c r="G28" s="165" t="s">
        <v>385</v>
      </c>
      <c r="H28" s="173"/>
    </row>
    <row r="29" spans="1:8" ht="16.5" thickTop="1">
      <c r="A29" s="97"/>
      <c r="B29" s="84"/>
      <c r="C29" s="164"/>
      <c r="D29" s="84"/>
      <c r="E29" s="165"/>
      <c r="F29" s="84"/>
      <c r="G29" s="165"/>
      <c r="H29" s="173"/>
    </row>
    <row r="30" spans="1:8" ht="15.75">
      <c r="A30" s="97"/>
      <c r="B30" s="84"/>
      <c r="C30" s="164"/>
      <c r="D30" s="84"/>
      <c r="E30" s="172"/>
      <c r="F30" s="84"/>
      <c r="G30" s="165"/>
      <c r="H30" s="173"/>
    </row>
  </sheetData>
  <mergeCells count="3">
    <mergeCell ref="A1:H1"/>
    <mergeCell ref="A2:H2"/>
    <mergeCell ref="A3:H3"/>
  </mergeCells>
  <phoneticPr fontId="12" type="noConversion"/>
  <pageMargins left="0.75" right="0.75" top="1" bottom="1" header="0.5" footer="0.5"/>
  <pageSetup scale="84" orientation="portrait" r:id="rId1"/>
  <headerFooter alignWithMargins="0">
    <oddHeader>&amp;R&amp;"Times New Roman,Regular"Docket No. UE-090134
Exhibit No. __(HL-3)
Schedule C-11 (Electric)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>
      <selection activeCell="G20" sqref="G20"/>
    </sheetView>
  </sheetViews>
  <sheetFormatPr defaultRowHeight="12.75"/>
  <cols>
    <col min="2" max="2" width="1" customWidth="1"/>
    <col min="3" max="3" width="63.28515625" customWidth="1"/>
    <col min="4" max="4" width="0.7109375" customWidth="1"/>
    <col min="5" max="5" width="12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/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444</v>
      </c>
      <c r="B7" s="85"/>
      <c r="C7" s="85"/>
      <c r="D7" s="85"/>
      <c r="E7" s="85"/>
      <c r="F7" s="85"/>
      <c r="G7" s="85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9" t="s">
        <v>239</v>
      </c>
      <c r="H9" s="85"/>
    </row>
    <row r="10" spans="1:8" ht="15.75">
      <c r="A10" s="87"/>
      <c r="B10" s="85"/>
      <c r="C10" s="85"/>
      <c r="D10" s="85"/>
      <c r="E10" s="85"/>
      <c r="F10" s="85"/>
      <c r="G10" s="85"/>
      <c r="H10" s="85"/>
    </row>
    <row r="11" spans="1:8" ht="15.75">
      <c r="A11" s="160">
        <v>1</v>
      </c>
      <c r="B11" s="85"/>
      <c r="C11" s="85" t="s">
        <v>445</v>
      </c>
      <c r="D11" s="83"/>
      <c r="E11" s="121">
        <v>1162018</v>
      </c>
      <c r="F11" s="83"/>
      <c r="G11" s="83" t="s">
        <v>440</v>
      </c>
      <c r="H11" s="83"/>
    </row>
    <row r="12" spans="1:8" ht="15.75">
      <c r="A12" s="160"/>
      <c r="B12" s="85"/>
      <c r="C12" s="83"/>
      <c r="D12" s="83"/>
      <c r="E12" s="83"/>
      <c r="F12" s="83"/>
      <c r="G12" s="83"/>
      <c r="H12" s="83"/>
    </row>
    <row r="13" spans="1:8" ht="15.75">
      <c r="A13" s="160">
        <v>2</v>
      </c>
      <c r="B13" s="85"/>
      <c r="C13" s="85" t="s">
        <v>439</v>
      </c>
      <c r="D13" s="83"/>
      <c r="E13" s="174">
        <v>0.71960000000000002</v>
      </c>
      <c r="F13" s="83"/>
      <c r="G13" s="83" t="s">
        <v>440</v>
      </c>
      <c r="H13" s="83"/>
    </row>
    <row r="14" spans="1:8" ht="15.75">
      <c r="A14" s="160"/>
      <c r="B14" s="85"/>
      <c r="C14" s="83"/>
      <c r="D14" s="83"/>
      <c r="E14" s="83"/>
      <c r="F14" s="83"/>
      <c r="G14" s="83"/>
      <c r="H14" s="83"/>
    </row>
    <row r="15" spans="1:8" ht="15.75">
      <c r="A15" s="160">
        <v>3</v>
      </c>
      <c r="B15" s="85"/>
      <c r="C15" s="83" t="s">
        <v>441</v>
      </c>
      <c r="D15" s="83"/>
      <c r="E15" s="121">
        <f>+E11*E13</f>
        <v>836188.15280000004</v>
      </c>
      <c r="F15" s="83"/>
      <c r="G15" s="83" t="s">
        <v>435</v>
      </c>
      <c r="H15" s="83"/>
    </row>
    <row r="16" spans="1:8" ht="15.75">
      <c r="A16" s="160"/>
      <c r="B16" s="85"/>
      <c r="C16" s="83"/>
      <c r="D16" s="83"/>
      <c r="E16" s="83"/>
      <c r="F16" s="83"/>
      <c r="G16" s="83"/>
      <c r="H16" s="83"/>
    </row>
    <row r="17" spans="1:8" ht="15.75">
      <c r="A17" s="160">
        <v>4</v>
      </c>
      <c r="B17" s="85"/>
      <c r="C17" s="85" t="s">
        <v>442</v>
      </c>
      <c r="D17" s="83"/>
      <c r="E17" s="174">
        <v>0.65097000000000005</v>
      </c>
      <c r="F17" s="83"/>
      <c r="G17" s="83" t="s">
        <v>440</v>
      </c>
      <c r="H17" s="83"/>
    </row>
    <row r="18" spans="1:8" ht="15.75">
      <c r="A18" s="160"/>
      <c r="B18" s="85"/>
      <c r="C18" s="85"/>
      <c r="D18" s="85"/>
      <c r="E18" s="85"/>
      <c r="F18" s="85"/>
      <c r="G18" s="85"/>
      <c r="H18" s="85"/>
    </row>
    <row r="19" spans="1:8" ht="15.75">
      <c r="A19" s="160">
        <v>5</v>
      </c>
      <c r="B19" s="85"/>
      <c r="C19" s="85" t="s">
        <v>443</v>
      </c>
      <c r="D19" s="85"/>
      <c r="E19" s="114">
        <f>+E15*E17</f>
        <v>544333.40182821604</v>
      </c>
      <c r="F19" s="85"/>
      <c r="G19" s="83" t="s">
        <v>396</v>
      </c>
      <c r="H19" s="85"/>
    </row>
    <row r="20" spans="1:8" ht="15.75">
      <c r="A20" s="87"/>
      <c r="B20" s="85"/>
      <c r="C20" s="85"/>
      <c r="D20" s="85"/>
      <c r="E20" s="85"/>
      <c r="F20" s="85"/>
      <c r="G20" s="85"/>
      <c r="H20" s="85"/>
    </row>
    <row r="21" spans="1:8" ht="15.75">
      <c r="A21" s="160">
        <v>6</v>
      </c>
      <c r="B21" s="85"/>
      <c r="C21" s="85" t="s">
        <v>450</v>
      </c>
      <c r="D21" s="85"/>
      <c r="E21" s="174">
        <v>-0.5</v>
      </c>
      <c r="F21" s="85"/>
      <c r="G21" s="85"/>
      <c r="H21" s="85"/>
    </row>
    <row r="22" spans="1:8" ht="15.75">
      <c r="A22" s="160"/>
      <c r="B22" s="85"/>
      <c r="C22" s="85"/>
      <c r="D22" s="85"/>
      <c r="E22" s="85"/>
      <c r="F22" s="85"/>
      <c r="G22" s="85"/>
      <c r="H22" s="85"/>
    </row>
    <row r="23" spans="1:8" ht="15.75">
      <c r="A23" s="160">
        <v>7</v>
      </c>
      <c r="B23" s="85"/>
      <c r="C23" s="85" t="s">
        <v>453</v>
      </c>
      <c r="D23" s="85"/>
      <c r="E23" s="121">
        <f>+E19*E21</f>
        <v>-272166.70091410802</v>
      </c>
      <c r="F23" s="85"/>
      <c r="G23" s="85" t="s">
        <v>434</v>
      </c>
      <c r="H23" s="85"/>
    </row>
    <row r="24" spans="1:8" ht="15.75">
      <c r="A24" s="161"/>
      <c r="B24" s="84"/>
      <c r="C24" s="164"/>
      <c r="D24" s="84"/>
      <c r="E24" s="165"/>
      <c r="F24" s="84"/>
      <c r="G24" s="165"/>
      <c r="H24" s="173"/>
    </row>
    <row r="25" spans="1:8" ht="15.75">
      <c r="A25" s="161">
        <v>8</v>
      </c>
      <c r="B25" s="84"/>
      <c r="C25" s="162" t="s">
        <v>246</v>
      </c>
      <c r="D25" s="84"/>
      <c r="E25" s="163">
        <v>0.35</v>
      </c>
      <c r="F25" s="84"/>
      <c r="G25" s="165"/>
      <c r="H25" s="173"/>
    </row>
    <row r="26" spans="1:8" ht="15.75">
      <c r="A26" s="161"/>
      <c r="B26" s="84"/>
      <c r="C26" s="164"/>
      <c r="D26" s="84"/>
      <c r="E26" s="165"/>
      <c r="F26" s="84"/>
      <c r="G26" s="165"/>
      <c r="H26" s="173"/>
    </row>
    <row r="27" spans="1:8" ht="15.75">
      <c r="A27" s="161">
        <v>9</v>
      </c>
      <c r="B27" s="84"/>
      <c r="C27" s="162" t="s">
        <v>275</v>
      </c>
      <c r="D27" s="84"/>
      <c r="E27" s="117">
        <f>-E23*E25</f>
        <v>95258.345319937798</v>
      </c>
      <c r="F27" s="84"/>
      <c r="G27" s="165" t="s">
        <v>384</v>
      </c>
      <c r="H27" s="173"/>
    </row>
    <row r="28" spans="1:8" ht="15.75">
      <c r="A28" s="161"/>
      <c r="B28" s="84"/>
      <c r="C28" s="164"/>
      <c r="D28" s="84"/>
      <c r="E28" s="165"/>
      <c r="F28" s="84"/>
      <c r="G28" s="165"/>
      <c r="H28" s="173"/>
    </row>
    <row r="29" spans="1:8" ht="16.5" thickBot="1">
      <c r="A29" s="161">
        <v>10</v>
      </c>
      <c r="B29" s="84"/>
      <c r="C29" s="162" t="s">
        <v>276</v>
      </c>
      <c r="D29" s="84"/>
      <c r="E29" s="166">
        <f>-E23-E27</f>
        <v>176908.35559417022</v>
      </c>
      <c r="F29" s="84"/>
      <c r="G29" s="165" t="s">
        <v>385</v>
      </c>
      <c r="H29" s="173"/>
    </row>
    <row r="30" spans="1:8" ht="16.5" thickTop="1">
      <c r="A30" s="97"/>
      <c r="B30" s="84"/>
      <c r="C30" s="164"/>
      <c r="D30" s="84"/>
      <c r="E30" s="165"/>
      <c r="F30" s="84"/>
      <c r="G30" s="165"/>
      <c r="H30" s="173"/>
    </row>
    <row r="31" spans="1:8" ht="15.75">
      <c r="A31" s="97"/>
      <c r="B31" s="84"/>
      <c r="C31" s="164"/>
      <c r="D31" s="84"/>
      <c r="E31" s="172"/>
      <c r="F31" s="84"/>
      <c r="G31" s="165"/>
      <c r="H31" s="173"/>
    </row>
    <row r="32" spans="1:8" ht="15.75">
      <c r="A32" s="97"/>
      <c r="B32" s="84"/>
      <c r="C32" s="164"/>
      <c r="D32" s="84"/>
      <c r="E32" s="165"/>
      <c r="F32" s="84"/>
      <c r="G32" s="165"/>
      <c r="H32" s="173"/>
    </row>
    <row r="33" spans="1:8" ht="15.75">
      <c r="A33" s="85"/>
      <c r="B33" s="85"/>
      <c r="C33" s="85"/>
      <c r="D33" s="85"/>
      <c r="E33" s="85"/>
      <c r="F33" s="85"/>
      <c r="G33" s="85"/>
      <c r="H33" s="85"/>
    </row>
    <row r="34" spans="1:8" ht="15.75">
      <c r="A34" s="85"/>
      <c r="B34" s="85"/>
      <c r="C34" s="85"/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  <row r="36" spans="1:8" ht="15.75">
      <c r="A36" s="85"/>
      <c r="B36" s="85"/>
      <c r="C36" s="85"/>
      <c r="D36" s="85"/>
      <c r="E36" s="85"/>
      <c r="F36" s="85"/>
      <c r="G36" s="85"/>
      <c r="H36" s="85"/>
    </row>
    <row r="37" spans="1:8" ht="15.75">
      <c r="A37" s="85"/>
      <c r="B37" s="85"/>
      <c r="C37" s="85"/>
      <c r="D37" s="85"/>
      <c r="E37" s="85"/>
      <c r="F37" s="85"/>
      <c r="G37" s="85"/>
      <c r="H37" s="85"/>
    </row>
    <row r="38" spans="1:8" ht="15.75">
      <c r="A38" s="85"/>
      <c r="B38" s="85"/>
      <c r="C38" s="85"/>
      <c r="D38" s="85"/>
      <c r="E38" s="85"/>
      <c r="F38" s="85"/>
      <c r="G38" s="85"/>
      <c r="H38" s="85"/>
    </row>
    <row r="39" spans="1:8" ht="15.75">
      <c r="A39" s="85"/>
      <c r="B39" s="85"/>
      <c r="C39" s="85"/>
      <c r="D39" s="85"/>
      <c r="E39" s="85"/>
      <c r="F39" s="85"/>
      <c r="G39" s="85"/>
      <c r="H39" s="85"/>
    </row>
    <row r="40" spans="1:8" ht="15.75">
      <c r="A40" s="85"/>
      <c r="B40" s="85"/>
      <c r="C40" s="85"/>
      <c r="D40" s="85"/>
      <c r="E40" s="85"/>
      <c r="F40" s="85"/>
      <c r="G40" s="85"/>
      <c r="H40" s="85"/>
    </row>
    <row r="41" spans="1:8" ht="15.75">
      <c r="A41" s="85"/>
      <c r="B41" s="85"/>
      <c r="C41" s="85"/>
      <c r="D41" s="85"/>
      <c r="E41" s="85"/>
      <c r="F41" s="85"/>
      <c r="G41" s="85"/>
      <c r="H41" s="85"/>
    </row>
    <row r="42" spans="1:8" ht="15.75">
      <c r="A42" s="85"/>
      <c r="B42" s="85"/>
      <c r="C42" s="85"/>
      <c r="D42" s="85"/>
      <c r="E42" s="85"/>
      <c r="F42" s="85"/>
      <c r="G42" s="85"/>
      <c r="H42" s="85"/>
    </row>
    <row r="43" spans="1:8" ht="15.75">
      <c r="A43" s="85"/>
      <c r="B43" s="85"/>
      <c r="C43" s="85"/>
      <c r="D43" s="85"/>
      <c r="E43" s="85"/>
      <c r="F43" s="85"/>
      <c r="G43" s="85"/>
      <c r="H43" s="85"/>
    </row>
    <row r="44" spans="1:8" ht="15.75">
      <c r="A44" s="85"/>
      <c r="B44" s="85"/>
      <c r="C44" s="85"/>
      <c r="D44" s="85"/>
      <c r="E44" s="85"/>
      <c r="F44" s="85"/>
      <c r="G44" s="85"/>
      <c r="H44" s="85"/>
    </row>
    <row r="45" spans="1:8" ht="15.75">
      <c r="A45" s="85"/>
      <c r="B45" s="85"/>
      <c r="C45" s="85"/>
      <c r="D45" s="85"/>
      <c r="E45" s="85"/>
      <c r="F45" s="85"/>
      <c r="G45" s="85"/>
      <c r="H45" s="85"/>
    </row>
    <row r="46" spans="1:8" ht="15.75">
      <c r="A46" s="85"/>
      <c r="B46" s="85"/>
      <c r="C46" s="85"/>
      <c r="D46" s="85"/>
      <c r="E46" s="85"/>
      <c r="F46" s="85"/>
      <c r="G46" s="85"/>
      <c r="H46" s="85"/>
    </row>
    <row r="47" spans="1:8" ht="15.75">
      <c r="A47" s="85"/>
      <c r="B47" s="85"/>
      <c r="C47" s="85"/>
      <c r="D47" s="85"/>
      <c r="E47" s="85"/>
      <c r="F47" s="85"/>
      <c r="G47" s="85"/>
      <c r="H47" s="85"/>
    </row>
    <row r="48" spans="1:8" ht="15.75">
      <c r="A48" s="85"/>
      <c r="B48" s="85"/>
      <c r="C48" s="85"/>
      <c r="D48" s="85"/>
      <c r="E48" s="85"/>
      <c r="F48" s="85"/>
      <c r="G48" s="85"/>
      <c r="H48" s="85"/>
    </row>
    <row r="49" spans="1:8" ht="15.75">
      <c r="A49" s="85"/>
      <c r="B49" s="85"/>
      <c r="C49" s="85"/>
      <c r="D49" s="85"/>
      <c r="E49" s="85"/>
      <c r="F49" s="85"/>
      <c r="G49" s="85"/>
      <c r="H49" s="85"/>
    </row>
    <row r="50" spans="1:8" ht="15.75">
      <c r="A50" s="85"/>
      <c r="B50" s="85"/>
      <c r="C50" s="85"/>
      <c r="D50" s="85"/>
      <c r="E50" s="85"/>
      <c r="F50" s="85"/>
      <c r="G50" s="85"/>
      <c r="H50" s="85"/>
    </row>
    <row r="51" spans="1:8" ht="15.75">
      <c r="A51" s="85"/>
      <c r="B51" s="85"/>
      <c r="C51" s="85"/>
      <c r="D51" s="85"/>
      <c r="E51" s="85"/>
      <c r="F51" s="85"/>
      <c r="G51" s="85"/>
      <c r="H51" s="85"/>
    </row>
    <row r="52" spans="1:8" ht="15.75">
      <c r="A52" s="85"/>
      <c r="B52" s="85"/>
      <c r="C52" s="85"/>
      <c r="D52" s="85"/>
      <c r="E52" s="85"/>
      <c r="F52" s="85"/>
      <c r="G52" s="85"/>
      <c r="H52" s="85"/>
    </row>
    <row r="53" spans="1:8" ht="15.75">
      <c r="A53" s="85"/>
      <c r="B53" s="85"/>
      <c r="C53" s="85"/>
      <c r="D53" s="85"/>
      <c r="E53" s="85"/>
      <c r="F53" s="85"/>
      <c r="G53" s="85"/>
      <c r="H53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84" orientation="portrait" r:id="rId1"/>
  <headerFooter alignWithMargins="0">
    <oddHeader>&amp;R&amp;"Times New Roman,Regular"Docket No. UE-090134
Exhibit __(HL-3)
Schedule C-12 (Electric)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opLeftCell="A19" workbookViewId="0">
      <selection activeCell="G26" sqref="G26"/>
    </sheetView>
  </sheetViews>
  <sheetFormatPr defaultRowHeight="12.75"/>
  <cols>
    <col min="2" max="2" width="1" customWidth="1"/>
    <col min="3" max="3" width="44.28515625" customWidth="1"/>
    <col min="4" max="4" width="0.7109375" customWidth="1"/>
    <col min="5" max="5" width="14.7109375" customWidth="1"/>
    <col min="6" max="6" width="1" customWidth="1"/>
    <col min="7" max="7" width="14.140625" customWidth="1"/>
    <col min="8" max="8" width="1" customWidth="1"/>
    <col min="9" max="9" width="10.7109375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</row>
    <row r="2" spans="1:9" ht="15.75">
      <c r="A2" s="292" t="str">
        <f>A!A2</f>
        <v>Washington Electric System</v>
      </c>
      <c r="B2" s="292"/>
      <c r="C2" s="292"/>
      <c r="D2" s="292"/>
      <c r="E2" s="292"/>
      <c r="F2" s="292"/>
      <c r="G2" s="292"/>
      <c r="H2" s="292"/>
      <c r="I2" s="292"/>
    </row>
    <row r="3" spans="1:9" ht="15.75">
      <c r="A3" s="292" t="str">
        <f>A!A3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</row>
    <row r="4" spans="1:9" ht="15.7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B5" s="85"/>
      <c r="C5" s="85"/>
      <c r="D5" s="85"/>
      <c r="E5" s="85"/>
      <c r="F5" s="85"/>
      <c r="G5" s="87"/>
      <c r="H5" s="87"/>
      <c r="I5" s="85"/>
    </row>
    <row r="6" spans="1:9" ht="15.75">
      <c r="A6" s="85"/>
      <c r="B6" s="85"/>
      <c r="C6" s="85"/>
      <c r="D6" s="85"/>
      <c r="E6" s="85"/>
      <c r="F6" s="85"/>
      <c r="G6" s="87"/>
      <c r="H6" s="87"/>
      <c r="I6" s="85"/>
    </row>
    <row r="7" spans="1:9" ht="15.75">
      <c r="A7" s="85" t="s">
        <v>455</v>
      </c>
      <c r="B7" s="85"/>
      <c r="C7" s="85"/>
      <c r="D7" s="85"/>
      <c r="E7" s="87"/>
      <c r="F7" s="87"/>
      <c r="G7" s="87"/>
      <c r="H7" s="87"/>
      <c r="I7" s="85"/>
    </row>
    <row r="8" spans="1:9" ht="15.75">
      <c r="A8" s="85"/>
      <c r="B8" s="85"/>
      <c r="C8" s="85"/>
      <c r="D8" s="85"/>
      <c r="E8" s="87"/>
      <c r="F8" s="87"/>
      <c r="G8" s="87"/>
      <c r="H8" s="87"/>
      <c r="I8" s="85"/>
    </row>
    <row r="9" spans="1:9" ht="15.75">
      <c r="A9" s="87" t="s">
        <v>17</v>
      </c>
      <c r="B9" s="85"/>
      <c r="C9" s="85"/>
      <c r="D9" s="85"/>
      <c r="E9" s="87"/>
      <c r="F9" s="87"/>
      <c r="G9" s="87"/>
      <c r="H9" s="87"/>
      <c r="I9" s="85"/>
    </row>
    <row r="10" spans="1:9" ht="15.75">
      <c r="A10" s="88" t="s">
        <v>60</v>
      </c>
      <c r="B10" s="85"/>
      <c r="C10" s="89" t="s">
        <v>192</v>
      </c>
      <c r="D10" s="83"/>
      <c r="E10" s="88" t="s">
        <v>238</v>
      </c>
      <c r="F10" s="90"/>
      <c r="G10" s="90"/>
      <c r="H10" s="87"/>
      <c r="I10" s="83"/>
    </row>
    <row r="11" spans="1:9" ht="15.75">
      <c r="A11" s="90"/>
      <c r="B11" s="85"/>
      <c r="C11" s="83"/>
      <c r="D11" s="83"/>
      <c r="E11" s="83"/>
      <c r="F11" s="83"/>
      <c r="G11" s="100"/>
      <c r="H11" s="87"/>
      <c r="I11" s="83"/>
    </row>
    <row r="12" spans="1:9" ht="15.75">
      <c r="A12" s="87"/>
      <c r="B12" s="85"/>
      <c r="C12" s="85"/>
      <c r="D12" s="85"/>
      <c r="E12" s="85"/>
      <c r="F12" s="85"/>
      <c r="G12" s="85"/>
      <c r="H12" s="85"/>
      <c r="I12" s="85"/>
    </row>
    <row r="13" spans="1:9" ht="15.75">
      <c r="A13" s="160">
        <v>1</v>
      </c>
      <c r="B13" s="85"/>
      <c r="C13" s="85" t="s">
        <v>456</v>
      </c>
      <c r="D13" s="83"/>
      <c r="E13" s="121">
        <v>3825972</v>
      </c>
      <c r="F13" s="83"/>
      <c r="G13" s="121"/>
      <c r="H13" s="83"/>
      <c r="I13" s="83"/>
    </row>
    <row r="14" spans="1:9" ht="15.75">
      <c r="A14" s="160"/>
      <c r="B14" s="85"/>
      <c r="C14" s="85"/>
      <c r="D14" s="83"/>
      <c r="E14" s="176"/>
      <c r="F14" s="83"/>
      <c r="G14" s="121"/>
      <c r="H14" s="83"/>
      <c r="I14" s="83"/>
    </row>
    <row r="15" spans="1:9" ht="15.75">
      <c r="A15" s="160">
        <v>2</v>
      </c>
      <c r="B15" s="85"/>
      <c r="C15" s="85" t="s">
        <v>462</v>
      </c>
      <c r="D15" s="83"/>
      <c r="E15" s="179">
        <v>0.64639999999999997</v>
      </c>
      <c r="F15" s="83"/>
      <c r="G15" s="121"/>
      <c r="H15" s="83"/>
      <c r="I15" s="83"/>
    </row>
    <row r="16" spans="1:9" ht="15.75">
      <c r="A16" s="160"/>
      <c r="B16" s="85"/>
      <c r="C16" s="85"/>
      <c r="D16" s="83"/>
      <c r="E16" s="121"/>
      <c r="F16" s="83"/>
      <c r="G16" s="121"/>
      <c r="H16" s="83"/>
      <c r="I16" s="83"/>
    </row>
    <row r="17" spans="1:9" ht="16.5" thickBot="1">
      <c r="A17" s="160">
        <v>3</v>
      </c>
      <c r="B17" s="85"/>
      <c r="C17" s="85" t="s">
        <v>463</v>
      </c>
      <c r="D17" s="83"/>
      <c r="E17" s="120">
        <f>+E15*-E13</f>
        <v>-2473108.3007999999</v>
      </c>
      <c r="F17" s="83"/>
      <c r="G17" s="121"/>
      <c r="H17" s="83"/>
      <c r="I17" s="83"/>
    </row>
    <row r="18" spans="1:9" ht="16.5" thickTop="1">
      <c r="A18" s="160"/>
      <c r="B18" s="85"/>
      <c r="C18" s="83"/>
      <c r="D18" s="83"/>
      <c r="E18" s="121"/>
      <c r="F18" s="83"/>
      <c r="G18" s="121"/>
      <c r="H18" s="83"/>
      <c r="I18" s="83"/>
    </row>
    <row r="19" spans="1:9" ht="15.75">
      <c r="A19" s="160"/>
      <c r="C19" s="85"/>
      <c r="D19" s="83"/>
      <c r="E19" s="198"/>
      <c r="F19" s="83"/>
      <c r="G19" s="83"/>
      <c r="H19" s="83"/>
      <c r="I19" s="83"/>
    </row>
    <row r="20" spans="1:9" ht="15.75">
      <c r="A20" s="160">
        <v>4</v>
      </c>
      <c r="B20" s="85"/>
      <c r="C20" s="83" t="s">
        <v>457</v>
      </c>
      <c r="D20" s="83"/>
      <c r="E20" s="121">
        <v>148151</v>
      </c>
      <c r="F20" s="83"/>
      <c r="G20" s="121"/>
      <c r="H20" s="83"/>
      <c r="I20" s="83"/>
    </row>
    <row r="21" spans="1:9" ht="15.75">
      <c r="A21" s="160"/>
      <c r="B21" s="85"/>
      <c r="C21" s="83"/>
      <c r="D21" s="83"/>
      <c r="E21" s="121"/>
      <c r="F21" s="83"/>
      <c r="G21" s="83"/>
      <c r="H21" s="83"/>
      <c r="I21" s="83"/>
    </row>
    <row r="22" spans="1:9" ht="15.75">
      <c r="A22" s="160">
        <v>5</v>
      </c>
      <c r="B22" s="85"/>
      <c r="C22" s="85" t="s">
        <v>462</v>
      </c>
      <c r="D22" s="83"/>
      <c r="E22" s="179">
        <f>E15</f>
        <v>0.64639999999999997</v>
      </c>
      <c r="F22" s="83"/>
      <c r="G22" s="121"/>
      <c r="H22" s="83"/>
      <c r="I22" s="83"/>
    </row>
    <row r="23" spans="1:9" ht="15.75">
      <c r="A23" s="161"/>
      <c r="B23" s="84"/>
      <c r="C23" s="162"/>
      <c r="D23" s="84"/>
      <c r="E23" s="165"/>
      <c r="F23" s="84"/>
      <c r="G23" s="165"/>
      <c r="H23" s="84"/>
      <c r="I23" s="173"/>
    </row>
    <row r="24" spans="1:9" ht="16.5" thickBot="1">
      <c r="A24" s="161">
        <v>6</v>
      </c>
      <c r="B24" s="84"/>
      <c r="C24" s="162" t="s">
        <v>464</v>
      </c>
      <c r="D24" s="84"/>
      <c r="E24" s="120">
        <f>+E20*E22</f>
        <v>95764.806400000001</v>
      </c>
      <c r="F24" s="100"/>
      <c r="G24" s="178"/>
      <c r="H24" s="84"/>
      <c r="I24" s="165"/>
    </row>
    <row r="25" spans="1:9" ht="16.5" thickTop="1">
      <c r="A25" s="161"/>
      <c r="B25" s="84"/>
      <c r="C25" s="162"/>
      <c r="D25" s="84"/>
      <c r="E25" s="121"/>
      <c r="F25" s="100"/>
      <c r="G25" s="178"/>
      <c r="H25" s="84"/>
      <c r="I25" s="165"/>
    </row>
    <row r="26" spans="1:9" ht="15.75">
      <c r="A26" s="161">
        <v>7</v>
      </c>
      <c r="B26" s="84"/>
      <c r="C26" s="162" t="s">
        <v>246</v>
      </c>
      <c r="D26" s="178"/>
      <c r="E26" s="208">
        <v>0.35</v>
      </c>
      <c r="F26" s="100"/>
      <c r="G26" s="178"/>
      <c r="H26" s="84"/>
      <c r="I26" s="165"/>
    </row>
    <row r="27" spans="1:9" ht="15.75">
      <c r="A27" s="161"/>
      <c r="B27" s="84"/>
      <c r="C27" s="164"/>
      <c r="D27" s="165"/>
      <c r="E27" s="84"/>
      <c r="F27" s="100"/>
      <c r="G27" s="178"/>
      <c r="H27" s="84"/>
      <c r="I27" s="165"/>
    </row>
    <row r="28" spans="1:9" ht="15.75">
      <c r="A28" s="161">
        <v>8</v>
      </c>
      <c r="B28" s="84"/>
      <c r="C28" s="162" t="s">
        <v>508</v>
      </c>
      <c r="D28" s="165"/>
      <c r="E28" s="117">
        <f>+E24*-E26</f>
        <v>-33517.682240000002</v>
      </c>
      <c r="F28" s="165"/>
      <c r="G28" s="178"/>
      <c r="H28" s="84"/>
      <c r="I28" s="165"/>
    </row>
    <row r="29" spans="1:9" ht="15.75">
      <c r="A29" s="97"/>
      <c r="B29" s="84"/>
      <c r="C29" s="164"/>
      <c r="D29" s="165"/>
      <c r="E29" s="84"/>
      <c r="F29" s="165"/>
      <c r="G29" s="178"/>
      <c r="H29" s="84"/>
      <c r="I29" s="165"/>
    </row>
    <row r="30" spans="1:9" ht="16.5" thickBot="1">
      <c r="A30" s="97">
        <v>9</v>
      </c>
      <c r="B30" s="84"/>
      <c r="C30" s="162" t="s">
        <v>461</v>
      </c>
      <c r="D30" s="165"/>
      <c r="E30" s="166">
        <f>-E24-E28</f>
        <v>-62247.124159999999</v>
      </c>
      <c r="F30" s="165"/>
      <c r="G30" s="178"/>
      <c r="H30" s="84"/>
      <c r="I30" s="165"/>
    </row>
    <row r="31" spans="1:9" ht="16.5" thickTop="1">
      <c r="A31" s="97"/>
      <c r="B31" s="84"/>
      <c r="C31" s="162"/>
      <c r="D31" s="165"/>
      <c r="E31" s="84"/>
      <c r="F31" s="165"/>
      <c r="G31" s="178"/>
      <c r="H31" s="84"/>
      <c r="I31" s="165"/>
    </row>
    <row r="32" spans="1:9" ht="15.75">
      <c r="A32" s="97"/>
      <c r="B32" s="84"/>
      <c r="C32" s="162"/>
      <c r="D32" s="165"/>
      <c r="E32" s="84"/>
      <c r="F32" s="165"/>
      <c r="G32" s="178"/>
      <c r="H32" s="84"/>
      <c r="I32" s="165"/>
    </row>
    <row r="33" spans="1:9" ht="15.75">
      <c r="A33" s="97"/>
      <c r="B33" s="84"/>
      <c r="C33" s="164"/>
      <c r="D33" s="84"/>
      <c r="E33" s="84"/>
      <c r="F33" s="165"/>
      <c r="G33" s="178"/>
      <c r="H33" s="84"/>
      <c r="I33" s="165"/>
    </row>
    <row r="34" spans="1:9" ht="15.75">
      <c r="A34" s="191" t="s">
        <v>251</v>
      </c>
      <c r="B34" s="96"/>
      <c r="C34" s="193"/>
      <c r="D34" s="96"/>
      <c r="E34" s="102"/>
      <c r="F34" s="102"/>
      <c r="G34" s="163"/>
      <c r="H34" s="96"/>
      <c r="I34" s="117"/>
    </row>
    <row r="36" spans="1:9" ht="15.75">
      <c r="A36" s="85" t="s">
        <v>458</v>
      </c>
    </row>
  </sheetData>
  <mergeCells count="4">
    <mergeCell ref="A1:I1"/>
    <mergeCell ref="A2:I2"/>
    <mergeCell ref="A3:I3"/>
    <mergeCell ref="A4:I4"/>
  </mergeCells>
  <phoneticPr fontId="12" type="noConversion"/>
  <pageMargins left="0.75" right="0.75" top="1" bottom="1" header="0.5" footer="0.5"/>
  <pageSetup scale="94" orientation="portrait" r:id="rId1"/>
  <headerFooter alignWithMargins="0">
    <oddHeader>&amp;R&amp;"Times New Roman,Regular"Docket No. UE-090134
Exhibit No.__(HL-3)
Schedule C-13 (Electric)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A30" sqref="A30"/>
    </sheetView>
  </sheetViews>
  <sheetFormatPr defaultRowHeight="12.75"/>
  <cols>
    <col min="1" max="1" width="15.28515625" customWidth="1"/>
    <col min="2" max="2" width="3.5703125" customWidth="1"/>
    <col min="3" max="3" width="14.140625" customWidth="1"/>
    <col min="4" max="4" width="4.85546875" customWidth="1"/>
    <col min="5" max="5" width="14" customWidth="1"/>
    <col min="6" max="6" width="12" customWidth="1"/>
  </cols>
  <sheetData>
    <row r="1" spans="1:5" ht="15.75">
      <c r="A1" s="176" t="str">
        <f>'c-13'!A1:I1</f>
        <v>AVISTA UTILITIES</v>
      </c>
      <c r="B1" s="176"/>
    </row>
    <row r="2" spans="1:5" ht="15.75">
      <c r="A2" s="176" t="str">
        <f>'c-13'!A2:I2</f>
        <v>Washington Electric System</v>
      </c>
      <c r="B2" s="176"/>
    </row>
    <row r="3" spans="1:5" ht="15.75">
      <c r="A3" s="176" t="str">
        <f>'c-13'!A3:I3</f>
        <v>Test Year Twelve Months Ended September 30, 2008</v>
      </c>
      <c r="B3" s="176"/>
    </row>
    <row r="4" spans="1:5" ht="15.75">
      <c r="A4" s="176"/>
      <c r="B4" s="176"/>
    </row>
    <row r="5" spans="1:5" ht="15.75">
      <c r="A5" s="176"/>
      <c r="B5" s="176"/>
    </row>
    <row r="6" spans="1:5" ht="15.75">
      <c r="A6" s="85" t="s">
        <v>567</v>
      </c>
      <c r="B6" s="85"/>
    </row>
    <row r="7" spans="1:5" ht="15.75">
      <c r="A7" s="176"/>
      <c r="B7" s="176"/>
    </row>
    <row r="8" spans="1:5">
      <c r="A8" s="100"/>
    </row>
    <row r="9" spans="1:5" ht="15.75">
      <c r="A9" s="90"/>
      <c r="C9" s="186" t="s">
        <v>564</v>
      </c>
      <c r="D9" s="97"/>
      <c r="E9" s="232" t="s">
        <v>566</v>
      </c>
    </row>
    <row r="10" spans="1:5" ht="15.75">
      <c r="A10" s="100"/>
      <c r="C10" s="227">
        <v>39326</v>
      </c>
      <c r="D10" s="227"/>
      <c r="E10" s="228">
        <v>7534345</v>
      </c>
    </row>
    <row r="11" spans="1:5" ht="15.75">
      <c r="A11" s="100"/>
      <c r="C11" s="227">
        <v>39356</v>
      </c>
      <c r="D11" s="227"/>
      <c r="E11" s="228">
        <v>7541294</v>
      </c>
    </row>
    <row r="12" spans="1:5" ht="15.75">
      <c r="A12" s="100"/>
      <c r="C12" s="227">
        <v>39387</v>
      </c>
      <c r="D12" s="227"/>
      <c r="E12" s="228">
        <v>7543680</v>
      </c>
    </row>
    <row r="13" spans="1:5" ht="15.75">
      <c r="A13" s="100"/>
      <c r="C13" s="229">
        <v>39783</v>
      </c>
      <c r="D13" s="229"/>
      <c r="E13" s="228">
        <v>7556839</v>
      </c>
    </row>
    <row r="14" spans="1:5" ht="15.75">
      <c r="A14" s="100"/>
      <c r="C14" s="227">
        <v>39448</v>
      </c>
      <c r="D14" s="227"/>
      <c r="E14" s="228">
        <v>7559780</v>
      </c>
    </row>
    <row r="15" spans="1:5" ht="15.75">
      <c r="A15" s="100"/>
      <c r="C15" s="227">
        <v>39479</v>
      </c>
      <c r="D15" s="227"/>
      <c r="E15" s="228">
        <v>7570366</v>
      </c>
    </row>
    <row r="16" spans="1:5" ht="15.75">
      <c r="A16" s="100"/>
      <c r="C16" s="227">
        <v>39508</v>
      </c>
      <c r="D16" s="227"/>
      <c r="E16" s="228">
        <v>7628522</v>
      </c>
    </row>
    <row r="17" spans="1:5" ht="15.75">
      <c r="A17" s="100"/>
      <c r="C17" s="227">
        <v>39539</v>
      </c>
      <c r="D17" s="227"/>
      <c r="E17" s="228">
        <v>7636118</v>
      </c>
    </row>
    <row r="18" spans="1:5" ht="15.75">
      <c r="A18" s="100"/>
      <c r="C18" s="227">
        <v>39569</v>
      </c>
      <c r="D18" s="227"/>
      <c r="E18" s="228">
        <v>7646930</v>
      </c>
    </row>
    <row r="19" spans="1:5" ht="15.75">
      <c r="A19" s="100"/>
      <c r="C19" s="227">
        <v>39600</v>
      </c>
      <c r="D19" s="227"/>
      <c r="E19" s="228">
        <v>7703789</v>
      </c>
    </row>
    <row r="20" spans="1:5" ht="15.75">
      <c r="A20" s="100"/>
      <c r="C20" s="227">
        <v>39630</v>
      </c>
      <c r="D20" s="227"/>
      <c r="E20" s="228">
        <v>7719919</v>
      </c>
    </row>
    <row r="21" spans="1:5" ht="15.75">
      <c r="A21" s="100"/>
      <c r="C21" s="227">
        <v>39661</v>
      </c>
      <c r="D21" s="227"/>
      <c r="E21" s="228">
        <v>7735587</v>
      </c>
    </row>
    <row r="22" spans="1:5" ht="15.75">
      <c r="A22" s="100"/>
      <c r="C22" s="227">
        <v>39692</v>
      </c>
      <c r="D22" s="227"/>
      <c r="E22" s="228">
        <v>7794539</v>
      </c>
    </row>
    <row r="23" spans="1:5" ht="15.75">
      <c r="C23" s="85"/>
      <c r="D23" s="85"/>
      <c r="E23" s="230"/>
    </row>
    <row r="24" spans="1:5" ht="16.5" thickBot="1">
      <c r="C24" s="233" t="s">
        <v>565</v>
      </c>
      <c r="D24" s="85"/>
      <c r="E24" s="231">
        <f>SUM(E10,E22)/2</f>
        <v>7664442</v>
      </c>
    </row>
    <row r="25" spans="1:5" ht="15.75">
      <c r="C25" s="85"/>
      <c r="D25" s="85"/>
      <c r="E25" s="230"/>
    </row>
    <row r="26" spans="1:5" ht="16.5" thickBot="1">
      <c r="C26" s="233" t="s">
        <v>571</v>
      </c>
      <c r="D26" s="85"/>
      <c r="E26" s="234">
        <f>(E11+E12+E13+E14+E15+E16+E17+E18+E19+E20+E21+E24)/12</f>
        <v>7625605.5</v>
      </c>
    </row>
    <row r="27" spans="1:5" ht="16.5" thickTop="1">
      <c r="E27" s="85"/>
    </row>
    <row r="28" spans="1:5" ht="15.75">
      <c r="A28" s="85"/>
      <c r="B28" s="85" t="s">
        <v>246</v>
      </c>
      <c r="C28" s="85"/>
      <c r="D28" s="85"/>
      <c r="E28" s="260">
        <v>0.35</v>
      </c>
    </row>
    <row r="29" spans="1:5" ht="15.75">
      <c r="A29" s="85"/>
      <c r="B29" s="85"/>
      <c r="C29" s="176"/>
      <c r="D29" s="85"/>
      <c r="E29" s="85"/>
    </row>
    <row r="30" spans="1:5" ht="16.5" thickBot="1">
      <c r="A30" s="85" t="s">
        <v>576</v>
      </c>
      <c r="D30" s="85"/>
      <c r="E30" s="120">
        <f>+E26*E28</f>
        <v>2668961.9249999998</v>
      </c>
    </row>
    <row r="31" spans="1:5" ht="16.5" thickTop="1">
      <c r="C31" s="85"/>
      <c r="D31" s="85"/>
    </row>
    <row r="32" spans="1:5" ht="15.75">
      <c r="C32" s="85"/>
      <c r="D32" s="85"/>
    </row>
    <row r="33" spans="1:4" ht="15.75">
      <c r="A33" s="89" t="s">
        <v>251</v>
      </c>
      <c r="B33" s="89"/>
      <c r="C33" s="89"/>
      <c r="D33" s="89"/>
    </row>
    <row r="34" spans="1:4" ht="15.75">
      <c r="A34" s="85" t="s">
        <v>572</v>
      </c>
      <c r="B34" s="85"/>
      <c r="C34" s="85"/>
      <c r="D34" s="85"/>
    </row>
    <row r="35" spans="1:4" ht="15.75">
      <c r="C35" s="85"/>
      <c r="D35" s="85"/>
    </row>
  </sheetData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C-14 (Electric)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topLeftCell="A13" workbookViewId="0">
      <selection activeCell="G14" sqref="G14"/>
    </sheetView>
  </sheetViews>
  <sheetFormatPr defaultRowHeight="12.75"/>
  <cols>
    <col min="1" max="1" width="4.7109375" customWidth="1"/>
    <col min="2" max="2" width="1.5703125" customWidth="1"/>
    <col min="3" max="3" width="42.85546875" customWidth="1"/>
    <col min="4" max="4" width="8" customWidth="1"/>
    <col min="5" max="5" width="13.7109375" customWidth="1"/>
    <col min="6" max="6" width="3.140625" customWidth="1"/>
    <col min="7" max="9" width="8" customWidth="1"/>
  </cols>
  <sheetData>
    <row r="1" spans="1:9" ht="15.75">
      <c r="A1" s="291" t="str">
        <f>A!A1</f>
        <v>AVISTA UTILITIES</v>
      </c>
      <c r="B1" s="292"/>
      <c r="C1" s="292"/>
      <c r="D1" s="292"/>
      <c r="E1" s="292"/>
      <c r="F1" s="292"/>
      <c r="G1" s="292"/>
      <c r="H1" s="137"/>
      <c r="I1" s="137"/>
    </row>
    <row r="2" spans="1:9" ht="15.75">
      <c r="A2" s="291" t="str">
        <f>'[1]A1 RevReq'!A2:I2</f>
        <v>Washington Electric System</v>
      </c>
      <c r="B2" s="292"/>
      <c r="C2" s="292"/>
      <c r="D2" s="292"/>
      <c r="E2" s="292"/>
      <c r="F2" s="292"/>
      <c r="G2" s="292"/>
      <c r="H2" s="137"/>
      <c r="I2" s="137"/>
    </row>
    <row r="3" spans="1:9" ht="15.75">
      <c r="A3" s="291" t="str">
        <f>'[1]A1 RevReq'!A3</f>
        <v>Test Year Twelve Months Ended September 30, 2008</v>
      </c>
      <c r="B3" s="292"/>
      <c r="C3" s="292"/>
      <c r="D3" s="292"/>
      <c r="E3" s="292"/>
      <c r="F3" s="292"/>
      <c r="G3" s="292"/>
      <c r="H3" s="137"/>
      <c r="I3" s="137"/>
    </row>
    <row r="4" spans="1:9" ht="15.75">
      <c r="A4" s="291" t="str">
        <f>'[1]A1 RevReq'!A4</f>
        <v>($000's of Dollars)</v>
      </c>
      <c r="B4" s="292"/>
      <c r="C4" s="292"/>
      <c r="D4" s="292"/>
      <c r="E4" s="292"/>
      <c r="F4" s="292"/>
      <c r="G4" s="292"/>
      <c r="H4" s="137"/>
      <c r="I4" s="137"/>
    </row>
    <row r="5" spans="1:9" ht="15.75">
      <c r="A5" s="100"/>
      <c r="B5" s="100"/>
      <c r="C5" s="100"/>
      <c r="D5" s="100"/>
      <c r="E5" s="137"/>
      <c r="F5" s="100"/>
      <c r="G5" s="137"/>
      <c r="H5" s="137"/>
      <c r="I5" s="137"/>
    </row>
    <row r="6" spans="1:9" ht="15.75">
      <c r="A6" s="100"/>
      <c r="B6" s="100"/>
      <c r="C6" s="100"/>
      <c r="D6" s="100"/>
      <c r="E6" s="137"/>
      <c r="F6" s="137"/>
      <c r="G6" s="137"/>
      <c r="H6" s="137"/>
      <c r="I6" s="137"/>
    </row>
    <row r="7" spans="1:9" ht="15.75">
      <c r="A7" s="83" t="s">
        <v>237</v>
      </c>
      <c r="B7" s="83"/>
      <c r="C7" s="83"/>
      <c r="D7" s="83"/>
      <c r="E7" s="142"/>
      <c r="F7" s="83"/>
      <c r="G7" s="142"/>
      <c r="H7" s="142"/>
      <c r="I7" s="137"/>
    </row>
    <row r="8" spans="1:9" ht="15.75">
      <c r="A8" s="86"/>
      <c r="B8" s="138"/>
      <c r="C8" s="138"/>
      <c r="D8" s="138"/>
      <c r="E8" s="138"/>
      <c r="F8" s="138"/>
      <c r="G8" s="142"/>
      <c r="H8" s="142"/>
      <c r="I8" s="137"/>
    </row>
    <row r="9" spans="1:9" ht="15.75">
      <c r="A9" s="138"/>
      <c r="B9" s="138"/>
      <c r="C9" s="138"/>
      <c r="D9" s="138"/>
      <c r="E9" s="138"/>
      <c r="F9" s="138"/>
      <c r="G9" s="142"/>
      <c r="H9" s="142"/>
      <c r="I9" s="137"/>
    </row>
    <row r="10" spans="1:9" ht="15.75">
      <c r="A10" s="138"/>
      <c r="B10" s="138"/>
      <c r="C10" s="138"/>
      <c r="D10" s="138"/>
      <c r="E10" s="138"/>
      <c r="F10" s="138"/>
      <c r="G10" s="142"/>
      <c r="H10" s="142"/>
      <c r="I10" s="137"/>
    </row>
    <row r="11" spans="1:9" ht="15.75">
      <c r="A11" s="138" t="s">
        <v>17</v>
      </c>
      <c r="B11" s="138"/>
      <c r="C11" s="138"/>
      <c r="D11" s="138"/>
      <c r="E11" s="138"/>
      <c r="F11" s="138"/>
      <c r="G11" s="142"/>
      <c r="H11" s="142"/>
      <c r="I11" s="137"/>
    </row>
    <row r="12" spans="1:9" ht="15.75">
      <c r="A12" s="139" t="s">
        <v>60</v>
      </c>
      <c r="B12" s="138"/>
      <c r="C12" s="139" t="s">
        <v>192</v>
      </c>
      <c r="D12" s="138"/>
      <c r="E12" s="140" t="s">
        <v>238</v>
      </c>
      <c r="F12" s="138"/>
      <c r="G12" s="147" t="s">
        <v>239</v>
      </c>
      <c r="H12" s="142"/>
      <c r="I12" s="137"/>
    </row>
    <row r="13" spans="1:9" ht="15.75">
      <c r="A13" s="142"/>
      <c r="B13" s="142"/>
      <c r="C13" s="142"/>
      <c r="D13" s="142"/>
      <c r="E13" s="142"/>
      <c r="F13" s="142"/>
      <c r="G13" s="142"/>
      <c r="H13" s="142"/>
      <c r="I13" s="137"/>
    </row>
    <row r="14" spans="1:9" ht="15.75">
      <c r="A14" s="142">
        <v>1</v>
      </c>
      <c r="B14" s="142"/>
      <c r="C14" s="142" t="s">
        <v>240</v>
      </c>
      <c r="D14" s="142"/>
      <c r="E14" s="149">
        <f>'A-1'!BF70</f>
        <v>942421.84188065736</v>
      </c>
      <c r="F14" s="142"/>
      <c r="G14" s="142" t="s">
        <v>241</v>
      </c>
      <c r="H14" s="142"/>
      <c r="I14" s="137"/>
    </row>
    <row r="15" spans="1:9" ht="15.75">
      <c r="A15" s="142"/>
      <c r="B15" s="142"/>
      <c r="C15" s="142"/>
      <c r="D15" s="142"/>
      <c r="E15" s="142"/>
      <c r="F15" s="142"/>
      <c r="G15" s="142"/>
      <c r="H15" s="142"/>
      <c r="I15" s="137"/>
    </row>
    <row r="16" spans="1:9" ht="15.75">
      <c r="A16" s="142">
        <v>2</v>
      </c>
      <c r="B16" s="142"/>
      <c r="C16" s="142" t="s">
        <v>242</v>
      </c>
      <c r="D16" s="142"/>
      <c r="E16" s="150">
        <v>3.5799999999999998E-2</v>
      </c>
      <c r="F16" s="142"/>
      <c r="G16" s="142" t="s">
        <v>243</v>
      </c>
      <c r="H16" s="142"/>
      <c r="I16" s="137"/>
    </row>
    <row r="17" spans="1:9" ht="15.75">
      <c r="A17" s="142"/>
      <c r="B17" s="142"/>
      <c r="C17" s="142"/>
      <c r="D17" s="142"/>
      <c r="E17" s="151"/>
      <c r="F17" s="142"/>
      <c r="G17" s="142"/>
      <c r="H17" s="142"/>
      <c r="I17" s="137"/>
    </row>
    <row r="18" spans="1:9" ht="15.75">
      <c r="A18" s="142">
        <v>3</v>
      </c>
      <c r="B18" s="142"/>
      <c r="C18" s="143" t="s">
        <v>244</v>
      </c>
      <c r="D18" s="142"/>
      <c r="E18" s="149">
        <f>ROUND(E14*E16,0)</f>
        <v>33739</v>
      </c>
      <c r="F18" s="142"/>
      <c r="G18" s="142" t="s">
        <v>201</v>
      </c>
      <c r="H18" s="142"/>
      <c r="I18" s="137"/>
    </row>
    <row r="19" spans="1:9" ht="15.75">
      <c r="A19" s="142"/>
      <c r="B19" s="142"/>
      <c r="C19" s="143"/>
      <c r="D19" s="142"/>
      <c r="E19" s="152"/>
      <c r="F19" s="142"/>
      <c r="G19" s="142"/>
      <c r="H19" s="142"/>
      <c r="I19" s="137"/>
    </row>
    <row r="20" spans="1:9" ht="15.75">
      <c r="A20" s="142">
        <v>4</v>
      </c>
      <c r="B20" s="142"/>
      <c r="C20" s="143" t="s">
        <v>245</v>
      </c>
      <c r="D20" s="142"/>
      <c r="E20" s="148">
        <v>32793</v>
      </c>
      <c r="F20" s="142"/>
      <c r="G20" s="87" t="s">
        <v>250</v>
      </c>
      <c r="H20" s="142"/>
      <c r="I20" s="137"/>
    </row>
    <row r="21" spans="1:9" ht="15.75">
      <c r="A21" s="142"/>
      <c r="B21" s="142"/>
      <c r="C21" s="143"/>
      <c r="D21" s="142"/>
      <c r="E21" s="144"/>
      <c r="F21" s="142"/>
      <c r="G21" s="142"/>
      <c r="H21" s="142"/>
      <c r="I21" s="137"/>
    </row>
    <row r="22" spans="1:9" ht="15.75">
      <c r="A22" s="142">
        <v>5</v>
      </c>
      <c r="B22" s="142"/>
      <c r="C22" s="143" t="s">
        <v>223</v>
      </c>
      <c r="D22" s="142"/>
      <c r="E22" s="152">
        <f>E18-E20</f>
        <v>946</v>
      </c>
      <c r="F22" s="142"/>
      <c r="G22" s="142" t="s">
        <v>204</v>
      </c>
      <c r="H22" s="142"/>
      <c r="I22" s="137"/>
    </row>
    <row r="23" spans="1:9" ht="15.75">
      <c r="A23" s="142"/>
      <c r="B23" s="142"/>
      <c r="C23" s="143"/>
      <c r="D23" s="142"/>
      <c r="E23" s="153"/>
      <c r="F23" s="142"/>
      <c r="G23" s="142"/>
      <c r="H23" s="142"/>
      <c r="I23" s="137"/>
    </row>
    <row r="24" spans="1:9" ht="15.75">
      <c r="A24" s="142">
        <v>6</v>
      </c>
      <c r="B24" s="142"/>
      <c r="C24" s="143" t="s">
        <v>246</v>
      </c>
      <c r="D24" s="142"/>
      <c r="E24" s="154">
        <v>0.35</v>
      </c>
      <c r="F24" s="142"/>
      <c r="G24" s="87" t="s">
        <v>250</v>
      </c>
      <c r="H24" s="142"/>
      <c r="I24" s="137"/>
    </row>
    <row r="25" spans="1:9" ht="15.75">
      <c r="A25" s="142"/>
      <c r="B25" s="142"/>
      <c r="C25" s="143"/>
      <c r="D25" s="142"/>
      <c r="E25" s="151"/>
      <c r="F25" s="142"/>
      <c r="G25" s="142"/>
      <c r="H25" s="142"/>
      <c r="I25" s="137"/>
    </row>
    <row r="26" spans="1:9" ht="16.5" thickBot="1">
      <c r="A26" s="142">
        <v>7</v>
      </c>
      <c r="B26" s="142"/>
      <c r="C26" s="143" t="s">
        <v>247</v>
      </c>
      <c r="D26" s="142"/>
      <c r="E26" s="155">
        <f>ROUND(-E22*E24,0)</f>
        <v>-331</v>
      </c>
      <c r="F26" s="142"/>
      <c r="G26" s="142" t="s">
        <v>248</v>
      </c>
      <c r="H26" s="142"/>
      <c r="I26" s="137"/>
    </row>
    <row r="27" spans="1:9" ht="16.5" thickTop="1">
      <c r="A27" s="141"/>
      <c r="B27" s="141"/>
      <c r="C27" s="146" t="s">
        <v>249</v>
      </c>
      <c r="D27" s="141"/>
      <c r="E27" s="141"/>
      <c r="F27" s="141"/>
      <c r="G27" s="141"/>
      <c r="H27" s="141"/>
      <c r="I27" s="145"/>
    </row>
    <row r="28" spans="1:9" ht="15.75">
      <c r="A28" s="141"/>
      <c r="B28" s="141"/>
      <c r="C28" s="146"/>
      <c r="D28" s="141"/>
      <c r="E28" s="141"/>
      <c r="F28" s="141"/>
      <c r="G28" s="141"/>
      <c r="H28" s="141"/>
      <c r="I28" s="145"/>
    </row>
    <row r="29" spans="1:9" ht="15.75">
      <c r="A29" s="85"/>
      <c r="B29" s="85"/>
      <c r="C29" s="85"/>
      <c r="D29" s="85"/>
      <c r="E29" s="85"/>
      <c r="F29" s="85"/>
      <c r="G29" s="85"/>
      <c r="H29" s="85"/>
    </row>
    <row r="30" spans="1:9" ht="15.75">
      <c r="A30" s="85"/>
      <c r="B30" s="85"/>
      <c r="C30" s="85"/>
      <c r="D30" s="85"/>
      <c r="E30" s="85"/>
      <c r="F30" s="85"/>
      <c r="G30" s="85"/>
      <c r="H30" s="85"/>
    </row>
    <row r="31" spans="1:9" ht="15.75">
      <c r="A31" s="89" t="s">
        <v>251</v>
      </c>
      <c r="B31" s="89"/>
      <c r="C31" s="89"/>
      <c r="D31" s="85"/>
      <c r="E31" s="85"/>
      <c r="F31" s="85"/>
      <c r="G31" s="85"/>
      <c r="H31" s="85"/>
    </row>
    <row r="32" spans="1:9" ht="15.75">
      <c r="A32" s="142" t="s">
        <v>253</v>
      </c>
      <c r="B32" s="83"/>
      <c r="C32" s="83"/>
      <c r="D32" s="85"/>
      <c r="E32" s="85"/>
      <c r="F32" s="85"/>
      <c r="G32" s="85"/>
      <c r="H32" s="85"/>
    </row>
    <row r="33" spans="1:8" ht="15.75">
      <c r="A33" s="142"/>
      <c r="B33" s="85"/>
      <c r="C33" s="85"/>
      <c r="D33" s="85"/>
      <c r="E33" s="85"/>
      <c r="F33" s="85"/>
      <c r="G33" s="85"/>
      <c r="H33" s="85"/>
    </row>
    <row r="34" spans="1:8" ht="15.75">
      <c r="A34" s="85"/>
      <c r="B34" s="85"/>
      <c r="C34" s="142"/>
      <c r="D34" s="85"/>
      <c r="E34" s="85"/>
      <c r="F34" s="85"/>
      <c r="G34" s="85"/>
      <c r="H34" s="85"/>
    </row>
    <row r="35" spans="1:8" ht="15.75">
      <c r="A35" s="85"/>
      <c r="B35" s="85"/>
      <c r="C35" s="85"/>
      <c r="D35" s="85"/>
      <c r="E35" s="85"/>
      <c r="F35" s="85"/>
      <c r="G35" s="85"/>
      <c r="H35" s="85"/>
    </row>
    <row r="36" spans="1:8" ht="15.75">
      <c r="A36" s="85"/>
      <c r="B36" s="85"/>
      <c r="C36" s="85"/>
      <c r="D36" s="85"/>
      <c r="E36" s="85"/>
      <c r="F36" s="85"/>
      <c r="G36" s="85"/>
      <c r="H36" s="85"/>
    </row>
    <row r="37" spans="1:8" ht="15.75">
      <c r="A37" s="85"/>
      <c r="B37" s="85"/>
      <c r="C37" s="85"/>
      <c r="D37" s="85"/>
      <c r="E37" s="85"/>
      <c r="F37" s="85"/>
      <c r="G37" s="85"/>
      <c r="H37" s="85"/>
    </row>
    <row r="38" spans="1:8" ht="15.75">
      <c r="A38" s="85"/>
      <c r="B38" s="85"/>
      <c r="C38" s="85"/>
      <c r="D38" s="85"/>
      <c r="E38" s="85"/>
      <c r="F38" s="85"/>
      <c r="G38" s="85"/>
      <c r="H38" s="85"/>
    </row>
    <row r="39" spans="1:8" ht="15.75">
      <c r="A39" s="85"/>
      <c r="B39" s="85"/>
      <c r="C39" s="85"/>
      <c r="D39" s="85"/>
      <c r="E39" s="85"/>
      <c r="F39" s="85"/>
      <c r="G39" s="85"/>
      <c r="H39" s="85"/>
    </row>
    <row r="40" spans="1:8" ht="15.75">
      <c r="A40" s="85"/>
      <c r="B40" s="85"/>
      <c r="C40" s="85"/>
      <c r="D40" s="85"/>
      <c r="E40" s="85"/>
      <c r="F40" s="85"/>
      <c r="G40" s="85"/>
      <c r="H40" s="85"/>
    </row>
  </sheetData>
  <mergeCells count="4">
    <mergeCell ref="A1:G1"/>
    <mergeCell ref="A2:G2"/>
    <mergeCell ref="A3:G3"/>
    <mergeCell ref="A4:G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C-15 (Electric)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D18" sqref="D18"/>
    </sheetView>
  </sheetViews>
  <sheetFormatPr defaultRowHeight="12.75"/>
  <cols>
    <col min="1" max="1" width="4.7109375" customWidth="1"/>
    <col min="2" max="2" width="1.5703125" customWidth="1"/>
    <col min="3" max="3" width="22.85546875" customWidth="1"/>
    <col min="4" max="4" width="1.28515625" customWidth="1"/>
    <col min="5" max="5" width="17" bestFit="1" customWidth="1"/>
    <col min="6" max="6" width="1.42578125" customWidth="1"/>
    <col min="7" max="7" width="12" customWidth="1"/>
    <col min="8" max="8" width="1.5703125" customWidth="1"/>
    <col min="9" max="9" width="12.140625" customWidth="1"/>
    <col min="10" max="10" width="1.140625" customWidth="1"/>
    <col min="11" max="11" width="10.42578125" customWidth="1"/>
  </cols>
  <sheetData>
    <row r="1" spans="1:11" ht="15.75">
      <c r="A1" s="291" t="str">
        <f>A!A1</f>
        <v>AVISTA UTILITIES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</row>
    <row r="2" spans="1:11" ht="15.75">
      <c r="A2" s="291" t="str">
        <f>'[1]A1 RevReq'!A2</f>
        <v>Washington Electric System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5.75">
      <c r="A3" s="291" t="str">
        <f>'[1]A1 RevReq'!A3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15.75">
      <c r="A4" s="291" t="str">
        <f>'[1]A1 RevReq'!A4</f>
        <v>($000's of Dollars)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</row>
    <row r="5" spans="1:11" ht="15.75">
      <c r="A5" s="100"/>
      <c r="B5" s="100"/>
      <c r="C5" s="100"/>
      <c r="D5" s="100"/>
      <c r="E5" s="100"/>
      <c r="F5" s="100"/>
      <c r="G5" s="100"/>
      <c r="H5" s="122"/>
      <c r="I5" s="100"/>
      <c r="J5" s="122"/>
      <c r="K5" s="122"/>
    </row>
    <row r="6" spans="1:11" ht="15.75">
      <c r="A6" s="123" t="s">
        <v>224</v>
      </c>
      <c r="B6" s="122"/>
      <c r="C6" s="123"/>
      <c r="D6" s="123"/>
      <c r="E6" s="122"/>
      <c r="F6" s="122"/>
      <c r="G6" s="122"/>
      <c r="H6" s="122"/>
      <c r="I6" s="122"/>
      <c r="J6" s="100"/>
      <c r="K6" s="122"/>
    </row>
    <row r="7" spans="1:11" ht="15.75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5.75">
      <c r="A8" s="123" t="s">
        <v>17</v>
      </c>
      <c r="B8" s="122"/>
      <c r="C8" s="122"/>
      <c r="D8" s="122"/>
      <c r="E8" s="124"/>
      <c r="F8" s="125"/>
      <c r="G8" s="125"/>
      <c r="H8" s="125"/>
      <c r="I8" s="124" t="s">
        <v>225</v>
      </c>
      <c r="J8" s="125"/>
      <c r="K8" s="124" t="s">
        <v>226</v>
      </c>
    </row>
    <row r="9" spans="1:11" ht="15.75">
      <c r="A9" s="126" t="s">
        <v>60</v>
      </c>
      <c r="B9" s="122"/>
      <c r="C9" s="126" t="s">
        <v>192</v>
      </c>
      <c r="D9" s="127"/>
      <c r="E9" s="128" t="s">
        <v>227</v>
      </c>
      <c r="F9" s="125"/>
      <c r="G9" s="128" t="s">
        <v>228</v>
      </c>
      <c r="H9" s="125"/>
      <c r="I9" s="128" t="s">
        <v>229</v>
      </c>
      <c r="J9" s="125"/>
      <c r="K9" s="128" t="s">
        <v>230</v>
      </c>
    </row>
    <row r="10" spans="1:11" ht="15.75">
      <c r="A10" s="122"/>
      <c r="B10" s="122"/>
      <c r="C10" s="122"/>
      <c r="D10" s="122"/>
      <c r="E10" s="122"/>
      <c r="F10" s="122"/>
      <c r="G10" s="129"/>
      <c r="H10" s="129"/>
      <c r="I10" s="129"/>
      <c r="J10" s="129"/>
      <c r="K10" s="129"/>
    </row>
    <row r="11" spans="1:11" ht="15.75">
      <c r="A11" s="122">
        <v>1</v>
      </c>
      <c r="B11" s="122"/>
      <c r="C11" s="130" t="s">
        <v>231</v>
      </c>
      <c r="D11" s="130"/>
      <c r="E11" s="135">
        <v>1190915751</v>
      </c>
      <c r="F11" s="131"/>
      <c r="G11" s="203">
        <f>+E11/E15</f>
        <v>0.54434419384823551</v>
      </c>
      <c r="H11" s="132"/>
      <c r="I11" s="132">
        <v>6.5699999999999995E-2</v>
      </c>
      <c r="J11" s="132"/>
      <c r="K11" s="132">
        <f>+G11*I11</f>
        <v>3.5763413535829069E-2</v>
      </c>
    </row>
    <row r="12" spans="1:11" ht="15.75">
      <c r="A12" s="122"/>
      <c r="B12" s="122"/>
      <c r="C12" s="130"/>
      <c r="D12" s="130"/>
      <c r="E12" s="135"/>
      <c r="F12" s="131"/>
      <c r="G12" s="203"/>
      <c r="H12" s="132"/>
      <c r="I12" s="132"/>
      <c r="J12" s="132"/>
      <c r="K12" s="132"/>
    </row>
    <row r="13" spans="1:11" ht="15.75">
      <c r="A13" s="122">
        <v>2</v>
      </c>
      <c r="B13" s="122"/>
      <c r="C13" s="130" t="s">
        <v>232</v>
      </c>
      <c r="D13" s="130"/>
      <c r="E13" s="136">
        <v>996883374</v>
      </c>
      <c r="F13" s="131"/>
      <c r="G13" s="204">
        <f>+E13/E15</f>
        <v>0.45565580615176449</v>
      </c>
      <c r="H13" s="132"/>
      <c r="I13" s="226">
        <v>0.10100000000000001</v>
      </c>
      <c r="J13" s="132"/>
      <c r="K13" s="226">
        <f>+G13*I13</f>
        <v>4.6021236421328215E-2</v>
      </c>
    </row>
    <row r="14" spans="1:11" ht="15.75">
      <c r="A14" s="122"/>
      <c r="B14" s="122"/>
      <c r="C14" s="131"/>
      <c r="D14" s="131"/>
      <c r="E14" s="135"/>
      <c r="F14" s="131"/>
      <c r="G14" s="132"/>
      <c r="H14" s="132"/>
      <c r="I14" s="132"/>
      <c r="J14" s="132"/>
      <c r="K14" s="132"/>
    </row>
    <row r="15" spans="1:11" ht="15.75">
      <c r="A15" s="122">
        <v>3</v>
      </c>
      <c r="B15" s="122"/>
      <c r="C15" s="130" t="s">
        <v>233</v>
      </c>
      <c r="D15" s="130"/>
      <c r="E15" s="135">
        <f>SUM(E11:E13)</f>
        <v>2187799125</v>
      </c>
      <c r="F15" s="131"/>
      <c r="G15" s="132">
        <f>SUM(G11:G13)</f>
        <v>1</v>
      </c>
      <c r="H15" s="132"/>
      <c r="I15" s="132"/>
      <c r="J15" s="132"/>
      <c r="K15" s="225">
        <f>+K13+K11</f>
        <v>8.1784649957157285E-2</v>
      </c>
    </row>
    <row r="16" spans="1:11" ht="15.75">
      <c r="A16" s="122"/>
      <c r="B16" s="122"/>
      <c r="C16" s="122"/>
      <c r="D16" s="122"/>
      <c r="E16" s="122"/>
      <c r="F16" s="122"/>
      <c r="G16" s="133"/>
      <c r="H16" s="133"/>
      <c r="I16" s="133"/>
      <c r="J16" s="133"/>
      <c r="K16" s="133"/>
    </row>
    <row r="17" spans="1:11" ht="15.75">
      <c r="A17" s="122"/>
      <c r="B17" s="122"/>
      <c r="C17" s="122"/>
      <c r="D17" s="122"/>
      <c r="E17" s="122"/>
      <c r="F17" s="122"/>
      <c r="G17" s="133"/>
      <c r="H17" s="133"/>
      <c r="I17" s="133"/>
      <c r="J17" s="133"/>
      <c r="K17" s="133"/>
    </row>
    <row r="18" spans="1:11" ht="18">
      <c r="A18" s="126" t="s">
        <v>234</v>
      </c>
      <c r="B18" s="194"/>
      <c r="C18" s="194"/>
      <c r="D18" s="195"/>
      <c r="E18" s="194"/>
      <c r="F18" s="194"/>
      <c r="G18" s="196"/>
      <c r="H18" s="196"/>
      <c r="I18" s="196"/>
      <c r="J18" s="196"/>
      <c r="K18" s="196"/>
    </row>
    <row r="19" spans="1:11" ht="15.75">
      <c r="A19" s="123" t="s">
        <v>235</v>
      </c>
      <c r="B19" s="122"/>
      <c r="C19" s="122"/>
      <c r="D19" s="123"/>
      <c r="E19" s="122"/>
      <c r="F19" s="122"/>
      <c r="G19" s="133"/>
      <c r="H19" s="133"/>
      <c r="I19" s="133"/>
      <c r="J19" s="133"/>
      <c r="K19" s="133"/>
    </row>
    <row r="20" spans="1:11" ht="15.75">
      <c r="A20" s="123" t="s">
        <v>236</v>
      </c>
      <c r="B20" s="122"/>
      <c r="C20" s="122"/>
      <c r="D20" s="123"/>
      <c r="E20" s="122"/>
      <c r="F20" s="122"/>
      <c r="G20" s="133"/>
      <c r="H20" s="133"/>
      <c r="I20" s="133"/>
      <c r="J20" s="133"/>
      <c r="K20" s="133"/>
    </row>
    <row r="21" spans="1:11" ht="15.75">
      <c r="A21" s="122"/>
      <c r="B21" s="122"/>
      <c r="C21" s="123"/>
      <c r="D21" s="123"/>
      <c r="E21" s="122"/>
      <c r="F21" s="122"/>
      <c r="G21" s="133"/>
      <c r="H21" s="133"/>
      <c r="I21" s="133"/>
      <c r="J21" s="133"/>
      <c r="K21" s="133"/>
    </row>
    <row r="22" spans="1:11" ht="15.75">
      <c r="A22" s="122"/>
      <c r="B22" s="122"/>
      <c r="C22" s="134"/>
      <c r="D22" s="134"/>
      <c r="E22" s="122"/>
      <c r="F22" s="122"/>
      <c r="G22" s="133"/>
      <c r="H22" s="133"/>
      <c r="I22" s="133"/>
      <c r="J22" s="133"/>
      <c r="K22" s="133"/>
    </row>
    <row r="23" spans="1:11" ht="15.75">
      <c r="A23" s="122"/>
      <c r="B23" s="122"/>
      <c r="C23" s="123"/>
      <c r="D23" s="123"/>
      <c r="E23" s="122"/>
      <c r="F23" s="122"/>
      <c r="G23" s="122"/>
      <c r="H23" s="122"/>
      <c r="I23" s="122"/>
      <c r="J23" s="122"/>
      <c r="K23" s="122"/>
    </row>
  </sheetData>
  <mergeCells count="4">
    <mergeCell ref="A1:K1"/>
    <mergeCell ref="A2:K2"/>
    <mergeCell ref="A3:K3"/>
    <mergeCell ref="A4:K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D (Electric)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opLeftCell="A7" workbookViewId="0">
      <selection activeCell="C26" sqref="C26"/>
    </sheetView>
  </sheetViews>
  <sheetFormatPr defaultRowHeight="12.75"/>
  <cols>
    <col min="1" max="1" width="7.5703125" customWidth="1"/>
    <col min="2" max="2" width="1.85546875" customWidth="1"/>
    <col min="3" max="3" width="38.140625" customWidth="1"/>
    <col min="4" max="4" width="1.5703125" customWidth="1"/>
    <col min="5" max="5" width="14.5703125" customWidth="1"/>
    <col min="6" max="6" width="6.42578125" customWidth="1"/>
    <col min="7" max="7" width="12.7109375" customWidth="1"/>
    <col min="8" max="8" width="4.140625" customWidth="1"/>
  </cols>
  <sheetData>
    <row r="1" spans="1:8" ht="15.75">
      <c r="A1" s="291" t="str">
        <f>A!A1</f>
        <v>AVISTA UTILITIES</v>
      </c>
      <c r="B1" s="292"/>
      <c r="C1" s="292"/>
      <c r="D1" s="292"/>
      <c r="E1" s="292"/>
      <c r="F1" s="292"/>
      <c r="G1" s="292"/>
      <c r="H1" s="85"/>
    </row>
    <row r="2" spans="1:8" ht="15.75">
      <c r="A2" s="291" t="str">
        <f>'[1]A1 RevReq'!A2</f>
        <v>Washington Electric System</v>
      </c>
      <c r="B2" s="292"/>
      <c r="C2" s="292"/>
      <c r="D2" s="292"/>
      <c r="E2" s="292"/>
      <c r="F2" s="292"/>
      <c r="G2" s="292"/>
      <c r="H2" s="85"/>
    </row>
    <row r="3" spans="1:8" ht="15.75">
      <c r="A3" s="291" t="str">
        <f>'[1]A1 RevReq'!A3</f>
        <v>Test Year Twelve Months Ended September 30, 2008</v>
      </c>
      <c r="B3" s="292"/>
      <c r="C3" s="292"/>
      <c r="D3" s="292"/>
      <c r="E3" s="292"/>
      <c r="F3" s="292"/>
      <c r="G3" s="292"/>
      <c r="H3" s="85"/>
    </row>
    <row r="4" spans="1:8" ht="15.75">
      <c r="A4" s="291" t="str">
        <f>'[1]A1 RevReq'!A4</f>
        <v>($000's of Dollars)</v>
      </c>
      <c r="B4" s="292"/>
      <c r="C4" s="292"/>
      <c r="D4" s="292"/>
      <c r="E4" s="292"/>
      <c r="F4" s="292"/>
      <c r="G4" s="292"/>
      <c r="H4" s="85"/>
    </row>
    <row r="5" spans="1:8" ht="15.75">
      <c r="A5" s="83"/>
      <c r="B5" s="83"/>
      <c r="C5" s="83"/>
      <c r="D5" s="83"/>
      <c r="E5" s="83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460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5"/>
      <c r="H8" s="85"/>
    </row>
    <row r="9" spans="1:8" ht="15.75">
      <c r="A9" s="85"/>
      <c r="B9" s="85"/>
      <c r="C9" s="85"/>
      <c r="D9" s="85"/>
      <c r="E9" s="85"/>
      <c r="F9" s="85"/>
      <c r="G9" s="85"/>
      <c r="H9" s="85"/>
    </row>
    <row r="10" spans="1:8" ht="15.75">
      <c r="A10" s="87" t="s">
        <v>17</v>
      </c>
      <c r="B10" s="85"/>
      <c r="C10" s="85"/>
      <c r="D10" s="85"/>
      <c r="E10" s="90"/>
      <c r="F10" s="87"/>
      <c r="G10" s="90"/>
      <c r="H10" s="85"/>
    </row>
    <row r="11" spans="1:8" ht="15.75">
      <c r="A11" s="88" t="s">
        <v>60</v>
      </c>
      <c r="B11" s="83"/>
      <c r="C11" s="89" t="s">
        <v>192</v>
      </c>
      <c r="D11" s="85"/>
      <c r="E11" s="88" t="s">
        <v>207</v>
      </c>
      <c r="F11" s="87"/>
      <c r="G11" s="88" t="s">
        <v>209</v>
      </c>
      <c r="H11" s="85"/>
    </row>
    <row r="12" spans="1:8" ht="15.75">
      <c r="A12" s="85"/>
      <c r="B12" s="85"/>
      <c r="C12" s="85"/>
      <c r="D12" s="85"/>
      <c r="E12" s="85"/>
      <c r="F12" s="85"/>
      <c r="G12" s="85"/>
      <c r="H12" s="85"/>
    </row>
    <row r="13" spans="1:8" ht="15.75">
      <c r="A13" s="107">
        <v>1</v>
      </c>
      <c r="B13" s="107"/>
      <c r="C13" s="83" t="s">
        <v>213</v>
      </c>
      <c r="D13" s="83"/>
      <c r="E13" s="108">
        <v>1</v>
      </c>
      <c r="F13" s="109"/>
      <c r="G13" s="108">
        <v>1</v>
      </c>
      <c r="H13" s="110"/>
    </row>
    <row r="14" spans="1:8" ht="15.75">
      <c r="A14" s="107"/>
      <c r="B14" s="107"/>
      <c r="C14" s="83"/>
      <c r="D14" s="83"/>
      <c r="E14" s="109"/>
      <c r="F14" s="109"/>
      <c r="G14" s="109"/>
      <c r="H14" s="110"/>
    </row>
    <row r="15" spans="1:8" ht="15.75">
      <c r="A15" s="107"/>
      <c r="B15" s="107"/>
      <c r="C15" s="83" t="s">
        <v>214</v>
      </c>
      <c r="D15" s="83"/>
      <c r="E15" s="109"/>
      <c r="F15" s="109"/>
      <c r="G15" s="109"/>
      <c r="H15" s="110"/>
    </row>
    <row r="16" spans="1:8" ht="15.75">
      <c r="A16" s="107">
        <v>2</v>
      </c>
      <c r="B16" s="107"/>
      <c r="C16" s="83" t="s">
        <v>587</v>
      </c>
      <c r="D16" s="83"/>
      <c r="E16" s="103">
        <v>2.5994E-3</v>
      </c>
      <c r="F16" s="109" t="s">
        <v>215</v>
      </c>
      <c r="G16" s="109">
        <f>'[2]CF WA Elec'!$E$9</f>
        <v>2.5173032634292548E-3</v>
      </c>
      <c r="H16" s="110" t="s">
        <v>216</v>
      </c>
    </row>
    <row r="17" spans="1:8" ht="15.75">
      <c r="A17" s="107"/>
      <c r="B17" s="107"/>
      <c r="C17" s="83"/>
      <c r="D17" s="83"/>
      <c r="E17" s="104"/>
      <c r="F17" s="109"/>
      <c r="G17" s="109"/>
      <c r="H17" s="110"/>
    </row>
    <row r="18" spans="1:8" ht="15.75">
      <c r="A18" s="107">
        <v>3</v>
      </c>
      <c r="B18" s="107"/>
      <c r="C18" s="84" t="s">
        <v>217</v>
      </c>
      <c r="D18" s="83"/>
      <c r="E18" s="104">
        <v>2E-3</v>
      </c>
      <c r="F18" s="109"/>
      <c r="G18" s="109">
        <f>+E18</f>
        <v>2E-3</v>
      </c>
      <c r="H18" s="110"/>
    </row>
    <row r="19" spans="1:8" ht="15.75">
      <c r="A19" s="107"/>
      <c r="B19" s="107"/>
      <c r="C19" s="83"/>
      <c r="D19" s="83"/>
      <c r="E19" s="104"/>
      <c r="F19" s="109"/>
      <c r="G19" s="109"/>
      <c r="H19" s="110"/>
    </row>
    <row r="20" spans="1:8" ht="15.75">
      <c r="A20" s="107">
        <v>4</v>
      </c>
      <c r="B20" s="107"/>
      <c r="C20" s="84" t="s">
        <v>218</v>
      </c>
      <c r="D20" s="83"/>
      <c r="E20" s="104">
        <v>3.8629299999999998E-2</v>
      </c>
      <c r="F20" s="109" t="s">
        <v>215</v>
      </c>
      <c r="G20" s="109">
        <f>'[2]CF WA Elec'!$E$13</f>
        <v>3.8632504844607389E-2</v>
      </c>
      <c r="H20" s="110" t="s">
        <v>216</v>
      </c>
    </row>
    <row r="21" spans="1:8" ht="15.75">
      <c r="A21" s="107"/>
      <c r="B21" s="107"/>
      <c r="C21" s="83"/>
      <c r="D21" s="83"/>
      <c r="E21" s="109"/>
      <c r="F21" s="109"/>
      <c r="G21" s="109"/>
      <c r="H21" s="110"/>
    </row>
    <row r="22" spans="1:8" ht="15.75">
      <c r="A22" s="107">
        <v>5</v>
      </c>
      <c r="B22" s="107"/>
      <c r="C22" s="83" t="s">
        <v>219</v>
      </c>
      <c r="D22" s="83"/>
      <c r="E22" s="109">
        <v>0</v>
      </c>
      <c r="F22" s="109"/>
      <c r="G22" s="109">
        <v>0</v>
      </c>
      <c r="H22" s="110"/>
    </row>
    <row r="23" spans="1:8" ht="15.75">
      <c r="A23" s="107"/>
      <c r="B23" s="107"/>
      <c r="C23" s="83"/>
      <c r="D23" s="83"/>
      <c r="E23" s="109"/>
      <c r="F23" s="109"/>
      <c r="G23" s="109"/>
      <c r="H23" s="110"/>
    </row>
    <row r="24" spans="1:8" ht="15.75">
      <c r="A24" s="107">
        <v>6</v>
      </c>
      <c r="B24" s="107"/>
      <c r="C24" s="83" t="s">
        <v>220</v>
      </c>
      <c r="D24" s="83"/>
      <c r="E24" s="111">
        <f>SUM(E16:E21)</f>
        <v>4.3228699999999995E-2</v>
      </c>
      <c r="F24" s="109"/>
      <c r="G24" s="111">
        <f>SUM(G16:G21)</f>
        <v>4.3149808108036647E-2</v>
      </c>
      <c r="H24" s="110"/>
    </row>
    <row r="25" spans="1:8" ht="15.75">
      <c r="A25" s="107"/>
      <c r="B25" s="107"/>
      <c r="C25" s="83"/>
      <c r="D25" s="83"/>
      <c r="E25" s="109"/>
      <c r="F25" s="109"/>
      <c r="G25" s="109"/>
      <c r="H25" s="110"/>
    </row>
    <row r="26" spans="1:8" ht="15.75">
      <c r="A26" s="107">
        <v>7</v>
      </c>
      <c r="B26" s="107"/>
      <c r="C26" s="83" t="s">
        <v>221</v>
      </c>
      <c r="D26" s="83"/>
      <c r="E26" s="109">
        <f>+E13-E24</f>
        <v>0.95677129999999999</v>
      </c>
      <c r="F26" s="109"/>
      <c r="G26" s="109">
        <f>+G13-G24</f>
        <v>0.95685019189196341</v>
      </c>
      <c r="H26" s="110"/>
    </row>
    <row r="27" spans="1:8" ht="15.75">
      <c r="A27" s="107"/>
      <c r="B27" s="107"/>
      <c r="C27" s="83"/>
      <c r="D27" s="83"/>
      <c r="E27" s="109"/>
      <c r="F27" s="109"/>
      <c r="G27" s="109"/>
      <c r="H27" s="110"/>
    </row>
    <row r="28" spans="1:8" ht="15.75">
      <c r="A28" s="107">
        <v>8</v>
      </c>
      <c r="B28" s="107"/>
      <c r="C28" s="83" t="s">
        <v>222</v>
      </c>
      <c r="D28" s="83"/>
      <c r="E28" s="108">
        <f>ROUND(E26*0.35,8)</f>
        <v>0.33486996000000002</v>
      </c>
      <c r="F28" s="109"/>
      <c r="G28" s="108">
        <f>ROUND(G26*0.35,8)</f>
        <v>0.33489756999999998</v>
      </c>
      <c r="H28" s="110" t="s">
        <v>515</v>
      </c>
    </row>
    <row r="29" spans="1:8" ht="15.75">
      <c r="A29" s="107"/>
      <c r="B29" s="107"/>
      <c r="C29" s="83"/>
      <c r="D29" s="83"/>
      <c r="E29" s="109"/>
      <c r="F29" s="109"/>
      <c r="G29" s="109"/>
      <c r="H29" s="110"/>
    </row>
    <row r="30" spans="1:8" ht="16.5" thickBot="1">
      <c r="A30" s="107">
        <v>9</v>
      </c>
      <c r="B30" s="107"/>
      <c r="C30" s="83" t="s">
        <v>460</v>
      </c>
      <c r="D30" s="83"/>
      <c r="E30" s="112">
        <f>+E26-E28</f>
        <v>0.62190133999999997</v>
      </c>
      <c r="F30" s="109"/>
      <c r="G30" s="112">
        <f>+G26-G28</f>
        <v>0.62195262189196343</v>
      </c>
      <c r="H30" s="110"/>
    </row>
    <row r="31" spans="1:8" ht="16.5" thickTop="1">
      <c r="A31" s="107"/>
      <c r="B31" s="107"/>
      <c r="C31" s="83"/>
      <c r="D31" s="83"/>
      <c r="E31" s="109"/>
      <c r="F31" s="109"/>
      <c r="G31" s="109"/>
      <c r="H31" s="110"/>
    </row>
    <row r="32" spans="1:8" ht="15.75">
      <c r="A32" s="107"/>
      <c r="B32" s="107"/>
      <c r="C32" s="83"/>
      <c r="D32" s="83"/>
      <c r="E32" s="109"/>
      <c r="F32" s="109"/>
      <c r="G32" s="109"/>
      <c r="H32" s="110"/>
    </row>
    <row r="33" spans="1:4" ht="15.75">
      <c r="A33" s="89" t="s">
        <v>251</v>
      </c>
      <c r="B33" s="102"/>
      <c r="C33" s="102"/>
    </row>
    <row r="35" spans="1:4" ht="15.75">
      <c r="A35" s="85" t="s">
        <v>215</v>
      </c>
      <c r="B35" s="85"/>
      <c r="C35" s="85" t="s">
        <v>446</v>
      </c>
      <c r="D35" s="85"/>
    </row>
    <row r="36" spans="1:4" ht="15.75">
      <c r="A36" s="85"/>
      <c r="B36" s="85"/>
      <c r="C36" s="85"/>
      <c r="D36" s="85"/>
    </row>
    <row r="37" spans="1:4" ht="15.75">
      <c r="A37" s="85" t="s">
        <v>216</v>
      </c>
      <c r="B37" s="85"/>
      <c r="C37" s="85" t="s">
        <v>447</v>
      </c>
      <c r="D37" s="85"/>
    </row>
    <row r="38" spans="1:4" ht="15.75">
      <c r="A38" s="85"/>
      <c r="B38" s="85"/>
      <c r="C38" s="85"/>
      <c r="D38" s="85"/>
    </row>
  </sheetData>
  <mergeCells count="4">
    <mergeCell ref="A1:G1"/>
    <mergeCell ref="A2:G2"/>
    <mergeCell ref="A3:G3"/>
    <mergeCell ref="A4:G4"/>
  </mergeCells>
  <phoneticPr fontId="12" type="noConversion"/>
  <pageMargins left="0.75" right="0.75" top="1" bottom="1" header="0.5" footer="0.5"/>
  <pageSetup scale="94" orientation="portrait" r:id="rId1"/>
  <headerFooter alignWithMargins="0">
    <oddHeader>&amp;R&amp;"Times New Roman,Regular"Docket No. UE-090134
Exhibit No. __(HL-3)
Schedule A-2 (Electric)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opLeftCell="A13" workbookViewId="0">
      <selection activeCell="G28" sqref="G28"/>
    </sheetView>
  </sheetViews>
  <sheetFormatPr defaultRowHeight="12.75"/>
  <cols>
    <col min="1" max="1" width="4.7109375" customWidth="1"/>
    <col min="2" max="3" width="1.7109375" customWidth="1"/>
    <col min="4" max="4" width="43.140625" customWidth="1"/>
    <col min="5" max="7" width="12.7109375" customWidth="1"/>
  </cols>
  <sheetData>
    <row r="1" spans="1:7" ht="15.75">
      <c r="A1" s="235" t="s">
        <v>0</v>
      </c>
      <c r="B1" s="210"/>
      <c r="C1" s="210"/>
      <c r="D1" s="241"/>
      <c r="E1" s="243"/>
      <c r="F1" s="240"/>
      <c r="G1" s="240"/>
    </row>
    <row r="2" spans="1:7" ht="15.75">
      <c r="A2" s="235" t="s">
        <v>1</v>
      </c>
      <c r="B2" s="210"/>
      <c r="C2" s="210"/>
      <c r="D2" s="241"/>
      <c r="E2" s="243"/>
      <c r="F2" s="240"/>
      <c r="G2" s="240"/>
    </row>
    <row r="3" spans="1:7" ht="15.75">
      <c r="A3" s="235" t="s">
        <v>2</v>
      </c>
      <c r="B3" s="210"/>
      <c r="C3" s="210"/>
      <c r="D3" s="241"/>
      <c r="E3" s="244"/>
      <c r="F3" s="240"/>
      <c r="G3" s="240"/>
    </row>
    <row r="4" spans="1:7" ht="15.75">
      <c r="A4" s="235" t="s">
        <v>212</v>
      </c>
      <c r="B4" s="210"/>
      <c r="C4" s="210"/>
      <c r="D4" s="241"/>
      <c r="E4" s="244"/>
      <c r="F4" s="240"/>
      <c r="G4" s="240"/>
    </row>
    <row r="5" spans="1:7" ht="15.75">
      <c r="A5" s="235" t="s">
        <v>3</v>
      </c>
      <c r="B5" s="210"/>
      <c r="C5" s="210"/>
      <c r="D5" s="241"/>
      <c r="E5" s="244"/>
      <c r="F5" s="240"/>
      <c r="G5" s="240"/>
    </row>
    <row r="6" spans="1:7" ht="15.75">
      <c r="A6" s="245"/>
      <c r="B6" s="246"/>
      <c r="C6" s="246"/>
      <c r="D6" s="245"/>
      <c r="E6" s="247"/>
      <c r="F6" s="240"/>
      <c r="G6" s="240"/>
    </row>
    <row r="7" spans="1:7" ht="15.75">
      <c r="A7" s="248"/>
      <c r="B7" s="236"/>
      <c r="C7" s="236"/>
      <c r="D7" s="236"/>
      <c r="E7" s="249"/>
      <c r="F7" s="266"/>
      <c r="G7" s="266"/>
    </row>
    <row r="8" spans="1:7" ht="15.75">
      <c r="A8" s="248"/>
      <c r="B8" s="236"/>
      <c r="C8" s="236"/>
      <c r="D8" s="236"/>
      <c r="E8" s="249" t="s">
        <v>4</v>
      </c>
      <c r="F8" s="266"/>
      <c r="G8" s="266"/>
    </row>
    <row r="9" spans="1:7" ht="15.75">
      <c r="A9" s="248" t="s">
        <v>17</v>
      </c>
      <c r="B9" s="236"/>
      <c r="C9" s="236"/>
      <c r="D9" s="236"/>
      <c r="E9" s="249" t="s">
        <v>18</v>
      </c>
      <c r="F9" s="264" t="s">
        <v>546</v>
      </c>
      <c r="G9" s="264" t="s">
        <v>573</v>
      </c>
    </row>
    <row r="10" spans="1:7" ht="15.75">
      <c r="A10" s="267" t="s">
        <v>60</v>
      </c>
      <c r="B10" s="237"/>
      <c r="C10" s="237"/>
      <c r="D10" s="237" t="s">
        <v>61</v>
      </c>
      <c r="E10" s="268" t="s">
        <v>62</v>
      </c>
      <c r="F10" s="269" t="s">
        <v>210</v>
      </c>
      <c r="G10" s="269" t="s">
        <v>210</v>
      </c>
    </row>
    <row r="11" spans="1:7" ht="15.75">
      <c r="A11" s="248"/>
      <c r="B11" s="236"/>
      <c r="C11" s="236"/>
      <c r="D11" s="236"/>
      <c r="E11" s="249"/>
      <c r="F11" s="240"/>
      <c r="G11" s="240"/>
    </row>
    <row r="12" spans="1:7" ht="15.75">
      <c r="A12" s="241"/>
      <c r="B12" s="210" t="s">
        <v>173</v>
      </c>
      <c r="C12" s="210"/>
      <c r="D12" s="210"/>
      <c r="E12" s="244"/>
      <c r="F12" s="240"/>
      <c r="G12" s="240"/>
    </row>
    <row r="13" spans="1:7" ht="15.75">
      <c r="A13" s="241"/>
      <c r="B13" s="210" t="s">
        <v>586</v>
      </c>
      <c r="C13" s="210"/>
      <c r="D13" s="210"/>
      <c r="E13" s="244"/>
      <c r="F13" s="240"/>
      <c r="G13" s="240"/>
    </row>
    <row r="14" spans="1:7" ht="15.75">
      <c r="A14" s="242">
        <v>1</v>
      </c>
      <c r="B14" s="209"/>
      <c r="C14" s="209" t="s">
        <v>175</v>
      </c>
      <c r="D14" s="209"/>
      <c r="E14" s="250">
        <v>22439</v>
      </c>
      <c r="F14" s="114">
        <v>78478</v>
      </c>
      <c r="G14" s="114">
        <f>'A-1'!BF57</f>
        <v>25700.370041000002</v>
      </c>
    </row>
    <row r="15" spans="1:7" ht="15.75">
      <c r="A15" s="242">
        <v>2</v>
      </c>
      <c r="B15" s="159"/>
      <c r="C15" s="159" t="s">
        <v>176</v>
      </c>
      <c r="D15" s="159"/>
      <c r="E15" s="251">
        <v>656077</v>
      </c>
      <c r="F15" s="114">
        <v>762219</v>
      </c>
      <c r="G15" s="114">
        <f>'A-1'!BF58</f>
        <v>746013.13547490002</v>
      </c>
    </row>
    <row r="16" spans="1:7" ht="15.75">
      <c r="A16" s="242">
        <v>3</v>
      </c>
      <c r="B16" s="159"/>
      <c r="C16" s="159" t="s">
        <v>177</v>
      </c>
      <c r="D16" s="159"/>
      <c r="E16" s="251">
        <v>285760</v>
      </c>
      <c r="F16" s="114">
        <v>296316</v>
      </c>
      <c r="G16" s="114">
        <f>'A-1'!BF59</f>
        <v>280224.25728000002</v>
      </c>
    </row>
    <row r="17" spans="1:7" ht="15.75">
      <c r="A17" s="242">
        <v>4</v>
      </c>
      <c r="B17" s="159"/>
      <c r="C17" s="159" t="s">
        <v>159</v>
      </c>
      <c r="D17" s="159"/>
      <c r="E17" s="251">
        <v>552007</v>
      </c>
      <c r="F17" s="114">
        <v>607308</v>
      </c>
      <c r="G17" s="114">
        <f>'A-1'!BF60</f>
        <v>551776</v>
      </c>
    </row>
    <row r="18" spans="1:7" ht="15.75">
      <c r="A18" s="242">
        <v>5</v>
      </c>
      <c r="B18" s="159"/>
      <c r="C18" s="159" t="s">
        <v>178</v>
      </c>
      <c r="D18" s="159"/>
      <c r="E18" s="252">
        <v>88036</v>
      </c>
      <c r="F18" s="167">
        <v>109598</v>
      </c>
      <c r="G18" s="167">
        <f>'A-1'!BF61</f>
        <v>88036</v>
      </c>
    </row>
    <row r="19" spans="1:7" ht="15.75">
      <c r="A19" s="242">
        <v>6</v>
      </c>
      <c r="B19" s="159"/>
      <c r="C19" s="159"/>
      <c r="D19" s="159" t="s">
        <v>179</v>
      </c>
      <c r="E19" s="253">
        <f>SUM(E14:E18)</f>
        <v>1604319</v>
      </c>
      <c r="F19" s="114">
        <f>SUM(F14:F18)</f>
        <v>1853919</v>
      </c>
      <c r="G19" s="114">
        <f>SUM(G14:G18)</f>
        <v>1691749.7627959</v>
      </c>
    </row>
    <row r="20" spans="1:7" ht="15.75">
      <c r="A20" s="242">
        <v>7</v>
      </c>
      <c r="B20" s="159" t="s">
        <v>482</v>
      </c>
      <c r="C20" s="159"/>
      <c r="D20" s="159"/>
      <c r="E20" s="251">
        <v>543584</v>
      </c>
      <c r="F20" s="114">
        <v>610941</v>
      </c>
      <c r="G20" s="114">
        <f>'A-1'!BF63</f>
        <v>528715.48398509994</v>
      </c>
    </row>
    <row r="21" spans="1:7" ht="15.75">
      <c r="A21" s="242">
        <v>8</v>
      </c>
      <c r="B21" s="159" t="s">
        <v>582</v>
      </c>
      <c r="C21" s="159"/>
      <c r="D21" s="159"/>
      <c r="E21" s="252">
        <v>6907</v>
      </c>
      <c r="F21" s="167">
        <v>64635</v>
      </c>
      <c r="G21" s="167">
        <f>'A-1'!BF64</f>
        <v>64075</v>
      </c>
    </row>
    <row r="22" spans="1:7" ht="15.75">
      <c r="A22" s="242">
        <v>9</v>
      </c>
      <c r="B22" s="159"/>
      <c r="C22" s="159" t="s">
        <v>182</v>
      </c>
      <c r="D22" s="159"/>
      <c r="E22" s="253">
        <f>SUM(E20:E21)</f>
        <v>550491</v>
      </c>
      <c r="F22" s="114">
        <f>SUM(F20:F21)</f>
        <v>675576</v>
      </c>
      <c r="G22" s="114">
        <f>SUM(G20:G21)</f>
        <v>592790.48398509994</v>
      </c>
    </row>
    <row r="23" spans="1:7" ht="15.75">
      <c r="A23" s="242">
        <v>10</v>
      </c>
      <c r="B23" s="159" t="s">
        <v>583</v>
      </c>
      <c r="C23" s="159"/>
      <c r="D23" s="159"/>
      <c r="E23" s="251"/>
      <c r="F23" s="114">
        <v>-194</v>
      </c>
      <c r="G23" s="114">
        <f>'A-1'!BF66</f>
        <v>1697.882599</v>
      </c>
    </row>
    <row r="24" spans="1:7" ht="15.75">
      <c r="A24" s="242">
        <v>11</v>
      </c>
      <c r="B24" s="159" t="s">
        <v>584</v>
      </c>
      <c r="C24" s="159"/>
      <c r="D24" s="159"/>
      <c r="E24" s="254"/>
      <c r="F24" s="114">
        <v>-171073</v>
      </c>
      <c r="G24" s="114">
        <f>'A-1'!BF67</f>
        <v>-148136.60572834263</v>
      </c>
    </row>
    <row r="25" spans="1:7" ht="15.75">
      <c r="A25" s="242">
        <v>12</v>
      </c>
      <c r="B25" s="159" t="s">
        <v>585</v>
      </c>
      <c r="C25" s="159"/>
      <c r="D25" s="159"/>
      <c r="E25" s="254"/>
      <c r="F25" s="114"/>
      <c r="G25" s="114">
        <f>'A-1'!BF69</f>
        <v>-10098.7138008</v>
      </c>
    </row>
    <row r="26" spans="1:7" ht="15.75">
      <c r="A26" s="242"/>
      <c r="B26" s="159"/>
      <c r="C26" s="159"/>
      <c r="D26" s="159"/>
      <c r="E26" s="255"/>
      <c r="F26" s="167"/>
      <c r="G26" s="167"/>
    </row>
    <row r="27" spans="1:7" ht="16.5" thickBot="1">
      <c r="A27" s="256">
        <v>13</v>
      </c>
      <c r="B27" s="209" t="s">
        <v>185</v>
      </c>
      <c r="C27" s="209"/>
      <c r="D27" s="209"/>
      <c r="E27" s="257">
        <f>E19-E22+E23+E24+E26</f>
        <v>1053828</v>
      </c>
      <c r="F27" s="218">
        <f>+F19-F22+F23+F24</f>
        <v>1007076</v>
      </c>
      <c r="G27" s="258">
        <f>G19-G22+G23+G24+G25</f>
        <v>942421.84188065724</v>
      </c>
    </row>
    <row r="28" spans="1:7" ht="16.5" thickTop="1">
      <c r="A28" s="240"/>
      <c r="B28" s="240"/>
      <c r="C28" s="240"/>
      <c r="D28" s="240"/>
      <c r="E28" s="240"/>
      <c r="F28" s="114"/>
      <c r="G28" s="240"/>
    </row>
  </sheetData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B (Electric)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H46"/>
  <sheetViews>
    <sheetView topLeftCell="A22" workbookViewId="0">
      <selection activeCell="G34" sqref="G34"/>
    </sheetView>
  </sheetViews>
  <sheetFormatPr defaultRowHeight="12.75"/>
  <cols>
    <col min="1" max="1" width="4.7109375" customWidth="1"/>
    <col min="2" max="3" width="1.7109375" customWidth="1"/>
    <col min="4" max="4" width="33.7109375" customWidth="1"/>
    <col min="5" max="5" width="11.140625" customWidth="1"/>
    <col min="6" max="7" width="10.7109375" customWidth="1"/>
  </cols>
  <sheetData>
    <row r="1" spans="1:8" ht="15.75">
      <c r="A1" s="263" t="s">
        <v>0</v>
      </c>
      <c r="B1" s="261"/>
      <c r="C1" s="261"/>
      <c r="D1" s="19"/>
      <c r="E1" s="262"/>
      <c r="F1" s="262"/>
      <c r="G1" s="262"/>
    </row>
    <row r="2" spans="1:8" ht="15.75">
      <c r="A2" s="263" t="s">
        <v>1</v>
      </c>
      <c r="B2" s="2"/>
      <c r="C2" s="2"/>
      <c r="D2" s="3"/>
    </row>
    <row r="3" spans="1:8" ht="15.75">
      <c r="A3" s="263" t="s">
        <v>2</v>
      </c>
      <c r="B3" s="2"/>
      <c r="C3" s="2"/>
      <c r="D3" s="3"/>
    </row>
    <row r="4" spans="1:8" ht="15.75">
      <c r="A4" s="263" t="s">
        <v>212</v>
      </c>
      <c r="B4" s="2"/>
      <c r="C4" s="2"/>
      <c r="D4" s="3"/>
    </row>
    <row r="5" spans="1:8" ht="15.75">
      <c r="A5" s="263" t="s">
        <v>3</v>
      </c>
      <c r="B5" s="2"/>
      <c r="C5" s="2"/>
      <c r="D5" s="3"/>
    </row>
    <row r="6" spans="1:8">
      <c r="A6" s="19"/>
      <c r="B6" s="20"/>
      <c r="C6" s="20"/>
      <c r="D6" s="19"/>
    </row>
    <row r="7" spans="1:8" ht="15.75">
      <c r="A7" s="248"/>
      <c r="B7" s="236"/>
      <c r="C7" s="236"/>
      <c r="D7" s="236"/>
      <c r="E7" s="249"/>
      <c r="F7" s="270"/>
      <c r="G7" s="270"/>
    </row>
    <row r="8" spans="1:8" ht="15.75">
      <c r="A8" s="248"/>
      <c r="B8" s="236"/>
      <c r="C8" s="236"/>
      <c r="D8" s="236"/>
      <c r="E8" s="249" t="s">
        <v>4</v>
      </c>
      <c r="F8" s="270"/>
      <c r="G8" s="270"/>
    </row>
    <row r="9" spans="1:8" ht="15.75">
      <c r="A9" s="248" t="s">
        <v>17</v>
      </c>
      <c r="B9" s="236"/>
      <c r="C9" s="236"/>
      <c r="D9" s="236"/>
      <c r="E9" s="249" t="s">
        <v>18</v>
      </c>
      <c r="F9" s="264" t="s">
        <v>546</v>
      </c>
      <c r="G9" s="264" t="s">
        <v>188</v>
      </c>
    </row>
    <row r="10" spans="1:8" ht="15.75">
      <c r="A10" s="267" t="s">
        <v>60</v>
      </c>
      <c r="B10" s="237"/>
      <c r="C10" s="237"/>
      <c r="D10" s="237" t="s">
        <v>61</v>
      </c>
      <c r="E10" s="268" t="s">
        <v>62</v>
      </c>
      <c r="F10" s="271" t="s">
        <v>210</v>
      </c>
      <c r="G10" s="271" t="s">
        <v>210</v>
      </c>
    </row>
    <row r="11" spans="1:8" ht="15.75">
      <c r="A11" s="238"/>
      <c r="B11" s="239"/>
      <c r="C11" s="239"/>
      <c r="D11" s="239" t="s">
        <v>98</v>
      </c>
      <c r="E11" s="240"/>
      <c r="F11" s="240"/>
      <c r="G11" s="240"/>
    </row>
    <row r="12" spans="1:8" ht="15.75">
      <c r="A12" s="241"/>
      <c r="B12" s="210"/>
      <c r="C12" s="210"/>
      <c r="D12" s="210"/>
      <c r="E12" s="240"/>
      <c r="F12" s="240"/>
      <c r="G12" s="240"/>
    </row>
    <row r="13" spans="1:8" ht="15.75">
      <c r="A13" s="241"/>
      <c r="B13" s="210" t="s">
        <v>512</v>
      </c>
      <c r="C13" s="210"/>
      <c r="D13" s="210"/>
      <c r="E13" s="114"/>
      <c r="F13" s="114"/>
      <c r="G13" s="114"/>
      <c r="H13" s="220"/>
    </row>
    <row r="14" spans="1:8" ht="15.75">
      <c r="A14" s="242">
        <v>1</v>
      </c>
      <c r="B14" s="209" t="s">
        <v>353</v>
      </c>
      <c r="C14" s="209"/>
      <c r="D14" s="209"/>
      <c r="E14" s="114">
        <f>'A-1'!E17</f>
        <v>535128</v>
      </c>
      <c r="F14" s="114">
        <v>457459</v>
      </c>
      <c r="G14" s="114">
        <f>'A-1'!BF17</f>
        <v>457459.19523199997</v>
      </c>
      <c r="H14" s="220"/>
    </row>
    <row r="15" spans="1:8" ht="15.75">
      <c r="A15" s="242">
        <v>2</v>
      </c>
      <c r="B15" s="159" t="s">
        <v>574</v>
      </c>
      <c r="C15" s="159"/>
      <c r="D15" s="159"/>
      <c r="E15" s="167">
        <f>'A-1'!E18</f>
        <v>36572</v>
      </c>
      <c r="F15" s="167">
        <v>9680</v>
      </c>
      <c r="G15" s="167">
        <f>'A-1'!BF18</f>
        <v>9680.2656979999992</v>
      </c>
      <c r="H15" s="220"/>
    </row>
    <row r="16" spans="1:8" ht="15.75">
      <c r="A16" s="242">
        <v>3</v>
      </c>
      <c r="B16" s="159" t="s">
        <v>249</v>
      </c>
      <c r="C16" s="159" t="s">
        <v>588</v>
      </c>
      <c r="D16" s="159"/>
      <c r="E16" s="114">
        <f>SUM(E14:E15)</f>
        <v>571700</v>
      </c>
      <c r="F16" s="114">
        <f>SUM(F14:F15)</f>
        <v>467139</v>
      </c>
      <c r="G16" s="114">
        <f>SUM(G14:G15)</f>
        <v>467139.46092999994</v>
      </c>
      <c r="H16" s="220"/>
    </row>
    <row r="17" spans="1:8" ht="15.75">
      <c r="A17" s="242"/>
      <c r="B17" s="159"/>
      <c r="C17" s="159"/>
      <c r="D17" s="159"/>
      <c r="E17" s="114"/>
      <c r="F17" s="114"/>
      <c r="G17" s="114"/>
      <c r="H17" s="220"/>
    </row>
    <row r="18" spans="1:8" ht="15.75">
      <c r="A18" s="242"/>
      <c r="B18" s="159" t="s">
        <v>152</v>
      </c>
      <c r="C18" s="159"/>
      <c r="D18" s="159"/>
      <c r="E18" s="114"/>
      <c r="F18" s="114"/>
      <c r="G18" s="114"/>
      <c r="H18" s="220"/>
    </row>
    <row r="19" spans="1:8" ht="15.75">
      <c r="A19" s="242">
        <v>4</v>
      </c>
      <c r="B19" s="159" t="s">
        <v>153</v>
      </c>
      <c r="C19" s="159"/>
      <c r="D19" s="159"/>
      <c r="E19" s="114">
        <f>'A-1'!E27</f>
        <v>355486</v>
      </c>
      <c r="F19" s="114">
        <v>298585</v>
      </c>
      <c r="G19" s="274">
        <f>'A-1'!BF27</f>
        <v>260948.3356804963</v>
      </c>
      <c r="H19" s="220"/>
    </row>
    <row r="20" spans="1:8" ht="15.75">
      <c r="A20" s="242">
        <v>5</v>
      </c>
      <c r="B20" s="159" t="s">
        <v>159</v>
      </c>
      <c r="C20" s="159"/>
      <c r="D20" s="159"/>
      <c r="E20" s="114">
        <f>'A-1'!E33</f>
        <v>65064</v>
      </c>
      <c r="F20" s="114">
        <v>56504</v>
      </c>
      <c r="G20" s="114">
        <f>'A-1'!BF33</f>
        <v>53229.109880000004</v>
      </c>
      <c r="H20" s="220"/>
    </row>
    <row r="21" spans="1:8" ht="15.75">
      <c r="A21" s="242">
        <v>6</v>
      </c>
      <c r="B21" s="159" t="s">
        <v>162</v>
      </c>
      <c r="C21" s="159"/>
      <c r="D21" s="159"/>
      <c r="E21" s="114">
        <f>'A-1'!E35</f>
        <v>8559</v>
      </c>
      <c r="F21" s="114">
        <v>8584</v>
      </c>
      <c r="G21" s="114">
        <f>'A-1'!BF35</f>
        <v>8405.7560850000009</v>
      </c>
      <c r="H21" s="220"/>
    </row>
    <row r="22" spans="1:8" ht="15.75">
      <c r="A22" s="242">
        <v>7</v>
      </c>
      <c r="B22" s="159" t="s">
        <v>163</v>
      </c>
      <c r="C22" s="159"/>
      <c r="D22" s="159"/>
      <c r="E22" s="114">
        <f>'A-1'!E36</f>
        <v>11359</v>
      </c>
      <c r="F22" s="114">
        <v>710</v>
      </c>
      <c r="G22" s="114">
        <f>'A-1'!BF36</f>
        <v>698.49725000000001</v>
      </c>
      <c r="H22" s="220"/>
    </row>
    <row r="23" spans="1:8" ht="15.75">
      <c r="A23" s="242">
        <v>8</v>
      </c>
      <c r="B23" s="159" t="s">
        <v>164</v>
      </c>
      <c r="C23" s="159"/>
      <c r="D23" s="159"/>
      <c r="E23" s="114">
        <f>'A-1'!E37</f>
        <v>696</v>
      </c>
      <c r="F23" s="114">
        <v>757</v>
      </c>
      <c r="G23" s="114">
        <f>'A-1'!BF37</f>
        <v>739.24369999999999</v>
      </c>
      <c r="H23" s="220"/>
    </row>
    <row r="24" spans="1:8" ht="15.75">
      <c r="A24" s="242">
        <v>9</v>
      </c>
      <c r="B24" s="159" t="s">
        <v>165</v>
      </c>
      <c r="C24" s="159"/>
      <c r="D24" s="159"/>
      <c r="E24" s="167">
        <f>'A-1'!E43</f>
        <v>42169</v>
      </c>
      <c r="F24" s="167">
        <v>49720</v>
      </c>
      <c r="G24" s="167">
        <f>'A-1'!BF43</f>
        <v>43581.099453949573</v>
      </c>
      <c r="H24" s="220"/>
    </row>
    <row r="25" spans="1:8" ht="15.75">
      <c r="A25" s="242">
        <v>10</v>
      </c>
      <c r="B25" s="240"/>
      <c r="C25" s="159" t="s">
        <v>167</v>
      </c>
      <c r="D25" s="159"/>
      <c r="E25" s="114">
        <f>SUM(E19:E24)</f>
        <v>483333</v>
      </c>
      <c r="F25" s="114">
        <f>SUM(F19:F24)</f>
        <v>414860</v>
      </c>
      <c r="G25" s="274">
        <f>SUM(G19:G24)</f>
        <v>367602.04204944591</v>
      </c>
      <c r="H25" s="220"/>
    </row>
    <row r="26" spans="1:8" ht="15.75">
      <c r="A26" s="242"/>
      <c r="B26" s="159"/>
      <c r="C26" s="159"/>
      <c r="D26" s="159"/>
      <c r="E26" s="114"/>
      <c r="F26" s="114"/>
      <c r="G26" s="114"/>
      <c r="H26" s="220"/>
    </row>
    <row r="27" spans="1:8" ht="15.75">
      <c r="A27" s="242">
        <v>11</v>
      </c>
      <c r="B27" s="159" t="s">
        <v>168</v>
      </c>
      <c r="C27" s="159"/>
      <c r="D27" s="159"/>
      <c r="E27" s="167">
        <f>+E16-E25</f>
        <v>88367</v>
      </c>
      <c r="F27" s="167">
        <f>+F16-F25</f>
        <v>52279</v>
      </c>
      <c r="G27" s="273">
        <f>+G16-G25</f>
        <v>99537.418880554033</v>
      </c>
      <c r="H27" s="220"/>
    </row>
    <row r="28" spans="1:8" ht="15.75">
      <c r="A28" s="242"/>
      <c r="B28" s="159"/>
      <c r="C28" s="159"/>
      <c r="D28" s="159"/>
      <c r="E28" s="114"/>
      <c r="F28" s="114"/>
      <c r="G28" s="114"/>
      <c r="H28" s="220"/>
    </row>
    <row r="29" spans="1:8" ht="15.75">
      <c r="A29" s="242"/>
      <c r="B29" s="159" t="s">
        <v>169</v>
      </c>
      <c r="C29" s="159"/>
      <c r="D29" s="159"/>
      <c r="E29" s="114"/>
      <c r="F29" s="114"/>
      <c r="G29" s="114"/>
      <c r="H29" s="220"/>
    </row>
    <row r="30" spans="1:8" ht="15.75">
      <c r="A30" s="242">
        <v>12</v>
      </c>
      <c r="B30" s="159" t="s">
        <v>170</v>
      </c>
      <c r="C30" s="159"/>
      <c r="D30" s="159"/>
      <c r="E30" s="114">
        <f>'A-1'!E49</f>
        <v>16759</v>
      </c>
      <c r="F30" s="114">
        <v>-1096</v>
      </c>
      <c r="G30" s="274">
        <f>'A-1'!BF49</f>
        <v>15798.046608193948</v>
      </c>
      <c r="H30" s="220"/>
    </row>
    <row r="31" spans="1:8" ht="15.75">
      <c r="A31" s="242">
        <v>13</v>
      </c>
      <c r="B31" s="159" t="s">
        <v>171</v>
      </c>
      <c r="C31" s="159"/>
      <c r="D31" s="159"/>
      <c r="E31" s="167">
        <f>'A-1'!E50</f>
        <v>3070</v>
      </c>
      <c r="F31" s="167">
        <v>9346</v>
      </c>
      <c r="G31" s="167">
        <f>'A-1'!BF50</f>
        <v>9346</v>
      </c>
      <c r="H31" s="220"/>
    </row>
    <row r="32" spans="1:8" ht="15.75">
      <c r="A32" s="242"/>
      <c r="B32" s="159"/>
      <c r="C32" s="159" t="s">
        <v>575</v>
      </c>
      <c r="D32" s="159"/>
      <c r="E32" s="114">
        <f>SUM(E30:E31)</f>
        <v>19829</v>
      </c>
      <c r="F32" s="114">
        <f>SUM(F30:F31)</f>
        <v>8250</v>
      </c>
      <c r="G32" s="274">
        <f>SUM(G30:G31)</f>
        <v>25144.046608193948</v>
      </c>
      <c r="H32" s="220"/>
    </row>
    <row r="33" spans="1:8" ht="15.75">
      <c r="A33" s="241"/>
      <c r="B33" s="210"/>
      <c r="C33" s="210"/>
      <c r="D33" s="210"/>
      <c r="E33" s="114"/>
      <c r="F33" s="114"/>
      <c r="G33" s="114"/>
      <c r="H33" s="220"/>
    </row>
    <row r="34" spans="1:8" ht="16.5" thickBot="1">
      <c r="A34" s="242">
        <v>14</v>
      </c>
      <c r="B34" s="209" t="s">
        <v>172</v>
      </c>
      <c r="C34" s="209"/>
      <c r="D34" s="209"/>
      <c r="E34" s="120">
        <f>+E27-E32</f>
        <v>68538</v>
      </c>
      <c r="F34" s="120">
        <f>+F27-F32</f>
        <v>44029</v>
      </c>
      <c r="G34" s="275">
        <f>+G27-G32</f>
        <v>74393.37227236008</v>
      </c>
      <c r="H34" s="220"/>
    </row>
    <row r="35" spans="1:8" ht="16.5" thickTop="1">
      <c r="A35" s="240"/>
      <c r="B35" s="240"/>
      <c r="C35" s="240"/>
      <c r="D35" s="240"/>
      <c r="E35" s="114"/>
      <c r="F35" s="114"/>
      <c r="G35" s="114"/>
      <c r="H35" s="220"/>
    </row>
    <row r="36" spans="1:8" ht="15.75">
      <c r="A36" s="240"/>
      <c r="B36" s="240"/>
      <c r="C36" s="240"/>
      <c r="D36" s="240"/>
      <c r="E36" s="114"/>
      <c r="F36" s="114"/>
      <c r="G36" s="114"/>
      <c r="H36" s="220"/>
    </row>
    <row r="37" spans="1:8" ht="15.75">
      <c r="A37" s="240"/>
      <c r="B37" s="240"/>
      <c r="C37" s="240"/>
      <c r="D37" s="240"/>
      <c r="E37" s="114"/>
      <c r="F37" s="114"/>
      <c r="G37" s="114"/>
      <c r="H37" s="220"/>
    </row>
    <row r="38" spans="1:8" ht="15.75">
      <c r="A38" s="240"/>
      <c r="B38" s="240"/>
      <c r="C38" s="240"/>
      <c r="D38" s="240"/>
      <c r="E38" s="114"/>
      <c r="F38" s="114"/>
      <c r="G38" s="114"/>
      <c r="H38" s="220"/>
    </row>
    <row r="39" spans="1:8" ht="15.75">
      <c r="A39" s="240"/>
      <c r="B39" s="240"/>
      <c r="C39" s="240"/>
      <c r="D39" s="240"/>
      <c r="E39" s="114"/>
      <c r="F39" s="114"/>
      <c r="G39" s="114"/>
      <c r="H39" s="220"/>
    </row>
    <row r="40" spans="1:8" ht="15.75">
      <c r="A40" s="240"/>
      <c r="B40" s="240"/>
      <c r="C40" s="240"/>
      <c r="D40" s="240"/>
      <c r="E40" s="114"/>
      <c r="F40" s="114"/>
      <c r="G40" s="114"/>
      <c r="H40" s="220"/>
    </row>
    <row r="41" spans="1:8">
      <c r="E41" s="220"/>
      <c r="F41" s="220"/>
      <c r="G41" s="220"/>
      <c r="H41" s="220"/>
    </row>
    <row r="42" spans="1:8">
      <c r="E42" s="220"/>
      <c r="F42" s="220"/>
      <c r="G42" s="220"/>
      <c r="H42" s="220"/>
    </row>
    <row r="43" spans="1:8">
      <c r="E43" s="220"/>
      <c r="F43" s="220"/>
      <c r="G43" s="220"/>
      <c r="H43" s="220"/>
    </row>
    <row r="44" spans="1:8">
      <c r="E44" s="220"/>
      <c r="F44" s="220"/>
      <c r="G44" s="220"/>
      <c r="H44" s="220"/>
    </row>
    <row r="45" spans="1:8">
      <c r="E45" s="220"/>
      <c r="F45" s="220"/>
      <c r="G45" s="220"/>
      <c r="H45" s="220"/>
    </row>
    <row r="46" spans="1:8">
      <c r="E46" s="220"/>
      <c r="F46" s="220"/>
      <c r="G46" s="220"/>
      <c r="H46" s="220"/>
    </row>
  </sheetData>
  <phoneticPr fontId="12" type="noConversion"/>
  <pageMargins left="0.75" right="0.75" top="1" bottom="1" header="0.5" footer="0.5"/>
  <pageSetup orientation="portrait" r:id="rId1"/>
  <headerFooter alignWithMargins="0">
    <oddHeader xml:space="preserve">&amp;R&amp;"Times New Roman,Regular"Docket No. UG-090135
Exhibit No. __(HL-3)
Schedule C (Electric)
REVISED 09/03/09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  <pageSetUpPr fitToPage="1"/>
  </sheetPr>
  <dimension ref="A1:H75"/>
  <sheetViews>
    <sheetView topLeftCell="A37" workbookViewId="0">
      <selection activeCell="E50" sqref="E50"/>
    </sheetView>
  </sheetViews>
  <sheetFormatPr defaultRowHeight="12.75"/>
  <cols>
    <col min="2" max="2" width="1" customWidth="1"/>
    <col min="3" max="3" width="44.28515625" customWidth="1"/>
    <col min="4" max="4" width="1.140625" customWidth="1"/>
    <col min="5" max="5" width="13.5703125" customWidth="1"/>
    <col min="6" max="6" width="1" customWidth="1"/>
    <col min="7" max="7" width="10.5703125" bestFit="1" customWidth="1"/>
  </cols>
  <sheetData>
    <row r="1" spans="1:8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</row>
    <row r="2" spans="1:8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</row>
    <row r="3" spans="1:8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</row>
    <row r="4" spans="1:8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</row>
    <row r="5" spans="1:8" ht="15.75">
      <c r="A5" s="85"/>
      <c r="B5" s="85"/>
      <c r="C5" s="85"/>
      <c r="D5" s="85"/>
      <c r="E5" s="85"/>
      <c r="F5" s="85"/>
      <c r="G5" s="85"/>
      <c r="H5" s="85"/>
    </row>
    <row r="6" spans="1:8" ht="15.75">
      <c r="A6" s="85"/>
      <c r="B6" s="85"/>
      <c r="C6" s="85"/>
      <c r="D6" s="85"/>
      <c r="E6" s="85"/>
      <c r="F6" s="85"/>
      <c r="G6" s="85"/>
      <c r="H6" s="85"/>
    </row>
    <row r="7" spans="1:8" ht="15.75">
      <c r="A7" s="85" t="s">
        <v>509</v>
      </c>
      <c r="B7" s="85"/>
      <c r="C7" s="85"/>
      <c r="D7" s="85"/>
      <c r="E7" s="85"/>
      <c r="F7" s="85"/>
      <c r="G7" s="83"/>
      <c r="H7" s="85"/>
    </row>
    <row r="8" spans="1:8" ht="15.75">
      <c r="A8" s="85"/>
      <c r="B8" s="85"/>
      <c r="C8" s="85"/>
      <c r="D8" s="85"/>
      <c r="E8" s="85"/>
      <c r="F8" s="85"/>
      <c r="G8" s="83"/>
      <c r="H8" s="85"/>
    </row>
    <row r="9" spans="1:8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</row>
    <row r="10" spans="1:8" ht="15.75">
      <c r="A10" s="87"/>
      <c r="B10" s="85"/>
      <c r="C10" s="85"/>
      <c r="D10" s="85"/>
      <c r="E10" s="85"/>
      <c r="F10" s="85"/>
      <c r="G10" s="83"/>
      <c r="H10" s="85"/>
    </row>
    <row r="11" spans="1:8" ht="15.75">
      <c r="A11" s="87"/>
      <c r="B11" s="85"/>
      <c r="C11" s="85" t="s">
        <v>512</v>
      </c>
      <c r="D11" s="85"/>
      <c r="E11" s="85"/>
      <c r="F11" s="85"/>
      <c r="G11" s="83"/>
      <c r="H11" s="85"/>
    </row>
    <row r="12" spans="1:8" ht="15.75">
      <c r="A12" s="87">
        <v>1</v>
      </c>
      <c r="B12" s="209" t="s">
        <v>146</v>
      </c>
      <c r="C12" s="209"/>
      <c r="D12" s="54"/>
      <c r="E12" s="85"/>
      <c r="F12" s="85"/>
      <c r="G12" s="83"/>
      <c r="H12" s="85"/>
    </row>
    <row r="13" spans="1:8" ht="15.75">
      <c r="A13" s="87">
        <v>2</v>
      </c>
      <c r="B13" s="159" t="s">
        <v>147</v>
      </c>
      <c r="C13" s="159"/>
      <c r="D13" s="60"/>
      <c r="E13" s="85"/>
      <c r="F13" s="85"/>
      <c r="G13" s="83"/>
      <c r="H13" s="85"/>
    </row>
    <row r="14" spans="1:8" ht="15.75">
      <c r="A14" s="87">
        <v>3</v>
      </c>
      <c r="B14" s="159" t="s">
        <v>148</v>
      </c>
      <c r="C14" s="159"/>
      <c r="D14" s="60"/>
      <c r="E14" s="167">
        <f>-'C-1.1'!F64</f>
        <v>-3349.804768</v>
      </c>
      <c r="F14" s="85"/>
      <c r="G14" s="83"/>
      <c r="H14" s="85"/>
    </row>
    <row r="15" spans="1:8" ht="15.75">
      <c r="A15" s="87">
        <v>4</v>
      </c>
      <c r="B15" s="159"/>
      <c r="C15" s="159" t="s">
        <v>149</v>
      </c>
      <c r="D15" s="60"/>
      <c r="E15" s="114">
        <f>SUM(E14)</f>
        <v>-3349.804768</v>
      </c>
      <c r="F15" s="85"/>
      <c r="G15" s="83"/>
      <c r="H15" s="85"/>
    </row>
    <row r="16" spans="1:8" ht="15.75">
      <c r="A16" s="87">
        <v>5</v>
      </c>
      <c r="B16" s="159" t="s">
        <v>150</v>
      </c>
      <c r="C16" s="159"/>
      <c r="D16" s="60"/>
      <c r="E16" s="167">
        <f>-'C-1.1'!F65-'C-1.1'!F66</f>
        <v>-303.73430200000001</v>
      </c>
      <c r="F16" s="85"/>
      <c r="G16" s="83"/>
      <c r="H16" s="85"/>
    </row>
    <row r="17" spans="1:8" ht="15.75">
      <c r="A17" s="87">
        <v>6</v>
      </c>
      <c r="B17" s="159"/>
      <c r="C17" s="159" t="s">
        <v>151</v>
      </c>
      <c r="D17" s="60"/>
      <c r="E17" s="114">
        <f>SUM(E15:E16)</f>
        <v>-3653.5390699999998</v>
      </c>
      <c r="F17" s="85"/>
      <c r="G17" s="83"/>
      <c r="H17" s="85"/>
    </row>
    <row r="18" spans="1:8" ht="15.75">
      <c r="A18" s="87"/>
      <c r="B18" s="85"/>
      <c r="C18" s="85"/>
      <c r="D18" s="85"/>
      <c r="E18" s="85"/>
      <c r="F18" s="85"/>
      <c r="G18" s="83"/>
      <c r="H18" s="85"/>
    </row>
    <row r="19" spans="1:8" ht="15.75">
      <c r="A19" s="87"/>
      <c r="B19" s="85"/>
      <c r="C19" s="85" t="s">
        <v>511</v>
      </c>
      <c r="D19" s="85"/>
      <c r="E19" s="85"/>
      <c r="F19" s="85"/>
      <c r="G19" s="83"/>
      <c r="H19" s="85"/>
    </row>
    <row r="20" spans="1:8" ht="15.75">
      <c r="A20" s="85"/>
      <c r="B20" s="159" t="s">
        <v>262</v>
      </c>
      <c r="C20" s="159"/>
      <c r="D20" s="159"/>
      <c r="E20" s="114"/>
      <c r="F20" s="85"/>
      <c r="G20" s="85"/>
      <c r="H20" s="85"/>
    </row>
    <row r="21" spans="1:8" ht="15.75">
      <c r="A21" s="160">
        <v>7</v>
      </c>
      <c r="B21" s="159"/>
      <c r="C21" s="159" t="s">
        <v>263</v>
      </c>
      <c r="D21" s="159"/>
      <c r="E21" s="274">
        <f>-'C-1.1'!I59</f>
        <v>-7036.2676331505008</v>
      </c>
      <c r="F21" s="85"/>
      <c r="G21" s="189"/>
      <c r="H21" s="85"/>
    </row>
    <row r="22" spans="1:8" ht="15.75">
      <c r="A22" s="160">
        <v>8</v>
      </c>
      <c r="B22" s="159"/>
      <c r="C22" s="159" t="s">
        <v>264</v>
      </c>
      <c r="D22" s="159"/>
      <c r="E22" s="114">
        <f>-'C-1.1'!F50</f>
        <v>-3858.825863</v>
      </c>
      <c r="F22" s="85"/>
      <c r="G22" s="85"/>
      <c r="H22" s="85"/>
    </row>
    <row r="23" spans="1:8" ht="15.75">
      <c r="A23" s="160">
        <v>9</v>
      </c>
      <c r="B23" s="159"/>
      <c r="C23" s="159" t="s">
        <v>265</v>
      </c>
      <c r="D23" s="159"/>
      <c r="E23" s="114">
        <f>-'C-1.1'!F40</f>
        <v>-726.80731500000013</v>
      </c>
      <c r="F23" s="85"/>
      <c r="G23" s="87"/>
      <c r="H23" s="85"/>
    </row>
    <row r="24" spans="1:8" ht="15.75">
      <c r="A24" s="160">
        <v>10</v>
      </c>
      <c r="B24" s="159"/>
      <c r="C24" s="159" t="s">
        <v>70</v>
      </c>
      <c r="D24" s="159"/>
      <c r="E24" s="167">
        <f>-'C-1.1'!F45</f>
        <v>-152.05045799999999</v>
      </c>
      <c r="F24" s="85"/>
      <c r="G24" s="85"/>
      <c r="H24" s="85"/>
    </row>
    <row r="25" spans="1:8" ht="15.75">
      <c r="A25" s="160">
        <v>11</v>
      </c>
      <c r="B25" s="159"/>
      <c r="C25" s="159" t="s">
        <v>266</v>
      </c>
      <c r="D25" s="85"/>
      <c r="E25" s="274">
        <f>SUM(E21:E24)</f>
        <v>-11773.951269150501</v>
      </c>
      <c r="F25" s="85"/>
      <c r="G25" s="85"/>
      <c r="H25" s="85"/>
    </row>
    <row r="26" spans="1:8" ht="15.75">
      <c r="A26" s="160"/>
      <c r="B26" s="159"/>
      <c r="C26" s="159"/>
      <c r="D26" s="159"/>
      <c r="E26" s="114"/>
      <c r="F26" s="85"/>
      <c r="G26" s="85"/>
      <c r="H26" s="85"/>
    </row>
    <row r="27" spans="1:8" ht="15.75">
      <c r="A27" s="160"/>
      <c r="B27" s="159" t="s">
        <v>267</v>
      </c>
      <c r="C27" s="159"/>
      <c r="D27" s="159"/>
      <c r="E27" s="114"/>
      <c r="F27" s="85"/>
      <c r="G27" s="85"/>
      <c r="H27" s="85"/>
    </row>
    <row r="28" spans="1:8" ht="15.75">
      <c r="A28" s="160">
        <v>12</v>
      </c>
      <c r="B28" s="159"/>
      <c r="C28" s="159" t="s">
        <v>263</v>
      </c>
      <c r="D28" s="159"/>
      <c r="E28" s="114"/>
      <c r="F28" s="85"/>
      <c r="G28" s="87"/>
      <c r="H28" s="85"/>
    </row>
    <row r="29" spans="1:8" ht="15.75">
      <c r="A29" s="160">
        <v>13</v>
      </c>
      <c r="B29" s="159"/>
      <c r="C29" s="159" t="s">
        <v>25</v>
      </c>
      <c r="D29" s="159"/>
      <c r="E29" s="114"/>
      <c r="F29" s="85"/>
      <c r="G29" s="85"/>
      <c r="H29" s="85"/>
    </row>
    <row r="30" spans="1:8" ht="15.75">
      <c r="A30" s="160">
        <v>14</v>
      </c>
      <c r="B30" s="159"/>
      <c r="C30" s="159" t="s">
        <v>70</v>
      </c>
      <c r="D30" s="159"/>
      <c r="E30" s="167"/>
      <c r="F30" s="85"/>
      <c r="G30" s="85"/>
      <c r="H30" s="85"/>
    </row>
    <row r="31" spans="1:8" ht="15.75">
      <c r="A31" s="160">
        <v>15</v>
      </c>
      <c r="B31" s="159"/>
      <c r="C31" s="159" t="s">
        <v>268</v>
      </c>
      <c r="D31" s="85"/>
      <c r="E31" s="114">
        <f>SUM(E28:E30)</f>
        <v>0</v>
      </c>
      <c r="F31" s="85"/>
      <c r="G31" s="85"/>
      <c r="H31" s="85"/>
    </row>
    <row r="32" spans="1:8" ht="15.75">
      <c r="A32" s="160"/>
      <c r="B32" s="159"/>
      <c r="C32" s="159"/>
      <c r="D32" s="159"/>
      <c r="E32" s="114"/>
      <c r="F32" s="85"/>
      <c r="G32" s="85"/>
      <c r="H32" s="85"/>
    </row>
    <row r="33" spans="1:8" ht="15.75">
      <c r="A33" s="160">
        <v>16</v>
      </c>
      <c r="B33" s="159" t="s">
        <v>269</v>
      </c>
      <c r="C33" s="159"/>
      <c r="D33" s="159"/>
      <c r="E33" s="114"/>
      <c r="F33" s="85"/>
      <c r="G33" s="189"/>
      <c r="H33" s="85"/>
    </row>
    <row r="34" spans="1:8" ht="15.75">
      <c r="A34" s="160">
        <v>17</v>
      </c>
      <c r="B34" s="159" t="s">
        <v>270</v>
      </c>
      <c r="C34" s="159"/>
      <c r="D34" s="159"/>
      <c r="E34" s="114"/>
      <c r="F34" s="85"/>
      <c r="G34" s="189"/>
      <c r="H34" s="85"/>
    </row>
    <row r="35" spans="1:8" ht="15.75">
      <c r="A35" s="160">
        <v>18</v>
      </c>
      <c r="B35" s="159" t="s">
        <v>271</v>
      </c>
      <c r="C35" s="159"/>
      <c r="D35" s="159"/>
      <c r="E35" s="114"/>
      <c r="F35" s="85"/>
      <c r="G35" s="189"/>
      <c r="H35" s="85"/>
    </row>
    <row r="36" spans="1:8" ht="15.75">
      <c r="A36" s="160"/>
      <c r="B36" s="159"/>
      <c r="C36" s="159"/>
      <c r="D36" s="159"/>
      <c r="E36" s="114"/>
      <c r="F36" s="85"/>
      <c r="G36" s="85"/>
      <c r="H36" s="85"/>
    </row>
    <row r="37" spans="1:8" ht="15.75">
      <c r="A37" s="160"/>
      <c r="B37" s="159" t="s">
        <v>272</v>
      </c>
      <c r="C37" s="159"/>
      <c r="D37" s="159"/>
      <c r="E37" s="114"/>
      <c r="F37" s="85"/>
      <c r="G37" s="85"/>
      <c r="H37" s="85"/>
    </row>
    <row r="38" spans="1:8" ht="15.75">
      <c r="A38" s="160">
        <v>19</v>
      </c>
      <c r="B38" s="159"/>
      <c r="C38" s="159" t="s">
        <v>263</v>
      </c>
      <c r="D38" s="159"/>
      <c r="E38" s="114"/>
      <c r="F38" s="85"/>
      <c r="G38" s="87"/>
      <c r="H38" s="85"/>
    </row>
    <row r="39" spans="1:8" ht="15.75">
      <c r="A39" s="160">
        <v>20</v>
      </c>
      <c r="B39" s="159"/>
      <c r="C39" s="159" t="s">
        <v>25</v>
      </c>
      <c r="D39" s="159"/>
      <c r="E39" s="114"/>
      <c r="F39" s="85"/>
      <c r="G39" s="85"/>
      <c r="H39" s="85"/>
    </row>
    <row r="40" spans="1:8" ht="15.75">
      <c r="A40" s="160">
        <v>21</v>
      </c>
      <c r="B40" s="159"/>
      <c r="C40" s="159" t="s">
        <v>70</v>
      </c>
      <c r="D40" s="159"/>
      <c r="E40" s="167"/>
      <c r="F40" s="85"/>
      <c r="G40" s="85"/>
      <c r="H40" s="85"/>
    </row>
    <row r="41" spans="1:8" ht="15.75">
      <c r="A41" s="160">
        <v>22</v>
      </c>
      <c r="B41" s="159"/>
      <c r="C41" s="159" t="s">
        <v>273</v>
      </c>
      <c r="D41" s="159"/>
      <c r="E41" s="168">
        <f>SUM(E38:E40)</f>
        <v>0</v>
      </c>
      <c r="F41" s="85"/>
      <c r="G41" s="85"/>
      <c r="H41" s="85"/>
    </row>
    <row r="42" spans="1:8" ht="15.75">
      <c r="A42" s="160">
        <v>23</v>
      </c>
      <c r="B42" s="159" t="s">
        <v>274</v>
      </c>
      <c r="C42" s="159"/>
      <c r="D42" s="159"/>
      <c r="E42" s="274">
        <f>+E25+E31+E33+E34+E35+E41</f>
        <v>-11773.951269150501</v>
      </c>
      <c r="F42" s="85"/>
      <c r="G42" s="85"/>
      <c r="H42" s="85"/>
    </row>
    <row r="43" spans="1:8" ht="15.75">
      <c r="A43" s="160"/>
      <c r="B43" s="159"/>
      <c r="C43" s="159"/>
      <c r="D43" s="159"/>
      <c r="E43" s="85"/>
      <c r="F43" s="85"/>
      <c r="G43" s="85"/>
      <c r="H43" s="85"/>
    </row>
    <row r="44" spans="1:8" ht="15.75">
      <c r="A44" s="161">
        <v>24</v>
      </c>
      <c r="B44" s="84"/>
      <c r="C44" s="162" t="s">
        <v>514</v>
      </c>
      <c r="D44" s="84"/>
      <c r="E44" s="286">
        <f>+E17-E42</f>
        <v>8120.4121991505008</v>
      </c>
      <c r="F44" s="85"/>
      <c r="G44" s="85"/>
      <c r="H44" s="85"/>
    </row>
    <row r="45" spans="1:8" ht="15.75">
      <c r="A45" s="161"/>
      <c r="B45" s="84"/>
      <c r="C45" s="162"/>
      <c r="D45" s="84"/>
      <c r="E45" s="165"/>
      <c r="F45" s="85"/>
      <c r="G45" s="85"/>
      <c r="H45" s="85"/>
    </row>
    <row r="46" spans="1:8" ht="15.75">
      <c r="A46" s="161">
        <v>25</v>
      </c>
      <c r="B46" s="84"/>
      <c r="C46" s="162" t="s">
        <v>246</v>
      </c>
      <c r="D46" s="84"/>
      <c r="E46" s="163">
        <v>0.35</v>
      </c>
      <c r="F46" s="85"/>
      <c r="G46" s="85"/>
      <c r="H46" s="85"/>
    </row>
    <row r="47" spans="1:8" ht="15.75">
      <c r="A47" s="161"/>
      <c r="B47" s="84"/>
      <c r="C47" s="164"/>
      <c r="D47" s="84"/>
      <c r="E47" s="165"/>
      <c r="F47" s="85"/>
      <c r="G47" s="85"/>
      <c r="H47" s="85"/>
    </row>
    <row r="48" spans="1:8" ht="15.75">
      <c r="A48" s="161">
        <v>26</v>
      </c>
      <c r="B48" s="84"/>
      <c r="C48" s="162" t="s">
        <v>275</v>
      </c>
      <c r="D48" s="84"/>
      <c r="E48" s="273">
        <f>+E44*E46</f>
        <v>2842.144269702675</v>
      </c>
      <c r="F48" s="85"/>
      <c r="G48" s="85"/>
      <c r="H48" s="85"/>
    </row>
    <row r="49" spans="1:8" ht="15.75">
      <c r="A49" s="161"/>
      <c r="B49" s="84"/>
      <c r="C49" s="164"/>
      <c r="D49" s="84"/>
      <c r="E49" s="165"/>
      <c r="F49" s="85"/>
      <c r="G49" s="85"/>
      <c r="H49" s="85"/>
    </row>
    <row r="50" spans="1:8" ht="16.5" thickBot="1">
      <c r="A50" s="161">
        <v>27</v>
      </c>
      <c r="B50" s="84"/>
      <c r="C50" s="162" t="s">
        <v>276</v>
      </c>
      <c r="D50" s="84"/>
      <c r="E50" s="275">
        <f>+E44-E48</f>
        <v>5278.2679294478257</v>
      </c>
      <c r="F50" s="85"/>
      <c r="G50" s="85"/>
      <c r="H50" s="85"/>
    </row>
    <row r="51" spans="1:8" ht="16.5" thickTop="1">
      <c r="A51" s="161"/>
      <c r="B51" s="84"/>
      <c r="C51" s="162"/>
      <c r="D51" s="84"/>
      <c r="E51" s="165"/>
      <c r="F51" s="85"/>
      <c r="G51" s="85"/>
      <c r="H51" s="85"/>
    </row>
    <row r="52" spans="1:8" ht="15.75">
      <c r="A52" s="87">
        <v>28</v>
      </c>
      <c r="B52" s="210" t="s">
        <v>173</v>
      </c>
      <c r="C52" s="210"/>
      <c r="D52" s="210"/>
      <c r="F52" s="85"/>
      <c r="G52" s="85"/>
      <c r="H52" s="85"/>
    </row>
    <row r="53" spans="1:8" ht="15.75">
      <c r="A53" s="161">
        <v>29</v>
      </c>
      <c r="B53" s="210" t="s">
        <v>174</v>
      </c>
      <c r="C53" s="210"/>
      <c r="D53" s="210"/>
      <c r="E53" s="85"/>
      <c r="F53" s="85"/>
      <c r="G53" s="85"/>
      <c r="H53" s="85"/>
    </row>
    <row r="54" spans="1:8" ht="15.75">
      <c r="A54" s="161">
        <v>30</v>
      </c>
      <c r="B54" s="209"/>
      <c r="C54" s="209" t="s">
        <v>175</v>
      </c>
      <c r="D54" s="209"/>
      <c r="E54" s="114">
        <f>-'C-1.1'!F12-'C-1.1'!F13</f>
        <v>-1136.6299590000001</v>
      </c>
      <c r="F54" s="85"/>
      <c r="G54" s="85"/>
      <c r="H54" s="85"/>
    </row>
    <row r="55" spans="1:8" ht="15.75">
      <c r="A55" s="161">
        <v>31</v>
      </c>
      <c r="B55" s="159"/>
      <c r="C55" s="159" t="s">
        <v>176</v>
      </c>
      <c r="D55" s="159"/>
      <c r="E55" s="114">
        <f>-'C-1.1'!F15-'C-1'!E54-'C-1'!E56</f>
        <v>-13253.376393999997</v>
      </c>
      <c r="F55" s="85"/>
      <c r="G55" s="85"/>
      <c r="H55" s="85"/>
    </row>
    <row r="56" spans="1:8" ht="15.75">
      <c r="A56" s="161">
        <v>32</v>
      </c>
      <c r="B56" s="159"/>
      <c r="C56" s="159" t="s">
        <v>177</v>
      </c>
      <c r="D56" s="159"/>
      <c r="E56" s="114">
        <f>-'C-1.1'!C15*'C-1.1'!E10</f>
        <v>-5535.7427200000002</v>
      </c>
      <c r="F56" s="85"/>
      <c r="G56" s="85"/>
      <c r="H56" s="85"/>
    </row>
    <row r="57" spans="1:8" ht="15.75">
      <c r="A57" s="161">
        <v>33</v>
      </c>
      <c r="B57" s="159"/>
      <c r="C57" s="159" t="s">
        <v>159</v>
      </c>
      <c r="D57" s="159"/>
      <c r="E57" s="85"/>
      <c r="F57" s="85"/>
      <c r="G57" s="85"/>
      <c r="H57" s="85"/>
    </row>
    <row r="58" spans="1:8" ht="15.75">
      <c r="A58" s="161">
        <v>34</v>
      </c>
      <c r="B58" s="159"/>
      <c r="C58" s="159" t="s">
        <v>178</v>
      </c>
      <c r="D58" s="159"/>
      <c r="E58" s="89"/>
      <c r="F58" s="85"/>
      <c r="G58" s="85"/>
      <c r="H58" s="85"/>
    </row>
    <row r="59" spans="1:8" ht="15.75">
      <c r="A59" s="161">
        <v>35</v>
      </c>
      <c r="B59" s="159"/>
      <c r="C59" s="159" t="s">
        <v>513</v>
      </c>
      <c r="D59" s="159"/>
      <c r="E59" s="115">
        <f>SUM(E54:E58)</f>
        <v>-19925.749072999999</v>
      </c>
      <c r="F59" s="85"/>
      <c r="G59" s="85"/>
      <c r="H59" s="85"/>
    </row>
    <row r="60" spans="1:8" ht="15.75">
      <c r="A60" s="161">
        <v>36</v>
      </c>
      <c r="B60" s="159" t="s">
        <v>180</v>
      </c>
      <c r="C60" s="159"/>
      <c r="D60" s="159"/>
      <c r="E60" s="114">
        <f>'C-1.1'!F22</f>
        <v>-6470.140413000001</v>
      </c>
      <c r="F60" s="85"/>
      <c r="G60" s="85"/>
      <c r="H60" s="85"/>
    </row>
    <row r="61" spans="1:8" ht="15.75">
      <c r="A61" s="161">
        <v>37</v>
      </c>
      <c r="B61" s="159" t="s">
        <v>181</v>
      </c>
      <c r="C61" s="159"/>
      <c r="D61" s="159"/>
      <c r="E61" s="89"/>
      <c r="F61" s="85"/>
      <c r="G61" s="85"/>
      <c r="H61" s="85"/>
    </row>
    <row r="62" spans="1:8" ht="15.75">
      <c r="A62" s="161">
        <v>38</v>
      </c>
      <c r="B62" s="159"/>
      <c r="C62" s="159" t="s">
        <v>182</v>
      </c>
      <c r="D62" s="159"/>
      <c r="E62" s="114">
        <f>SUM(E60:E61)</f>
        <v>-6470.140413000001</v>
      </c>
      <c r="F62" s="85"/>
      <c r="G62" s="85"/>
      <c r="H62" s="85"/>
    </row>
    <row r="63" spans="1:8" ht="15.75">
      <c r="A63" s="161">
        <v>39</v>
      </c>
      <c r="B63" s="159" t="s">
        <v>183</v>
      </c>
      <c r="C63" s="159"/>
      <c r="D63" s="159"/>
      <c r="E63" s="85"/>
      <c r="F63" s="85"/>
      <c r="G63" s="85"/>
      <c r="H63" s="85"/>
    </row>
    <row r="64" spans="1:8" ht="15.75">
      <c r="A64" s="161">
        <v>40</v>
      </c>
      <c r="B64" s="159" t="s">
        <v>184</v>
      </c>
      <c r="C64" s="159"/>
      <c r="D64" s="159"/>
      <c r="E64" s="114">
        <f>-'C-1.1'!F30</f>
        <v>1891.882599</v>
      </c>
      <c r="F64" s="85"/>
      <c r="G64" s="85"/>
      <c r="H64" s="85"/>
    </row>
    <row r="65" spans="1:8" ht="15.75">
      <c r="A65" s="161">
        <v>41</v>
      </c>
      <c r="B65" s="159" t="s">
        <v>254</v>
      </c>
      <c r="C65" s="159"/>
      <c r="D65" s="159"/>
      <c r="E65" s="85"/>
      <c r="F65" s="85"/>
      <c r="G65" s="85"/>
      <c r="H65" s="85"/>
    </row>
    <row r="66" spans="1:8" ht="15.75">
      <c r="A66" s="85"/>
      <c r="B66" s="159"/>
      <c r="C66" s="159"/>
      <c r="D66" s="159"/>
      <c r="E66" s="89"/>
      <c r="F66" s="85"/>
      <c r="G66" s="85"/>
      <c r="H66" s="85"/>
    </row>
    <row r="67" spans="1:8" ht="15.75">
      <c r="A67" s="161">
        <v>42</v>
      </c>
      <c r="B67" s="209" t="s">
        <v>185</v>
      </c>
      <c r="C67" s="209"/>
      <c r="D67" s="209"/>
      <c r="E67" s="114">
        <f>+E59-E60+E64</f>
        <v>-11563.726060999998</v>
      </c>
      <c r="F67" s="85"/>
      <c r="G67" s="85"/>
      <c r="H67" s="85"/>
    </row>
    <row r="68" spans="1:8" ht="15.75">
      <c r="A68" s="85"/>
      <c r="B68" s="85"/>
      <c r="C68" s="85"/>
      <c r="D68" s="85"/>
      <c r="E68" s="85"/>
      <c r="F68" s="85"/>
      <c r="G68" s="85"/>
      <c r="H68" s="85"/>
    </row>
    <row r="69" spans="1:8" ht="15.75">
      <c r="A69" s="89" t="s">
        <v>251</v>
      </c>
      <c r="B69" s="89"/>
      <c r="C69" s="89"/>
      <c r="D69" s="85"/>
      <c r="E69" s="85"/>
      <c r="F69" s="85"/>
      <c r="G69" s="85"/>
      <c r="H69" s="85"/>
    </row>
    <row r="70" spans="1:8" ht="15.75">
      <c r="A70" s="85" t="s">
        <v>510</v>
      </c>
      <c r="B70" s="85"/>
      <c r="C70" s="85"/>
      <c r="D70" s="85"/>
      <c r="E70" s="85"/>
      <c r="F70" s="85"/>
      <c r="G70" s="85"/>
      <c r="H70" s="85"/>
    </row>
    <row r="71" spans="1:8" ht="15.75">
      <c r="A71" s="85"/>
      <c r="E71" s="85"/>
    </row>
    <row r="72" spans="1:8" ht="15.75">
      <c r="A72" s="85"/>
      <c r="E72" s="85"/>
    </row>
    <row r="73" spans="1:8" ht="15.75">
      <c r="A73" s="85"/>
      <c r="E73" s="85"/>
    </row>
    <row r="74" spans="1:8" ht="15.75">
      <c r="E74" s="85"/>
    </row>
    <row r="75" spans="1:8" ht="15.75">
      <c r="E7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60" orientation="portrait" r:id="rId1"/>
  <headerFooter alignWithMargins="0">
    <oddHeader>&amp;R&amp;"Times New Roman,Regular"Docket No. UE-090134
Exhibit No. __(HL-3)
Scheduile C-1 (Electric)
REVISED 09/03/09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  <pageSetUpPr fitToPage="1"/>
  </sheetPr>
  <dimension ref="A1:I115"/>
  <sheetViews>
    <sheetView topLeftCell="A58" workbookViewId="0">
      <selection activeCell="D61" sqref="D61"/>
    </sheetView>
  </sheetViews>
  <sheetFormatPr defaultRowHeight="12.75"/>
  <cols>
    <col min="1" max="1" width="32" customWidth="1"/>
    <col min="2" max="8" width="12.7109375" customWidth="1"/>
  </cols>
  <sheetData>
    <row r="1" spans="1:8" ht="15.75">
      <c r="A1" s="292" t="str">
        <f>'A-2'!A1:G1</f>
        <v>AVISTA UTILITIES</v>
      </c>
      <c r="B1" s="294"/>
      <c r="C1" s="294"/>
      <c r="D1" s="294"/>
      <c r="E1" s="294"/>
      <c r="F1" s="294"/>
      <c r="G1" s="294"/>
      <c r="H1" s="294"/>
    </row>
    <row r="2" spans="1:8" ht="15.75">
      <c r="A2" s="292" t="str">
        <f>A!A2</f>
        <v>Washington Electric System</v>
      </c>
      <c r="B2" s="294"/>
      <c r="C2" s="294"/>
      <c r="D2" s="294"/>
      <c r="E2" s="294"/>
      <c r="F2" s="294"/>
      <c r="G2" s="294"/>
      <c r="H2" s="294"/>
    </row>
    <row r="3" spans="1:8" ht="15.75">
      <c r="A3" s="292" t="str">
        <f>A!A3</f>
        <v>Test Year Twelve Months Ended September 30, 2008</v>
      </c>
      <c r="B3" s="294"/>
      <c r="C3" s="294"/>
      <c r="D3" s="294"/>
      <c r="E3" s="294"/>
      <c r="F3" s="294"/>
      <c r="G3" s="294"/>
      <c r="H3" s="294"/>
    </row>
    <row r="4" spans="1:8" ht="15.75">
      <c r="A4" s="292" t="str">
        <f>A!A4</f>
        <v>($000's of Dollars)</v>
      </c>
      <c r="B4" s="294"/>
      <c r="C4" s="294"/>
      <c r="D4" s="294"/>
      <c r="E4" s="294"/>
      <c r="F4" s="294"/>
      <c r="G4" s="294"/>
      <c r="H4" s="294"/>
    </row>
    <row r="5" spans="1:8" ht="15.75">
      <c r="A5" s="85"/>
      <c r="B5" s="85"/>
      <c r="C5" s="85"/>
      <c r="D5" s="85"/>
      <c r="E5" s="85"/>
      <c r="F5" s="85"/>
      <c r="G5" s="85"/>
      <c r="H5" s="272"/>
    </row>
    <row r="6" spans="1:8" ht="15.75">
      <c r="A6" s="85"/>
      <c r="B6" s="90"/>
      <c r="C6" s="90"/>
      <c r="D6" s="90" t="s">
        <v>472</v>
      </c>
      <c r="E6" s="90" t="s">
        <v>288</v>
      </c>
      <c r="F6" s="90"/>
      <c r="G6" s="90" t="s">
        <v>472</v>
      </c>
      <c r="H6" s="90"/>
    </row>
    <row r="7" spans="1:8" ht="15.75">
      <c r="A7" s="85"/>
      <c r="B7" s="88" t="s">
        <v>288</v>
      </c>
      <c r="C7" s="88" t="s">
        <v>45</v>
      </c>
      <c r="D7" s="88" t="s">
        <v>211</v>
      </c>
      <c r="E7" s="88" t="s">
        <v>473</v>
      </c>
      <c r="F7" s="88" t="s">
        <v>76</v>
      </c>
      <c r="G7" s="88" t="s">
        <v>211</v>
      </c>
      <c r="H7" s="88" t="s">
        <v>193</v>
      </c>
    </row>
    <row r="8" spans="1:8" ht="15.75">
      <c r="A8" s="85"/>
      <c r="B8" s="87" t="s">
        <v>194</v>
      </c>
      <c r="C8" s="87" t="s">
        <v>195</v>
      </c>
      <c r="D8" s="87" t="s">
        <v>196</v>
      </c>
      <c r="E8" s="87" t="s">
        <v>197</v>
      </c>
      <c r="F8" s="87" t="s">
        <v>467</v>
      </c>
      <c r="G8" s="87" t="s">
        <v>468</v>
      </c>
      <c r="H8" s="87" t="s">
        <v>469</v>
      </c>
    </row>
    <row r="9" spans="1:8" ht="15.75">
      <c r="A9" s="201" t="s">
        <v>474</v>
      </c>
      <c r="B9" s="85"/>
      <c r="C9" s="85"/>
      <c r="D9" s="85"/>
      <c r="E9" s="85"/>
      <c r="F9" s="85"/>
      <c r="G9" s="85"/>
      <c r="H9" s="85"/>
    </row>
    <row r="10" spans="1:8" ht="15.75">
      <c r="A10" s="85" t="s">
        <v>475</v>
      </c>
      <c r="B10" s="114">
        <f>656078+1312+2349</f>
        <v>659739</v>
      </c>
      <c r="C10" s="114">
        <v>285760</v>
      </c>
      <c r="D10" s="114">
        <f>+C10+B10</f>
        <v>945499</v>
      </c>
      <c r="E10" s="87">
        <v>1.9372E-2</v>
      </c>
      <c r="F10" s="114">
        <f>+D10*E10</f>
        <v>18316.206628</v>
      </c>
      <c r="G10" s="114">
        <f>+D10-F10</f>
        <v>927182.79337199999</v>
      </c>
      <c r="H10" s="85" t="s">
        <v>476</v>
      </c>
    </row>
    <row r="11" spans="1:8" ht="15.75">
      <c r="A11" s="85" t="s">
        <v>477</v>
      </c>
      <c r="B11" s="114">
        <v>5464</v>
      </c>
      <c r="C11" s="114"/>
      <c r="D11" s="114">
        <f>+C11+B11</f>
        <v>5464</v>
      </c>
      <c r="E11" s="87">
        <v>4.7953000000000003E-2</v>
      </c>
      <c r="F11" s="114">
        <f>+D11*E11</f>
        <v>262.01519200000001</v>
      </c>
      <c r="G11" s="114">
        <f>+D11-F11</f>
        <v>5201.9848080000002</v>
      </c>
      <c r="H11" s="85" t="s">
        <v>132</v>
      </c>
    </row>
    <row r="12" spans="1:8" ht="15.75">
      <c r="A12" s="85" t="s">
        <v>478</v>
      </c>
      <c r="B12" s="114">
        <v>23703</v>
      </c>
      <c r="C12" s="114"/>
      <c r="D12" s="114">
        <f>+C12+B12</f>
        <v>23703</v>
      </c>
      <c r="E12" s="87">
        <v>4.7953000000000003E-2</v>
      </c>
      <c r="F12" s="114">
        <f>+D12*E12</f>
        <v>1136.6299590000001</v>
      </c>
      <c r="G12" s="114">
        <f>+D12-F12</f>
        <v>22566.370040999998</v>
      </c>
      <c r="H12" s="85" t="s">
        <v>135</v>
      </c>
    </row>
    <row r="13" spans="1:8" ht="15.75">
      <c r="A13" s="85" t="s">
        <v>479</v>
      </c>
      <c r="B13" s="114">
        <v>0</v>
      </c>
      <c r="C13" s="114"/>
      <c r="D13" s="114">
        <f>+C13+B13</f>
        <v>0</v>
      </c>
      <c r="E13" s="87">
        <v>4.7953000000000003E-2</v>
      </c>
      <c r="F13" s="114">
        <f>+D13*E13</f>
        <v>0</v>
      </c>
      <c r="G13" s="114">
        <f>+D13-F13</f>
        <v>0</v>
      </c>
      <c r="H13" s="85" t="s">
        <v>136</v>
      </c>
    </row>
    <row r="14" spans="1:8" ht="15.75">
      <c r="A14" s="85" t="s">
        <v>480</v>
      </c>
      <c r="B14" s="167">
        <v>4398</v>
      </c>
      <c r="C14" s="167"/>
      <c r="D14" s="167">
        <f>+C14+B14</f>
        <v>4398</v>
      </c>
      <c r="E14" s="87">
        <v>4.7953000000000003E-2</v>
      </c>
      <c r="F14" s="167">
        <f>+D14*E14</f>
        <v>210.89729400000002</v>
      </c>
      <c r="G14" s="167">
        <f>+D14-F14</f>
        <v>4187.1027059999997</v>
      </c>
      <c r="H14" s="83" t="s">
        <v>137</v>
      </c>
    </row>
    <row r="15" spans="1:8" ht="15.75">
      <c r="A15" s="85" t="s">
        <v>481</v>
      </c>
      <c r="B15" s="114">
        <f>SUM(B10:B14)</f>
        <v>693304</v>
      </c>
      <c r="C15" s="114">
        <f>SUM(C10:C14)</f>
        <v>285760</v>
      </c>
      <c r="D15" s="114">
        <f>SUM(D10:D14)</f>
        <v>979064</v>
      </c>
      <c r="E15" s="205"/>
      <c r="F15" s="114">
        <f>SUM(F10:F14)</f>
        <v>19925.749072999999</v>
      </c>
      <c r="G15" s="114">
        <f>SUM(G10:G14)</f>
        <v>959138.25092699996</v>
      </c>
      <c r="H15" s="121"/>
    </row>
    <row r="16" spans="1:8" ht="15.75">
      <c r="A16" s="85"/>
      <c r="B16" s="114"/>
      <c r="C16" s="114"/>
      <c r="D16" s="114"/>
      <c r="E16" s="87"/>
      <c r="F16" s="114"/>
      <c r="G16" s="114"/>
      <c r="H16" s="83"/>
    </row>
    <row r="17" spans="1:8" ht="15.75">
      <c r="A17" s="201" t="s">
        <v>482</v>
      </c>
      <c r="B17" s="114"/>
      <c r="C17" s="114"/>
      <c r="D17" s="114"/>
      <c r="E17" s="87"/>
      <c r="F17" s="114"/>
      <c r="G17" s="114"/>
      <c r="H17" s="83"/>
    </row>
    <row r="18" spans="1:8" ht="15.75">
      <c r="A18" s="85" t="s">
        <v>475</v>
      </c>
      <c r="B18" s="114">
        <f>-241172+1066-1343</f>
        <v>-241449</v>
      </c>
      <c r="C18" s="114">
        <v>-94048</v>
      </c>
      <c r="D18" s="114">
        <f>+B18+C18</f>
        <v>-335497</v>
      </c>
      <c r="E18" s="87">
        <v>1.9372E-2</v>
      </c>
      <c r="F18" s="114">
        <f>+D18*E18</f>
        <v>-6499.2478840000003</v>
      </c>
      <c r="G18" s="114">
        <f>+D18-F18</f>
        <v>-328997.75211599999</v>
      </c>
      <c r="H18" s="85" t="s">
        <v>476</v>
      </c>
    </row>
    <row r="19" spans="1:8" ht="15.75">
      <c r="A19" s="85" t="s">
        <v>477</v>
      </c>
      <c r="B19" s="114">
        <v>-56</v>
      </c>
      <c r="C19" s="114"/>
      <c r="D19" s="114">
        <f>+B19+C19</f>
        <v>-56</v>
      </c>
      <c r="E19" s="87">
        <v>4.7953000000000003E-2</v>
      </c>
      <c r="F19" s="114">
        <f>+D19*E19</f>
        <v>-2.685368</v>
      </c>
      <c r="G19" s="114">
        <f>+D19-F19</f>
        <v>-53.314632000000003</v>
      </c>
      <c r="H19" s="83" t="s">
        <v>132</v>
      </c>
    </row>
    <row r="20" spans="1:8" ht="15.75">
      <c r="A20" s="85" t="s">
        <v>478</v>
      </c>
      <c r="B20" s="114">
        <v>663</v>
      </c>
      <c r="C20" s="114"/>
      <c r="D20" s="114">
        <f>+B20+C20</f>
        <v>663</v>
      </c>
      <c r="E20" s="87">
        <v>4.7953000000000003E-2</v>
      </c>
      <c r="F20" s="114">
        <f>+D20*E20</f>
        <v>31.792839000000001</v>
      </c>
      <c r="G20" s="114">
        <f>+D20-F20</f>
        <v>631.20716100000004</v>
      </c>
      <c r="H20" s="83" t="s">
        <v>136</v>
      </c>
    </row>
    <row r="21" spans="1:8" ht="15.75">
      <c r="A21" s="85" t="s">
        <v>479</v>
      </c>
      <c r="B21" s="167"/>
      <c r="C21" s="167"/>
      <c r="D21" s="167">
        <f>+B21+C21</f>
        <v>0</v>
      </c>
      <c r="E21" s="87">
        <v>4.7953000000000003E-2</v>
      </c>
      <c r="F21" s="167">
        <f>+D21*E21</f>
        <v>0</v>
      </c>
      <c r="G21" s="167">
        <f>+D21-F21</f>
        <v>0</v>
      </c>
      <c r="H21" s="84" t="s">
        <v>135</v>
      </c>
    </row>
    <row r="22" spans="1:8" ht="15.75">
      <c r="A22" s="85" t="s">
        <v>483</v>
      </c>
      <c r="B22" s="114">
        <f>SUM(B18:B21)</f>
        <v>-240842</v>
      </c>
      <c r="C22" s="114">
        <f>SUM(C18:C21)</f>
        <v>-94048</v>
      </c>
      <c r="D22" s="114">
        <f>SUM(D18:D21)</f>
        <v>-334890</v>
      </c>
      <c r="E22" s="205"/>
      <c r="F22" s="114">
        <f>SUM(F18:F21)</f>
        <v>-6470.140413000001</v>
      </c>
      <c r="G22" s="114">
        <f>SUM(G18:G21)</f>
        <v>-328419.85958699998</v>
      </c>
      <c r="H22" s="121"/>
    </row>
    <row r="23" spans="1:8" ht="15.75">
      <c r="A23" s="85"/>
      <c r="B23" s="114"/>
      <c r="C23" s="114"/>
      <c r="D23" s="114"/>
      <c r="E23" s="87"/>
      <c r="F23" s="114"/>
      <c r="G23" s="114"/>
      <c r="H23" s="83"/>
    </row>
    <row r="24" spans="1:8" ht="15.75">
      <c r="A24" s="201" t="s">
        <v>484</v>
      </c>
      <c r="B24" s="114"/>
      <c r="C24" s="114"/>
      <c r="D24" s="114"/>
      <c r="E24" s="87"/>
      <c r="F24" s="114"/>
      <c r="G24" s="114"/>
      <c r="H24" s="83"/>
    </row>
    <row r="25" spans="1:8" ht="15.75">
      <c r="A25" s="85" t="s">
        <v>475</v>
      </c>
      <c r="B25" s="114">
        <f>-60350-220-123</f>
        <v>-60693</v>
      </c>
      <c r="C25" s="114">
        <v>-26128</v>
      </c>
      <c r="D25" s="114">
        <f>+B25+C25</f>
        <v>-86821</v>
      </c>
      <c r="E25" s="87">
        <v>1.9372E-2</v>
      </c>
      <c r="F25" s="114">
        <f>+D25*E25</f>
        <v>-1681.8964120000001</v>
      </c>
      <c r="G25" s="114">
        <f>+D25-F25</f>
        <v>-85139.103587999998</v>
      </c>
      <c r="H25" s="85" t="s">
        <v>476</v>
      </c>
    </row>
    <row r="26" spans="1:8" ht="15.75">
      <c r="A26" s="85" t="s">
        <v>477</v>
      </c>
      <c r="B26" s="114">
        <v>-22</v>
      </c>
      <c r="C26" s="114"/>
      <c r="D26" s="114">
        <f>+B26+C26</f>
        <v>-22</v>
      </c>
      <c r="E26" s="87">
        <v>4.7953000000000003E-2</v>
      </c>
      <c r="F26" s="114">
        <f>+D26*E26</f>
        <v>-1.0549660000000001</v>
      </c>
      <c r="G26" s="114">
        <f>+D26-F26</f>
        <v>-20.945034</v>
      </c>
      <c r="H26" s="83" t="s">
        <v>132</v>
      </c>
    </row>
    <row r="27" spans="1:8" ht="15.75">
      <c r="A27" s="85" t="s">
        <v>478</v>
      </c>
      <c r="B27" s="114">
        <v>-2818</v>
      </c>
      <c r="C27" s="114"/>
      <c r="D27" s="114">
        <f>+B27+C27</f>
        <v>-2818</v>
      </c>
      <c r="E27" s="87">
        <v>4.7953000000000003E-2</v>
      </c>
      <c r="F27" s="114">
        <f>+D27*E27</f>
        <v>-135.13155399999999</v>
      </c>
      <c r="G27" s="114">
        <f>+D27-F27</f>
        <v>-2682.8684459999999</v>
      </c>
      <c r="H27" s="83" t="s">
        <v>136</v>
      </c>
    </row>
    <row r="28" spans="1:8" ht="15.75">
      <c r="A28" s="85" t="s">
        <v>479</v>
      </c>
      <c r="B28" s="114"/>
      <c r="C28" s="114"/>
      <c r="D28" s="114">
        <f>+B28+C28</f>
        <v>0</v>
      </c>
      <c r="E28" s="87">
        <v>4.7953000000000003E-2</v>
      </c>
      <c r="F28" s="114">
        <f>+D28*E28</f>
        <v>0</v>
      </c>
      <c r="G28" s="114">
        <f>+D28-F28</f>
        <v>0</v>
      </c>
      <c r="H28" s="83"/>
    </row>
    <row r="29" spans="1:8" ht="15.75">
      <c r="A29" s="85" t="s">
        <v>480</v>
      </c>
      <c r="B29" s="167">
        <v>-1539</v>
      </c>
      <c r="C29" s="167"/>
      <c r="D29" s="167">
        <f>+B29+C29</f>
        <v>-1539</v>
      </c>
      <c r="E29" s="87">
        <v>4.7953000000000003E-2</v>
      </c>
      <c r="F29" s="167">
        <f>+D29*E29</f>
        <v>-73.799666999999999</v>
      </c>
      <c r="G29" s="167">
        <f>+D29-F29</f>
        <v>-1465.200333</v>
      </c>
      <c r="H29" s="84" t="s">
        <v>135</v>
      </c>
    </row>
    <row r="30" spans="1:8" ht="15.75">
      <c r="A30" s="85" t="s">
        <v>485</v>
      </c>
      <c r="B30" s="114">
        <f>SUM(B25:B29)</f>
        <v>-65072</v>
      </c>
      <c r="C30" s="114">
        <f>SUM(C25:C29)</f>
        <v>-26128</v>
      </c>
      <c r="D30" s="114">
        <f>SUM(D25:D29)</f>
        <v>-91200</v>
      </c>
      <c r="E30" s="205"/>
      <c r="F30" s="114">
        <f>SUM(F25:F29)</f>
        <v>-1891.882599</v>
      </c>
      <c r="G30" s="114">
        <f>SUM(G25:G29)</f>
        <v>-89308.117400999996</v>
      </c>
      <c r="H30" s="121"/>
    </row>
    <row r="31" spans="1:8" ht="15.75">
      <c r="A31" s="85"/>
      <c r="B31" s="114"/>
      <c r="C31" s="114"/>
      <c r="D31" s="114"/>
      <c r="E31" s="205"/>
      <c r="F31" s="114"/>
      <c r="G31" s="114"/>
      <c r="H31" s="121"/>
    </row>
    <row r="32" spans="1:8" ht="15.75">
      <c r="A32" s="85" t="s">
        <v>486</v>
      </c>
      <c r="B32" s="114">
        <f>+B15+B22+B30</f>
        <v>387390</v>
      </c>
      <c r="C32" s="114">
        <f>+C15+C22+C30</f>
        <v>165584</v>
      </c>
      <c r="D32" s="114">
        <f>+D15+D22+D30</f>
        <v>552974</v>
      </c>
      <c r="E32" s="205"/>
      <c r="F32" s="114">
        <f>+F15+F22+F30</f>
        <v>11563.726060999998</v>
      </c>
      <c r="G32" s="114">
        <f>+G15+G22+G30</f>
        <v>541410.27393899998</v>
      </c>
      <c r="H32" s="121"/>
    </row>
    <row r="33" spans="1:8" ht="15.75">
      <c r="A33" s="85"/>
      <c r="B33" s="114"/>
      <c r="C33" s="114"/>
      <c r="D33" s="114"/>
      <c r="E33" s="87"/>
      <c r="F33" s="114"/>
      <c r="G33" s="114"/>
      <c r="H33" s="83"/>
    </row>
    <row r="34" spans="1:8" ht="15.75">
      <c r="A34" s="201" t="s">
        <v>487</v>
      </c>
      <c r="B34" s="114"/>
      <c r="C34" s="114"/>
      <c r="D34" s="114"/>
      <c r="E34" s="87"/>
      <c r="F34" s="114"/>
      <c r="G34" s="114"/>
      <c r="H34" s="83"/>
    </row>
    <row r="35" spans="1:8" ht="15.75">
      <c r="A35" s="85" t="s">
        <v>475</v>
      </c>
      <c r="B35" s="114">
        <f>16999+6+29</f>
        <v>17034</v>
      </c>
      <c r="C35" s="114">
        <v>5902</v>
      </c>
      <c r="D35" s="114">
        <f>+B35+C35</f>
        <v>22936</v>
      </c>
      <c r="E35" s="87">
        <v>1.9372E-2</v>
      </c>
      <c r="F35" s="114">
        <f>+D35*E35</f>
        <v>444.316192</v>
      </c>
      <c r="G35" s="114">
        <f>+D35-F35</f>
        <v>22491.683808000002</v>
      </c>
      <c r="H35" s="85" t="s">
        <v>476</v>
      </c>
    </row>
    <row r="36" spans="1:8" ht="15.75">
      <c r="A36" s="85" t="s">
        <v>477</v>
      </c>
      <c r="B36" s="114">
        <v>158</v>
      </c>
      <c r="C36" s="114"/>
      <c r="D36" s="114">
        <f>+B36+C36</f>
        <v>158</v>
      </c>
      <c r="E36" s="87">
        <v>4.7953000000000003E-2</v>
      </c>
      <c r="F36" s="114">
        <f>+D36*E36</f>
        <v>7.5765740000000008</v>
      </c>
      <c r="G36" s="114">
        <f>+D36-F36</f>
        <v>150.42342600000001</v>
      </c>
      <c r="H36" s="85" t="s">
        <v>132</v>
      </c>
    </row>
    <row r="37" spans="1:8" ht="15.75">
      <c r="A37" s="85" t="s">
        <v>478</v>
      </c>
      <c r="B37" s="114">
        <v>1959</v>
      </c>
      <c r="C37" s="114"/>
      <c r="D37" s="114">
        <f>+B37+C37</f>
        <v>1959</v>
      </c>
      <c r="E37" s="87">
        <v>4.7953000000000003E-2</v>
      </c>
      <c r="F37" s="114">
        <f>+D37*E37</f>
        <v>93.939927000000012</v>
      </c>
      <c r="G37" s="114">
        <f>+D37-F37</f>
        <v>1865.0600730000001</v>
      </c>
      <c r="H37" s="85" t="s">
        <v>135</v>
      </c>
    </row>
    <row r="38" spans="1:8" ht="15.75">
      <c r="A38" s="85" t="s">
        <v>479</v>
      </c>
      <c r="B38" s="114">
        <v>258</v>
      </c>
      <c r="C38" s="114"/>
      <c r="D38" s="114">
        <f>+B38+C38</f>
        <v>258</v>
      </c>
      <c r="E38" s="87">
        <v>4.7953000000000003E-2</v>
      </c>
      <c r="F38" s="114">
        <f>+D38*E38</f>
        <v>12.371874</v>
      </c>
      <c r="G38" s="114">
        <f>+D38-F38</f>
        <v>245.62812600000001</v>
      </c>
      <c r="H38" s="85" t="s">
        <v>136</v>
      </c>
    </row>
    <row r="39" spans="1:8" ht="15.75">
      <c r="A39" s="85" t="s">
        <v>480</v>
      </c>
      <c r="B39" s="167">
        <v>3516</v>
      </c>
      <c r="C39" s="167"/>
      <c r="D39" s="167">
        <f>+B39+C39</f>
        <v>3516</v>
      </c>
      <c r="E39" s="87">
        <v>4.7953000000000003E-2</v>
      </c>
      <c r="F39" s="167">
        <f>+D39*E39</f>
        <v>168.60274800000002</v>
      </c>
      <c r="G39" s="167">
        <f>+D39-F39</f>
        <v>3347.3972519999998</v>
      </c>
      <c r="H39" s="83" t="s">
        <v>137</v>
      </c>
    </row>
    <row r="40" spans="1:8" ht="15.75">
      <c r="A40" s="85" t="s">
        <v>488</v>
      </c>
      <c r="B40" s="114">
        <f>SUM(B35:B39)</f>
        <v>22925</v>
      </c>
      <c r="C40" s="114">
        <f>SUM(C35:C39)</f>
        <v>5902</v>
      </c>
      <c r="D40" s="114">
        <f>SUM(D35:D39)</f>
        <v>28827</v>
      </c>
      <c r="E40" s="205"/>
      <c r="F40" s="114">
        <f>SUM(F35:F39)</f>
        <v>726.80731500000013</v>
      </c>
      <c r="G40" s="114">
        <f>SUM(G35:G39)</f>
        <v>28100.192685000002</v>
      </c>
      <c r="H40" s="121"/>
    </row>
    <row r="41" spans="1:8" ht="15.75">
      <c r="A41" s="85"/>
      <c r="B41" s="114"/>
      <c r="C41" s="114"/>
      <c r="D41" s="114"/>
      <c r="E41" s="87"/>
      <c r="F41" s="114"/>
      <c r="G41" s="114"/>
      <c r="H41" s="85"/>
    </row>
    <row r="42" spans="1:8" ht="15.75">
      <c r="A42" s="201" t="s">
        <v>489</v>
      </c>
      <c r="B42" s="114"/>
      <c r="C42" s="114"/>
      <c r="D42" s="114"/>
      <c r="E42" s="87"/>
      <c r="F42" s="114"/>
      <c r="G42" s="114"/>
      <c r="H42" s="85"/>
    </row>
    <row r="43" spans="1:8" ht="15.75">
      <c r="A43" s="85" t="s">
        <v>475</v>
      </c>
      <c r="B43" s="114">
        <f>4573+16</f>
        <v>4589</v>
      </c>
      <c r="C43" s="114">
        <v>3057</v>
      </c>
      <c r="D43" s="114">
        <f>+B43+C43</f>
        <v>7646</v>
      </c>
      <c r="E43" s="87">
        <v>1.9372E-2</v>
      </c>
      <c r="F43" s="114">
        <f>+D43*E43</f>
        <v>148.118312</v>
      </c>
      <c r="G43" s="114">
        <f>+D43-F43</f>
        <v>7497.8816880000004</v>
      </c>
      <c r="H43" s="85" t="s">
        <v>490</v>
      </c>
    </row>
    <row r="44" spans="1:8" ht="15.75">
      <c r="A44" s="85" t="s">
        <v>491</v>
      </c>
      <c r="B44" s="167">
        <v>82</v>
      </c>
      <c r="C44" s="167"/>
      <c r="D44" s="167">
        <f>+B44+C44</f>
        <v>82</v>
      </c>
      <c r="E44" s="87">
        <v>4.7953000000000003E-2</v>
      </c>
      <c r="F44" s="167">
        <f>+D44*E44</f>
        <v>3.9321460000000004</v>
      </c>
      <c r="G44" s="167">
        <f>+D44-F44</f>
        <v>78.067853999999997</v>
      </c>
      <c r="H44" s="85" t="s">
        <v>492</v>
      </c>
    </row>
    <row r="45" spans="1:8" ht="15.75">
      <c r="A45" s="85" t="s">
        <v>493</v>
      </c>
      <c r="B45" s="114">
        <f>SUM(B43:B44)</f>
        <v>4671</v>
      </c>
      <c r="C45" s="114">
        <f>SUM(C43:C44)</f>
        <v>3057</v>
      </c>
      <c r="D45" s="114">
        <f>SUM(D43:D44)</f>
        <v>7728</v>
      </c>
      <c r="E45" s="87"/>
      <c r="F45" s="114">
        <f>SUM(F43:F44)</f>
        <v>152.05045799999999</v>
      </c>
      <c r="G45" s="114">
        <f>SUM(G43:G44)</f>
        <v>7575.9495420000003</v>
      </c>
      <c r="H45" s="85"/>
    </row>
    <row r="46" spans="1:8" ht="15.75">
      <c r="A46" s="85"/>
      <c r="B46" s="114"/>
      <c r="C46" s="114"/>
      <c r="D46" s="114"/>
      <c r="E46" s="87"/>
      <c r="F46" s="114"/>
      <c r="G46" s="114"/>
      <c r="H46" s="85"/>
    </row>
    <row r="47" spans="1:8" ht="15.75">
      <c r="A47" s="85"/>
      <c r="B47" s="114"/>
      <c r="C47" s="114"/>
      <c r="D47" s="114"/>
      <c r="E47" s="87"/>
      <c r="F47" s="114"/>
      <c r="G47" s="114"/>
      <c r="H47" s="85"/>
    </row>
    <row r="48" spans="1:8" ht="15.75">
      <c r="A48" s="201" t="s">
        <v>494</v>
      </c>
      <c r="B48" s="114"/>
      <c r="C48" s="114"/>
      <c r="D48" s="114"/>
      <c r="E48" s="87"/>
      <c r="F48" s="114"/>
      <c r="G48" s="114"/>
      <c r="H48" s="85"/>
    </row>
    <row r="49" spans="1:9" ht="15.75">
      <c r="A49" s="85" t="s">
        <v>478</v>
      </c>
      <c r="B49" s="114">
        <v>1677</v>
      </c>
      <c r="C49" s="114"/>
      <c r="D49" s="114">
        <f t="shared" ref="D49:D58" si="0">+B49+C49</f>
        <v>1677</v>
      </c>
      <c r="E49" s="87">
        <v>4.7953000000000003E-2</v>
      </c>
      <c r="F49" s="114">
        <f t="shared" ref="F49:F58" si="1">+D49*E49</f>
        <v>80.417180999999999</v>
      </c>
      <c r="G49" s="114">
        <f t="shared" ref="G49:G58" si="2">+D49-F49</f>
        <v>1596.582819</v>
      </c>
      <c r="H49" s="85" t="s">
        <v>135</v>
      </c>
    </row>
    <row r="50" spans="1:9" ht="15.75">
      <c r="A50" s="85" t="s">
        <v>495</v>
      </c>
      <c r="B50" s="114">
        <v>80471</v>
      </c>
      <c r="C50" s="114"/>
      <c r="D50" s="114">
        <f t="shared" si="0"/>
        <v>80471</v>
      </c>
      <c r="E50" s="87">
        <v>4.7953000000000003E-2</v>
      </c>
      <c r="F50" s="114">
        <f t="shared" si="1"/>
        <v>3858.825863</v>
      </c>
      <c r="G50" s="114">
        <f t="shared" si="2"/>
        <v>76612.174136999995</v>
      </c>
      <c r="H50" s="85" t="s">
        <v>135</v>
      </c>
    </row>
    <row r="51" spans="1:9" ht="15.75">
      <c r="A51" s="85" t="s">
        <v>581</v>
      </c>
      <c r="B51" s="274">
        <f>'C-1.2'!E22</f>
        <v>99674.358500000002</v>
      </c>
      <c r="C51" s="114">
        <v>11965</v>
      </c>
      <c r="D51" s="274">
        <f t="shared" si="0"/>
        <v>111639.3585</v>
      </c>
      <c r="E51" s="87">
        <v>4.7953000000000003E-2</v>
      </c>
      <c r="F51" s="274">
        <f t="shared" si="1"/>
        <v>5353.4421581505003</v>
      </c>
      <c r="G51" s="274">
        <f t="shared" si="2"/>
        <v>106285.9163418495</v>
      </c>
      <c r="H51" s="85" t="s">
        <v>580</v>
      </c>
    </row>
    <row r="52" spans="1:9" ht="15.75">
      <c r="A52" s="85" t="s">
        <v>44</v>
      </c>
      <c r="B52" s="114">
        <v>8825</v>
      </c>
      <c r="C52" s="114">
        <v>2537</v>
      </c>
      <c r="D52" s="114">
        <f t="shared" si="0"/>
        <v>11362</v>
      </c>
      <c r="E52" s="87">
        <v>4.7953000000000003E-2</v>
      </c>
      <c r="F52" s="114">
        <f t="shared" si="1"/>
        <v>544.84198600000002</v>
      </c>
      <c r="G52" s="114">
        <f t="shared" si="2"/>
        <v>10817.158014000001</v>
      </c>
      <c r="H52" s="85" t="s">
        <v>370</v>
      </c>
    </row>
    <row r="53" spans="1:9" ht="15.75">
      <c r="A53" s="85" t="s">
        <v>45</v>
      </c>
      <c r="B53" s="114"/>
      <c r="C53" s="114">
        <v>1424</v>
      </c>
      <c r="D53" s="114">
        <f t="shared" si="0"/>
        <v>1424</v>
      </c>
      <c r="E53" s="87">
        <v>4.7953000000000003E-2</v>
      </c>
      <c r="F53" s="114">
        <f t="shared" si="1"/>
        <v>68.285072</v>
      </c>
      <c r="G53" s="114">
        <f t="shared" si="2"/>
        <v>1355.7149280000001</v>
      </c>
      <c r="H53" s="85" t="s">
        <v>129</v>
      </c>
    </row>
    <row r="54" spans="1:9" ht="15.75">
      <c r="A54" s="85" t="s">
        <v>496</v>
      </c>
      <c r="B54" s="114"/>
      <c r="C54" s="114">
        <v>1473</v>
      </c>
      <c r="D54" s="114">
        <f t="shared" si="0"/>
        <v>1473</v>
      </c>
      <c r="E54" s="87">
        <v>4.7953000000000003E-2</v>
      </c>
      <c r="F54" s="114">
        <f t="shared" si="1"/>
        <v>70.634769000000006</v>
      </c>
      <c r="G54" s="114">
        <f t="shared" si="2"/>
        <v>1402.365231</v>
      </c>
      <c r="H54" s="85" t="s">
        <v>497</v>
      </c>
    </row>
    <row r="55" spans="1:9" ht="15.75">
      <c r="A55" s="85" t="s">
        <v>589</v>
      </c>
      <c r="B55" s="114">
        <v>1241</v>
      </c>
      <c r="C55" s="114"/>
      <c r="D55" s="114">
        <f t="shared" si="0"/>
        <v>1241</v>
      </c>
      <c r="E55" s="87">
        <v>4.7953000000000003E-2</v>
      </c>
      <c r="F55" s="114">
        <f t="shared" si="1"/>
        <v>59.509673000000006</v>
      </c>
      <c r="G55" s="114">
        <f t="shared" si="2"/>
        <v>1181.490327</v>
      </c>
      <c r="H55" s="85" t="s">
        <v>376</v>
      </c>
    </row>
    <row r="56" spans="1:9" ht="15.75">
      <c r="A56" s="85" t="s">
        <v>498</v>
      </c>
      <c r="B56" s="114">
        <v>14065</v>
      </c>
      <c r="C56" s="114"/>
      <c r="D56" s="114">
        <f t="shared" si="0"/>
        <v>14065</v>
      </c>
      <c r="E56" s="87">
        <v>4.7953000000000003E-2</v>
      </c>
      <c r="F56" s="114">
        <f t="shared" si="1"/>
        <v>674.45894500000009</v>
      </c>
      <c r="G56" s="114">
        <f t="shared" si="2"/>
        <v>13390.541055</v>
      </c>
      <c r="H56" s="85" t="s">
        <v>140</v>
      </c>
    </row>
    <row r="57" spans="1:9" ht="15.75">
      <c r="A57" s="85" t="s">
        <v>96</v>
      </c>
      <c r="B57" s="114">
        <v>3008</v>
      </c>
      <c r="C57" s="114">
        <v>869</v>
      </c>
      <c r="D57" s="114">
        <f t="shared" si="0"/>
        <v>3877</v>
      </c>
      <c r="E57" s="87">
        <v>1.9372E-2</v>
      </c>
      <c r="F57" s="114">
        <f t="shared" si="1"/>
        <v>75.105243999999999</v>
      </c>
      <c r="G57" s="114">
        <f t="shared" si="2"/>
        <v>3801.8947560000001</v>
      </c>
      <c r="H57" s="85" t="s">
        <v>499</v>
      </c>
    </row>
    <row r="58" spans="1:9" ht="15.75">
      <c r="A58" s="85" t="s">
        <v>500</v>
      </c>
      <c r="B58" s="167">
        <v>2285</v>
      </c>
      <c r="C58" s="167"/>
      <c r="D58" s="167">
        <f t="shared" si="0"/>
        <v>2285</v>
      </c>
      <c r="E58" s="87">
        <v>4.7953000000000003E-2</v>
      </c>
      <c r="F58" s="167">
        <f t="shared" si="1"/>
        <v>109.57260500000001</v>
      </c>
      <c r="G58" s="167">
        <f t="shared" si="2"/>
        <v>2175.4273950000002</v>
      </c>
      <c r="H58" s="85" t="s">
        <v>143</v>
      </c>
    </row>
    <row r="59" spans="1:9" ht="15.75">
      <c r="A59" s="85" t="s">
        <v>501</v>
      </c>
      <c r="B59" s="274">
        <f>SUM(B49:B58)</f>
        <v>211246.3585</v>
      </c>
      <c r="C59" s="114">
        <f>SUM(C49:C58)</f>
        <v>18268</v>
      </c>
      <c r="D59" s="274">
        <f>SUM(D49:D58)</f>
        <v>229514.3585</v>
      </c>
      <c r="E59" s="206"/>
      <c r="F59" s="274">
        <f>SUM(F49:F58)</f>
        <v>10895.093496150501</v>
      </c>
      <c r="G59" s="274">
        <f>SUM(G49:G58)</f>
        <v>218619.26500384949</v>
      </c>
      <c r="H59" s="85"/>
      <c r="I59" s="211">
        <f>+F59-F50</f>
        <v>7036.2676331505008</v>
      </c>
    </row>
    <row r="60" spans="1:9" ht="15.75">
      <c r="A60" s="85"/>
      <c r="B60" s="114"/>
      <c r="C60" s="114"/>
      <c r="D60" s="114"/>
      <c r="E60" s="87"/>
      <c r="F60" s="114"/>
      <c r="G60" s="114"/>
      <c r="H60" s="85"/>
    </row>
    <row r="61" spans="1:9" ht="15.75">
      <c r="A61" s="85" t="s">
        <v>502</v>
      </c>
      <c r="B61" s="274">
        <f>+B59+B45+B40</f>
        <v>238842.3585</v>
      </c>
      <c r="C61" s="114">
        <f>+C59+C45+C40</f>
        <v>27227</v>
      </c>
      <c r="D61" s="274">
        <f>+D59+D45+D40</f>
        <v>266069.35849999997</v>
      </c>
      <c r="E61" s="87"/>
      <c r="F61" s="114">
        <f>+F59+F45+F40</f>
        <v>11773.951269150501</v>
      </c>
      <c r="G61" s="114">
        <f>+G59+G45+G40</f>
        <v>254295.40723084949</v>
      </c>
      <c r="H61" s="85"/>
    </row>
    <row r="62" spans="1:9" ht="15.75">
      <c r="A62" s="85"/>
      <c r="B62" s="114"/>
      <c r="C62" s="114"/>
      <c r="D62" s="114"/>
      <c r="E62" s="87"/>
      <c r="F62" s="114"/>
      <c r="G62" s="114"/>
      <c r="H62" s="85"/>
    </row>
    <row r="63" spans="1:9" ht="15.75">
      <c r="A63" s="201" t="s">
        <v>15</v>
      </c>
      <c r="B63" s="114"/>
      <c r="C63" s="114"/>
      <c r="D63" s="114"/>
      <c r="E63" s="87"/>
      <c r="F63" s="114"/>
      <c r="G63" s="114"/>
      <c r="H63" s="85"/>
    </row>
    <row r="64" spans="1:9" ht="15.75">
      <c r="A64" s="85" t="s">
        <v>503</v>
      </c>
      <c r="B64" s="114">
        <v>69856</v>
      </c>
      <c r="C64" s="114"/>
      <c r="D64" s="114">
        <f>+B64+C64</f>
        <v>69856</v>
      </c>
      <c r="E64" s="87">
        <v>4.7953000000000003E-2</v>
      </c>
      <c r="F64" s="114">
        <f>+D64*E64</f>
        <v>3349.804768</v>
      </c>
      <c r="G64" s="114">
        <f>+D64-F64</f>
        <v>66506.195231999998</v>
      </c>
      <c r="H64" s="85" t="s">
        <v>125</v>
      </c>
    </row>
    <row r="65" spans="1:8" ht="15.75">
      <c r="A65" s="85" t="s">
        <v>504</v>
      </c>
      <c r="B65" s="114">
        <v>211</v>
      </c>
      <c r="C65" s="114"/>
      <c r="D65" s="114">
        <f>+B65+C65</f>
        <v>211</v>
      </c>
      <c r="E65" s="87">
        <v>4.7953000000000003E-2</v>
      </c>
      <c r="F65" s="114">
        <f>+D65*E65</f>
        <v>10.118083</v>
      </c>
      <c r="G65" s="114">
        <f>+D65-F65</f>
        <v>200.88191699999999</v>
      </c>
      <c r="H65" s="85" t="s">
        <v>125</v>
      </c>
    </row>
    <row r="66" spans="1:8" ht="15.75">
      <c r="A66" s="85" t="s">
        <v>505</v>
      </c>
      <c r="B66" s="167"/>
      <c r="C66" s="167">
        <v>6123</v>
      </c>
      <c r="D66" s="167">
        <f>+B66+C66</f>
        <v>6123</v>
      </c>
      <c r="E66" s="87">
        <v>4.7953000000000003E-2</v>
      </c>
      <c r="F66" s="167">
        <f>+D66*E66</f>
        <v>293.616219</v>
      </c>
      <c r="G66" s="167">
        <f>+D66-F66</f>
        <v>5829.3837810000005</v>
      </c>
      <c r="H66" s="85" t="s">
        <v>129</v>
      </c>
    </row>
    <row r="67" spans="1:8" ht="15.75">
      <c r="A67" s="85" t="s">
        <v>506</v>
      </c>
      <c r="B67" s="114">
        <f>SUM(B64:B66)</f>
        <v>70067</v>
      </c>
      <c r="C67" s="114">
        <f>SUM(C64:C66)</f>
        <v>6123</v>
      </c>
      <c r="D67" s="114">
        <f>SUM(D64:D66)</f>
        <v>76190</v>
      </c>
      <c r="E67" s="114"/>
      <c r="F67" s="114">
        <f>SUM(F64:F66)</f>
        <v>3653.5390699999998</v>
      </c>
      <c r="G67" s="114">
        <f>SUM(G64:G66)</f>
        <v>72536.460930000001</v>
      </c>
      <c r="H67" s="85"/>
    </row>
    <row r="68" spans="1:8" ht="15.75">
      <c r="A68" s="85"/>
      <c r="B68" s="114"/>
      <c r="C68" s="114"/>
      <c r="D68" s="114"/>
      <c r="E68" s="85"/>
      <c r="F68" s="114"/>
      <c r="G68" s="114"/>
      <c r="H68" s="85"/>
    </row>
    <row r="69" spans="1:8" ht="15.75">
      <c r="A69" s="85" t="s">
        <v>507</v>
      </c>
      <c r="B69" s="274">
        <f>+B61-B67</f>
        <v>168775.3585</v>
      </c>
      <c r="C69" s="114">
        <f>+C61-C67</f>
        <v>21104</v>
      </c>
      <c r="D69" s="274">
        <f>+D61-D67</f>
        <v>189879.35849999997</v>
      </c>
      <c r="E69" s="114"/>
      <c r="F69" s="114">
        <f>+F61-F67</f>
        <v>8120.4121991505008</v>
      </c>
      <c r="G69" s="114">
        <f>+G61-G67</f>
        <v>181758.94630084949</v>
      </c>
      <c r="H69" s="85"/>
    </row>
    <row r="70" spans="1:8" ht="15.75">
      <c r="A70" s="85"/>
      <c r="B70" s="114"/>
      <c r="C70" s="114"/>
      <c r="D70" s="114"/>
      <c r="E70" s="85"/>
      <c r="F70" s="114"/>
      <c r="G70" s="114"/>
      <c r="H70" s="85"/>
    </row>
    <row r="71" spans="1:8" ht="15.75">
      <c r="A71" s="85"/>
      <c r="B71" s="114"/>
      <c r="C71" s="114"/>
      <c r="D71" s="114"/>
      <c r="E71" s="85"/>
      <c r="F71" s="114"/>
      <c r="G71" s="114"/>
      <c r="H71" s="85"/>
    </row>
    <row r="72" spans="1:8" ht="15.75">
      <c r="A72" s="89" t="s">
        <v>251</v>
      </c>
      <c r="B72" s="114"/>
      <c r="C72" s="114"/>
      <c r="D72" s="114"/>
      <c r="E72" s="85"/>
      <c r="F72" s="114"/>
      <c r="G72" s="114"/>
      <c r="H72" s="85"/>
    </row>
    <row r="73" spans="1:8" ht="15.75">
      <c r="A73" s="85" t="s">
        <v>555</v>
      </c>
      <c r="B73" s="114"/>
      <c r="C73" s="114"/>
      <c r="D73" s="114"/>
      <c r="E73" s="85"/>
      <c r="F73" s="114"/>
      <c r="G73" s="114"/>
      <c r="H73" s="85"/>
    </row>
    <row r="74" spans="1:8" ht="15.75">
      <c r="A74" s="85"/>
      <c r="B74" s="114"/>
      <c r="C74" s="114"/>
      <c r="D74" s="114"/>
      <c r="E74" s="85"/>
      <c r="F74" s="114"/>
      <c r="G74" s="114"/>
      <c r="H74" s="85"/>
    </row>
    <row r="75" spans="1:8" ht="15.75">
      <c r="A75" s="85"/>
      <c r="B75" s="114"/>
      <c r="C75" s="114"/>
      <c r="D75" s="114"/>
      <c r="E75" s="85"/>
      <c r="F75" s="114"/>
      <c r="G75" s="114"/>
      <c r="H75" s="85"/>
    </row>
    <row r="76" spans="1:8" ht="15.75">
      <c r="A76" s="85"/>
      <c r="B76" s="114"/>
      <c r="C76" s="114"/>
      <c r="D76" s="114"/>
      <c r="E76" s="85"/>
      <c r="F76" s="114"/>
      <c r="G76" s="114"/>
      <c r="H76" s="85"/>
    </row>
    <row r="77" spans="1:8" ht="15.75">
      <c r="A77" s="85"/>
      <c r="B77" s="114"/>
      <c r="C77" s="114"/>
      <c r="D77" s="114"/>
      <c r="E77" s="85"/>
      <c r="F77" s="114"/>
      <c r="G77" s="114"/>
      <c r="H77" s="85"/>
    </row>
    <row r="78" spans="1:8" ht="15.75">
      <c r="A78" s="85"/>
      <c r="B78" s="114"/>
      <c r="C78" s="114"/>
      <c r="D78" s="114"/>
      <c r="E78" s="85"/>
      <c r="F78" s="114"/>
      <c r="G78" s="114"/>
      <c r="H78" s="85"/>
    </row>
    <row r="79" spans="1:8" ht="15.75">
      <c r="A79" s="85"/>
      <c r="B79" s="114"/>
      <c r="C79" s="114"/>
      <c r="D79" s="114"/>
      <c r="E79" s="85"/>
      <c r="F79" s="114"/>
      <c r="G79" s="114"/>
      <c r="H79" s="85"/>
    </row>
    <row r="80" spans="1:8" ht="15.75">
      <c r="A80" s="85"/>
      <c r="B80" s="114"/>
      <c r="C80" s="114"/>
      <c r="D80" s="114"/>
      <c r="E80" s="85"/>
      <c r="F80" s="114"/>
      <c r="G80" s="114"/>
      <c r="H80" s="85"/>
    </row>
    <row r="81" spans="1:8" ht="15.75">
      <c r="A81" s="85"/>
      <c r="B81" s="114"/>
      <c r="C81" s="114"/>
      <c r="D81" s="114"/>
      <c r="E81" s="85"/>
      <c r="F81" s="114"/>
      <c r="G81" s="114"/>
      <c r="H81" s="85"/>
    </row>
    <row r="82" spans="1:8" ht="15.75">
      <c r="A82" s="85"/>
      <c r="B82" s="114"/>
      <c r="C82" s="114"/>
      <c r="D82" s="114"/>
      <c r="E82" s="85"/>
      <c r="F82" s="114"/>
      <c r="G82" s="114"/>
      <c r="H82" s="85"/>
    </row>
    <row r="83" spans="1:8" ht="15.75">
      <c r="A83" s="85"/>
      <c r="B83" s="114"/>
      <c r="C83" s="114"/>
      <c r="D83" s="114"/>
      <c r="E83" s="85"/>
      <c r="F83" s="114"/>
      <c r="G83" s="114"/>
      <c r="H83" s="85"/>
    </row>
    <row r="84" spans="1:8" ht="15.75">
      <c r="A84" s="85"/>
      <c r="B84" s="114"/>
      <c r="C84" s="114"/>
      <c r="D84" s="114"/>
      <c r="E84" s="85"/>
      <c r="F84" s="114"/>
      <c r="G84" s="114"/>
      <c r="H84" s="85"/>
    </row>
    <row r="85" spans="1:8" ht="15.75">
      <c r="A85" s="85"/>
      <c r="B85" s="114"/>
      <c r="C85" s="114"/>
      <c r="D85" s="114"/>
      <c r="E85" s="85"/>
      <c r="F85" s="114"/>
      <c r="G85" s="114"/>
      <c r="H85" s="85"/>
    </row>
    <row r="86" spans="1:8" ht="15.75">
      <c r="A86" s="85"/>
      <c r="B86" s="114"/>
      <c r="C86" s="114"/>
      <c r="D86" s="114"/>
      <c r="E86" s="85"/>
      <c r="F86" s="114"/>
      <c r="G86" s="114"/>
      <c r="H86" s="85"/>
    </row>
    <row r="87" spans="1:8" ht="15.75">
      <c r="A87" s="85"/>
      <c r="B87" s="114"/>
      <c r="C87" s="114"/>
      <c r="D87" s="114"/>
      <c r="E87" s="85"/>
      <c r="F87" s="114"/>
      <c r="G87" s="114"/>
      <c r="H87" s="85"/>
    </row>
    <row r="88" spans="1:8" ht="15.75">
      <c r="A88" s="85"/>
      <c r="B88" s="114"/>
      <c r="C88" s="114"/>
      <c r="D88" s="114"/>
      <c r="E88" s="85"/>
      <c r="F88" s="114"/>
      <c r="G88" s="114"/>
      <c r="H88" s="85"/>
    </row>
    <row r="89" spans="1:8" ht="15.75">
      <c r="A89" s="85"/>
      <c r="B89" s="114"/>
      <c r="C89" s="114"/>
      <c r="D89" s="114"/>
      <c r="E89" s="85"/>
      <c r="F89" s="114"/>
      <c r="G89" s="114"/>
      <c r="H89" s="85"/>
    </row>
    <row r="90" spans="1:8" ht="15.75">
      <c r="A90" s="85"/>
      <c r="B90" s="114"/>
      <c r="C90" s="114"/>
      <c r="D90" s="114"/>
      <c r="E90" s="85"/>
      <c r="F90" s="114"/>
      <c r="G90" s="114"/>
      <c r="H90" s="85"/>
    </row>
    <row r="91" spans="1:8" ht="15.75">
      <c r="A91" s="85"/>
      <c r="B91" s="114"/>
      <c r="C91" s="114"/>
      <c r="D91" s="114"/>
      <c r="E91" s="85"/>
      <c r="F91" s="85"/>
      <c r="G91" s="85"/>
      <c r="H91" s="85"/>
    </row>
    <row r="92" spans="1:8" ht="15.75">
      <c r="A92" s="85"/>
      <c r="B92" s="114"/>
      <c r="C92" s="114"/>
      <c r="D92" s="114"/>
      <c r="E92" s="85"/>
      <c r="F92" s="85"/>
      <c r="G92" s="85"/>
      <c r="H92" s="85"/>
    </row>
    <row r="93" spans="1:8" ht="15.75">
      <c r="A93" s="85"/>
      <c r="B93" s="114"/>
      <c r="C93" s="114"/>
      <c r="D93" s="114"/>
      <c r="E93" s="85"/>
      <c r="F93" s="85"/>
      <c r="G93" s="85"/>
      <c r="H93" s="85"/>
    </row>
    <row r="94" spans="1:8" ht="15.75">
      <c r="A94" s="85"/>
      <c r="B94" s="114"/>
      <c r="C94" s="114"/>
      <c r="D94" s="114"/>
      <c r="E94" s="85"/>
      <c r="F94" s="85"/>
      <c r="G94" s="85"/>
      <c r="H94" s="85"/>
    </row>
    <row r="95" spans="1:8" ht="15.75">
      <c r="A95" s="85"/>
      <c r="B95" s="114"/>
      <c r="C95" s="114"/>
      <c r="D95" s="114"/>
      <c r="E95" s="85"/>
      <c r="F95" s="85"/>
      <c r="G95" s="85"/>
      <c r="H95" s="85"/>
    </row>
    <row r="96" spans="1:8" ht="15.75">
      <c r="A96" s="85"/>
      <c r="B96" s="114"/>
      <c r="C96" s="114"/>
      <c r="D96" s="114"/>
      <c r="E96" s="85"/>
      <c r="F96" s="85"/>
      <c r="G96" s="85"/>
      <c r="H96" s="85"/>
    </row>
    <row r="97" spans="1:8" ht="15.75">
      <c r="A97" s="85"/>
      <c r="B97" s="114"/>
      <c r="C97" s="114"/>
      <c r="D97" s="114"/>
      <c r="E97" s="85"/>
      <c r="F97" s="85"/>
      <c r="G97" s="85"/>
      <c r="H97" s="85"/>
    </row>
    <row r="98" spans="1:8" ht="15.75">
      <c r="A98" s="85"/>
      <c r="B98" s="114"/>
      <c r="C98" s="114"/>
      <c r="D98" s="114"/>
      <c r="E98" s="85"/>
      <c r="F98" s="85"/>
      <c r="G98" s="85"/>
      <c r="H98" s="85"/>
    </row>
    <row r="99" spans="1:8" ht="15.75">
      <c r="A99" s="85"/>
      <c r="B99" s="114"/>
      <c r="C99" s="114"/>
      <c r="D99" s="114"/>
      <c r="E99" s="85"/>
      <c r="F99" s="85"/>
      <c r="G99" s="85"/>
      <c r="H99" s="85"/>
    </row>
    <row r="100" spans="1:8" ht="15.75">
      <c r="A100" s="85"/>
      <c r="B100" s="114"/>
      <c r="C100" s="114"/>
      <c r="D100" s="114"/>
      <c r="E100" s="85"/>
      <c r="F100" s="85"/>
      <c r="G100" s="85"/>
      <c r="H100" s="85"/>
    </row>
    <row r="101" spans="1:8" ht="15.75">
      <c r="A101" s="85"/>
      <c r="B101" s="85"/>
      <c r="C101" s="85"/>
      <c r="D101" s="85"/>
      <c r="E101" s="85"/>
      <c r="F101" s="85"/>
      <c r="G101" s="85"/>
      <c r="H101" s="85"/>
    </row>
    <row r="102" spans="1:8" ht="15.75">
      <c r="A102" s="85"/>
      <c r="B102" s="85"/>
      <c r="C102" s="85"/>
      <c r="D102" s="85"/>
      <c r="E102" s="85"/>
      <c r="F102" s="85"/>
      <c r="G102" s="85"/>
      <c r="H102" s="85"/>
    </row>
    <row r="103" spans="1:8" ht="15.75">
      <c r="A103" s="85"/>
      <c r="B103" s="85"/>
      <c r="C103" s="85"/>
      <c r="D103" s="85"/>
      <c r="E103" s="85"/>
      <c r="F103" s="85"/>
      <c r="G103" s="85"/>
      <c r="H103" s="85"/>
    </row>
    <row r="104" spans="1:8" ht="15.75">
      <c r="A104" s="85"/>
      <c r="B104" s="85"/>
      <c r="C104" s="85"/>
      <c r="D104" s="85"/>
      <c r="E104" s="85"/>
      <c r="F104" s="85"/>
      <c r="G104" s="85"/>
      <c r="H104" s="85"/>
    </row>
    <row r="105" spans="1:8" ht="15.75">
      <c r="A105" s="85"/>
      <c r="B105" s="85"/>
      <c r="C105" s="85"/>
      <c r="D105" s="85"/>
      <c r="E105" s="85"/>
      <c r="F105" s="85"/>
      <c r="G105" s="85"/>
      <c r="H105" s="85"/>
    </row>
    <row r="106" spans="1:8" ht="15.75">
      <c r="A106" s="85"/>
      <c r="B106" s="85"/>
      <c r="C106" s="85"/>
      <c r="D106" s="85"/>
      <c r="E106" s="85"/>
      <c r="F106" s="85"/>
      <c r="G106" s="85"/>
      <c r="H106" s="85"/>
    </row>
    <row r="107" spans="1:8" ht="15.75">
      <c r="A107" s="85"/>
      <c r="B107" s="85"/>
      <c r="C107" s="85"/>
      <c r="D107" s="85"/>
      <c r="E107" s="85"/>
      <c r="F107" s="85"/>
      <c r="G107" s="85"/>
      <c r="H107" s="85"/>
    </row>
    <row r="108" spans="1:8" ht="15.75">
      <c r="A108" s="85"/>
      <c r="B108" s="85"/>
      <c r="C108" s="85"/>
      <c r="D108" s="85"/>
      <c r="E108" s="85"/>
      <c r="F108" s="85"/>
      <c r="G108" s="85"/>
      <c r="H108" s="85"/>
    </row>
    <row r="109" spans="1:8" ht="15.75">
      <c r="A109" s="85"/>
      <c r="B109" s="85"/>
      <c r="C109" s="85"/>
      <c r="D109" s="85"/>
      <c r="E109" s="85"/>
      <c r="F109" s="85"/>
      <c r="G109" s="85"/>
      <c r="H109" s="85"/>
    </row>
    <row r="110" spans="1:8" ht="15.75">
      <c r="A110" s="85"/>
      <c r="B110" s="85"/>
      <c r="C110" s="85"/>
      <c r="D110" s="85"/>
      <c r="E110" s="85"/>
      <c r="F110" s="85"/>
      <c r="G110" s="85"/>
      <c r="H110" s="85"/>
    </row>
    <row r="111" spans="1:8" ht="15.75">
      <c r="A111" s="85"/>
      <c r="B111" s="85"/>
      <c r="C111" s="85"/>
      <c r="D111" s="85"/>
      <c r="E111" s="85"/>
      <c r="F111" s="85"/>
      <c r="G111" s="85"/>
      <c r="H111" s="85"/>
    </row>
    <row r="112" spans="1:8" ht="15.75">
      <c r="A112" s="85"/>
      <c r="B112" s="85"/>
      <c r="C112" s="85"/>
      <c r="D112" s="85"/>
      <c r="E112" s="85"/>
      <c r="F112" s="85"/>
      <c r="G112" s="85"/>
      <c r="H112" s="85"/>
    </row>
    <row r="113" spans="1:8" ht="15.75">
      <c r="A113" s="85"/>
      <c r="B113" s="85"/>
      <c r="C113" s="85"/>
      <c r="D113" s="85"/>
      <c r="E113" s="85"/>
      <c r="F113" s="85"/>
      <c r="G113" s="85"/>
      <c r="H113" s="85"/>
    </row>
    <row r="114" spans="1:8" ht="15.75">
      <c r="A114" s="85"/>
      <c r="B114" s="85"/>
      <c r="C114" s="85"/>
      <c r="D114" s="85"/>
      <c r="E114" s="85"/>
      <c r="F114" s="85"/>
      <c r="G114" s="85"/>
      <c r="H114" s="85"/>
    </row>
    <row r="115" spans="1:8" ht="15.75">
      <c r="A115" s="85"/>
      <c r="B115" s="85"/>
      <c r="C115" s="85"/>
      <c r="D115" s="85"/>
      <c r="E115" s="85"/>
      <c r="F115" s="85"/>
      <c r="G115" s="85"/>
      <c r="H115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scale="57" orientation="portrait" r:id="rId1"/>
  <headerFooter alignWithMargins="0">
    <oddHeader>&amp;R&amp;"Times New Roman,Regular"Docket No. UE-090134
Exhibit No. __(HL-3)
Schedule C-1.1 (Electric)
REVISED 09/03/09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1"/>
  </sheetPr>
  <dimension ref="A1:F35"/>
  <sheetViews>
    <sheetView topLeftCell="A22" workbookViewId="0">
      <selection activeCell="A33" sqref="A33:B35"/>
    </sheetView>
  </sheetViews>
  <sheetFormatPr defaultRowHeight="15.75"/>
  <cols>
    <col min="1" max="1" width="36.7109375" style="85" customWidth="1"/>
    <col min="2" max="2" width="11" style="85" bestFit="1" customWidth="1"/>
    <col min="3" max="4" width="11.42578125" style="85" customWidth="1"/>
    <col min="5" max="5" width="9.85546875" style="85" bestFit="1" customWidth="1"/>
    <col min="6" max="6" width="9.140625" style="85"/>
  </cols>
  <sheetData>
    <row r="1" spans="1:6">
      <c r="A1" s="292" t="str">
        <f>'C-1.1'!A1:H1</f>
        <v>AVISTA UTILITIES</v>
      </c>
      <c r="B1" s="293"/>
      <c r="C1" s="293"/>
      <c r="D1" s="293"/>
      <c r="E1" s="293"/>
      <c r="F1" s="293"/>
    </row>
    <row r="2" spans="1:6">
      <c r="A2" s="292" t="str">
        <f>'C-1.1'!A2:H2</f>
        <v>Washington Electric System</v>
      </c>
      <c r="B2" s="293"/>
      <c r="C2" s="293"/>
      <c r="D2" s="293"/>
      <c r="E2" s="293"/>
      <c r="F2" s="293"/>
    </row>
    <row r="3" spans="1:6">
      <c r="A3" s="292" t="str">
        <f>'C-1.1'!A3:H3</f>
        <v>Test Year Twelve Months Ended September 30, 2008</v>
      </c>
      <c r="B3" s="293"/>
      <c r="C3" s="293"/>
      <c r="D3" s="293"/>
      <c r="E3" s="293"/>
      <c r="F3" s="293"/>
    </row>
    <row r="4" spans="1:6">
      <c r="A4" s="292" t="str">
        <f>'C-1.1'!A4:H4</f>
        <v>($000's of Dollars)</v>
      </c>
      <c r="B4" s="293"/>
      <c r="C4" s="293"/>
      <c r="D4" s="293"/>
      <c r="E4" s="293"/>
      <c r="F4" s="293"/>
    </row>
    <row r="5" spans="1:6">
      <c r="A5" s="201"/>
      <c r="B5" s="223"/>
      <c r="C5" s="223"/>
      <c r="D5" s="223"/>
      <c r="E5" s="272"/>
      <c r="F5" s="223"/>
    </row>
    <row r="6" spans="1:6">
      <c r="A6" s="201"/>
      <c r="B6" s="223"/>
      <c r="C6" s="223"/>
      <c r="D6" s="223"/>
      <c r="E6" s="223"/>
      <c r="F6" s="223"/>
    </row>
    <row r="7" spans="1:6">
      <c r="C7" s="295" t="s">
        <v>554</v>
      </c>
      <c r="D7" s="295"/>
      <c r="E7" s="295"/>
    </row>
    <row r="8" spans="1:6">
      <c r="C8" s="85" t="s">
        <v>544</v>
      </c>
    </row>
    <row r="9" spans="1:6">
      <c r="C9" s="85" t="s">
        <v>545</v>
      </c>
      <c r="D9" s="85" t="s">
        <v>546</v>
      </c>
    </row>
    <row r="10" spans="1:6">
      <c r="B10" s="89" t="s">
        <v>547</v>
      </c>
      <c r="C10" s="89" t="s">
        <v>548</v>
      </c>
      <c r="D10" s="89" t="s">
        <v>208</v>
      </c>
      <c r="E10" s="89" t="s">
        <v>590</v>
      </c>
    </row>
    <row r="12" spans="1:6">
      <c r="A12" s="189" t="s">
        <v>549</v>
      </c>
      <c r="B12" s="87">
        <v>557</v>
      </c>
      <c r="C12" s="114">
        <v>27303</v>
      </c>
      <c r="D12" s="114">
        <v>-27009</v>
      </c>
      <c r="E12" s="114">
        <f t="shared" ref="E12:E20" si="0">+C12+D12</f>
        <v>294</v>
      </c>
    </row>
    <row r="13" spans="1:6">
      <c r="A13" s="189"/>
      <c r="B13" s="87"/>
      <c r="C13" s="114"/>
      <c r="D13" s="114"/>
      <c r="E13" s="114"/>
    </row>
    <row r="14" spans="1:6">
      <c r="A14" s="189" t="s">
        <v>550</v>
      </c>
      <c r="B14" s="87">
        <v>201</v>
      </c>
      <c r="C14" s="114">
        <v>16166</v>
      </c>
      <c r="D14" s="114">
        <v>4125</v>
      </c>
      <c r="E14" s="114">
        <f t="shared" si="0"/>
        <v>20291</v>
      </c>
    </row>
    <row r="15" spans="1:6">
      <c r="A15" s="189"/>
      <c r="B15" s="87"/>
      <c r="C15" s="114"/>
      <c r="D15" s="114"/>
      <c r="E15" s="114"/>
    </row>
    <row r="16" spans="1:6">
      <c r="A16" s="189" t="s">
        <v>551</v>
      </c>
      <c r="B16" s="87">
        <v>547</v>
      </c>
      <c r="C16" s="114">
        <v>70014</v>
      </c>
      <c r="D16" s="114">
        <v>39995</v>
      </c>
      <c r="E16" s="274">
        <f>B31</f>
        <v>78563.358500000002</v>
      </c>
      <c r="F16" s="85" t="s">
        <v>216</v>
      </c>
    </row>
    <row r="17" spans="1:6">
      <c r="A17" s="189"/>
      <c r="B17" s="87"/>
      <c r="C17" s="114"/>
      <c r="D17" s="114"/>
      <c r="E17" s="114"/>
    </row>
    <row r="18" spans="1:6">
      <c r="A18" s="189" t="s">
        <v>552</v>
      </c>
      <c r="B18" s="87">
        <v>536</v>
      </c>
      <c r="C18" s="114">
        <v>422</v>
      </c>
      <c r="D18" s="114">
        <v>1</v>
      </c>
      <c r="E18" s="114">
        <f t="shared" si="0"/>
        <v>423</v>
      </c>
    </row>
    <row r="19" spans="1:6">
      <c r="A19" s="189"/>
      <c r="B19" s="87"/>
      <c r="C19" s="114"/>
      <c r="D19" s="114"/>
      <c r="E19" s="114"/>
    </row>
    <row r="20" spans="1:6">
      <c r="A20" s="189" t="s">
        <v>553</v>
      </c>
      <c r="B20" s="87">
        <v>549</v>
      </c>
      <c r="C20" s="167">
        <v>113</v>
      </c>
      <c r="D20" s="167">
        <v>-10</v>
      </c>
      <c r="E20" s="167">
        <f t="shared" si="0"/>
        <v>103</v>
      </c>
    </row>
    <row r="21" spans="1:6">
      <c r="A21" s="189"/>
      <c r="B21" s="87"/>
      <c r="C21" s="121"/>
      <c r="D21" s="121"/>
      <c r="E21" s="121"/>
      <c r="F21" s="83"/>
    </row>
    <row r="22" spans="1:6" ht="16.5" thickBot="1">
      <c r="A22" s="85" t="s">
        <v>412</v>
      </c>
      <c r="B22" s="87"/>
      <c r="C22" s="120">
        <f>SUM(C12:C20)</f>
        <v>114018</v>
      </c>
      <c r="D22" s="120">
        <f>SUM(D12:D20)</f>
        <v>17102</v>
      </c>
      <c r="E22" s="275">
        <f>SUM(E12:E20)</f>
        <v>99674.358500000002</v>
      </c>
    </row>
    <row r="23" spans="1:6" ht="16.5" thickTop="1">
      <c r="B23" s="87"/>
      <c r="C23" s="114"/>
      <c r="D23" s="114"/>
      <c r="E23" s="114"/>
    </row>
    <row r="24" spans="1:6">
      <c r="B24" s="87"/>
      <c r="C24" s="114"/>
      <c r="D24" s="114"/>
      <c r="E24" s="121"/>
    </row>
    <row r="25" spans="1:6">
      <c r="A25" s="89" t="s">
        <v>251</v>
      </c>
      <c r="B25" s="88"/>
      <c r="C25" s="114"/>
      <c r="D25" s="114"/>
      <c r="E25" s="121"/>
    </row>
    <row r="26" spans="1:6">
      <c r="A26" s="221" t="s">
        <v>568</v>
      </c>
      <c r="B26" s="221"/>
      <c r="E26" s="83"/>
    </row>
    <row r="27" spans="1:6">
      <c r="B27" s="221"/>
      <c r="E27" s="83"/>
    </row>
    <row r="28" spans="1:6">
      <c r="A28" s="221" t="s">
        <v>551</v>
      </c>
      <c r="B28" s="221"/>
      <c r="E28" s="83"/>
    </row>
    <row r="29" spans="1:6">
      <c r="A29" s="221" t="s">
        <v>207</v>
      </c>
      <c r="B29" s="220">
        <v>110009</v>
      </c>
    </row>
    <row r="30" spans="1:6">
      <c r="A30" s="221" t="s">
        <v>594</v>
      </c>
      <c r="B30" s="287">
        <f>-B35</f>
        <v>-31445.641500000002</v>
      </c>
    </row>
    <row r="31" spans="1:6">
      <c r="A31" s="222"/>
      <c r="B31" s="288">
        <f>SUM(B29:B30)</f>
        <v>78563.358500000002</v>
      </c>
      <c r="C31" s="221" t="s">
        <v>216</v>
      </c>
    </row>
    <row r="32" spans="1:6">
      <c r="B32" s="114"/>
    </row>
    <row r="33" spans="1:2">
      <c r="A33" s="289" t="s">
        <v>593</v>
      </c>
      <c r="B33" s="288">
        <v>48685</v>
      </c>
    </row>
    <row r="34" spans="1:2">
      <c r="A34" s="289" t="s">
        <v>595</v>
      </c>
      <c r="B34" s="290">
        <v>0.64590000000000003</v>
      </c>
    </row>
    <row r="35" spans="1:2">
      <c r="A35" s="289" t="s">
        <v>594</v>
      </c>
      <c r="B35" s="288">
        <f>+B33*B34</f>
        <v>31445.641500000002</v>
      </c>
    </row>
  </sheetData>
  <mergeCells count="5">
    <mergeCell ref="C7:E7"/>
    <mergeCell ref="A1:F1"/>
    <mergeCell ref="A2:F2"/>
    <mergeCell ref="A3:F3"/>
    <mergeCell ref="A4:F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UE-090134
Exhibit No. __(HL-3)
Schedule C-1.2 (Electric)
REVISED 09/03/09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3"/>
  <sheetViews>
    <sheetView workbookViewId="0">
      <selection activeCell="C19" sqref="C19"/>
    </sheetView>
  </sheetViews>
  <sheetFormatPr defaultRowHeight="12.75"/>
  <cols>
    <col min="2" max="2" width="1" customWidth="1"/>
    <col min="3" max="3" width="38.5703125" customWidth="1"/>
    <col min="4" max="4" width="1.140625" customWidth="1"/>
    <col min="5" max="5" width="13.5703125" customWidth="1"/>
    <col min="6" max="6" width="1" customWidth="1"/>
    <col min="7" max="7" width="10.5703125" bestFit="1" customWidth="1"/>
  </cols>
  <sheetData>
    <row r="1" spans="1:9" ht="15.75">
      <c r="A1" s="292" t="str">
        <f>A!A1</f>
        <v>AVISTA UTILITIES</v>
      </c>
      <c r="B1" s="292"/>
      <c r="C1" s="292"/>
      <c r="D1" s="292"/>
      <c r="E1" s="292"/>
      <c r="F1" s="292"/>
      <c r="G1" s="292"/>
      <c r="H1" s="292"/>
      <c r="I1" s="85"/>
    </row>
    <row r="2" spans="1:9" ht="15.75">
      <c r="A2" s="292" t="str">
        <f>'[1]A1 RevReq'!A2:I2</f>
        <v>Washington Electric System</v>
      </c>
      <c r="B2" s="292"/>
      <c r="C2" s="292"/>
      <c r="D2" s="292"/>
      <c r="E2" s="292"/>
      <c r="F2" s="292"/>
      <c r="G2" s="292"/>
      <c r="H2" s="292"/>
      <c r="I2" s="85"/>
    </row>
    <row r="3" spans="1:9" ht="15.75">
      <c r="A3" s="292" t="str">
        <f>'[1]A1 RevReq'!A3:I3</f>
        <v>Test Year Twelve Months Ended September 30, 2008</v>
      </c>
      <c r="B3" s="292"/>
      <c r="C3" s="292"/>
      <c r="D3" s="292"/>
      <c r="E3" s="292"/>
      <c r="F3" s="292"/>
      <c r="G3" s="292"/>
      <c r="H3" s="292"/>
      <c r="I3" s="85"/>
    </row>
    <row r="4" spans="1:9" ht="15.75">
      <c r="A4" s="292" t="str">
        <f>'[1]A1 RevReq'!A4:I4</f>
        <v>($000's of Dollars)</v>
      </c>
      <c r="B4" s="292"/>
      <c r="C4" s="292"/>
      <c r="D4" s="292"/>
      <c r="E4" s="292"/>
      <c r="F4" s="292"/>
      <c r="G4" s="292"/>
      <c r="H4" s="292"/>
      <c r="I4" s="85"/>
    </row>
    <row r="5" spans="1:9" ht="15.75">
      <c r="A5" s="85"/>
      <c r="B5" s="85"/>
      <c r="C5" s="85"/>
      <c r="D5" s="85"/>
      <c r="E5" s="85"/>
      <c r="F5" s="85"/>
      <c r="G5" s="85"/>
      <c r="H5" s="85"/>
      <c r="I5" s="85"/>
    </row>
    <row r="6" spans="1:9" ht="15.75">
      <c r="A6" s="85"/>
      <c r="B6" s="85"/>
      <c r="C6" s="85"/>
      <c r="D6" s="85"/>
      <c r="E6" s="85"/>
      <c r="F6" s="85"/>
      <c r="G6" s="85"/>
      <c r="H6" s="85"/>
      <c r="I6" s="85"/>
    </row>
    <row r="7" spans="1:9" ht="15.75">
      <c r="A7" s="85" t="s">
        <v>591</v>
      </c>
      <c r="B7" s="85"/>
      <c r="C7" s="85"/>
      <c r="D7" s="85"/>
      <c r="E7" s="85"/>
      <c r="F7" s="85"/>
      <c r="G7" s="83"/>
      <c r="H7" s="85"/>
      <c r="I7" s="85"/>
    </row>
    <row r="8" spans="1:9" ht="15.75">
      <c r="A8" s="85"/>
      <c r="B8" s="85"/>
      <c r="C8" s="85"/>
      <c r="D8" s="85"/>
      <c r="E8" s="85"/>
      <c r="F8" s="85"/>
      <c r="G8" s="83"/>
      <c r="H8" s="85"/>
      <c r="I8" s="85"/>
    </row>
    <row r="9" spans="1:9" ht="15.75">
      <c r="A9" s="88" t="s">
        <v>261</v>
      </c>
      <c r="B9" s="85"/>
      <c r="C9" s="89" t="s">
        <v>192</v>
      </c>
      <c r="D9" s="83"/>
      <c r="E9" s="89" t="s">
        <v>238</v>
      </c>
      <c r="F9" s="85"/>
      <c r="G9" s="83"/>
      <c r="H9" s="85"/>
      <c r="I9" s="85"/>
    </row>
    <row r="10" spans="1:9" ht="15.75">
      <c r="A10" s="87"/>
      <c r="B10" s="85"/>
      <c r="C10" s="85"/>
      <c r="D10" s="85"/>
      <c r="E10" s="85"/>
      <c r="F10" s="85"/>
      <c r="G10" s="83"/>
      <c r="H10" s="85"/>
      <c r="I10" s="85"/>
    </row>
    <row r="11" spans="1:9" ht="15.75">
      <c r="A11" s="85"/>
      <c r="B11" s="159" t="s">
        <v>262</v>
      </c>
      <c r="C11" s="159"/>
      <c r="D11" s="159"/>
      <c r="E11" s="114"/>
      <c r="F11" s="85"/>
      <c r="G11" s="85"/>
      <c r="H11" s="85"/>
      <c r="I11" s="85"/>
    </row>
    <row r="12" spans="1:9" ht="15.75">
      <c r="A12" s="160">
        <v>1</v>
      </c>
      <c r="B12" s="159"/>
      <c r="C12" s="159" t="s">
        <v>263</v>
      </c>
      <c r="D12" s="159"/>
      <c r="E12" s="114">
        <f>('C-2.1'!K55+'C-2.1'!K71)/1000</f>
        <v>539.03905499999996</v>
      </c>
      <c r="F12" s="85"/>
      <c r="G12" s="189" t="s">
        <v>556</v>
      </c>
      <c r="H12" s="85"/>
      <c r="I12" s="85"/>
    </row>
    <row r="13" spans="1:9" ht="15.75">
      <c r="A13" s="160">
        <v>2</v>
      </c>
      <c r="B13" s="159"/>
      <c r="C13" s="159" t="s">
        <v>264</v>
      </c>
      <c r="D13" s="159"/>
      <c r="E13" s="114"/>
      <c r="F13" s="85"/>
      <c r="G13" s="85"/>
      <c r="H13" s="85"/>
      <c r="I13" s="85"/>
    </row>
    <row r="14" spans="1:9" ht="15.75">
      <c r="A14" s="160">
        <v>3</v>
      </c>
      <c r="B14" s="159"/>
      <c r="C14" s="159" t="s">
        <v>265</v>
      </c>
      <c r="D14" s="159"/>
      <c r="E14" s="114"/>
      <c r="F14" s="85"/>
      <c r="G14" s="87"/>
      <c r="H14" s="85"/>
      <c r="I14" s="85"/>
    </row>
    <row r="15" spans="1:9" ht="15.75">
      <c r="A15" s="160">
        <v>4</v>
      </c>
      <c r="B15" s="159"/>
      <c r="C15" s="159" t="s">
        <v>70</v>
      </c>
      <c r="D15" s="159"/>
      <c r="E15" s="167"/>
      <c r="F15" s="85"/>
      <c r="G15" s="85"/>
      <c r="H15" s="85"/>
      <c r="I15" s="85"/>
    </row>
    <row r="16" spans="1:9" ht="15.75">
      <c r="A16" s="160">
        <v>5</v>
      </c>
      <c r="B16" s="159"/>
      <c r="C16" s="159" t="s">
        <v>266</v>
      </c>
      <c r="D16" s="85"/>
      <c r="E16" s="114">
        <f>SUM(E12:E15)</f>
        <v>539.03905499999996</v>
      </c>
      <c r="F16" s="85"/>
      <c r="G16" s="85"/>
      <c r="H16" s="85"/>
      <c r="I16" s="85"/>
    </row>
    <row r="17" spans="1:9" ht="15.75">
      <c r="A17" s="160"/>
      <c r="B17" s="159"/>
      <c r="C17" s="159"/>
      <c r="D17" s="159"/>
      <c r="E17" s="114"/>
      <c r="F17" s="85"/>
      <c r="G17" s="85"/>
      <c r="H17" s="85"/>
      <c r="I17" s="85"/>
    </row>
    <row r="18" spans="1:9" ht="15.75">
      <c r="A18" s="160"/>
      <c r="B18" s="159" t="s">
        <v>267</v>
      </c>
      <c r="C18" s="159"/>
      <c r="D18" s="159"/>
      <c r="E18" s="114"/>
      <c r="F18" s="85"/>
      <c r="G18" s="85"/>
      <c r="H18" s="85"/>
      <c r="I18" s="85"/>
    </row>
    <row r="19" spans="1:9" ht="15.75">
      <c r="A19" s="160">
        <v>6</v>
      </c>
      <c r="B19" s="159"/>
      <c r="C19" s="159" t="s">
        <v>263</v>
      </c>
      <c r="D19" s="159"/>
      <c r="E19" s="114">
        <f>'C-2.1'!K93/1000</f>
        <v>482.10987999999992</v>
      </c>
      <c r="F19" s="85"/>
      <c r="G19" s="87" t="s">
        <v>557</v>
      </c>
      <c r="H19" s="85"/>
      <c r="I19" s="85"/>
    </row>
    <row r="20" spans="1:9" ht="15.75">
      <c r="A20" s="160">
        <v>7</v>
      </c>
      <c r="B20" s="159"/>
      <c r="C20" s="159" t="s">
        <v>25</v>
      </c>
      <c r="D20" s="159"/>
      <c r="E20" s="114"/>
      <c r="F20" s="85"/>
      <c r="G20" s="85"/>
      <c r="H20" s="85"/>
      <c r="I20" s="85"/>
    </row>
    <row r="21" spans="1:9" ht="15.75">
      <c r="A21" s="160">
        <v>8</v>
      </c>
      <c r="B21" s="159"/>
      <c r="C21" s="159" t="s">
        <v>70</v>
      </c>
      <c r="D21" s="159"/>
      <c r="E21" s="167"/>
      <c r="F21" s="85"/>
      <c r="G21" s="85"/>
      <c r="H21" s="85"/>
      <c r="I21" s="85"/>
    </row>
    <row r="22" spans="1:9" ht="15.75">
      <c r="A22" s="160">
        <v>9</v>
      </c>
      <c r="B22" s="159"/>
      <c r="C22" s="159" t="s">
        <v>268</v>
      </c>
      <c r="D22" s="85"/>
      <c r="E22" s="114">
        <f>SUM(E19:E21)</f>
        <v>482.10987999999992</v>
      </c>
      <c r="F22" s="85"/>
      <c r="G22" s="85"/>
      <c r="H22" s="85"/>
      <c r="I22" s="85"/>
    </row>
    <row r="23" spans="1:9" ht="15.75">
      <c r="A23" s="160"/>
      <c r="B23" s="159"/>
      <c r="C23" s="159"/>
      <c r="D23" s="159"/>
      <c r="E23" s="114"/>
      <c r="F23" s="85"/>
      <c r="G23" s="85"/>
      <c r="H23" s="85"/>
      <c r="I23" s="85"/>
    </row>
    <row r="24" spans="1:9" ht="15.75">
      <c r="A24" s="160">
        <v>10</v>
      </c>
      <c r="B24" s="159" t="s">
        <v>269</v>
      </c>
      <c r="C24" s="159"/>
      <c r="D24" s="159"/>
      <c r="E24" s="114">
        <f>'C-2.1'!K100/1000</f>
        <v>169.75608499999998</v>
      </c>
      <c r="F24" s="85"/>
      <c r="G24" s="189" t="s">
        <v>558</v>
      </c>
      <c r="H24" s="85"/>
      <c r="I24" s="85"/>
    </row>
    <row r="25" spans="1:9" ht="15.75">
      <c r="A25" s="160">
        <v>11</v>
      </c>
      <c r="B25" s="159" t="s">
        <v>270</v>
      </c>
      <c r="C25" s="159"/>
      <c r="D25" s="159"/>
      <c r="E25" s="114">
        <f>'C-2.1'!K107/1000</f>
        <v>8.4972500000000011</v>
      </c>
      <c r="F25" s="85"/>
      <c r="G25" s="189" t="s">
        <v>559</v>
      </c>
      <c r="H25" s="85"/>
      <c r="I25" s="85"/>
    </row>
    <row r="26" spans="1:9" ht="15.75">
      <c r="A26" s="160">
        <v>12</v>
      </c>
      <c r="B26" s="159" t="s">
        <v>271</v>
      </c>
      <c r="C26" s="159"/>
      <c r="D26" s="159"/>
      <c r="E26" s="114">
        <f>'C-2.1'!K114/1000</f>
        <v>13.2437</v>
      </c>
      <c r="F26" s="85"/>
      <c r="G26" s="189" t="s">
        <v>560</v>
      </c>
      <c r="H26" s="85"/>
      <c r="I26" s="85"/>
    </row>
    <row r="27" spans="1:9" ht="15.75">
      <c r="A27" s="160"/>
      <c r="B27" s="159"/>
      <c r="C27" s="159"/>
      <c r="D27" s="159"/>
      <c r="E27" s="114"/>
      <c r="F27" s="85"/>
      <c r="G27" s="85"/>
      <c r="H27" s="85"/>
      <c r="I27" s="85"/>
    </row>
    <row r="28" spans="1:9" ht="15.75">
      <c r="A28" s="160"/>
      <c r="B28" s="159" t="s">
        <v>272</v>
      </c>
      <c r="C28" s="159"/>
      <c r="D28" s="159"/>
      <c r="E28" s="114"/>
      <c r="F28" s="85"/>
      <c r="G28" s="85"/>
      <c r="H28" s="85"/>
      <c r="I28" s="85"/>
    </row>
    <row r="29" spans="1:9" ht="15.75">
      <c r="A29" s="160">
        <v>13</v>
      </c>
      <c r="B29" s="159"/>
      <c r="C29" s="159" t="s">
        <v>263</v>
      </c>
      <c r="D29" s="159"/>
      <c r="E29" s="114">
        <f>'C-2.1'!K128/1000</f>
        <v>321.32910000000004</v>
      </c>
      <c r="F29" s="85"/>
      <c r="G29" s="87" t="s">
        <v>516</v>
      </c>
      <c r="H29" s="85"/>
      <c r="I29" s="85"/>
    </row>
    <row r="30" spans="1:9" ht="15.75">
      <c r="A30" s="160">
        <v>14</v>
      </c>
      <c r="B30" s="159"/>
      <c r="C30" s="159" t="s">
        <v>25</v>
      </c>
      <c r="D30" s="159"/>
      <c r="E30" s="114"/>
      <c r="F30" s="85"/>
      <c r="G30" s="85"/>
      <c r="H30" s="85"/>
      <c r="I30" s="85"/>
    </row>
    <row r="31" spans="1:9" ht="15.75">
      <c r="A31" s="160">
        <v>15</v>
      </c>
      <c r="B31" s="159"/>
      <c r="C31" s="159" t="s">
        <v>70</v>
      </c>
      <c r="D31" s="159"/>
      <c r="E31" s="167"/>
      <c r="F31" s="85"/>
      <c r="G31" s="85"/>
      <c r="H31" s="85"/>
      <c r="I31" s="85"/>
    </row>
    <row r="32" spans="1:9" ht="15.75">
      <c r="A32" s="160">
        <v>16</v>
      </c>
      <c r="B32" s="159"/>
      <c r="C32" s="159" t="s">
        <v>273</v>
      </c>
      <c r="D32" s="159"/>
      <c r="E32" s="168">
        <f>SUM(E29:E31)</f>
        <v>321.32910000000004</v>
      </c>
      <c r="F32" s="85"/>
      <c r="G32" s="85"/>
      <c r="H32" s="85"/>
      <c r="I32" s="85"/>
    </row>
    <row r="33" spans="1:9" ht="15.75">
      <c r="A33" s="160">
        <v>17</v>
      </c>
      <c r="B33" s="159" t="s">
        <v>274</v>
      </c>
      <c r="C33" s="159"/>
      <c r="D33" s="159"/>
      <c r="E33" s="114">
        <f>+E16+E22+E24+E25+E26+E32</f>
        <v>1533.97507</v>
      </c>
      <c r="F33" s="85"/>
      <c r="G33" s="85"/>
      <c r="H33" s="85"/>
      <c r="I33" s="85"/>
    </row>
    <row r="34" spans="1:9" ht="15.75">
      <c r="A34" s="160"/>
      <c r="B34" s="159"/>
      <c r="C34" s="159"/>
      <c r="D34" s="159"/>
      <c r="E34" s="85"/>
      <c r="F34" s="85"/>
      <c r="G34" s="85"/>
      <c r="H34" s="85"/>
      <c r="I34" s="85"/>
    </row>
    <row r="35" spans="1:9" ht="15.75">
      <c r="A35" s="161">
        <v>18</v>
      </c>
      <c r="B35" s="84"/>
      <c r="C35" s="162" t="s">
        <v>246</v>
      </c>
      <c r="D35" s="84"/>
      <c r="E35" s="163">
        <v>0.35</v>
      </c>
      <c r="F35" s="85"/>
      <c r="G35" s="85"/>
      <c r="H35" s="85"/>
      <c r="I35" s="85"/>
    </row>
    <row r="36" spans="1:9" ht="15.75">
      <c r="A36" s="161"/>
      <c r="B36" s="84"/>
      <c r="C36" s="164"/>
      <c r="D36" s="84"/>
      <c r="E36" s="165"/>
      <c r="F36" s="85"/>
      <c r="G36" s="85"/>
      <c r="H36" s="85"/>
      <c r="I36" s="85"/>
    </row>
    <row r="37" spans="1:9" ht="15.75">
      <c r="A37" s="161">
        <v>19</v>
      </c>
      <c r="B37" s="84"/>
      <c r="C37" s="162" t="s">
        <v>508</v>
      </c>
      <c r="D37" s="84"/>
      <c r="E37" s="117">
        <f>-E33*E35</f>
        <v>-536.89127450000001</v>
      </c>
      <c r="F37" s="85"/>
      <c r="G37" s="85"/>
      <c r="H37" s="85"/>
      <c r="I37" s="85"/>
    </row>
    <row r="38" spans="1:9" ht="15.75">
      <c r="A38" s="161"/>
      <c r="B38" s="84"/>
      <c r="C38" s="164"/>
      <c r="D38" s="84"/>
      <c r="E38" s="165"/>
      <c r="F38" s="85"/>
      <c r="G38" s="85"/>
      <c r="H38" s="85"/>
      <c r="I38" s="85"/>
    </row>
    <row r="39" spans="1:9" ht="16.5" thickBot="1">
      <c r="A39" s="161">
        <v>20</v>
      </c>
      <c r="B39" s="84"/>
      <c r="C39" s="162" t="s">
        <v>461</v>
      </c>
      <c r="D39" s="84"/>
      <c r="E39" s="166">
        <f>-E33-E37</f>
        <v>-997.08379549999995</v>
      </c>
      <c r="F39" s="85"/>
      <c r="G39" s="85"/>
      <c r="H39" s="85"/>
      <c r="I39" s="85"/>
    </row>
    <row r="40" spans="1:9" ht="16.5" thickTop="1">
      <c r="A40" s="85"/>
      <c r="B40" s="85"/>
      <c r="C40" s="85"/>
      <c r="D40" s="85"/>
      <c r="E40" s="85"/>
      <c r="F40" s="85"/>
      <c r="G40" s="85"/>
      <c r="H40" s="85"/>
      <c r="I40" s="85"/>
    </row>
    <row r="41" spans="1:9" ht="15.75">
      <c r="A41" s="89" t="s">
        <v>251</v>
      </c>
      <c r="B41" s="89"/>
      <c r="C41" s="89"/>
      <c r="D41" s="85"/>
      <c r="E41" s="85"/>
      <c r="F41" s="85"/>
      <c r="G41" s="85"/>
      <c r="H41" s="85"/>
      <c r="I41" s="85"/>
    </row>
    <row r="42" spans="1:9" ht="15.75">
      <c r="A42" s="85" t="s">
        <v>371</v>
      </c>
      <c r="B42" s="85"/>
      <c r="C42" s="85"/>
      <c r="D42" s="85"/>
      <c r="E42" s="85"/>
      <c r="F42" s="85"/>
      <c r="G42" s="85"/>
      <c r="H42" s="85"/>
      <c r="I42" s="85"/>
    </row>
    <row r="43" spans="1:9" ht="15.75">
      <c r="A43" s="85"/>
      <c r="B43" s="85"/>
      <c r="C43" s="85"/>
      <c r="D43" s="85"/>
      <c r="E43" s="85"/>
      <c r="F43" s="85"/>
      <c r="G43" s="85"/>
      <c r="H43" s="85"/>
      <c r="I43" s="85"/>
    </row>
  </sheetData>
  <mergeCells count="4">
    <mergeCell ref="A1:H1"/>
    <mergeCell ref="A2:H2"/>
    <mergeCell ref="A3:H3"/>
    <mergeCell ref="A4:H4"/>
  </mergeCells>
  <phoneticPr fontId="12" type="noConversion"/>
  <pageMargins left="0.75" right="0.75" top="1" bottom="1" header="0.5" footer="0.5"/>
  <pageSetup orientation="portrait" r:id="rId1"/>
  <headerFooter alignWithMargins="0">
    <oddHeader>&amp;R&amp;"Times New Roman,Regular"Docket No. UE-290134
Exhibit Ho. __(HL-3)
Schedule C-2 (Electric)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2009-01-23T08:00:00+00:00</OpenedDate>
    <Date1 xmlns="dc463f71-b30c-4ab2-9473-d307f9d35888">2009-09-30T07:00:00+00:00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090134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CEE90129439E84DA799E573E626D7C9" ma:contentTypeVersion="123" ma:contentTypeDescription="" ma:contentTypeScope="" ma:versionID="2c61966dbd9e2250be38591c4b9692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E42E3B-703A-4D03-8744-50EF08ADF282}"/>
</file>

<file path=customXml/itemProps2.xml><?xml version="1.0" encoding="utf-8"?>
<ds:datastoreItem xmlns:ds="http://schemas.openxmlformats.org/officeDocument/2006/customXml" ds:itemID="{6485C8B5-CB0C-467E-B46D-E138166FF583}"/>
</file>

<file path=customXml/itemProps3.xml><?xml version="1.0" encoding="utf-8"?>
<ds:datastoreItem xmlns:ds="http://schemas.openxmlformats.org/officeDocument/2006/customXml" ds:itemID="{FE35888B-B063-45C9-AA19-FDA449E4F92A}"/>
</file>

<file path=customXml/itemProps4.xml><?xml version="1.0" encoding="utf-8"?>
<ds:datastoreItem xmlns:ds="http://schemas.openxmlformats.org/officeDocument/2006/customXml" ds:itemID="{F1F0F06D-FB46-4AA8-911E-1A62D1672E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4</vt:i4>
      </vt:variant>
    </vt:vector>
  </HeadingPairs>
  <TitlesOfParts>
    <vt:vector size="30" baseType="lpstr">
      <vt:lpstr>A</vt:lpstr>
      <vt:lpstr>A-1</vt:lpstr>
      <vt:lpstr>A-2</vt:lpstr>
      <vt:lpstr>B</vt:lpstr>
      <vt:lpstr>C</vt:lpstr>
      <vt:lpstr>C-1</vt:lpstr>
      <vt:lpstr>C-1.1</vt:lpstr>
      <vt:lpstr>C-1.2</vt:lpstr>
      <vt:lpstr>C-2</vt:lpstr>
      <vt:lpstr>C-2.1</vt:lpstr>
      <vt:lpstr>C-3</vt:lpstr>
      <vt:lpstr>C-4</vt:lpstr>
      <vt:lpstr>C-4.1</vt:lpstr>
      <vt:lpstr>C-5</vt:lpstr>
      <vt:lpstr>C-5.1</vt:lpstr>
      <vt:lpstr>C-6</vt:lpstr>
      <vt:lpstr>C-7</vt:lpstr>
      <vt:lpstr>C-8</vt:lpstr>
      <vt:lpstr>C-9</vt:lpstr>
      <vt:lpstr>C-10</vt:lpstr>
      <vt:lpstr>C-11</vt:lpstr>
      <vt:lpstr>C-12</vt:lpstr>
      <vt:lpstr>c-13</vt:lpstr>
      <vt:lpstr>C-14</vt:lpstr>
      <vt:lpstr>C-15</vt:lpstr>
      <vt:lpstr>D</vt:lpstr>
      <vt:lpstr>'A-1'!Print_Area</vt:lpstr>
      <vt:lpstr>'C-2.1'!Print_Area</vt:lpstr>
      <vt:lpstr>'A-1'!Print_Titles</vt:lpstr>
      <vt:lpstr>'C-2.1'!Print_Titles</vt:lpstr>
    </vt:vector>
  </TitlesOfParts>
  <Company>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Larkin &amp; Associates PLLC</dc:creator>
  <cp:lastModifiedBy>carolw</cp:lastModifiedBy>
  <cp:lastPrinted>2009-09-03T14:52:29Z</cp:lastPrinted>
  <dcterms:created xsi:type="dcterms:W3CDTF">2009-08-06T13:13:09Z</dcterms:created>
  <dcterms:modified xsi:type="dcterms:W3CDTF">2009-09-03T16:14:25Z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0x0101006E56B4D1795A2E4DB2F0B01679ED314A00ACEE90129439E84DA799E573E626D7C9</vt:lpwstr>
  </property>
  <property fmtid="{D5CDD505-2E9C-101B-9397-08002B2CF9AE}" pid="3" name="_docset_NoMedatataSyncRequired">
    <vt:lpwstr>False</vt:lpwstr>
  </property>
</Properties>
</file>