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" windowWidth="11040" windowHeight="7890" tabRatio="776" firstSheet="2" activeTab="10"/>
  </bookViews>
  <sheets>
    <sheet name="December 98" sheetId="1" r:id="rId1"/>
    <sheet name="June 99" sheetId="2" r:id="rId2"/>
    <sheet name="December 99" sheetId="3" r:id="rId3"/>
    <sheet name="Jun 00" sheetId="4" r:id="rId4"/>
    <sheet name="December 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Rates of Return" sheetId="11" r:id="rId11"/>
  </sheets>
  <externalReferences>
    <externalReference r:id="rId14"/>
  </externalReferences>
  <definedNames>
    <definedName name="A">'December 98'!$A$1:$I$40</definedName>
    <definedName name="B">'December 98'!$A$42:$H$98</definedName>
    <definedName name="PRINT">'December 98'!$A$1:$I$51</definedName>
    <definedName name="_xlnm.Print_Area" localSheetId="0">'December 98'!$A$1:$I$51</definedName>
    <definedName name="_xlnm.Print_Area" localSheetId="10">'Rates of Return'!$A$1:$H$8</definedName>
    <definedName name="_xlnm.Print_Area">'December 98'!$A$1:$I$51</definedName>
  </definedNames>
  <calcPr fullCalcOnLoad="1"/>
</workbook>
</file>

<file path=xl/comments6.xml><?xml version="1.0" encoding="utf-8"?>
<comments xmlns="http://schemas.openxmlformats.org/spreadsheetml/2006/main">
  <authors>
    <author>Information Services</author>
  </authors>
  <commentList>
    <comment ref="C43" authorId="0">
      <text>
        <r>
          <rPr>
            <b/>
            <sz val="8"/>
            <rFont val="Tahoma"/>
            <family val="0"/>
          </rPr>
          <t>Information Services:</t>
        </r>
        <r>
          <rPr>
            <sz val="8"/>
            <rFont val="Tahoma"/>
            <family val="0"/>
          </rPr>
          <t xml:space="preserve">
adjusted uncollectible</t>
        </r>
      </text>
    </comment>
  </commentList>
</comments>
</file>

<file path=xl/sharedStrings.xml><?xml version="1.0" encoding="utf-8"?>
<sst xmlns="http://schemas.openxmlformats.org/spreadsheetml/2006/main" count="944" uniqueCount="95">
  <si>
    <t xml:space="preserve">           WASHINGTON NATURAL GAS UTILITIES</t>
  </si>
  <si>
    <t xml:space="preserve"> RESTATED AND NORMALIZED RESULTS OF OPERATIONS</t>
  </si>
  <si>
    <t xml:space="preserve">     (000)</t>
  </si>
  <si>
    <t>WA WATER</t>
  </si>
  <si>
    <t>PEGET SOUND</t>
  </si>
  <si>
    <t>NORTHWEST</t>
  </si>
  <si>
    <t>CASCADE</t>
  </si>
  <si>
    <t>POWER-GAS</t>
  </si>
  <si>
    <t>ENERGY</t>
  </si>
  <si>
    <t>NATURAL GAS</t>
  </si>
  <si>
    <t>(Total Company)</t>
  </si>
  <si>
    <t>Year ended 12/31/98</t>
  </si>
  <si>
    <t>Year ended 12/31-98</t>
  </si>
  <si>
    <t>-</t>
  </si>
  <si>
    <t>Docket Number</t>
  </si>
  <si>
    <t>UG-990731</t>
  </si>
  <si>
    <t>UG-990641</t>
  </si>
  <si>
    <t>UG-990648</t>
  </si>
  <si>
    <t>UG-990649</t>
  </si>
  <si>
    <t>WASHINGTON RESULTS OF OPERATIONS</t>
  </si>
  <si>
    <t>PER BOOKS:</t>
  </si>
  <si>
    <t>----------</t>
  </si>
  <si>
    <t xml:space="preserve">     Operating Revenues</t>
  </si>
  <si>
    <t xml:space="preserve">     Operating Expenses</t>
  </si>
  <si>
    <t xml:space="preserve">     Net Operating Income</t>
  </si>
  <si>
    <t>=</t>
  </si>
  <si>
    <t xml:space="preserve">     Rate Base</t>
  </si>
  <si>
    <t xml:space="preserve">     Rate of Return-Per Books</t>
  </si>
  <si>
    <t>RESTATED &amp; NORMALIZED:</t>
  </si>
  <si>
    <t>----------------------</t>
  </si>
  <si>
    <t xml:space="preserve">     Rate of Return-Normalized</t>
  </si>
  <si>
    <t>STAFF AUDITED</t>
  </si>
  <si>
    <t>Authorized Rate of Return</t>
  </si>
  <si>
    <t>Per Docket Number</t>
  </si>
  <si>
    <t>UG-971071</t>
  </si>
  <si>
    <t>UG-950278</t>
  </si>
  <si>
    <t>UG-970932</t>
  </si>
  <si>
    <t>UG-951415</t>
  </si>
  <si>
    <t>Avista</t>
  </si>
  <si>
    <t>Utilities</t>
  </si>
  <si>
    <t>Year ended 6/30/99</t>
  </si>
  <si>
    <t>UG-991687</t>
  </si>
  <si>
    <t>UG-991666</t>
  </si>
  <si>
    <t>UG-991564</t>
  </si>
  <si>
    <t>UG-991536</t>
  </si>
  <si>
    <t>Year ended 12/31/99</t>
  </si>
  <si>
    <t>UG-000635</t>
  </si>
  <si>
    <t>UG-000642</t>
  </si>
  <si>
    <t>Year ended 12/31/00</t>
  </si>
  <si>
    <t>UG-010691</t>
  </si>
  <si>
    <t>UG-010621</t>
  </si>
  <si>
    <t>(Washington Only)</t>
  </si>
  <si>
    <t>UG-991607</t>
  </si>
  <si>
    <t>UG-010673</t>
  </si>
  <si>
    <t>UG-010645</t>
  </si>
  <si>
    <t>Year ended 6/30/00</t>
  </si>
  <si>
    <t>UG-001670</t>
  </si>
  <si>
    <t>UG-001685</t>
  </si>
  <si>
    <t>UG-001668</t>
  </si>
  <si>
    <t>Year ended 12/31/01</t>
  </si>
  <si>
    <t>UG-020526</t>
  </si>
  <si>
    <t xml:space="preserve">     Return on Common Equity</t>
  </si>
  <si>
    <t>Year ended 12/31/02</t>
  </si>
  <si>
    <t>UG-021456</t>
  </si>
  <si>
    <t>UG-021530</t>
  </si>
  <si>
    <t>UG-020553</t>
  </si>
  <si>
    <t>UG-030154</t>
  </si>
  <si>
    <t>Year ended 9/30/02</t>
  </si>
  <si>
    <t>UG-030597</t>
  </si>
  <si>
    <t>UG-030599</t>
  </si>
  <si>
    <t>UG-030606</t>
  </si>
  <si>
    <t>PUGET SOUND</t>
  </si>
  <si>
    <t>Year ended 12/31/03</t>
  </si>
  <si>
    <t>Year ended 9/30/03</t>
  </si>
  <si>
    <t>Year ended 12/31/04</t>
  </si>
  <si>
    <t>Year ended 9/30/04</t>
  </si>
  <si>
    <t>UG-041177</t>
  </si>
  <si>
    <t>UG-011571</t>
  </si>
  <si>
    <t>UG-050663</t>
  </si>
  <si>
    <t>UG-050634</t>
  </si>
  <si>
    <t>UG-041515</t>
  </si>
  <si>
    <t>UG-040787</t>
  </si>
  <si>
    <t>UG-041947</t>
  </si>
  <si>
    <t>UG-050665</t>
  </si>
  <si>
    <t>UG-040125</t>
  </si>
  <si>
    <t>UG-050182</t>
  </si>
  <si>
    <t>Effective Date</t>
  </si>
  <si>
    <t>PSE</t>
  </si>
  <si>
    <t>NWN</t>
  </si>
  <si>
    <t>Wamer (-Cold)</t>
  </si>
  <si>
    <t>CASCADE*</t>
  </si>
  <si>
    <t>*Cascade results are 12 months ended December for 2000 and 2001 and September ended for 2002-2005</t>
  </si>
  <si>
    <t>Year ended 12/31/05</t>
  </si>
  <si>
    <t>Year ended 9/30/05</t>
  </si>
  <si>
    <t>UG-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</si>
</sst>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0_);\(0\)"/>
  </numFmts>
  <fonts count="19">
    <font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4.75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37" fontId="4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Alignment="1" applyProtection="1" quotePrefix="1">
      <alignment horizontal="left"/>
      <protection/>
    </xf>
    <xf numFmtId="10" fontId="2" fillId="0" borderId="0" xfId="21" applyNumberFormat="1" applyFont="1" applyAlignment="1" applyProtection="1">
      <alignment/>
      <protection/>
    </xf>
    <xf numFmtId="10" fontId="4" fillId="0" borderId="0" xfId="21" applyNumberFormat="1" applyFont="1" applyAlignment="1" applyProtection="1">
      <alignment/>
      <protection/>
    </xf>
    <xf numFmtId="10" fontId="4" fillId="0" borderId="0" xfId="21" applyNumberFormat="1" applyFont="1" applyAlignment="1" applyProtection="1">
      <alignment/>
      <protection/>
    </xf>
    <xf numFmtId="10" fontId="11" fillId="0" borderId="0" xfId="0" applyNumberFormat="1" applyFont="1" applyAlignment="1" applyProtection="1">
      <alignment/>
      <protection/>
    </xf>
    <xf numFmtId="37" fontId="11" fillId="0" borderId="0" xfId="0" applyFont="1" applyAlignment="1" applyProtection="1">
      <alignment horizontal="right"/>
      <protection/>
    </xf>
    <xf numFmtId="10" fontId="12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right"/>
      <protection/>
    </xf>
    <xf numFmtId="10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fill"/>
      <protection/>
    </xf>
    <xf numFmtId="5" fontId="13" fillId="0" borderId="0" xfId="0" applyNumberFormat="1" applyFont="1" applyAlignment="1" applyProtection="1">
      <alignment/>
      <protection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10" fontId="12" fillId="0" borderId="0" xfId="21" applyNumberFormat="1" applyFont="1" applyAlignment="1">
      <alignment/>
    </xf>
    <xf numFmtId="10" fontId="4" fillId="0" borderId="0" xfId="21" applyNumberFormat="1" applyFont="1" applyAlignment="1" applyProtection="1">
      <alignment horizontal="right"/>
      <protection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0" fontId="6" fillId="0" borderId="2" xfId="0" applyNumberFormat="1" applyFont="1" applyBorder="1" applyAlignment="1">
      <alignment/>
    </xf>
    <xf numFmtId="37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Gas Actual Rates of Return - Washington
</a:t>
            </a:r>
          </a:p>
        </c:rich>
      </c:tx>
      <c:layout>
        <c:manualLayout>
          <c:xMode val="factor"/>
          <c:yMode val="factor"/>
          <c:x val="-0.038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275"/>
          <c:w val="0.7847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'Rates of Return'!$B$1</c:f>
              <c:strCache>
                <c:ptCount val="1"/>
                <c:pt idx="0">
                  <c:v>Avista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'Rates of Return'!$A$2:$A$7</c:f>
              <c:numCache/>
            </c:numRef>
          </c:cat>
          <c:val>
            <c:numRef>
              <c:f>'Rates of Return'!$B$2:$B$7</c:f>
              <c:numCache/>
            </c:numRef>
          </c:val>
          <c:smooth val="0"/>
        </c:ser>
        <c:ser>
          <c:idx val="2"/>
          <c:order val="1"/>
          <c:tx>
            <c:strRef>
              <c:f>'Rates of Return'!$C$1</c:f>
              <c:strCache>
                <c:ptCount val="1"/>
                <c:pt idx="0">
                  <c:v>PSE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'Rates of Return'!$A$2:$A$7</c:f>
              <c:numCache/>
            </c:numRef>
          </c:cat>
          <c:val>
            <c:numRef>
              <c:f>'Rates of Return'!$C$2:$C$7</c:f>
              <c:numCache/>
            </c:numRef>
          </c:val>
          <c:smooth val="0"/>
        </c:ser>
        <c:ser>
          <c:idx val="4"/>
          <c:order val="2"/>
          <c:tx>
            <c:strRef>
              <c:f>'Rates of Return'!$D$1</c:f>
              <c:strCache>
                <c:ptCount val="1"/>
                <c:pt idx="0">
                  <c:v>NWN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'Rates of Return'!$A$2:$A$7</c:f>
              <c:numCache/>
            </c:numRef>
          </c:cat>
          <c:val>
            <c:numRef>
              <c:f>'Rates of Return'!$D$2:$D$7</c:f>
              <c:numCache/>
            </c:numRef>
          </c:val>
          <c:smooth val="0"/>
        </c:ser>
        <c:ser>
          <c:idx val="6"/>
          <c:order val="3"/>
          <c:tx>
            <c:strRef>
              <c:f>'Rates of Return'!$E$1</c:f>
              <c:strCache>
                <c:ptCount val="1"/>
                <c:pt idx="0">
                  <c:v>CASCADE*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'Rates of Return'!$A$2:$A$7</c:f>
              <c:numCache/>
            </c:numRef>
          </c:cat>
          <c:val>
            <c:numRef>
              <c:f>'Rates of Return'!$E$2:$E$7</c:f>
              <c:numCache/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58613"/>
        <c:crosses val="autoZero"/>
        <c:auto val="1"/>
        <c:lblOffset val="100"/>
        <c:noMultiLvlLbl val="0"/>
      </c:catAx>
      <c:valAx>
        <c:axId val="2525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0.6975</cdr:x>
      <cdr:y>0.017</cdr:y>
    </cdr:from>
    <cdr:to>
      <cdr:x>0.98825</cdr:x>
      <cdr:y>0.1985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57150"/>
          <a:ext cx="19240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Docket No. UE-060266 &amp; UG-060267
Exhibit ___(JMR-5)
Page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66675</xdr:rowOff>
    </xdr:from>
    <xdr:to>
      <xdr:col>8</xdr:col>
      <xdr:colOff>571500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7150" y="1609725"/>
        <a:ext cx="66103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martin\LOCALS~1\Temp\notesEA312D\02-05%20Actual%20Return%20on%20Equ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1">
        <row r="7">
          <cell r="J7">
            <v>-0.05545132374400667</v>
          </cell>
        </row>
        <row r="10">
          <cell r="M10">
            <v>0.07363965601948205</v>
          </cell>
        </row>
        <row r="22">
          <cell r="J22">
            <v>0.031686470710860955</v>
          </cell>
        </row>
        <row r="25">
          <cell r="M25">
            <v>0.07898791691798761</v>
          </cell>
        </row>
        <row r="37">
          <cell r="J37">
            <v>0.07838232228476132</v>
          </cell>
        </row>
        <row r="40">
          <cell r="M40">
            <v>0.06909893068495457</v>
          </cell>
        </row>
        <row r="52">
          <cell r="J52">
            <v>0.06420679591411299</v>
          </cell>
        </row>
        <row r="55">
          <cell r="M55">
            <v>0.06581121928900346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93"/>
  <sheetViews>
    <sheetView defaultGridColor="0" zoomScale="87" zoomScaleNormal="87" colorId="22" workbookViewId="0" topLeftCell="A3">
      <selection activeCell="C56" sqref="C56"/>
    </sheetView>
  </sheetViews>
  <sheetFormatPr defaultColWidth="13.77734375" defaultRowHeight="15"/>
  <cols>
    <col min="1" max="1" width="27.77734375" style="0" customWidth="1"/>
    <col min="2" max="2" width="2.77734375" style="0" customWidth="1"/>
    <col min="3" max="3" width="14.77734375" style="0" customWidth="1"/>
    <col min="4" max="4" width="2.77734375" style="0" customWidth="1"/>
    <col min="5" max="5" width="14.77734375" style="0" customWidth="1"/>
    <col min="6" max="6" width="2.77734375" style="0" customWidth="1"/>
    <col min="7" max="7" width="14.77734375" style="0" customWidth="1"/>
    <col min="8" max="8" width="2.77734375" style="0" customWidth="1"/>
    <col min="9" max="9" width="14.77734375" style="0" customWidth="1"/>
  </cols>
  <sheetData>
    <row r="1" spans="1:19" ht="15.75">
      <c r="A1" s="8"/>
      <c r="B1" s="8"/>
      <c r="C1" s="8" t="s">
        <v>0</v>
      </c>
      <c r="D1" s="8"/>
      <c r="E1" s="8"/>
      <c r="F1" s="8"/>
      <c r="G1" s="8"/>
      <c r="H1" s="8"/>
      <c r="I1" s="10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8"/>
      <c r="B2" s="8" t="s">
        <v>1</v>
      </c>
      <c r="C2" s="8"/>
      <c r="D2" s="8"/>
      <c r="E2" s="8"/>
      <c r="F2" s="8"/>
      <c r="G2" s="8"/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8"/>
      <c r="B3" s="8"/>
      <c r="C3" s="8"/>
      <c r="D3" s="14" t="s">
        <v>2</v>
      </c>
      <c r="E3" s="8"/>
      <c r="F3" s="8"/>
      <c r="G3" s="8"/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8"/>
      <c r="B4" s="8"/>
      <c r="C4" s="8"/>
      <c r="D4" s="10"/>
      <c r="E4" s="8"/>
      <c r="F4" s="8"/>
      <c r="G4" s="8"/>
      <c r="H4" s="8"/>
      <c r="I4" s="8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8"/>
      <c r="B5" s="8"/>
      <c r="C5" s="14" t="s">
        <v>3</v>
      </c>
      <c r="D5" s="8"/>
      <c r="E5" s="14" t="s">
        <v>4</v>
      </c>
      <c r="F5" s="8"/>
      <c r="G5" s="14" t="s">
        <v>5</v>
      </c>
      <c r="H5" s="8"/>
      <c r="I5" s="14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8"/>
      <c r="B6" s="8"/>
      <c r="C6" s="14" t="s">
        <v>7</v>
      </c>
      <c r="D6" s="8"/>
      <c r="E6" s="14" t="s">
        <v>8</v>
      </c>
      <c r="F6" s="8"/>
      <c r="G6" s="14" t="s">
        <v>9</v>
      </c>
      <c r="H6" s="8"/>
      <c r="I6" s="14" t="s">
        <v>9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8"/>
      <c r="B7" s="8"/>
      <c r="C7" s="10"/>
      <c r="D7" s="10"/>
      <c r="E7" s="10"/>
      <c r="F7" s="8"/>
      <c r="G7" s="14" t="s">
        <v>10</v>
      </c>
      <c r="H7" s="8"/>
      <c r="I7" s="10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8"/>
      <c r="B8" s="8"/>
      <c r="C8" s="8" t="s">
        <v>11</v>
      </c>
      <c r="D8" s="10"/>
      <c r="E8" s="14" t="s">
        <v>12</v>
      </c>
      <c r="F8" s="8"/>
      <c r="G8" s="8" t="s">
        <v>11</v>
      </c>
      <c r="H8" s="8"/>
      <c r="I8" s="8" t="s">
        <v>11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8"/>
      <c r="B9" s="8"/>
      <c r="C9" s="13" t="s">
        <v>13</v>
      </c>
      <c r="D9" s="8"/>
      <c r="E9" s="13" t="s">
        <v>13</v>
      </c>
      <c r="F9" s="8"/>
      <c r="G9" s="13" t="s">
        <v>13</v>
      </c>
      <c r="H9" s="8"/>
      <c r="I9" s="13" t="s">
        <v>13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8" t="s">
        <v>14</v>
      </c>
      <c r="B10" s="8"/>
      <c r="C10" s="14" t="s">
        <v>15</v>
      </c>
      <c r="D10" s="8"/>
      <c r="E10" s="14" t="s">
        <v>16</v>
      </c>
      <c r="F10" s="8"/>
      <c r="G10" s="14" t="s">
        <v>17</v>
      </c>
      <c r="H10" s="8"/>
      <c r="I10" s="14" t="s">
        <v>18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8"/>
      <c r="B11" s="8"/>
      <c r="C11" s="8"/>
      <c r="D11" s="8"/>
      <c r="E11" s="8"/>
      <c r="F11" s="8"/>
      <c r="G11" s="8"/>
      <c r="H11" s="8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8"/>
      <c r="B13" s="8"/>
      <c r="C13" s="8"/>
      <c r="D13" s="8"/>
      <c r="E13" s="8"/>
      <c r="F13" s="8"/>
      <c r="G13" s="8"/>
      <c r="H13" s="8"/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8" t="s">
        <v>20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">
      <c r="A15" s="8" t="s">
        <v>21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">
      <c r="A16" s="8" t="s">
        <v>22</v>
      </c>
      <c r="B16" s="8"/>
      <c r="C16" s="9">
        <v>85149</v>
      </c>
      <c r="D16" s="8"/>
      <c r="E16" s="9">
        <v>416572</v>
      </c>
      <c r="F16" s="8"/>
      <c r="G16" s="9">
        <v>403806</v>
      </c>
      <c r="H16" s="8"/>
      <c r="I16" s="9">
        <v>155512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">
      <c r="A17" s="8" t="s">
        <v>23</v>
      </c>
      <c r="B17" s="8"/>
      <c r="C17" s="8">
        <f>75120+(-651)+2229+(-31)</f>
        <v>76667</v>
      </c>
      <c r="D17" s="8"/>
      <c r="E17" s="8">
        <v>336531</v>
      </c>
      <c r="F17" s="8"/>
      <c r="G17" s="8">
        <v>338692</v>
      </c>
      <c r="H17" s="8"/>
      <c r="I17" s="8">
        <f>80432+10961+47242</f>
        <v>138635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8"/>
      <c r="B18" s="8"/>
      <c r="C18" s="13" t="s">
        <v>13</v>
      </c>
      <c r="D18" s="8"/>
      <c r="E18" s="13" t="s">
        <v>13</v>
      </c>
      <c r="F18" s="8"/>
      <c r="G18" s="13" t="s">
        <v>13</v>
      </c>
      <c r="H18" s="8"/>
      <c r="I18" s="13" t="s">
        <v>13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>
      <c r="A19" s="8" t="s">
        <v>24</v>
      </c>
      <c r="B19" s="8"/>
      <c r="C19" s="9">
        <f>C16-C17</f>
        <v>8482</v>
      </c>
      <c r="D19" s="8"/>
      <c r="E19" s="9">
        <f>E16-E17</f>
        <v>80041</v>
      </c>
      <c r="F19" s="8"/>
      <c r="G19" s="9">
        <f>G16-G17</f>
        <v>65114</v>
      </c>
      <c r="H19" s="8"/>
      <c r="I19" s="9">
        <f>I16-I17</f>
        <v>16877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8"/>
      <c r="B20" s="8"/>
      <c r="C20" s="13" t="s">
        <v>25</v>
      </c>
      <c r="D20" s="8"/>
      <c r="E20" s="13" t="s">
        <v>25</v>
      </c>
      <c r="F20" s="8"/>
      <c r="G20" s="13" t="s">
        <v>25</v>
      </c>
      <c r="H20" s="8"/>
      <c r="I20" s="13" t="s">
        <v>25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8" t="s">
        <v>26</v>
      </c>
      <c r="B21" s="8"/>
      <c r="C21" s="9">
        <v>125541</v>
      </c>
      <c r="D21" s="8"/>
      <c r="E21" s="9">
        <v>833457</v>
      </c>
      <c r="F21" s="8"/>
      <c r="G21" s="9">
        <v>719683</v>
      </c>
      <c r="H21" s="8"/>
      <c r="I21" s="9">
        <v>197159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8"/>
      <c r="B22" s="8"/>
      <c r="C22" s="13" t="s">
        <v>25</v>
      </c>
      <c r="D22" s="8"/>
      <c r="E22" s="13" t="s">
        <v>25</v>
      </c>
      <c r="F22" s="8"/>
      <c r="G22" s="13" t="s">
        <v>25</v>
      </c>
      <c r="H22" s="8"/>
      <c r="I22" s="13" t="s">
        <v>25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8" t="s">
        <v>27</v>
      </c>
      <c r="B23" s="8"/>
      <c r="C23" s="11">
        <f>C19/C21</f>
        <v>0.06756358480496412</v>
      </c>
      <c r="D23" s="8"/>
      <c r="E23" s="11">
        <f>E19/E21</f>
        <v>0.09603494841365541</v>
      </c>
      <c r="F23" s="8"/>
      <c r="G23" s="11">
        <f>G19/G21</f>
        <v>0.09047594565940838</v>
      </c>
      <c r="H23" s="8"/>
      <c r="I23" s="11">
        <f>I19/I21</f>
        <v>0.08560096166038578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8"/>
      <c r="B24" s="8"/>
      <c r="C24" s="13" t="s">
        <v>25</v>
      </c>
      <c r="D24" s="8"/>
      <c r="E24" s="13" t="s">
        <v>25</v>
      </c>
      <c r="F24" s="8"/>
      <c r="G24" s="13" t="s">
        <v>25</v>
      </c>
      <c r="H24" s="8"/>
      <c r="I24" s="13" t="s">
        <v>25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8" t="s">
        <v>28</v>
      </c>
      <c r="B25" s="8"/>
      <c r="C25" s="8"/>
      <c r="D25" s="8"/>
      <c r="E25" s="8"/>
      <c r="F25" s="8"/>
      <c r="G25" s="8"/>
      <c r="H25" s="8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8" t="s">
        <v>22</v>
      </c>
      <c r="B27" s="8"/>
      <c r="C27" s="9">
        <v>90198</v>
      </c>
      <c r="D27" s="8"/>
      <c r="E27" s="9">
        <v>432428</v>
      </c>
      <c r="F27" s="8"/>
      <c r="G27" s="9">
        <v>404516</v>
      </c>
      <c r="H27" s="8"/>
      <c r="I27" s="9">
        <v>160358</v>
      </c>
      <c r="J27" s="6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8" t="s">
        <v>23</v>
      </c>
      <c r="B28" s="8"/>
      <c r="C28" s="8">
        <f>77880+717+2093-31</f>
        <v>80659</v>
      </c>
      <c r="D28" s="8"/>
      <c r="E28" s="8">
        <v>368411</v>
      </c>
      <c r="F28" s="8"/>
      <c r="G28" s="8">
        <v>344565</v>
      </c>
      <c r="H28" s="8"/>
      <c r="I28" s="8">
        <f>83612+10960+48054</f>
        <v>142626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">
      <c r="A29" s="8"/>
      <c r="B29" s="8"/>
      <c r="C29" s="13" t="s">
        <v>13</v>
      </c>
      <c r="D29" s="8"/>
      <c r="E29" s="13" t="s">
        <v>13</v>
      </c>
      <c r="F29" s="8"/>
      <c r="G29" s="13" t="s">
        <v>13</v>
      </c>
      <c r="H29" s="8"/>
      <c r="I29" s="13" t="s">
        <v>13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8" t="s">
        <v>24</v>
      </c>
      <c r="B30" s="8"/>
      <c r="C30" s="9">
        <f>C27-C28</f>
        <v>9539</v>
      </c>
      <c r="D30" s="8"/>
      <c r="E30" s="9">
        <f>E27-E28</f>
        <v>64017</v>
      </c>
      <c r="F30" s="8"/>
      <c r="G30" s="9">
        <f>G27-G28</f>
        <v>59951</v>
      </c>
      <c r="H30" s="8"/>
      <c r="I30" s="9">
        <f>I27-I28</f>
        <v>17732</v>
      </c>
      <c r="J30" s="6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8"/>
      <c r="B31" s="8"/>
      <c r="C31" s="13" t="s">
        <v>25</v>
      </c>
      <c r="D31" s="8"/>
      <c r="E31" s="13" t="s">
        <v>25</v>
      </c>
      <c r="F31" s="8"/>
      <c r="G31" s="13" t="s">
        <v>25</v>
      </c>
      <c r="H31" s="8"/>
      <c r="I31" s="13" t="s">
        <v>25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8" t="s">
        <v>26</v>
      </c>
      <c r="B32" s="8"/>
      <c r="C32" s="9">
        <v>120694</v>
      </c>
      <c r="D32" s="8"/>
      <c r="E32" s="9">
        <v>833457</v>
      </c>
      <c r="F32" s="8"/>
      <c r="G32" s="9">
        <v>750100</v>
      </c>
      <c r="H32" s="8"/>
      <c r="I32" s="9">
        <v>197159</v>
      </c>
      <c r="J32" s="6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8"/>
      <c r="B33" s="8"/>
      <c r="C33" s="13" t="s">
        <v>25</v>
      </c>
      <c r="D33" s="8"/>
      <c r="E33" s="13" t="s">
        <v>25</v>
      </c>
      <c r="F33" s="8"/>
      <c r="G33" s="13" t="s">
        <v>25</v>
      </c>
      <c r="H33" s="8"/>
      <c r="I33" s="13" t="s">
        <v>25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8" t="s">
        <v>30</v>
      </c>
      <c r="B34" s="8"/>
      <c r="C34" s="11">
        <f>C30/C32</f>
        <v>0.07903458332642882</v>
      </c>
      <c r="D34" s="8"/>
      <c r="E34" s="11">
        <f>E30/E32</f>
        <v>0.07680900154417085</v>
      </c>
      <c r="F34" s="8"/>
      <c r="G34" s="11">
        <f>G30/G32</f>
        <v>0.0799240101319824</v>
      </c>
      <c r="H34" s="8"/>
      <c r="I34" s="11">
        <f>I30/I32</f>
        <v>0.08993756308360258</v>
      </c>
      <c r="J34" s="7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8"/>
      <c r="B35" s="8"/>
      <c r="C35" s="13" t="s">
        <v>25</v>
      </c>
      <c r="D35" s="8"/>
      <c r="E35" s="13" t="s">
        <v>25</v>
      </c>
      <c r="F35" s="8"/>
      <c r="G35" s="13" t="s">
        <v>25</v>
      </c>
      <c r="H35" s="8"/>
      <c r="I35" s="13" t="s">
        <v>25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8"/>
      <c r="B36" s="8"/>
      <c r="C36" s="9"/>
      <c r="D36" s="8"/>
      <c r="E36" s="9"/>
      <c r="F36" s="8"/>
      <c r="G36" s="9"/>
      <c r="H36" s="8"/>
      <c r="I36" s="9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75">
      <c r="A37" s="10" t="s">
        <v>31</v>
      </c>
      <c r="B37" s="10"/>
      <c r="C37" s="10"/>
      <c r="D37" s="10"/>
      <c r="E37" s="10"/>
      <c r="F37" s="10"/>
      <c r="G37" s="10"/>
      <c r="H37" s="10"/>
      <c r="I37" s="10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8" t="s">
        <v>28</v>
      </c>
      <c r="B38" s="8"/>
      <c r="C38" s="8"/>
      <c r="D38" s="8"/>
      <c r="E38" s="8"/>
      <c r="F38" s="8"/>
      <c r="G38" s="8"/>
      <c r="H38" s="8"/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8" t="s">
        <v>22</v>
      </c>
      <c r="B40" s="8"/>
      <c r="C40" s="9"/>
      <c r="D40" s="8"/>
      <c r="E40" s="9"/>
      <c r="F40" s="8"/>
      <c r="G40" s="9"/>
      <c r="H40" s="8"/>
      <c r="I40" s="9"/>
      <c r="J40" s="6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8" t="s">
        <v>23</v>
      </c>
      <c r="B41" s="8"/>
      <c r="C41" s="8"/>
      <c r="D41" s="8"/>
      <c r="E41" s="8"/>
      <c r="F41" s="8"/>
      <c r="G41" s="8"/>
      <c r="H41" s="8"/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8"/>
      <c r="B42" s="8"/>
      <c r="C42" s="13" t="s">
        <v>13</v>
      </c>
      <c r="D42" s="8"/>
      <c r="E42" s="13" t="s">
        <v>13</v>
      </c>
      <c r="F42" s="8"/>
      <c r="G42" s="13" t="s">
        <v>13</v>
      </c>
      <c r="H42" s="8"/>
      <c r="I42" s="13" t="s">
        <v>13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8" t="s">
        <v>24</v>
      </c>
      <c r="B43" s="8"/>
      <c r="C43" s="9"/>
      <c r="D43" s="8"/>
      <c r="E43" s="9"/>
      <c r="F43" s="8"/>
      <c r="G43" s="9"/>
      <c r="H43" s="8"/>
      <c r="I43" s="9"/>
      <c r="J43" s="6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8"/>
      <c r="B44" s="8"/>
      <c r="C44" s="13" t="s">
        <v>25</v>
      </c>
      <c r="D44" s="8"/>
      <c r="E44" s="13" t="s">
        <v>25</v>
      </c>
      <c r="F44" s="8"/>
      <c r="G44" s="13" t="s">
        <v>25</v>
      </c>
      <c r="H44" s="8"/>
      <c r="I44" s="13" t="s">
        <v>25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8" t="s">
        <v>26</v>
      </c>
      <c r="B45" s="8"/>
      <c r="C45" s="9"/>
      <c r="D45" s="8"/>
      <c r="E45" s="9"/>
      <c r="F45" s="8"/>
      <c r="G45" s="9"/>
      <c r="H45" s="8"/>
      <c r="I45" s="9"/>
      <c r="J45" s="6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8"/>
      <c r="B46" s="8"/>
      <c r="C46" s="13" t="s">
        <v>25</v>
      </c>
      <c r="D46" s="8"/>
      <c r="E46" s="13" t="s">
        <v>25</v>
      </c>
      <c r="F46" s="8"/>
      <c r="G46" s="13" t="s">
        <v>25</v>
      </c>
      <c r="H46" s="8"/>
      <c r="I46" s="13" t="s">
        <v>25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8" t="s">
        <v>30</v>
      </c>
      <c r="B47" s="8"/>
      <c r="C47" s="11"/>
      <c r="D47" s="8"/>
      <c r="E47" s="11"/>
      <c r="F47" s="8"/>
      <c r="G47" s="11"/>
      <c r="H47" s="8"/>
      <c r="I47" s="11"/>
      <c r="J47" s="7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8"/>
      <c r="B48" s="8"/>
      <c r="C48" s="13" t="s">
        <v>25</v>
      </c>
      <c r="D48" s="8"/>
      <c r="E48" s="13" t="s">
        <v>25</v>
      </c>
      <c r="F48" s="8"/>
      <c r="G48" s="13" t="s">
        <v>25</v>
      </c>
      <c r="H48" s="8"/>
      <c r="I48" s="13" t="s">
        <v>25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8"/>
      <c r="B49" s="8"/>
      <c r="C49" s="8"/>
      <c r="D49" s="8"/>
      <c r="E49" s="8"/>
      <c r="F49" s="8"/>
      <c r="G49" s="8"/>
      <c r="H49" s="8"/>
      <c r="I49" s="8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8" t="s">
        <v>32</v>
      </c>
      <c r="B50" s="8"/>
      <c r="C50" s="11">
        <v>0.0911</v>
      </c>
      <c r="D50" s="8"/>
      <c r="E50" s="11">
        <v>0.0952</v>
      </c>
      <c r="F50" s="8"/>
      <c r="G50" s="11">
        <v>0.0955</v>
      </c>
      <c r="H50" s="8"/>
      <c r="I50" s="11">
        <v>0.0976</v>
      </c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8" t="s">
        <v>33</v>
      </c>
      <c r="B51" s="8"/>
      <c r="C51" s="14" t="s">
        <v>34</v>
      </c>
      <c r="D51" s="8"/>
      <c r="E51" s="12" t="s">
        <v>35</v>
      </c>
      <c r="F51" s="8"/>
      <c r="G51" s="12" t="s">
        <v>36</v>
      </c>
      <c r="H51" s="8"/>
      <c r="I51" s="12" t="s">
        <v>37</v>
      </c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5" t="s">
        <v>86</v>
      </c>
      <c r="B52" s="1"/>
      <c r="C52" s="1"/>
      <c r="D52" s="1"/>
      <c r="E52" s="1"/>
      <c r="F52" s="1"/>
      <c r="G52" s="1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4"/>
      <c r="N55" s="1"/>
      <c r="O55" s="4"/>
      <c r="P55" s="1"/>
      <c r="Q55" s="4"/>
      <c r="R55" s="1"/>
      <c r="S55" s="4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4"/>
      <c r="N58" s="1"/>
      <c r="O58" s="4"/>
      <c r="P58" s="1"/>
      <c r="Q58" s="4"/>
      <c r="R58" s="1"/>
      <c r="S58" s="4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4"/>
      <c r="N60" s="1"/>
      <c r="O60" s="4"/>
      <c r="P60" s="1"/>
      <c r="Q60" s="4"/>
      <c r="R60" s="1"/>
      <c r="S60" s="4"/>
    </row>
    <row r="61" spans="1:19" ht="15">
      <c r="A61" s="1"/>
      <c r="B61" s="1"/>
      <c r="C61" s="4"/>
      <c r="D61" s="1"/>
      <c r="E61" s="4"/>
      <c r="F61" s="1"/>
      <c r="G61" s="4"/>
      <c r="H61" s="1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5"/>
      <c r="N62" s="1"/>
      <c r="O62" s="5"/>
      <c r="P62" s="1"/>
      <c r="Q62" s="5"/>
      <c r="R62" s="1"/>
      <c r="S62" s="5"/>
    </row>
    <row r="63" spans="1:19" ht="15">
      <c r="A63" s="1"/>
      <c r="B63" s="1"/>
      <c r="C63" s="1"/>
      <c r="D63" s="1"/>
      <c r="E63" s="1"/>
      <c r="F63" s="1"/>
      <c r="G63" s="1"/>
      <c r="H63" s="1"/>
      <c r="I63" s="1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1"/>
      <c r="C64" s="4"/>
      <c r="D64" s="1"/>
      <c r="E64" s="4"/>
      <c r="F64" s="1"/>
      <c r="G64" s="4"/>
      <c r="H64" s="1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1"/>
      <c r="C65" s="1"/>
      <c r="D65" s="1"/>
      <c r="E65" s="1"/>
      <c r="F65" s="1"/>
      <c r="G65" s="1"/>
      <c r="H65" s="1"/>
      <c r="I65" s="1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1"/>
      <c r="C66" s="4"/>
      <c r="D66" s="1"/>
      <c r="E66" s="4"/>
      <c r="F66" s="1"/>
      <c r="G66" s="4"/>
      <c r="H66" s="1"/>
      <c r="I66" s="4"/>
      <c r="J66" s="2"/>
      <c r="K66" s="1"/>
      <c r="L66" s="1"/>
      <c r="M66" s="4"/>
      <c r="N66" s="1"/>
      <c r="O66" s="4"/>
      <c r="P66" s="1"/>
      <c r="Q66" s="4"/>
      <c r="R66" s="1"/>
      <c r="S66" s="4"/>
    </row>
    <row r="67" spans="1:19" ht="15">
      <c r="A67" s="1"/>
      <c r="B67" s="1"/>
      <c r="C67" s="1"/>
      <c r="D67" s="1"/>
      <c r="E67" s="1"/>
      <c r="F67" s="1"/>
      <c r="G67" s="1"/>
      <c r="H67" s="1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1"/>
      <c r="C68" s="5"/>
      <c r="D68" s="1"/>
      <c r="E68" s="5"/>
      <c r="F68" s="1"/>
      <c r="G68" s="5"/>
      <c r="H68" s="1"/>
      <c r="I68" s="5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1"/>
      <c r="C69" s="1"/>
      <c r="D69" s="1"/>
      <c r="E69" s="1"/>
      <c r="F69" s="1"/>
      <c r="G69" s="1"/>
      <c r="H69" s="1"/>
      <c r="I69" s="1"/>
      <c r="J69" s="2"/>
      <c r="K69" s="1"/>
      <c r="L69" s="1"/>
      <c r="M69" s="4"/>
      <c r="N69" s="1"/>
      <c r="O69" s="4"/>
      <c r="P69" s="1"/>
      <c r="Q69" s="4"/>
      <c r="R69" s="1"/>
      <c r="S69" s="4"/>
    </row>
    <row r="70" spans="1:19" ht="15">
      <c r="A70" s="1"/>
      <c r="B70" s="1"/>
      <c r="C70" s="1"/>
      <c r="D70" s="1"/>
      <c r="E70" s="1"/>
      <c r="F70" s="1"/>
      <c r="G70" s="1"/>
      <c r="H70" s="1"/>
      <c r="I70" s="1"/>
      <c r="J70" s="2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1"/>
      <c r="B71" s="1"/>
      <c r="C71" s="1"/>
      <c r="D71" s="1"/>
      <c r="E71" s="1"/>
      <c r="F71" s="1"/>
      <c r="G71" s="1"/>
      <c r="H71" s="1"/>
      <c r="I71" s="1"/>
      <c r="J71" s="2"/>
      <c r="K71" s="1"/>
      <c r="L71" s="1"/>
      <c r="M71" s="4"/>
      <c r="N71" s="1"/>
      <c r="O71" s="4"/>
      <c r="P71" s="1"/>
      <c r="Q71" s="4"/>
      <c r="R71" s="1"/>
      <c r="S71" s="4"/>
    </row>
    <row r="72" spans="1:19" ht="15">
      <c r="A72" s="1"/>
      <c r="B72" s="1"/>
      <c r="C72" s="1"/>
      <c r="D72" s="1"/>
      <c r="E72" s="1"/>
      <c r="F72" s="1"/>
      <c r="G72" s="1"/>
      <c r="H72" s="1"/>
      <c r="I72" s="1"/>
      <c r="J72" s="2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1"/>
      <c r="B73" s="1"/>
      <c r="C73" s="1"/>
      <c r="D73" s="1"/>
      <c r="E73" s="1"/>
      <c r="F73" s="1"/>
      <c r="G73" s="1"/>
      <c r="H73" s="1"/>
      <c r="I73" s="1"/>
      <c r="J73" s="2"/>
      <c r="K73" s="1"/>
      <c r="L73" s="1"/>
      <c r="M73" s="5"/>
      <c r="N73" s="1"/>
      <c r="O73" s="5"/>
      <c r="P73" s="1"/>
      <c r="Q73" s="5"/>
      <c r="R73" s="1"/>
      <c r="S73" s="5"/>
    </row>
    <row r="74" spans="1:19" ht="15">
      <c r="A74" s="1"/>
      <c r="B74" s="1"/>
      <c r="C74" s="4"/>
      <c r="D74" s="1"/>
      <c r="E74" s="4"/>
      <c r="F74" s="1"/>
      <c r="G74" s="4"/>
      <c r="H74" s="1"/>
      <c r="I74" s="4"/>
      <c r="J74" s="2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1"/>
      <c r="B75" s="1"/>
      <c r="C75" s="1"/>
      <c r="D75" s="1"/>
      <c r="E75" s="1"/>
      <c r="F75" s="1"/>
      <c r="G75" s="1"/>
      <c r="H75" s="1"/>
      <c r="I75" s="1"/>
      <c r="J75" s="2"/>
      <c r="K75" s="1"/>
      <c r="L75" s="1"/>
      <c r="M75" s="4"/>
      <c r="N75" s="1"/>
      <c r="O75" s="4"/>
      <c r="P75" s="1"/>
      <c r="Q75" s="4"/>
      <c r="R75" s="1"/>
      <c r="S75" s="4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2"/>
      <c r="K76" s="1"/>
      <c r="L76" s="1"/>
      <c r="M76" s="5"/>
      <c r="N76" s="1"/>
      <c r="O76" s="5"/>
      <c r="P76" s="1"/>
      <c r="Q76" s="5"/>
      <c r="R76" s="1"/>
      <c r="S76" s="5"/>
    </row>
    <row r="77" spans="1:19" ht="15">
      <c r="A77" s="1"/>
      <c r="B77" s="1"/>
      <c r="C77" s="4"/>
      <c r="D77" s="1"/>
      <c r="E77" s="4"/>
      <c r="F77" s="1"/>
      <c r="G77" s="4"/>
      <c r="H77" s="1"/>
      <c r="I77" s="4"/>
      <c r="J77" s="2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2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1"/>
      <c r="C79" s="4"/>
      <c r="D79" s="1"/>
      <c r="E79" s="4"/>
      <c r="F79" s="1"/>
      <c r="G79" s="4"/>
      <c r="H79" s="1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1"/>
      <c r="B81" s="1"/>
      <c r="C81" s="5"/>
      <c r="D81" s="1"/>
      <c r="E81" s="5"/>
      <c r="F81" s="1"/>
      <c r="G81" s="5"/>
      <c r="H81" s="1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1"/>
      <c r="B84" s="1"/>
      <c r="C84" s="4"/>
      <c r="D84" s="1"/>
      <c r="E84" s="4"/>
      <c r="F84" s="1"/>
      <c r="G84" s="4"/>
      <c r="H84" s="1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1"/>
      <c r="B85" s="1"/>
      <c r="C85" s="5"/>
      <c r="D85" s="1"/>
      <c r="E85" s="5"/>
      <c r="F85" s="1"/>
      <c r="G85" s="5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1"/>
      <c r="B86" s="1"/>
      <c r="C86" s="1"/>
      <c r="D86" s="1"/>
      <c r="E86" s="1"/>
      <c r="F86" s="1"/>
      <c r="G86" s="1"/>
      <c r="H86" s="1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1"/>
      <c r="B88" s="1"/>
      <c r="C88" s="1"/>
      <c r="D88" s="1"/>
      <c r="E88" s="1"/>
      <c r="F88" s="1"/>
      <c r="G88" s="1"/>
      <c r="H88" s="1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7"/>
      <c r="D90" s="2"/>
      <c r="E90" s="7"/>
      <c r="F90" s="2"/>
      <c r="G90" s="7"/>
      <c r="H90" s="2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</row>
  </sheetData>
  <printOptions/>
  <pageMargins left="0.5" right="0.5" top="0.5" bottom="0.5" header="0.5" footer="0.5"/>
  <pageSetup horizontalDpi="600" verticalDpi="600" orientation="portrait" scale="85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I10" sqref="I10"/>
    </sheetView>
  </sheetViews>
  <sheetFormatPr defaultColWidth="8.88671875" defaultRowHeight="15"/>
  <cols>
    <col min="1" max="1" width="28.77734375" style="0" customWidth="1"/>
    <col min="2" max="2" width="1.77734375" style="0" customWidth="1"/>
    <col min="3" max="3" width="15.21484375" style="0" customWidth="1"/>
    <col min="4" max="4" width="2.77734375" style="0" customWidth="1"/>
    <col min="5" max="5" width="14.88671875" style="0" customWidth="1"/>
    <col min="6" max="6" width="2.77734375" style="0" customWidth="1"/>
    <col min="7" max="7" width="16.21484375" style="0" customWidth="1"/>
    <col min="8" max="8" width="2.77734375" style="0" customWidth="1"/>
    <col min="9" max="9" width="14.99609375" style="0" customWidth="1"/>
  </cols>
  <sheetData>
    <row r="1" spans="1:9" ht="15.75">
      <c r="A1" s="1"/>
      <c r="B1" s="1"/>
      <c r="C1" s="8" t="s">
        <v>0</v>
      </c>
      <c r="D1" s="1"/>
      <c r="E1" s="8"/>
      <c r="F1" s="1"/>
      <c r="G1" s="8"/>
      <c r="H1" s="1"/>
      <c r="I1" s="10"/>
    </row>
    <row r="2" spans="1:9" ht="15">
      <c r="A2" s="8"/>
      <c r="B2" s="8" t="s">
        <v>1</v>
      </c>
      <c r="C2" s="8"/>
      <c r="D2" s="8"/>
      <c r="E2" s="8"/>
      <c r="F2" s="8"/>
      <c r="G2" s="8"/>
      <c r="H2" s="1"/>
      <c r="I2" s="8"/>
    </row>
    <row r="3" spans="1:9" ht="15">
      <c r="A3" s="8"/>
      <c r="B3" s="8"/>
      <c r="C3" s="8"/>
      <c r="D3" s="14" t="s">
        <v>2</v>
      </c>
      <c r="E3" s="8"/>
      <c r="F3" s="8"/>
      <c r="G3" s="8"/>
      <c r="H3" s="1"/>
      <c r="I3" s="8"/>
    </row>
    <row r="4" spans="1:9" ht="15.75">
      <c r="A4" s="8"/>
      <c r="B4" s="8"/>
      <c r="C4" s="8"/>
      <c r="D4" s="10"/>
      <c r="E4" s="8"/>
      <c r="F4" s="8"/>
      <c r="G4" s="8"/>
      <c r="H4" s="1"/>
      <c r="I4" s="8"/>
    </row>
    <row r="5" spans="1:9" ht="15">
      <c r="A5" s="8"/>
      <c r="B5" s="8"/>
      <c r="C5" s="14" t="s">
        <v>38</v>
      </c>
      <c r="D5" s="8"/>
      <c r="E5" s="14" t="s">
        <v>71</v>
      </c>
      <c r="F5" s="8"/>
      <c r="G5" s="14" t="s">
        <v>5</v>
      </c>
      <c r="H5" s="1"/>
      <c r="I5" s="14" t="s">
        <v>6</v>
      </c>
    </row>
    <row r="6" spans="1:9" ht="15">
      <c r="A6" s="8"/>
      <c r="B6" s="8"/>
      <c r="C6" s="14" t="s">
        <v>39</v>
      </c>
      <c r="D6" s="8"/>
      <c r="E6" s="14" t="s">
        <v>8</v>
      </c>
      <c r="F6" s="8"/>
      <c r="G6" s="14" t="s">
        <v>9</v>
      </c>
      <c r="H6" s="1"/>
      <c r="I6" s="14" t="s">
        <v>9</v>
      </c>
    </row>
    <row r="7" spans="1:9" ht="15.75">
      <c r="A7" s="8"/>
      <c r="B7" s="8"/>
      <c r="C7" s="10"/>
      <c r="D7" s="10"/>
      <c r="E7" s="10"/>
      <c r="F7" s="8"/>
      <c r="G7" s="16" t="s">
        <v>51</v>
      </c>
      <c r="H7" s="1"/>
      <c r="I7" s="10"/>
    </row>
    <row r="8" spans="1:9" ht="15.75">
      <c r="A8" s="8"/>
      <c r="B8" s="8"/>
      <c r="C8" s="17" t="s">
        <v>92</v>
      </c>
      <c r="D8" s="10"/>
      <c r="E8" s="17" t="s">
        <v>92</v>
      </c>
      <c r="F8" s="8"/>
      <c r="G8" s="17" t="s">
        <v>92</v>
      </c>
      <c r="H8" s="1"/>
      <c r="I8" s="17" t="s">
        <v>93</v>
      </c>
    </row>
    <row r="9" spans="1:9" ht="15">
      <c r="A9" s="8"/>
      <c r="B9" s="8"/>
      <c r="C9" s="13" t="s">
        <v>13</v>
      </c>
      <c r="D9" s="8"/>
      <c r="E9" s="13" t="s">
        <v>13</v>
      </c>
      <c r="F9" s="8"/>
      <c r="G9" s="13" t="s">
        <v>13</v>
      </c>
      <c r="H9" s="1"/>
      <c r="I9" s="13" t="s">
        <v>13</v>
      </c>
    </row>
    <row r="10" spans="1:9" ht="15">
      <c r="A10" s="8" t="s">
        <v>14</v>
      </c>
      <c r="B10" s="8"/>
      <c r="C10" s="14" t="s">
        <v>94</v>
      </c>
      <c r="D10" s="8"/>
      <c r="E10" s="14" t="s">
        <v>94</v>
      </c>
      <c r="F10" s="8"/>
      <c r="G10" s="16" t="s">
        <v>94</v>
      </c>
      <c r="H10" s="1"/>
      <c r="I10" s="16" t="s">
        <v>94</v>
      </c>
    </row>
    <row r="11" spans="1:9" ht="15">
      <c r="A11" s="8"/>
      <c r="B11" s="8"/>
      <c r="C11" s="8"/>
      <c r="D11" s="8"/>
      <c r="E11" s="8"/>
      <c r="F11" s="8"/>
      <c r="G11" s="8"/>
      <c r="H11" s="1"/>
      <c r="I11" s="8"/>
    </row>
    <row r="12" spans="1:9" ht="15">
      <c r="A12" s="8" t="s">
        <v>19</v>
      </c>
      <c r="B12" s="8"/>
      <c r="C12" s="8"/>
      <c r="D12" s="8"/>
      <c r="E12" s="8"/>
      <c r="F12" s="8"/>
      <c r="G12" s="8"/>
      <c r="H12" s="1"/>
      <c r="I12" s="8"/>
    </row>
    <row r="13" spans="1:9" ht="15">
      <c r="A13" s="8"/>
      <c r="B13" s="8"/>
      <c r="C13" s="8"/>
      <c r="D13" s="8"/>
      <c r="E13" s="8"/>
      <c r="F13" s="8"/>
      <c r="G13" s="8"/>
      <c r="H13" s="1"/>
      <c r="I13" s="8"/>
    </row>
    <row r="14" spans="1:9" ht="15">
      <c r="A14" s="8" t="s">
        <v>20</v>
      </c>
      <c r="B14" s="8"/>
      <c r="C14" s="8"/>
      <c r="D14" s="8"/>
      <c r="E14" s="8"/>
      <c r="F14" s="8"/>
      <c r="G14" s="8"/>
      <c r="H14" s="1"/>
      <c r="I14" s="8"/>
    </row>
    <row r="15" spans="1:9" ht="15">
      <c r="A15" s="8" t="s">
        <v>21</v>
      </c>
      <c r="B15" s="8"/>
      <c r="C15" s="8"/>
      <c r="D15" s="8"/>
      <c r="E15" s="8"/>
      <c r="F15" s="8"/>
      <c r="G15" s="8"/>
      <c r="H15" s="1"/>
      <c r="I15" s="8"/>
    </row>
    <row r="16" spans="1:9" ht="15">
      <c r="A16" s="8" t="s">
        <v>22</v>
      </c>
      <c r="B16" s="8"/>
      <c r="C16" s="9"/>
      <c r="D16" s="8"/>
      <c r="E16" s="9"/>
      <c r="F16" s="8"/>
      <c r="G16" s="9"/>
      <c r="H16" s="1"/>
      <c r="I16" s="9"/>
    </row>
    <row r="17" spans="1:9" ht="15">
      <c r="A17" s="8" t="s">
        <v>23</v>
      </c>
      <c r="B17" s="8"/>
      <c r="C17" s="8"/>
      <c r="D17" s="8"/>
      <c r="E17" s="8"/>
      <c r="F17" s="8"/>
      <c r="G17" s="8"/>
      <c r="H17" s="1"/>
      <c r="I17" s="8"/>
    </row>
    <row r="18" spans="1:9" ht="15">
      <c r="A18" s="8"/>
      <c r="B18" s="8"/>
      <c r="C18" s="13" t="s">
        <v>13</v>
      </c>
      <c r="D18" s="8"/>
      <c r="E18" s="13" t="s">
        <v>13</v>
      </c>
      <c r="F18" s="8"/>
      <c r="G18" s="13" t="s">
        <v>13</v>
      </c>
      <c r="H18" s="1"/>
      <c r="I18" s="13" t="s">
        <v>13</v>
      </c>
    </row>
    <row r="19" spans="1:9" ht="15">
      <c r="A19" s="8" t="s">
        <v>24</v>
      </c>
      <c r="B19" s="8"/>
      <c r="C19" s="9">
        <f>+C16-C17</f>
        <v>0</v>
      </c>
      <c r="D19" s="8"/>
      <c r="E19" s="9">
        <f>+E16-E17</f>
        <v>0</v>
      </c>
      <c r="F19" s="8"/>
      <c r="G19" s="9">
        <f>+G16-G17</f>
        <v>0</v>
      </c>
      <c r="H19" s="1"/>
      <c r="I19" s="9">
        <f>+I16-I17</f>
        <v>0</v>
      </c>
    </row>
    <row r="20" spans="1:9" ht="15">
      <c r="A20" s="8"/>
      <c r="B20" s="8"/>
      <c r="C20" s="13" t="s">
        <v>25</v>
      </c>
      <c r="D20" s="8"/>
      <c r="E20" s="13" t="s">
        <v>25</v>
      </c>
      <c r="F20" s="8"/>
      <c r="G20" s="13" t="s">
        <v>25</v>
      </c>
      <c r="H20" s="1"/>
      <c r="I20" s="13" t="s">
        <v>25</v>
      </c>
    </row>
    <row r="21" spans="1:9" ht="15">
      <c r="A21" s="8" t="s">
        <v>26</v>
      </c>
      <c r="B21" s="8"/>
      <c r="C21" s="9"/>
      <c r="D21" s="8"/>
      <c r="E21" s="9"/>
      <c r="F21" s="8"/>
      <c r="G21" s="9"/>
      <c r="H21" s="1"/>
      <c r="I21" s="9"/>
    </row>
    <row r="22" spans="1:9" ht="15">
      <c r="A22" s="8"/>
      <c r="B22" s="8"/>
      <c r="C22" s="13" t="s">
        <v>25</v>
      </c>
      <c r="D22" s="8"/>
      <c r="E22" s="13" t="s">
        <v>25</v>
      </c>
      <c r="F22" s="8"/>
      <c r="G22" s="13" t="s">
        <v>25</v>
      </c>
      <c r="H22" s="1"/>
      <c r="I22" s="13" t="s">
        <v>25</v>
      </c>
    </row>
    <row r="23" spans="1:9" ht="15">
      <c r="A23" s="8" t="s">
        <v>27</v>
      </c>
      <c r="B23" s="8"/>
      <c r="C23" s="21" t="e">
        <f>+C19/C21</f>
        <v>#DIV/0!</v>
      </c>
      <c r="D23" s="8"/>
      <c r="E23" s="21" t="e">
        <f>+E19/E21</f>
        <v>#DIV/0!</v>
      </c>
      <c r="F23" s="8"/>
      <c r="G23" s="11">
        <v>0.0547</v>
      </c>
      <c r="H23" s="1"/>
      <c r="I23" s="11" t="e">
        <f>+I19/I21</f>
        <v>#DIV/0!</v>
      </c>
    </row>
    <row r="24" spans="1:9" ht="15">
      <c r="A24" s="17" t="s">
        <v>61</v>
      </c>
      <c r="B24" s="8"/>
      <c r="C24" s="11"/>
      <c r="D24" s="8"/>
      <c r="E24" s="11"/>
      <c r="F24" s="8"/>
      <c r="G24" s="11"/>
      <c r="H24" s="1"/>
      <c r="I24" s="11"/>
    </row>
    <row r="25" spans="1:9" ht="15">
      <c r="A25" s="8"/>
      <c r="B25" s="8"/>
      <c r="C25" s="13" t="s">
        <v>25</v>
      </c>
      <c r="D25" s="8"/>
      <c r="E25" s="13" t="s">
        <v>25</v>
      </c>
      <c r="F25" s="8"/>
      <c r="G25" s="13" t="s">
        <v>25</v>
      </c>
      <c r="H25" s="1"/>
      <c r="I25" s="13" t="s">
        <v>25</v>
      </c>
    </row>
    <row r="26" spans="1:9" ht="15">
      <c r="A26" s="8" t="s">
        <v>28</v>
      </c>
      <c r="B26" s="8"/>
      <c r="C26" s="8"/>
      <c r="D26" s="8"/>
      <c r="E26" s="8"/>
      <c r="F26" s="8"/>
      <c r="G26" s="8"/>
      <c r="H26" s="1"/>
      <c r="I26" s="8"/>
    </row>
    <row r="27" spans="1:9" ht="15">
      <c r="A27" s="8" t="s">
        <v>29</v>
      </c>
      <c r="B27" s="8"/>
      <c r="C27" s="8"/>
      <c r="D27" s="8"/>
      <c r="E27" s="8"/>
      <c r="F27" s="8"/>
      <c r="G27" s="8"/>
      <c r="H27" s="1"/>
      <c r="I27" s="8"/>
    </row>
    <row r="28" spans="1:9" ht="15">
      <c r="A28" s="8" t="s">
        <v>22</v>
      </c>
      <c r="B28" s="8"/>
      <c r="C28" s="9"/>
      <c r="D28" s="8"/>
      <c r="E28" s="9"/>
      <c r="F28" s="8"/>
      <c r="G28" s="9"/>
      <c r="H28" s="1"/>
      <c r="I28" s="9"/>
    </row>
    <row r="29" spans="1:9" ht="15">
      <c r="A29" s="8" t="s">
        <v>23</v>
      </c>
      <c r="B29" s="8"/>
      <c r="C29" s="8"/>
      <c r="D29" s="8"/>
      <c r="E29" s="8"/>
      <c r="F29" s="8"/>
      <c r="G29" s="8"/>
      <c r="H29" s="1"/>
      <c r="I29" s="8"/>
    </row>
    <row r="30" spans="1:9" ht="15">
      <c r="A30" s="8"/>
      <c r="B30" s="8"/>
      <c r="C30" s="13" t="s">
        <v>13</v>
      </c>
      <c r="D30" s="8"/>
      <c r="E30" s="13" t="s">
        <v>13</v>
      </c>
      <c r="F30" s="8"/>
      <c r="G30" s="13" t="s">
        <v>13</v>
      </c>
      <c r="H30" s="1"/>
      <c r="I30" s="13" t="s">
        <v>13</v>
      </c>
    </row>
    <row r="31" spans="1:9" ht="15">
      <c r="A31" s="8" t="s">
        <v>24</v>
      </c>
      <c r="B31" s="8"/>
      <c r="C31" s="9">
        <f>+C28-C29</f>
        <v>0</v>
      </c>
      <c r="D31" s="8"/>
      <c r="E31" s="9">
        <f>+E28-E29</f>
        <v>0</v>
      </c>
      <c r="F31" s="8"/>
      <c r="G31" s="9">
        <f>+G28-G29</f>
        <v>0</v>
      </c>
      <c r="H31" s="1"/>
      <c r="I31" s="9">
        <f>+I28-I29</f>
        <v>0</v>
      </c>
    </row>
    <row r="32" spans="1:9" ht="15">
      <c r="A32" s="8"/>
      <c r="B32" s="8"/>
      <c r="C32" s="13" t="s">
        <v>25</v>
      </c>
      <c r="D32" s="8"/>
      <c r="E32" s="13" t="s">
        <v>25</v>
      </c>
      <c r="F32" s="8"/>
      <c r="G32" s="13" t="s">
        <v>25</v>
      </c>
      <c r="H32" s="1"/>
      <c r="I32" s="13" t="s">
        <v>25</v>
      </c>
    </row>
    <row r="33" spans="1:9" ht="15">
      <c r="A33" s="8" t="s">
        <v>26</v>
      </c>
      <c r="B33" s="8"/>
      <c r="C33" s="9">
        <v>130718</v>
      </c>
      <c r="D33" s="8"/>
      <c r="E33" s="9">
        <v>1070393</v>
      </c>
      <c r="F33" s="8"/>
      <c r="G33" s="9">
        <f>107644947/1000</f>
        <v>107644.947</v>
      </c>
      <c r="H33" s="1"/>
      <c r="I33" s="9">
        <f>210840204/1000</f>
        <v>210840.204</v>
      </c>
    </row>
    <row r="34" spans="1:9" ht="15">
      <c r="A34" s="8"/>
      <c r="B34" s="8"/>
      <c r="C34" s="13" t="s">
        <v>25</v>
      </c>
      <c r="D34" s="8"/>
      <c r="E34" s="13" t="s">
        <v>25</v>
      </c>
      <c r="F34" s="8"/>
      <c r="G34" s="13" t="s">
        <v>25</v>
      </c>
      <c r="H34" s="1"/>
      <c r="I34" s="13" t="s">
        <v>25</v>
      </c>
    </row>
    <row r="35" spans="1:9" ht="15">
      <c r="A35" s="8" t="s">
        <v>30</v>
      </c>
      <c r="B35" s="8"/>
      <c r="C35" s="21">
        <f>+C31/C33</f>
        <v>0</v>
      </c>
      <c r="D35" s="8"/>
      <c r="E35" s="21">
        <f>+E31/E33</f>
        <v>0</v>
      </c>
      <c r="F35" s="8"/>
      <c r="G35" s="11">
        <f>+G31/G33</f>
        <v>0</v>
      </c>
      <c r="H35" s="1"/>
      <c r="I35" s="11">
        <f>+I31/I33</f>
        <v>0</v>
      </c>
    </row>
    <row r="36" spans="1:9" ht="15">
      <c r="A36" s="17" t="s">
        <v>61</v>
      </c>
      <c r="B36" s="8"/>
      <c r="C36" s="11"/>
      <c r="D36" s="8"/>
      <c r="E36" s="11"/>
      <c r="F36" s="8"/>
      <c r="G36" s="11">
        <v>0.0954</v>
      </c>
      <c r="H36" s="1"/>
      <c r="I36" s="11"/>
    </row>
    <row r="37" spans="1:9" ht="15">
      <c r="A37" s="8"/>
      <c r="B37" s="8"/>
      <c r="C37" s="13" t="s">
        <v>25</v>
      </c>
      <c r="D37" s="8"/>
      <c r="E37" s="13" t="s">
        <v>25</v>
      </c>
      <c r="F37" s="8"/>
      <c r="G37" s="13" t="s">
        <v>25</v>
      </c>
      <c r="H37" s="1"/>
      <c r="I37" s="13" t="s">
        <v>25</v>
      </c>
    </row>
    <row r="38" spans="1:9" ht="15">
      <c r="A38" s="8"/>
      <c r="B38" s="8"/>
      <c r="C38" s="9"/>
      <c r="D38" s="8"/>
      <c r="E38" s="9"/>
      <c r="F38" s="8"/>
      <c r="G38" s="9"/>
      <c r="H38" s="1"/>
      <c r="I38" s="9"/>
    </row>
    <row r="39" spans="1:9" ht="15.75">
      <c r="A39" s="10"/>
      <c r="B39" s="10"/>
      <c r="C39" s="10"/>
      <c r="D39" s="10"/>
      <c r="E39" s="10"/>
      <c r="F39" s="10"/>
      <c r="G39" s="10"/>
      <c r="H39" s="2"/>
      <c r="I39" s="10"/>
    </row>
    <row r="40" spans="1:9" ht="15">
      <c r="A40" s="8" t="s">
        <v>32</v>
      </c>
      <c r="B40" s="8"/>
      <c r="C40" s="24">
        <v>0.0868</v>
      </c>
      <c r="D40" s="8"/>
      <c r="E40" s="11">
        <v>0.0876</v>
      </c>
      <c r="F40" s="8"/>
      <c r="G40" s="11"/>
      <c r="H40" s="1"/>
      <c r="I40" s="11"/>
    </row>
    <row r="41" spans="1:9" ht="15">
      <c r="A41" s="8" t="s">
        <v>33</v>
      </c>
      <c r="B41" s="8"/>
      <c r="C41" s="25" t="s">
        <v>80</v>
      </c>
      <c r="D41" s="8"/>
      <c r="E41" s="12" t="s">
        <v>77</v>
      </c>
      <c r="F41" s="8"/>
      <c r="G41" s="12"/>
      <c r="H41" s="1"/>
      <c r="I41" s="12"/>
    </row>
    <row r="42" spans="1:9" ht="15.75">
      <c r="A42" s="15" t="s">
        <v>86</v>
      </c>
      <c r="B42" s="15"/>
      <c r="C42" s="15"/>
      <c r="D42" s="15"/>
      <c r="E42" s="15"/>
      <c r="F42" s="15"/>
      <c r="G42" s="15"/>
      <c r="I42" s="1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"/>
    </sheetView>
  </sheetViews>
  <sheetFormatPr defaultColWidth="8.88671875" defaultRowHeight="15"/>
  <sheetData>
    <row r="1" spans="2:7" ht="16.5" thickBot="1">
      <c r="B1" s="35" t="s">
        <v>38</v>
      </c>
      <c r="C1" s="35" t="s">
        <v>87</v>
      </c>
      <c r="D1" s="35" t="s">
        <v>88</v>
      </c>
      <c r="E1" s="35" t="s">
        <v>90</v>
      </c>
      <c r="F1" s="39">
        <f>F2</f>
        <v>0.0785</v>
      </c>
      <c r="G1" s="36" t="s">
        <v>89</v>
      </c>
    </row>
    <row r="2" spans="1:6" ht="15">
      <c r="A2" s="33">
        <v>2000</v>
      </c>
      <c r="B2" s="34">
        <f>'December 00'!C23</f>
        <v>0.05513668398431282</v>
      </c>
      <c r="C2" s="34">
        <f>'December 00'!E23</f>
        <v>0.05763430324202275</v>
      </c>
      <c r="D2" s="34">
        <f>'December 00'!G23</f>
        <v>0.05839391030037032</v>
      </c>
      <c r="E2" s="34">
        <f>'December 00'!I23</f>
        <v>0.10843409449249701</v>
      </c>
      <c r="F2" s="34">
        <v>0.0785</v>
      </c>
    </row>
    <row r="3" spans="1:6" ht="15">
      <c r="A3" s="33">
        <v>2001</v>
      </c>
      <c r="B3" s="34">
        <f>'2001'!C23</f>
        <v>0.06038506417736289</v>
      </c>
      <c r="C3" s="34">
        <f>'2001'!E23</f>
        <v>0.06542599844480178</v>
      </c>
      <c r="D3" s="34">
        <f>'2001'!G23</f>
        <v>0.08646265371622584</v>
      </c>
      <c r="E3" s="34">
        <f>'2001'!I23</f>
        <v>0.09831289913653418</v>
      </c>
      <c r="F3" s="34">
        <v>0.0785</v>
      </c>
    </row>
    <row r="4" spans="1:7" ht="15">
      <c r="A4" s="33">
        <v>2002</v>
      </c>
      <c r="B4" s="34">
        <f>'2002'!C23</f>
        <v>0.05483842189419362</v>
      </c>
      <c r="C4" s="34">
        <f>'[1]Gas'!$M$10</f>
        <v>0.07363965601948205</v>
      </c>
      <c r="D4" s="34">
        <f>'2002'!G23</f>
        <v>0.11315144963221542</v>
      </c>
      <c r="E4" s="34">
        <f>'2002'!I23</f>
        <v>0.09429220903915894</v>
      </c>
      <c r="F4" s="34">
        <v>0.0785</v>
      </c>
      <c r="G4" s="38">
        <f>'[1]Gas'!$J$7</f>
        <v>-0.05545132374400667</v>
      </c>
    </row>
    <row r="5" spans="1:7" ht="15">
      <c r="A5" s="33">
        <v>2003</v>
      </c>
      <c r="B5" s="34">
        <f>'2003'!C23</f>
        <v>0.04776647201484954</v>
      </c>
      <c r="C5" s="34">
        <f>'[1]Gas'!$M$25</f>
        <v>0.07898791691798761</v>
      </c>
      <c r="D5" s="34">
        <f>'2003'!G23</f>
        <v>0.055101887588250166</v>
      </c>
      <c r="E5" s="34">
        <f>'2003'!I23</f>
        <v>0.07910311400146657</v>
      </c>
      <c r="F5" s="34">
        <v>0.0785</v>
      </c>
      <c r="G5" s="37">
        <f>'[1]Gas'!$J$22</f>
        <v>0.031686470710860955</v>
      </c>
    </row>
    <row r="6" spans="1:7" ht="15">
      <c r="A6" s="33">
        <v>2004</v>
      </c>
      <c r="B6" s="34">
        <f>'2004'!C23</f>
        <v>0.04529244642492238</v>
      </c>
      <c r="C6" s="34">
        <f>'[1]Gas'!$M$40</f>
        <v>0.06909893068495457</v>
      </c>
      <c r="D6" s="34">
        <f>'2004'!G23</f>
        <v>0.0547</v>
      </c>
      <c r="E6" s="34">
        <f>'2004'!I23</f>
        <v>0.09094260314792722</v>
      </c>
      <c r="F6" s="34">
        <v>0.0785</v>
      </c>
      <c r="G6" s="37">
        <f>'[1]Gas'!$J$37</f>
        <v>0.07838232228476132</v>
      </c>
    </row>
    <row r="7" spans="1:7" ht="15">
      <c r="A7" s="33">
        <v>2005</v>
      </c>
      <c r="B7" s="34">
        <v>0.0638</v>
      </c>
      <c r="C7" s="34">
        <f>'[1]Gas'!$M$55</f>
        <v>0.06581121928900346</v>
      </c>
      <c r="D7" s="34">
        <v>0.0713</v>
      </c>
      <c r="E7" s="34">
        <v>0.0697</v>
      </c>
      <c r="F7" s="34">
        <v>0.0785</v>
      </c>
      <c r="G7" s="37">
        <f>'[1]Gas'!$J$52</f>
        <v>0.06420679591411299</v>
      </c>
    </row>
    <row r="8" ht="15">
      <c r="B8" s="40" t="s">
        <v>91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52"/>
  <sheetViews>
    <sheetView defaultGridColor="0" zoomScale="87" zoomScaleNormal="87" colorId="22" workbookViewId="0" topLeftCell="A2">
      <selection activeCell="C23" sqref="C23"/>
    </sheetView>
  </sheetViews>
  <sheetFormatPr defaultColWidth="9.77734375" defaultRowHeight="15"/>
  <cols>
    <col min="1" max="1" width="28.77734375" style="0" customWidth="1"/>
    <col min="2" max="2" width="2.77734375" style="0" customWidth="1"/>
    <col min="3" max="3" width="13.77734375" style="0" customWidth="1"/>
    <col min="4" max="4" width="2.77734375" style="0" customWidth="1"/>
    <col min="5" max="5" width="13.77734375" style="0" customWidth="1"/>
    <col min="6" max="6" width="2.77734375" style="0" customWidth="1"/>
    <col min="7" max="7" width="13.77734375" style="0" customWidth="1"/>
    <col min="8" max="8" width="2.77734375" style="0" customWidth="1"/>
    <col min="9" max="9" width="13.77734375" style="0" customWidth="1"/>
  </cols>
  <sheetData>
    <row r="1" spans="1:9" ht="15.75">
      <c r="A1" s="8"/>
      <c r="B1" s="8"/>
      <c r="C1" s="8" t="s">
        <v>0</v>
      </c>
      <c r="D1" s="8"/>
      <c r="E1" s="8"/>
      <c r="F1" s="8"/>
      <c r="G1" s="8"/>
      <c r="H1" s="8"/>
      <c r="I1" s="10"/>
    </row>
    <row r="2" spans="1:9" ht="15">
      <c r="A2" s="8"/>
      <c r="B2" s="8" t="s">
        <v>1</v>
      </c>
      <c r="C2" s="8"/>
      <c r="D2" s="8"/>
      <c r="E2" s="8"/>
      <c r="F2" s="8"/>
      <c r="G2" s="8"/>
      <c r="H2" s="8"/>
      <c r="I2" s="8"/>
    </row>
    <row r="3" spans="1:9" ht="15">
      <c r="A3" s="8"/>
      <c r="B3" s="8"/>
      <c r="C3" s="8"/>
      <c r="D3" s="14" t="s">
        <v>2</v>
      </c>
      <c r="E3" s="8"/>
      <c r="F3" s="8"/>
      <c r="G3" s="8"/>
      <c r="H3" s="8"/>
      <c r="I3" s="8"/>
    </row>
    <row r="4" spans="1:9" ht="15.75">
      <c r="A4" s="8"/>
      <c r="B4" s="8"/>
      <c r="C4" s="8"/>
      <c r="D4" s="10"/>
      <c r="E4" s="8"/>
      <c r="F4" s="8"/>
      <c r="G4" s="8"/>
      <c r="H4" s="8"/>
      <c r="I4" s="8"/>
    </row>
    <row r="5" spans="1:9" ht="15">
      <c r="A5" s="8"/>
      <c r="B5" s="8"/>
      <c r="C5" s="14" t="s">
        <v>38</v>
      </c>
      <c r="D5" s="8"/>
      <c r="E5" s="14" t="s">
        <v>4</v>
      </c>
      <c r="F5" s="8"/>
      <c r="G5" s="14" t="s">
        <v>5</v>
      </c>
      <c r="H5" s="8"/>
      <c r="I5" s="14" t="s">
        <v>6</v>
      </c>
    </row>
    <row r="6" spans="1:9" ht="15">
      <c r="A6" s="8"/>
      <c r="B6" s="8"/>
      <c r="C6" s="14" t="s">
        <v>39</v>
      </c>
      <c r="D6" s="8"/>
      <c r="E6" s="14" t="s">
        <v>8</v>
      </c>
      <c r="F6" s="8"/>
      <c r="G6" s="14" t="s">
        <v>9</v>
      </c>
      <c r="H6" s="8"/>
      <c r="I6" s="14" t="s">
        <v>9</v>
      </c>
    </row>
    <row r="7" spans="1:9" ht="15.75">
      <c r="A7" s="8"/>
      <c r="B7" s="8"/>
      <c r="C7" s="10"/>
      <c r="D7" s="10"/>
      <c r="E7" s="10"/>
      <c r="F7" s="8"/>
      <c r="G7" s="14" t="s">
        <v>10</v>
      </c>
      <c r="H7" s="8"/>
      <c r="I7" s="10"/>
    </row>
    <row r="8" spans="1:9" ht="15.75">
      <c r="A8" s="8"/>
      <c r="B8" s="8"/>
      <c r="C8" s="8" t="s">
        <v>40</v>
      </c>
      <c r="D8" s="10"/>
      <c r="E8" s="8" t="s">
        <v>40</v>
      </c>
      <c r="F8" s="8"/>
      <c r="G8" s="8" t="s">
        <v>40</v>
      </c>
      <c r="H8" s="8"/>
      <c r="I8" s="8" t="s">
        <v>40</v>
      </c>
    </row>
    <row r="9" spans="1:9" ht="15">
      <c r="A9" s="8"/>
      <c r="B9" s="8"/>
      <c r="C9" s="13" t="s">
        <v>13</v>
      </c>
      <c r="D9" s="8"/>
      <c r="E9" s="13" t="s">
        <v>13</v>
      </c>
      <c r="F9" s="8"/>
      <c r="G9" s="13" t="s">
        <v>13</v>
      </c>
      <c r="H9" s="8"/>
      <c r="I9" s="13" t="s">
        <v>13</v>
      </c>
    </row>
    <row r="10" spans="1:9" ht="15">
      <c r="A10" s="8" t="s">
        <v>14</v>
      </c>
      <c r="B10" s="8"/>
      <c r="C10" s="14" t="s">
        <v>41</v>
      </c>
      <c r="D10" s="8"/>
      <c r="E10" s="14" t="s">
        <v>42</v>
      </c>
      <c r="F10" s="8"/>
      <c r="G10" s="14" t="s">
        <v>43</v>
      </c>
      <c r="H10" s="8"/>
      <c r="I10" s="14" t="s">
        <v>44</v>
      </c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 t="s">
        <v>19</v>
      </c>
      <c r="B12" s="8"/>
      <c r="C12" s="8"/>
      <c r="D12" s="8"/>
      <c r="E12" s="8"/>
      <c r="F12" s="8"/>
      <c r="G12" s="8"/>
      <c r="H12" s="8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 t="s">
        <v>20</v>
      </c>
      <c r="B14" s="8"/>
      <c r="C14" s="8"/>
      <c r="D14" s="8"/>
      <c r="E14" s="8"/>
      <c r="F14" s="8"/>
      <c r="G14" s="8"/>
      <c r="H14" s="8"/>
      <c r="I14" s="8"/>
    </row>
    <row r="15" spans="1:9" ht="15">
      <c r="A15" s="8" t="s">
        <v>21</v>
      </c>
      <c r="B15" s="8"/>
      <c r="C15" s="8"/>
      <c r="D15" s="8"/>
      <c r="E15" s="8"/>
      <c r="F15" s="8"/>
      <c r="G15" s="8"/>
      <c r="H15" s="8"/>
      <c r="I15" s="8"/>
    </row>
    <row r="16" spans="1:9" ht="15">
      <c r="A16" s="8" t="s">
        <v>22</v>
      </c>
      <c r="B16" s="8"/>
      <c r="C16" s="9">
        <v>86240</v>
      </c>
      <c r="D16" s="8"/>
      <c r="E16" s="9">
        <v>457000</v>
      </c>
      <c r="F16" s="8"/>
      <c r="G16" s="9">
        <v>451874</v>
      </c>
      <c r="H16" s="8"/>
      <c r="I16" s="9">
        <v>163670</v>
      </c>
    </row>
    <row r="17" spans="1:9" ht="15">
      <c r="A17" s="8" t="s">
        <v>23</v>
      </c>
      <c r="B17" s="8"/>
      <c r="C17" s="8">
        <f>74647+3222-31-533</f>
        <v>77305</v>
      </c>
      <c r="D17" s="8"/>
      <c r="E17" s="8">
        <v>385829</v>
      </c>
      <c r="F17" s="8"/>
      <c r="G17" s="8">
        <v>377633</v>
      </c>
      <c r="H17" s="8"/>
      <c r="I17" s="8">
        <v>144681</v>
      </c>
    </row>
    <row r="18" spans="1:9" ht="15">
      <c r="A18" s="8"/>
      <c r="B18" s="8"/>
      <c r="C18" s="13" t="s">
        <v>13</v>
      </c>
      <c r="D18" s="8"/>
      <c r="E18" s="13" t="s">
        <v>13</v>
      </c>
      <c r="F18" s="8"/>
      <c r="G18" s="13" t="s">
        <v>13</v>
      </c>
      <c r="H18" s="8"/>
      <c r="I18" s="13" t="s">
        <v>13</v>
      </c>
    </row>
    <row r="19" spans="1:9" ht="15">
      <c r="A19" s="8" t="s">
        <v>24</v>
      </c>
      <c r="B19" s="8"/>
      <c r="C19" s="9">
        <f>C16-C17</f>
        <v>8935</v>
      </c>
      <c r="D19" s="8"/>
      <c r="E19" s="9">
        <f>E16-E17</f>
        <v>71171</v>
      </c>
      <c r="F19" s="8"/>
      <c r="G19" s="9">
        <f>G16-G17</f>
        <v>74241</v>
      </c>
      <c r="H19" s="8"/>
      <c r="I19" s="9">
        <f>I16-I17</f>
        <v>18989</v>
      </c>
    </row>
    <row r="20" spans="1:9" ht="15">
      <c r="A20" s="8"/>
      <c r="B20" s="8"/>
      <c r="C20" s="13" t="s">
        <v>25</v>
      </c>
      <c r="D20" s="8"/>
      <c r="E20" s="13" t="s">
        <v>25</v>
      </c>
      <c r="F20" s="8"/>
      <c r="G20" s="13" t="s">
        <v>25</v>
      </c>
      <c r="H20" s="8"/>
      <c r="I20" s="13" t="s">
        <v>25</v>
      </c>
    </row>
    <row r="21" spans="1:9" ht="15">
      <c r="A21" s="8" t="s">
        <v>26</v>
      </c>
      <c r="B21" s="8"/>
      <c r="C21" s="9">
        <v>128309</v>
      </c>
      <c r="D21" s="8"/>
      <c r="E21" s="9">
        <v>834315</v>
      </c>
      <c r="F21" s="8"/>
      <c r="G21" s="9">
        <v>747662</v>
      </c>
      <c r="H21" s="8"/>
      <c r="I21" s="9">
        <v>200429</v>
      </c>
    </row>
    <row r="22" spans="1:9" ht="15">
      <c r="A22" s="8"/>
      <c r="B22" s="8"/>
      <c r="C22" s="13" t="s">
        <v>25</v>
      </c>
      <c r="D22" s="8"/>
      <c r="E22" s="13" t="s">
        <v>25</v>
      </c>
      <c r="F22" s="8"/>
      <c r="G22" s="13" t="s">
        <v>25</v>
      </c>
      <c r="H22" s="8"/>
      <c r="I22" s="13" t="s">
        <v>25</v>
      </c>
    </row>
    <row r="23" spans="1:9" ht="15">
      <c r="A23" s="8" t="s">
        <v>27</v>
      </c>
      <c r="B23" s="8"/>
      <c r="C23" s="26">
        <f>C19/C21</f>
        <v>0.06963658044252546</v>
      </c>
      <c r="D23" s="8"/>
      <c r="E23" s="11">
        <f>E19/E21</f>
        <v>0.08530471105038265</v>
      </c>
      <c r="F23" s="8"/>
      <c r="G23" s="11">
        <f>G19/G21</f>
        <v>0.09929754354240285</v>
      </c>
      <c r="H23" s="8"/>
      <c r="I23" s="11">
        <f>I19/I21</f>
        <v>0.09474177888429319</v>
      </c>
    </row>
    <row r="24" spans="1:9" ht="15">
      <c r="A24" s="8"/>
      <c r="B24" s="8"/>
      <c r="C24" s="13" t="s">
        <v>25</v>
      </c>
      <c r="D24" s="8"/>
      <c r="E24" s="13" t="s">
        <v>25</v>
      </c>
      <c r="F24" s="8"/>
      <c r="G24" s="13" t="s">
        <v>25</v>
      </c>
      <c r="H24" s="8"/>
      <c r="I24" s="13" t="s">
        <v>25</v>
      </c>
    </row>
    <row r="25" spans="1:9" ht="15">
      <c r="A25" s="8" t="s">
        <v>28</v>
      </c>
      <c r="B25" s="8"/>
      <c r="C25" s="8"/>
      <c r="D25" s="8"/>
      <c r="E25" s="8"/>
      <c r="F25" s="8"/>
      <c r="G25" s="8"/>
      <c r="H25" s="8"/>
      <c r="I25" s="8"/>
    </row>
    <row r="26" spans="1:9" ht="15">
      <c r="A26" s="8" t="s">
        <v>29</v>
      </c>
      <c r="B26" s="8"/>
      <c r="C26" s="8"/>
      <c r="D26" s="8"/>
      <c r="E26" s="8"/>
      <c r="F26" s="8"/>
      <c r="G26" s="8"/>
      <c r="H26" s="8"/>
      <c r="I26" s="8"/>
    </row>
    <row r="27" spans="1:9" ht="15">
      <c r="A27" s="8" t="s">
        <v>22</v>
      </c>
      <c r="B27" s="8"/>
      <c r="C27" s="9">
        <v>87783</v>
      </c>
      <c r="D27" s="8"/>
      <c r="E27" s="9">
        <v>448934</v>
      </c>
      <c r="F27" s="8"/>
      <c r="G27" s="9">
        <v>422016</v>
      </c>
      <c r="H27" s="8"/>
      <c r="I27" s="9">
        <v>164921</v>
      </c>
    </row>
    <row r="28" spans="1:9" ht="15">
      <c r="A28" s="8" t="s">
        <v>23</v>
      </c>
      <c r="B28" s="8"/>
      <c r="C28" s="8">
        <f>75136+403+3086-31</f>
        <v>78594</v>
      </c>
      <c r="D28" s="8"/>
      <c r="E28" s="8">
        <v>377208</v>
      </c>
      <c r="F28" s="8"/>
      <c r="G28" s="8">
        <v>354520</v>
      </c>
      <c r="H28" s="8"/>
      <c r="I28" s="8">
        <v>145673</v>
      </c>
    </row>
    <row r="29" spans="1:9" ht="15">
      <c r="A29" s="8"/>
      <c r="B29" s="8"/>
      <c r="C29" s="27" t="s">
        <v>13</v>
      </c>
      <c r="D29" s="8"/>
      <c r="E29" s="13" t="s">
        <v>13</v>
      </c>
      <c r="F29" s="8"/>
      <c r="G29" s="13" t="s">
        <v>13</v>
      </c>
      <c r="H29" s="8"/>
      <c r="I29" s="13" t="s">
        <v>13</v>
      </c>
    </row>
    <row r="30" spans="1:9" ht="15">
      <c r="A30" s="8" t="s">
        <v>24</v>
      </c>
      <c r="B30" s="8"/>
      <c r="C30" s="28">
        <f>C27-C28</f>
        <v>9189</v>
      </c>
      <c r="D30" s="8"/>
      <c r="E30" s="9">
        <f>E27-E28</f>
        <v>71726</v>
      </c>
      <c r="F30" s="8"/>
      <c r="G30" s="9">
        <f>G27-G28</f>
        <v>67496</v>
      </c>
      <c r="H30" s="8"/>
      <c r="I30" s="9">
        <f>I27-I28</f>
        <v>19248</v>
      </c>
    </row>
    <row r="31" spans="1:9" ht="15">
      <c r="A31" s="8"/>
      <c r="B31" s="8"/>
      <c r="C31" s="27" t="s">
        <v>25</v>
      </c>
      <c r="D31" s="8"/>
      <c r="E31" s="13" t="s">
        <v>25</v>
      </c>
      <c r="F31" s="8"/>
      <c r="G31" s="13" t="s">
        <v>25</v>
      </c>
      <c r="H31" s="8"/>
      <c r="I31" s="13" t="s">
        <v>25</v>
      </c>
    </row>
    <row r="32" spans="1:9" ht="15">
      <c r="A32" s="8" t="s">
        <v>26</v>
      </c>
      <c r="B32" s="8"/>
      <c r="C32" s="9">
        <v>123462</v>
      </c>
      <c r="D32" s="8"/>
      <c r="E32" s="9">
        <v>834315</v>
      </c>
      <c r="F32" s="8"/>
      <c r="G32" s="9">
        <v>776965</v>
      </c>
      <c r="H32" s="8"/>
      <c r="I32" s="9">
        <v>200429</v>
      </c>
    </row>
    <row r="33" spans="1:9" ht="15">
      <c r="A33" s="8"/>
      <c r="B33" s="8"/>
      <c r="C33" s="8"/>
      <c r="D33" s="8"/>
      <c r="E33" s="13" t="s">
        <v>25</v>
      </c>
      <c r="F33" s="8"/>
      <c r="G33" s="13" t="s">
        <v>25</v>
      </c>
      <c r="H33" s="8"/>
      <c r="I33" s="13" t="s">
        <v>25</v>
      </c>
    </row>
    <row r="34" spans="1:9" ht="15">
      <c r="A34" s="8" t="s">
        <v>30</v>
      </c>
      <c r="B34" s="8"/>
      <c r="C34" s="26">
        <f>C30/C32</f>
        <v>0.07442775914856394</v>
      </c>
      <c r="D34" s="8"/>
      <c r="E34" s="11">
        <f>E30/E32</f>
        <v>0.08596992742549277</v>
      </c>
      <c r="F34" s="8"/>
      <c r="G34" s="11">
        <f>G30/G32</f>
        <v>0.08687135199140245</v>
      </c>
      <c r="H34" s="8"/>
      <c r="I34" s="11">
        <f>I30/I32</f>
        <v>0.09603400705486731</v>
      </c>
    </row>
    <row r="35" spans="1:9" ht="15">
      <c r="A35" s="8"/>
      <c r="B35" s="8"/>
      <c r="C35" s="13" t="s">
        <v>25</v>
      </c>
      <c r="D35" s="8"/>
      <c r="E35" s="13" t="s">
        <v>25</v>
      </c>
      <c r="F35" s="8"/>
      <c r="G35" s="13" t="s">
        <v>25</v>
      </c>
      <c r="H35" s="8"/>
      <c r="I35" s="13" t="s">
        <v>25</v>
      </c>
    </row>
    <row r="36" spans="1:9" ht="15">
      <c r="A36" s="8"/>
      <c r="B36" s="8"/>
      <c r="C36" s="9"/>
      <c r="D36" s="8"/>
      <c r="E36" s="9"/>
      <c r="F36" s="8"/>
      <c r="G36" s="9"/>
      <c r="H36" s="8"/>
      <c r="I36" s="9"/>
    </row>
    <row r="37" spans="1:9" ht="15.75">
      <c r="A37" s="10" t="s">
        <v>31</v>
      </c>
      <c r="B37" s="10"/>
      <c r="C37" s="10"/>
      <c r="D37" s="10"/>
      <c r="E37" s="10"/>
      <c r="F37" s="10"/>
      <c r="G37" s="10"/>
      <c r="H37" s="10"/>
      <c r="I37" s="10"/>
    </row>
    <row r="38" spans="1:9" ht="15">
      <c r="A38" s="8" t="s">
        <v>28</v>
      </c>
      <c r="B38" s="8"/>
      <c r="C38" s="8"/>
      <c r="D38" s="8"/>
      <c r="E38" s="8"/>
      <c r="F38" s="8"/>
      <c r="G38" s="8"/>
      <c r="H38" s="8"/>
      <c r="I38" s="8"/>
    </row>
    <row r="39" spans="1:9" ht="15">
      <c r="A39" s="8" t="s">
        <v>29</v>
      </c>
      <c r="B39" s="8"/>
      <c r="C39" s="8"/>
      <c r="D39" s="8"/>
      <c r="E39" s="8"/>
      <c r="F39" s="8"/>
      <c r="G39" s="8"/>
      <c r="H39" s="8"/>
      <c r="I39" s="8"/>
    </row>
    <row r="40" spans="1:9" ht="15">
      <c r="A40" s="8" t="s">
        <v>22</v>
      </c>
      <c r="B40" s="8"/>
      <c r="C40" s="9">
        <v>87783</v>
      </c>
      <c r="D40" s="8"/>
      <c r="E40" s="9">
        <v>448933</v>
      </c>
      <c r="F40" s="8"/>
      <c r="G40" s="9">
        <v>422016</v>
      </c>
      <c r="H40" s="8"/>
      <c r="I40" s="9">
        <v>164921</v>
      </c>
    </row>
    <row r="41" spans="1:9" ht="15">
      <c r="A41" s="8" t="s">
        <v>23</v>
      </c>
      <c r="B41" s="8"/>
      <c r="C41" s="8">
        <f>75136+403+3086-31</f>
        <v>78594</v>
      </c>
      <c r="D41" s="8"/>
      <c r="E41" s="8">
        <v>377208</v>
      </c>
      <c r="F41" s="8"/>
      <c r="G41" s="8">
        <v>356003</v>
      </c>
      <c r="H41" s="8"/>
      <c r="I41" s="8">
        <f>86093+11792+47786</f>
        <v>145671</v>
      </c>
    </row>
    <row r="42" spans="1:9" ht="15">
      <c r="A42" s="8"/>
      <c r="B42" s="8"/>
      <c r="C42" s="13" t="s">
        <v>13</v>
      </c>
      <c r="D42" s="8"/>
      <c r="E42" s="13" t="s">
        <v>13</v>
      </c>
      <c r="F42" s="8"/>
      <c r="G42" s="13" t="s">
        <v>13</v>
      </c>
      <c r="H42" s="8"/>
      <c r="I42" s="13" t="s">
        <v>13</v>
      </c>
    </row>
    <row r="43" spans="1:9" ht="15">
      <c r="A43" s="8" t="s">
        <v>24</v>
      </c>
      <c r="B43" s="8"/>
      <c r="C43" s="9">
        <f>C40-C41</f>
        <v>9189</v>
      </c>
      <c r="D43" s="8"/>
      <c r="E43" s="9">
        <f>E40-E41</f>
        <v>71725</v>
      </c>
      <c r="F43" s="8"/>
      <c r="G43" s="9">
        <f>G40-G41</f>
        <v>66013</v>
      </c>
      <c r="H43" s="8"/>
      <c r="I43" s="9">
        <f>I40-I41</f>
        <v>19250</v>
      </c>
    </row>
    <row r="44" spans="1:9" ht="15">
      <c r="A44" s="8"/>
      <c r="B44" s="8"/>
      <c r="C44" s="13" t="s">
        <v>25</v>
      </c>
      <c r="D44" s="8"/>
      <c r="E44" s="13" t="s">
        <v>25</v>
      </c>
      <c r="F44" s="8"/>
      <c r="G44" s="13" t="s">
        <v>25</v>
      </c>
      <c r="H44" s="8"/>
      <c r="I44" s="13" t="s">
        <v>25</v>
      </c>
    </row>
    <row r="45" spans="1:9" ht="15">
      <c r="A45" s="8" t="s">
        <v>26</v>
      </c>
      <c r="B45" s="8"/>
      <c r="C45" s="9">
        <v>123462</v>
      </c>
      <c r="D45" s="8"/>
      <c r="E45" s="9">
        <v>834315</v>
      </c>
      <c r="F45" s="8"/>
      <c r="G45" s="9">
        <v>776930</v>
      </c>
      <c r="H45" s="8"/>
      <c r="I45" s="9">
        <f>I32</f>
        <v>200429</v>
      </c>
    </row>
    <row r="46" spans="1:9" ht="15">
      <c r="A46" s="8"/>
      <c r="B46" s="8"/>
      <c r="C46" s="13" t="s">
        <v>25</v>
      </c>
      <c r="D46" s="8"/>
      <c r="E46" s="13" t="s">
        <v>25</v>
      </c>
      <c r="F46" s="8"/>
      <c r="G46" s="13" t="s">
        <v>25</v>
      </c>
      <c r="H46" s="8"/>
      <c r="I46" s="13" t="s">
        <v>25</v>
      </c>
    </row>
    <row r="47" spans="1:9" ht="15">
      <c r="A47" s="8" t="s">
        <v>30</v>
      </c>
      <c r="B47" s="8"/>
      <c r="C47" s="11">
        <f>C43/C45</f>
        <v>0.07442775914856394</v>
      </c>
      <c r="D47" s="8"/>
      <c r="E47" s="11">
        <f>E43/E45</f>
        <v>0.08596872883742951</v>
      </c>
      <c r="F47" s="8"/>
      <c r="G47" s="11">
        <f>G43/G45</f>
        <v>0.08496647059580657</v>
      </c>
      <c r="H47" s="8"/>
      <c r="I47" s="11">
        <f>I43/I45</f>
        <v>0.09604398565077908</v>
      </c>
    </row>
    <row r="48" spans="1:9" ht="15">
      <c r="A48" s="8"/>
      <c r="B48" s="8"/>
      <c r="C48" s="13" t="s">
        <v>25</v>
      </c>
      <c r="D48" s="8"/>
      <c r="E48" s="13" t="s">
        <v>25</v>
      </c>
      <c r="F48" s="8"/>
      <c r="G48" s="13" t="s">
        <v>25</v>
      </c>
      <c r="H48" s="8"/>
      <c r="I48" s="13" t="s">
        <v>25</v>
      </c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  <row r="50" spans="1:9" ht="15">
      <c r="A50" s="8" t="s">
        <v>32</v>
      </c>
      <c r="B50" s="8"/>
      <c r="C50" s="11">
        <v>0.0911</v>
      </c>
      <c r="D50" s="8"/>
      <c r="E50" s="11">
        <v>0.0952</v>
      </c>
      <c r="F50" s="8"/>
      <c r="G50" s="11">
        <v>0.0955</v>
      </c>
      <c r="H50" s="8"/>
      <c r="I50" s="11">
        <v>0.0976</v>
      </c>
    </row>
    <row r="51" spans="1:9" ht="15">
      <c r="A51" s="8" t="s">
        <v>33</v>
      </c>
      <c r="B51" s="8"/>
      <c r="C51" s="14" t="s">
        <v>34</v>
      </c>
      <c r="D51" s="8"/>
      <c r="E51" s="12" t="s">
        <v>35</v>
      </c>
      <c r="F51" s="8"/>
      <c r="G51" s="12" t="s">
        <v>36</v>
      </c>
      <c r="H51" s="8"/>
      <c r="I51" s="12" t="s">
        <v>37</v>
      </c>
    </row>
    <row r="52" spans="1:9" ht="15.75">
      <c r="A52" s="15" t="s">
        <v>86</v>
      </c>
      <c r="B52" s="2"/>
      <c r="C52" s="2"/>
      <c r="D52" s="2"/>
      <c r="E52" s="2"/>
      <c r="F52" s="2"/>
      <c r="G52" s="2"/>
      <c r="H52" s="2"/>
      <c r="I52" s="2"/>
    </row>
  </sheetData>
  <printOptions/>
  <pageMargins left="0.5" right="0.5" top="0.5" bottom="0.5" header="0.5" footer="0.5"/>
  <pageSetup horizontalDpi="600" verticalDpi="600" orientation="portrait" scale="85" r:id="rId1"/>
  <colBreaks count="2" manualBreakCount="2">
    <brk id="8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52"/>
  <sheetViews>
    <sheetView defaultGridColor="0" zoomScale="87" zoomScaleNormal="87" colorId="22" workbookViewId="0" topLeftCell="A4">
      <selection activeCell="A52" sqref="A52"/>
    </sheetView>
  </sheetViews>
  <sheetFormatPr defaultColWidth="9.77734375" defaultRowHeight="15"/>
  <cols>
    <col min="1" max="1" width="28.77734375" style="0" customWidth="1"/>
    <col min="2" max="2" width="2.77734375" style="0" customWidth="1"/>
    <col min="3" max="3" width="14.77734375" style="0" customWidth="1"/>
    <col min="4" max="4" width="2.77734375" style="0" customWidth="1"/>
    <col min="5" max="5" width="14.77734375" style="0" customWidth="1"/>
    <col min="6" max="6" width="2.77734375" style="0" customWidth="1"/>
    <col min="7" max="7" width="14.77734375" style="0" customWidth="1"/>
    <col min="8" max="8" width="2.77734375" style="0" customWidth="1"/>
    <col min="9" max="9" width="14.77734375" style="0" customWidth="1"/>
  </cols>
  <sheetData>
    <row r="1" spans="1:9" ht="15">
      <c r="A1" s="1"/>
      <c r="B1" s="1"/>
      <c r="C1" s="1" t="s">
        <v>0</v>
      </c>
      <c r="D1" s="1"/>
      <c r="E1" s="8"/>
      <c r="F1" s="1"/>
      <c r="G1" s="1"/>
      <c r="H1" s="1"/>
      <c r="I1" s="2"/>
    </row>
    <row r="2" spans="1:9" ht="15">
      <c r="A2" s="1"/>
      <c r="B2" s="1" t="s">
        <v>1</v>
      </c>
      <c r="C2" s="1"/>
      <c r="D2" s="1"/>
      <c r="E2" s="8"/>
      <c r="F2" s="1"/>
      <c r="G2" s="1"/>
      <c r="H2" s="1"/>
      <c r="I2" s="1"/>
    </row>
    <row r="3" spans="1:9" ht="15">
      <c r="A3" s="1"/>
      <c r="B3" s="1"/>
      <c r="C3" s="1"/>
      <c r="D3" s="3" t="s">
        <v>2</v>
      </c>
      <c r="E3" s="8"/>
      <c r="F3" s="1"/>
      <c r="G3" s="1"/>
      <c r="H3" s="1"/>
      <c r="I3" s="1"/>
    </row>
    <row r="4" spans="1:9" ht="15.75">
      <c r="A4" s="8"/>
      <c r="B4" s="8"/>
      <c r="C4" s="8"/>
      <c r="D4" s="10"/>
      <c r="E4" s="8"/>
      <c r="F4" s="8"/>
      <c r="G4" s="8"/>
      <c r="H4" s="8"/>
      <c r="I4" s="8"/>
    </row>
    <row r="5" spans="1:9" ht="15">
      <c r="A5" s="8"/>
      <c r="B5" s="8"/>
      <c r="C5" s="14" t="s">
        <v>38</v>
      </c>
      <c r="D5" s="8"/>
      <c r="E5" s="14" t="s">
        <v>4</v>
      </c>
      <c r="F5" s="8"/>
      <c r="G5" s="14" t="s">
        <v>5</v>
      </c>
      <c r="H5" s="8"/>
      <c r="I5" s="14" t="s">
        <v>6</v>
      </c>
    </row>
    <row r="6" spans="1:9" ht="15">
      <c r="A6" s="8"/>
      <c r="B6" s="8"/>
      <c r="C6" s="14" t="s">
        <v>39</v>
      </c>
      <c r="D6" s="8"/>
      <c r="E6" s="14" t="s">
        <v>8</v>
      </c>
      <c r="F6" s="8"/>
      <c r="G6" s="14" t="s">
        <v>9</v>
      </c>
      <c r="H6" s="8"/>
      <c r="I6" s="14" t="s">
        <v>9</v>
      </c>
    </row>
    <row r="7" spans="1:9" ht="15.75">
      <c r="A7" s="8"/>
      <c r="B7" s="8"/>
      <c r="C7" s="10"/>
      <c r="D7" s="10"/>
      <c r="E7" s="10"/>
      <c r="F7" s="8"/>
      <c r="G7" s="14" t="s">
        <v>10</v>
      </c>
      <c r="H7" s="8"/>
      <c r="I7" s="10"/>
    </row>
    <row r="8" spans="1:9" ht="15.75">
      <c r="A8" s="8"/>
      <c r="B8" s="8"/>
      <c r="C8" s="8" t="s">
        <v>45</v>
      </c>
      <c r="D8" s="10"/>
      <c r="E8" s="8" t="s">
        <v>45</v>
      </c>
      <c r="F8" s="8"/>
      <c r="G8" s="8" t="s">
        <v>45</v>
      </c>
      <c r="H8" s="8"/>
      <c r="I8" s="8" t="s">
        <v>45</v>
      </c>
    </row>
    <row r="9" spans="1:9" ht="15">
      <c r="A9" s="8"/>
      <c r="B9" s="8"/>
      <c r="C9" s="13" t="s">
        <v>13</v>
      </c>
      <c r="D9" s="8"/>
      <c r="E9" s="13" t="s">
        <v>13</v>
      </c>
      <c r="F9" s="8"/>
      <c r="G9" s="13" t="s">
        <v>13</v>
      </c>
      <c r="H9" s="8"/>
      <c r="I9" s="13" t="s">
        <v>13</v>
      </c>
    </row>
    <row r="10" spans="1:9" ht="15">
      <c r="A10" s="8" t="s">
        <v>14</v>
      </c>
      <c r="B10" s="8"/>
      <c r="C10" s="14"/>
      <c r="D10" s="8"/>
      <c r="E10" s="14" t="s">
        <v>46</v>
      </c>
      <c r="F10" s="8"/>
      <c r="G10" s="14"/>
      <c r="H10" s="8"/>
      <c r="I10" s="14" t="s">
        <v>47</v>
      </c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 t="s">
        <v>19</v>
      </c>
      <c r="B12" s="8"/>
      <c r="C12" s="8"/>
      <c r="D12" s="8"/>
      <c r="E12" s="8"/>
      <c r="F12" s="8"/>
      <c r="G12" s="8"/>
      <c r="H12" s="8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 t="s">
        <v>20</v>
      </c>
      <c r="B14" s="8"/>
      <c r="C14" s="8"/>
      <c r="D14" s="8"/>
      <c r="E14" s="8"/>
      <c r="F14" s="8"/>
      <c r="G14" s="8"/>
      <c r="H14" s="8"/>
      <c r="I14" s="8"/>
    </row>
    <row r="15" spans="1:9" ht="15">
      <c r="A15" s="8" t="s">
        <v>21</v>
      </c>
      <c r="B15" s="8"/>
      <c r="C15" s="8"/>
      <c r="D15" s="8"/>
      <c r="E15" s="8"/>
      <c r="F15" s="8"/>
      <c r="G15" s="8"/>
      <c r="H15" s="8"/>
      <c r="I15" s="8"/>
    </row>
    <row r="16" spans="1:9" ht="15">
      <c r="A16" s="8" t="s">
        <v>22</v>
      </c>
      <c r="B16" s="8"/>
      <c r="C16" s="9"/>
      <c r="D16" s="8"/>
      <c r="E16" s="9">
        <v>485488</v>
      </c>
      <c r="F16" s="8"/>
      <c r="G16" s="9"/>
      <c r="H16" s="8"/>
      <c r="I16" s="9">
        <v>178962</v>
      </c>
    </row>
    <row r="17" spans="1:9" ht="15">
      <c r="A17" s="8" t="s">
        <v>23</v>
      </c>
      <c r="B17" s="8"/>
      <c r="C17" s="8"/>
      <c r="D17" s="8"/>
      <c r="E17" s="8">
        <v>404590</v>
      </c>
      <c r="F17" s="8"/>
      <c r="G17" s="8"/>
      <c r="H17" s="8"/>
      <c r="I17" s="8">
        <f>99040+12628+47213</f>
        <v>158881</v>
      </c>
    </row>
    <row r="18" spans="1:9" ht="15">
      <c r="A18" s="8"/>
      <c r="B18" s="8"/>
      <c r="C18" s="13" t="s">
        <v>13</v>
      </c>
      <c r="D18" s="8"/>
      <c r="E18" s="13" t="s">
        <v>13</v>
      </c>
      <c r="F18" s="8"/>
      <c r="G18" s="13" t="s">
        <v>13</v>
      </c>
      <c r="H18" s="8"/>
      <c r="I18" s="13" t="s">
        <v>13</v>
      </c>
    </row>
    <row r="19" spans="1:9" ht="15">
      <c r="A19" s="8" t="s">
        <v>24</v>
      </c>
      <c r="B19" s="8"/>
      <c r="C19" s="9"/>
      <c r="D19" s="8"/>
      <c r="E19" s="9">
        <f>E16-E17</f>
        <v>80898</v>
      </c>
      <c r="F19" s="8"/>
      <c r="G19" s="9"/>
      <c r="H19" s="8"/>
      <c r="I19" s="9">
        <f>I16-I17</f>
        <v>20081</v>
      </c>
    </row>
    <row r="20" spans="1:9" ht="15">
      <c r="A20" s="8"/>
      <c r="B20" s="8"/>
      <c r="C20" s="13" t="s">
        <v>25</v>
      </c>
      <c r="D20" s="8"/>
      <c r="E20" s="13" t="s">
        <v>25</v>
      </c>
      <c r="F20" s="8"/>
      <c r="G20" s="13" t="s">
        <v>25</v>
      </c>
      <c r="H20" s="8"/>
      <c r="I20" s="13" t="s">
        <v>25</v>
      </c>
    </row>
    <row r="21" spans="1:9" ht="15">
      <c r="A21" s="8" t="s">
        <v>26</v>
      </c>
      <c r="B21" s="8"/>
      <c r="C21" s="9"/>
      <c r="D21" s="8"/>
      <c r="E21" s="9">
        <v>845152</v>
      </c>
      <c r="F21" s="8"/>
      <c r="G21" s="9"/>
      <c r="H21" s="8"/>
      <c r="I21" s="9">
        <v>202266</v>
      </c>
    </row>
    <row r="22" spans="1:9" ht="15">
      <c r="A22" s="8"/>
      <c r="B22" s="8"/>
      <c r="C22" s="13" t="s">
        <v>25</v>
      </c>
      <c r="D22" s="8"/>
      <c r="E22" s="13" t="s">
        <v>25</v>
      </c>
      <c r="F22" s="8"/>
      <c r="G22" s="13" t="s">
        <v>25</v>
      </c>
      <c r="H22" s="8"/>
      <c r="I22" s="13" t="s">
        <v>25</v>
      </c>
    </row>
    <row r="23" spans="1:9" ht="15">
      <c r="A23" s="8" t="s">
        <v>27</v>
      </c>
      <c r="B23" s="8"/>
      <c r="C23" s="11"/>
      <c r="D23" s="8"/>
      <c r="E23" s="11">
        <f>E19/E21</f>
        <v>0.09572005982355837</v>
      </c>
      <c r="F23" s="8"/>
      <c r="G23" s="11"/>
      <c r="H23" s="8"/>
      <c r="I23" s="11">
        <f>I19/I21</f>
        <v>0.09928015583439628</v>
      </c>
    </row>
    <row r="24" spans="1:9" ht="15">
      <c r="A24" s="8"/>
      <c r="B24" s="8"/>
      <c r="C24" s="13" t="s">
        <v>25</v>
      </c>
      <c r="D24" s="8"/>
      <c r="E24" s="13" t="s">
        <v>25</v>
      </c>
      <c r="F24" s="8"/>
      <c r="G24" s="13" t="s">
        <v>25</v>
      </c>
      <c r="H24" s="8"/>
      <c r="I24" s="13" t="s">
        <v>25</v>
      </c>
    </row>
    <row r="25" spans="1:9" ht="15">
      <c r="A25" s="8" t="s">
        <v>28</v>
      </c>
      <c r="B25" s="8"/>
      <c r="C25" s="8"/>
      <c r="D25" s="8"/>
      <c r="E25" s="8"/>
      <c r="F25" s="8"/>
      <c r="G25" s="8"/>
      <c r="H25" s="8"/>
      <c r="I25" s="8"/>
    </row>
    <row r="26" spans="1:9" ht="15">
      <c r="A26" s="8" t="s">
        <v>29</v>
      </c>
      <c r="B26" s="8"/>
      <c r="C26" s="8"/>
      <c r="D26" s="8"/>
      <c r="E26" s="8"/>
      <c r="F26" s="8"/>
      <c r="G26" s="8"/>
      <c r="H26" s="8"/>
      <c r="I26" s="8"/>
    </row>
    <row r="27" spans="1:9" ht="15">
      <c r="A27" s="8" t="s">
        <v>22</v>
      </c>
      <c r="B27" s="8"/>
      <c r="C27" s="9"/>
      <c r="D27" s="8"/>
      <c r="E27" s="9">
        <v>465907</v>
      </c>
      <c r="F27" s="8"/>
      <c r="G27" s="9"/>
      <c r="H27" s="8"/>
      <c r="I27" s="9">
        <v>181321</v>
      </c>
    </row>
    <row r="28" spans="1:9" ht="15">
      <c r="A28" s="8" t="s">
        <v>23</v>
      </c>
      <c r="B28" s="8"/>
      <c r="C28" s="8"/>
      <c r="D28" s="8"/>
      <c r="E28" s="8">
        <v>395966</v>
      </c>
      <c r="F28" s="8"/>
      <c r="G28" s="8"/>
      <c r="H28" s="8"/>
      <c r="I28" s="8">
        <f>100567+12628+47456</f>
        <v>160651</v>
      </c>
    </row>
    <row r="29" spans="1:9" ht="15">
      <c r="A29" s="8"/>
      <c r="B29" s="8"/>
      <c r="C29" s="8"/>
      <c r="D29" s="8"/>
      <c r="E29" s="13" t="s">
        <v>13</v>
      </c>
      <c r="F29" s="8"/>
      <c r="G29" s="13" t="s">
        <v>13</v>
      </c>
      <c r="H29" s="8"/>
      <c r="I29" s="13" t="s">
        <v>13</v>
      </c>
    </row>
    <row r="30" spans="1:9" ht="15">
      <c r="A30" s="8" t="s">
        <v>24</v>
      </c>
      <c r="B30" s="8"/>
      <c r="C30" s="9"/>
      <c r="D30" s="8"/>
      <c r="E30" s="9">
        <f>E27-E28</f>
        <v>69941</v>
      </c>
      <c r="F30" s="8"/>
      <c r="G30" s="9"/>
      <c r="H30" s="8"/>
      <c r="I30" s="9">
        <f>I27-I28</f>
        <v>20670</v>
      </c>
    </row>
    <row r="31" spans="1:9" ht="15">
      <c r="A31" s="8"/>
      <c r="B31" s="8"/>
      <c r="C31" s="8"/>
      <c r="D31" s="8"/>
      <c r="E31" s="13" t="s">
        <v>25</v>
      </c>
      <c r="F31" s="8"/>
      <c r="G31" s="13" t="s">
        <v>25</v>
      </c>
      <c r="H31" s="8"/>
      <c r="I31" s="13" t="s">
        <v>25</v>
      </c>
    </row>
    <row r="32" spans="1:9" ht="15">
      <c r="A32" s="8" t="s">
        <v>26</v>
      </c>
      <c r="B32" s="8"/>
      <c r="C32" s="9"/>
      <c r="D32" s="8"/>
      <c r="E32" s="9">
        <v>845203</v>
      </c>
      <c r="F32" s="8"/>
      <c r="G32" s="9"/>
      <c r="H32" s="8"/>
      <c r="I32" s="9">
        <v>202266</v>
      </c>
    </row>
    <row r="33" spans="1:9" ht="15">
      <c r="A33" s="8"/>
      <c r="B33" s="8"/>
      <c r="C33" s="8"/>
      <c r="D33" s="8"/>
      <c r="E33" s="13" t="s">
        <v>25</v>
      </c>
      <c r="F33" s="8"/>
      <c r="G33" s="13" t="s">
        <v>25</v>
      </c>
      <c r="H33" s="8"/>
      <c r="I33" s="13" t="s">
        <v>25</v>
      </c>
    </row>
    <row r="34" spans="1:9" ht="15">
      <c r="A34" s="8" t="s">
        <v>30</v>
      </c>
      <c r="B34" s="8"/>
      <c r="C34" s="11"/>
      <c r="D34" s="8"/>
      <c r="E34" s="11">
        <f>E30/E32</f>
        <v>0.08275053448698123</v>
      </c>
      <c r="F34" s="8"/>
      <c r="G34" s="11"/>
      <c r="H34" s="8"/>
      <c r="I34" s="11">
        <f>I30/I32</f>
        <v>0.10219216279552669</v>
      </c>
    </row>
    <row r="35" spans="1:9" ht="15">
      <c r="A35" s="8"/>
      <c r="B35" s="8"/>
      <c r="C35" s="13" t="s">
        <v>25</v>
      </c>
      <c r="D35" s="8"/>
      <c r="E35" s="13" t="s">
        <v>25</v>
      </c>
      <c r="F35" s="8"/>
      <c r="G35" s="13" t="s">
        <v>25</v>
      </c>
      <c r="H35" s="8"/>
      <c r="I35" s="13" t="s">
        <v>25</v>
      </c>
    </row>
    <row r="36" spans="1:9" ht="15">
      <c r="A36" s="8"/>
      <c r="B36" s="8"/>
      <c r="C36" s="9"/>
      <c r="D36" s="8"/>
      <c r="E36" s="9"/>
      <c r="F36" s="8"/>
      <c r="G36" s="9"/>
      <c r="H36" s="8"/>
      <c r="I36" s="9"/>
    </row>
    <row r="37" spans="1:9" ht="15.75">
      <c r="A37" s="10" t="s">
        <v>31</v>
      </c>
      <c r="B37" s="10"/>
      <c r="C37" s="10"/>
      <c r="D37" s="10"/>
      <c r="E37" s="10"/>
      <c r="F37" s="10"/>
      <c r="G37" s="10"/>
      <c r="H37" s="10"/>
      <c r="I37" s="10"/>
    </row>
    <row r="38" spans="1:9" ht="15">
      <c r="A38" s="8" t="s">
        <v>28</v>
      </c>
      <c r="B38" s="8"/>
      <c r="C38" s="8"/>
      <c r="D38" s="8"/>
      <c r="E38" s="8"/>
      <c r="F38" s="8"/>
      <c r="G38" s="8"/>
      <c r="H38" s="8"/>
      <c r="I38" s="8"/>
    </row>
    <row r="39" spans="1:9" ht="15">
      <c r="A39" s="8" t="s">
        <v>29</v>
      </c>
      <c r="B39" s="8"/>
      <c r="C39" s="8"/>
      <c r="D39" s="8"/>
      <c r="E39" s="8"/>
      <c r="F39" s="8"/>
      <c r="G39" s="8"/>
      <c r="H39" s="8"/>
      <c r="I39" s="8"/>
    </row>
    <row r="40" spans="1:9" ht="15">
      <c r="A40" s="8" t="s">
        <v>22</v>
      </c>
      <c r="B40" s="8"/>
      <c r="C40" s="9"/>
      <c r="D40" s="8"/>
      <c r="E40" s="9"/>
      <c r="F40" s="8"/>
      <c r="G40" s="9"/>
      <c r="H40" s="8"/>
      <c r="I40" s="9"/>
    </row>
    <row r="41" spans="1:9" ht="15">
      <c r="A41" s="8" t="s">
        <v>23</v>
      </c>
      <c r="B41" s="8"/>
      <c r="C41" s="8"/>
      <c r="D41" s="8"/>
      <c r="E41" s="8"/>
      <c r="F41" s="8"/>
      <c r="G41" s="8"/>
      <c r="H41" s="8"/>
      <c r="I41" s="8"/>
    </row>
    <row r="42" spans="1:9" ht="15">
      <c r="A42" s="8"/>
      <c r="B42" s="8"/>
      <c r="C42" s="8"/>
      <c r="D42" s="8"/>
      <c r="E42" s="13" t="s">
        <v>13</v>
      </c>
      <c r="F42" s="8"/>
      <c r="G42" s="13" t="s">
        <v>13</v>
      </c>
      <c r="H42" s="8"/>
      <c r="I42" s="13" t="s">
        <v>13</v>
      </c>
    </row>
    <row r="43" spans="1:9" ht="15">
      <c r="A43" s="8" t="s">
        <v>24</v>
      </c>
      <c r="B43" s="8"/>
      <c r="C43" s="9"/>
      <c r="D43" s="8"/>
      <c r="E43" s="9"/>
      <c r="F43" s="8"/>
      <c r="G43" s="9"/>
      <c r="H43" s="8"/>
      <c r="I43" s="9"/>
    </row>
    <row r="44" spans="1:9" ht="15">
      <c r="A44" s="8"/>
      <c r="B44" s="8"/>
      <c r="C44" s="8"/>
      <c r="D44" s="8"/>
      <c r="E44" s="13" t="s">
        <v>25</v>
      </c>
      <c r="F44" s="8"/>
      <c r="G44" s="13" t="s">
        <v>25</v>
      </c>
      <c r="H44" s="8"/>
      <c r="I44" s="13" t="s">
        <v>25</v>
      </c>
    </row>
    <row r="45" spans="1:9" ht="15">
      <c r="A45" s="8" t="s">
        <v>26</v>
      </c>
      <c r="B45" s="8"/>
      <c r="C45" s="9"/>
      <c r="D45" s="8"/>
      <c r="E45" s="9"/>
      <c r="F45" s="8"/>
      <c r="G45" s="9"/>
      <c r="H45" s="8"/>
      <c r="I45" s="9"/>
    </row>
    <row r="46" spans="1:9" ht="15">
      <c r="A46" s="8"/>
      <c r="B46" s="8"/>
      <c r="C46" s="8"/>
      <c r="D46" s="8"/>
      <c r="E46" s="13" t="s">
        <v>25</v>
      </c>
      <c r="F46" s="8"/>
      <c r="G46" s="13" t="s">
        <v>25</v>
      </c>
      <c r="H46" s="8"/>
      <c r="I46" s="13" t="s">
        <v>25</v>
      </c>
    </row>
    <row r="47" spans="1:9" ht="15">
      <c r="A47" s="8" t="s">
        <v>30</v>
      </c>
      <c r="B47" s="8"/>
      <c r="C47" s="11"/>
      <c r="D47" s="8"/>
      <c r="E47" s="11"/>
      <c r="F47" s="8"/>
      <c r="G47" s="11"/>
      <c r="H47" s="8"/>
      <c r="I47" s="11"/>
    </row>
    <row r="48" spans="1:9" ht="15">
      <c r="A48" s="8"/>
      <c r="B48" s="8"/>
      <c r="C48" s="13" t="s">
        <v>25</v>
      </c>
      <c r="D48" s="8"/>
      <c r="E48" s="13" t="s">
        <v>25</v>
      </c>
      <c r="F48" s="8"/>
      <c r="G48" s="13" t="s">
        <v>25</v>
      </c>
      <c r="H48" s="8"/>
      <c r="I48" s="13" t="s">
        <v>25</v>
      </c>
    </row>
    <row r="49" spans="1:9" ht="15">
      <c r="A49" s="8"/>
      <c r="B49" s="8"/>
      <c r="C49" s="8"/>
      <c r="D49" s="8"/>
      <c r="E49" s="8"/>
      <c r="F49" s="8"/>
      <c r="G49" s="8"/>
      <c r="H49" s="8"/>
      <c r="I49" s="8"/>
    </row>
    <row r="50" spans="1:9" ht="15">
      <c r="A50" s="8" t="s">
        <v>32</v>
      </c>
      <c r="B50" s="8"/>
      <c r="C50" s="11">
        <v>0.0911</v>
      </c>
      <c r="D50" s="8"/>
      <c r="E50" s="11">
        <v>0.0952</v>
      </c>
      <c r="F50" s="8"/>
      <c r="G50" s="11">
        <v>0.0955</v>
      </c>
      <c r="H50" s="8"/>
      <c r="I50" s="11">
        <v>0.0976</v>
      </c>
    </row>
    <row r="51" spans="1:9" ht="15">
      <c r="A51" s="8" t="s">
        <v>33</v>
      </c>
      <c r="B51" s="8"/>
      <c r="C51" s="14" t="s">
        <v>34</v>
      </c>
      <c r="D51" s="8"/>
      <c r="E51" s="12" t="s">
        <v>35</v>
      </c>
      <c r="F51" s="8"/>
      <c r="G51" s="12" t="s">
        <v>36</v>
      </c>
      <c r="H51" s="8"/>
      <c r="I51" s="12" t="s">
        <v>37</v>
      </c>
    </row>
    <row r="52" ht="15.75">
      <c r="A52" s="15" t="s">
        <v>86</v>
      </c>
    </row>
  </sheetData>
  <printOptions/>
  <pageMargins left="0.5" right="0.5" top="0.5" bottom="0.5" header="0.5" footer="0.5"/>
  <pageSetup horizontalDpi="600" verticalDpi="600" orientation="portrait" scale="8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52"/>
  <sheetViews>
    <sheetView defaultGridColor="0" zoomScale="87" zoomScaleNormal="87" colorId="22" workbookViewId="0" topLeftCell="A40">
      <selection activeCell="A52" sqref="A52"/>
    </sheetView>
  </sheetViews>
  <sheetFormatPr defaultColWidth="9.77734375" defaultRowHeight="15"/>
  <cols>
    <col min="1" max="1" width="26.10546875" style="0" customWidth="1"/>
    <col min="2" max="2" width="2.3359375" style="0" customWidth="1"/>
    <col min="3" max="3" width="16.6640625" style="0" customWidth="1"/>
    <col min="4" max="4" width="1.99609375" style="0" customWidth="1"/>
    <col min="5" max="5" width="16.5546875" style="0" customWidth="1"/>
    <col min="6" max="6" width="2.4453125" style="0" customWidth="1"/>
    <col min="7" max="7" width="16.6640625" style="0" customWidth="1"/>
    <col min="8" max="8" width="1.77734375" style="0" customWidth="1"/>
    <col min="9" max="9" width="13.88671875" style="0" customWidth="1"/>
  </cols>
  <sheetData>
    <row r="1" spans="1:9" ht="15">
      <c r="A1" s="8"/>
      <c r="B1" s="29"/>
      <c r="C1" s="29" t="s">
        <v>0</v>
      </c>
      <c r="D1" s="29"/>
      <c r="E1" s="29"/>
      <c r="F1" s="29"/>
      <c r="G1" s="29"/>
      <c r="H1" s="29"/>
      <c r="I1" s="29"/>
    </row>
    <row r="2" spans="1:9" ht="15">
      <c r="A2" s="29"/>
      <c r="B2" s="29" t="s">
        <v>1</v>
      </c>
      <c r="C2" s="29"/>
      <c r="D2" s="29"/>
      <c r="E2" s="29"/>
      <c r="F2" s="29"/>
      <c r="G2" s="29"/>
      <c r="H2" s="29"/>
      <c r="I2" s="29"/>
    </row>
    <row r="3" spans="1:9" ht="15">
      <c r="A3" s="29"/>
      <c r="B3" s="29"/>
      <c r="C3" s="29"/>
      <c r="D3" s="29" t="s">
        <v>2</v>
      </c>
      <c r="E3" s="29"/>
      <c r="F3" s="29"/>
      <c r="G3" s="29"/>
      <c r="H3" s="29"/>
      <c r="I3" s="29"/>
    </row>
    <row r="4" spans="1:9" ht="15">
      <c r="A4" s="29"/>
      <c r="B4" s="29"/>
      <c r="C4" s="29"/>
      <c r="D4" s="29"/>
      <c r="E4" s="29"/>
      <c r="F4" s="29"/>
      <c r="G4" s="29"/>
      <c r="H4" s="29"/>
      <c r="I4" s="29"/>
    </row>
    <row r="5" spans="1:9" ht="15">
      <c r="A5" s="29"/>
      <c r="B5" s="29"/>
      <c r="C5" s="29" t="s">
        <v>38</v>
      </c>
      <c r="D5" s="29"/>
      <c r="E5" s="29" t="s">
        <v>4</v>
      </c>
      <c r="F5" s="29"/>
      <c r="G5" s="29" t="s">
        <v>5</v>
      </c>
      <c r="H5" s="29"/>
      <c r="I5" s="29" t="s">
        <v>6</v>
      </c>
    </row>
    <row r="6" spans="1:9" ht="15">
      <c r="A6" s="29"/>
      <c r="B6" s="29"/>
      <c r="C6" s="29" t="s">
        <v>39</v>
      </c>
      <c r="D6" s="29"/>
      <c r="E6" s="29" t="s">
        <v>8</v>
      </c>
      <c r="F6" s="29"/>
      <c r="G6" s="29" t="s">
        <v>9</v>
      </c>
      <c r="H6" s="29"/>
      <c r="I6" s="29" t="s">
        <v>9</v>
      </c>
    </row>
    <row r="7" spans="1:9" ht="15">
      <c r="A7" s="29"/>
      <c r="B7" s="29"/>
      <c r="C7" s="29"/>
      <c r="D7" s="29"/>
      <c r="E7" s="29"/>
      <c r="F7" s="29"/>
      <c r="G7" s="29" t="s">
        <v>10</v>
      </c>
      <c r="H7" s="29"/>
      <c r="I7" s="29"/>
    </row>
    <row r="8" spans="1:9" ht="15">
      <c r="A8" s="29"/>
      <c r="B8" s="29"/>
      <c r="C8" s="29" t="s">
        <v>55</v>
      </c>
      <c r="D8" s="29"/>
      <c r="E8" s="29" t="s">
        <v>55</v>
      </c>
      <c r="F8" s="29"/>
      <c r="G8" s="29" t="s">
        <v>55</v>
      </c>
      <c r="H8" s="29"/>
      <c r="I8" s="29" t="s">
        <v>55</v>
      </c>
    </row>
    <row r="9" spans="1:9" ht="15">
      <c r="A9" s="29"/>
      <c r="B9" s="29"/>
      <c r="C9" s="13" t="s">
        <v>13</v>
      </c>
      <c r="D9" s="29"/>
      <c r="E9" s="13" t="s">
        <v>13</v>
      </c>
      <c r="F9" s="29"/>
      <c r="G9" s="13" t="s">
        <v>13</v>
      </c>
      <c r="H9" s="29"/>
      <c r="I9" s="13" t="s">
        <v>13</v>
      </c>
    </row>
    <row r="10" spans="1:9" ht="15">
      <c r="A10" s="29" t="s">
        <v>14</v>
      </c>
      <c r="B10" s="29"/>
      <c r="C10" s="30" t="s">
        <v>56</v>
      </c>
      <c r="D10" s="30"/>
      <c r="E10" s="30" t="s">
        <v>57</v>
      </c>
      <c r="F10" s="30"/>
      <c r="G10" s="30"/>
      <c r="H10" s="30"/>
      <c r="I10" s="30" t="s">
        <v>58</v>
      </c>
    </row>
    <row r="11" spans="1:9" ht="1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29" t="s">
        <v>19</v>
      </c>
      <c r="B12" s="29"/>
      <c r="C12" s="29"/>
      <c r="D12" s="29"/>
      <c r="E12" s="29"/>
      <c r="F12" s="29"/>
      <c r="G12" s="29"/>
      <c r="H12" s="29"/>
      <c r="I12" s="29"/>
    </row>
    <row r="13" spans="1:9" ht="15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</row>
    <row r="15" spans="1:9" ht="15">
      <c r="A15" s="29" t="s">
        <v>21</v>
      </c>
      <c r="B15" s="29"/>
      <c r="C15" s="29"/>
      <c r="D15" s="29"/>
      <c r="E15" s="29"/>
      <c r="F15" s="29"/>
      <c r="G15" s="29"/>
      <c r="H15" s="29"/>
      <c r="I15" s="29"/>
    </row>
    <row r="16" spans="1:9" ht="15">
      <c r="A16" s="29" t="s">
        <v>22</v>
      </c>
      <c r="B16" s="29"/>
      <c r="C16" s="29">
        <v>85720</v>
      </c>
      <c r="D16" s="29"/>
      <c r="E16" s="29">
        <v>523958</v>
      </c>
      <c r="F16" s="29"/>
      <c r="G16" s="29"/>
      <c r="H16" s="29"/>
      <c r="I16" s="29">
        <v>192689</v>
      </c>
    </row>
    <row r="17" spans="1:9" ht="15">
      <c r="A17" s="29" t="s">
        <v>23</v>
      </c>
      <c r="B17" s="29"/>
      <c r="C17" s="29">
        <v>76954</v>
      </c>
      <c r="D17" s="29"/>
      <c r="E17" s="29">
        <v>447099</v>
      </c>
      <c r="F17" s="29"/>
      <c r="G17" s="29"/>
      <c r="H17" s="29"/>
      <c r="I17" s="29">
        <v>171640</v>
      </c>
    </row>
    <row r="18" spans="1:9" ht="15">
      <c r="A18" s="29"/>
      <c r="B18" s="29"/>
      <c r="C18" s="13" t="s">
        <v>13</v>
      </c>
      <c r="D18" s="29"/>
      <c r="E18" s="13" t="s">
        <v>13</v>
      </c>
      <c r="F18" s="29"/>
      <c r="G18" s="13" t="s">
        <v>13</v>
      </c>
      <c r="H18" s="29"/>
      <c r="I18" s="13" t="s">
        <v>13</v>
      </c>
    </row>
    <row r="19" spans="1:9" ht="15">
      <c r="A19" s="29" t="s">
        <v>24</v>
      </c>
      <c r="B19" s="29"/>
      <c r="C19" s="29">
        <v>8766</v>
      </c>
      <c r="D19" s="29"/>
      <c r="E19" s="29">
        <v>76859</v>
      </c>
      <c r="F19" s="29"/>
      <c r="G19" s="29"/>
      <c r="H19" s="29"/>
      <c r="I19" s="29">
        <v>21049</v>
      </c>
    </row>
    <row r="20" spans="1:9" ht="15">
      <c r="A20" s="29"/>
      <c r="B20" s="29"/>
      <c r="C20" s="13" t="s">
        <v>25</v>
      </c>
      <c r="D20" s="13" t="s">
        <v>25</v>
      </c>
      <c r="E20" s="13" t="s">
        <v>25</v>
      </c>
      <c r="F20" s="13" t="s">
        <v>25</v>
      </c>
      <c r="G20" s="13" t="s">
        <v>25</v>
      </c>
      <c r="H20" s="13" t="s">
        <v>25</v>
      </c>
      <c r="I20" s="13" t="s">
        <v>25</v>
      </c>
    </row>
    <row r="21" spans="1:9" ht="15">
      <c r="A21" s="29" t="s">
        <v>26</v>
      </c>
      <c r="B21" s="29"/>
      <c r="C21" s="29">
        <v>126916</v>
      </c>
      <c r="D21" s="29"/>
      <c r="E21" s="29">
        <v>881701</v>
      </c>
      <c r="F21" s="29"/>
      <c r="G21" s="29"/>
      <c r="H21" s="29"/>
      <c r="I21" s="29">
        <v>201223</v>
      </c>
    </row>
    <row r="22" spans="1:9" ht="15">
      <c r="A22" s="29"/>
      <c r="B22" s="29"/>
      <c r="C22" s="13" t="s">
        <v>25</v>
      </c>
      <c r="D22" s="29"/>
      <c r="E22" s="13" t="s">
        <v>25</v>
      </c>
      <c r="F22" s="29"/>
      <c r="G22" s="13" t="s">
        <v>25</v>
      </c>
      <c r="H22" s="29"/>
      <c r="I22" s="13" t="s">
        <v>25</v>
      </c>
    </row>
    <row r="23" spans="1:9" ht="15">
      <c r="A23" s="29" t="s">
        <v>27</v>
      </c>
      <c r="B23" s="29"/>
      <c r="C23" s="31">
        <v>0.06906930568249867</v>
      </c>
      <c r="D23" s="31"/>
      <c r="E23" s="31">
        <v>0.08717127461577111</v>
      </c>
      <c r="F23" s="31"/>
      <c r="G23" s="31"/>
      <c r="H23" s="31"/>
      <c r="I23" s="31">
        <v>0.10460533835595334</v>
      </c>
    </row>
    <row r="24" spans="1:9" ht="15">
      <c r="A24" s="29"/>
      <c r="B24" s="29"/>
      <c r="C24" s="13" t="s">
        <v>25</v>
      </c>
      <c r="D24" s="29"/>
      <c r="E24" s="13" t="s">
        <v>25</v>
      </c>
      <c r="F24" s="29"/>
      <c r="G24" s="13" t="s">
        <v>25</v>
      </c>
      <c r="H24" s="29"/>
      <c r="I24" s="13" t="s">
        <v>25</v>
      </c>
    </row>
    <row r="25" spans="1:9" ht="15">
      <c r="A25" s="29" t="s">
        <v>28</v>
      </c>
      <c r="B25" s="29"/>
      <c r="C25" s="29"/>
      <c r="D25" s="29"/>
      <c r="E25" s="29"/>
      <c r="F25" s="29"/>
      <c r="G25" s="29"/>
      <c r="H25" s="29"/>
      <c r="I25" s="29"/>
    </row>
    <row r="26" spans="1:9" ht="15">
      <c r="A26" s="29" t="s">
        <v>29</v>
      </c>
      <c r="B26" s="29"/>
      <c r="C26" s="29"/>
      <c r="D26" s="29"/>
      <c r="E26" s="29"/>
      <c r="F26" s="29"/>
      <c r="G26" s="29"/>
      <c r="H26" s="29"/>
      <c r="I26" s="29"/>
    </row>
    <row r="27" spans="1:9" ht="15">
      <c r="A27" s="29" t="s">
        <v>22</v>
      </c>
      <c r="B27" s="29"/>
      <c r="C27" s="29">
        <v>86531</v>
      </c>
      <c r="D27" s="29"/>
      <c r="E27" s="29">
        <v>500023</v>
      </c>
      <c r="F27" s="29"/>
      <c r="G27" s="29"/>
      <c r="H27" s="29"/>
      <c r="I27" s="29">
        <v>195228</v>
      </c>
    </row>
    <row r="28" spans="1:9" ht="15">
      <c r="A28" s="29" t="s">
        <v>23</v>
      </c>
      <c r="B28" s="29"/>
      <c r="C28" s="29">
        <v>76814</v>
      </c>
      <c r="D28" s="29"/>
      <c r="E28" s="29">
        <v>432344</v>
      </c>
      <c r="F28" s="29"/>
      <c r="G28" s="29"/>
      <c r="H28" s="29"/>
      <c r="I28" s="29">
        <v>173521</v>
      </c>
    </row>
    <row r="29" spans="1:9" ht="15">
      <c r="A29" s="29"/>
      <c r="B29" s="29"/>
      <c r="C29" s="13" t="s">
        <v>13</v>
      </c>
      <c r="D29" s="29"/>
      <c r="E29" s="13" t="s">
        <v>13</v>
      </c>
      <c r="F29" s="29"/>
      <c r="G29" s="13" t="s">
        <v>13</v>
      </c>
      <c r="H29" s="29"/>
      <c r="I29" s="13" t="s">
        <v>13</v>
      </c>
    </row>
    <row r="30" spans="1:9" ht="15">
      <c r="A30" s="29" t="s">
        <v>24</v>
      </c>
      <c r="B30" s="29"/>
      <c r="C30" s="29">
        <v>9717</v>
      </c>
      <c r="D30" s="29"/>
      <c r="E30" s="29">
        <v>67679</v>
      </c>
      <c r="F30" s="29"/>
      <c r="G30" s="29"/>
      <c r="H30" s="29"/>
      <c r="I30" s="29">
        <v>21707</v>
      </c>
    </row>
    <row r="31" spans="1:9" ht="15">
      <c r="A31" s="29"/>
      <c r="B31" s="29"/>
      <c r="C31" s="13" t="s">
        <v>25</v>
      </c>
      <c r="D31" s="29"/>
      <c r="E31" s="13" t="s">
        <v>25</v>
      </c>
      <c r="F31" s="29"/>
      <c r="G31" s="13" t="s">
        <v>25</v>
      </c>
      <c r="H31" s="29"/>
      <c r="I31" s="13" t="s">
        <v>25</v>
      </c>
    </row>
    <row r="32" spans="1:9" ht="15">
      <c r="A32" s="29" t="s">
        <v>26</v>
      </c>
      <c r="B32" s="29"/>
      <c r="C32" s="29">
        <v>126916</v>
      </c>
      <c r="D32" s="29"/>
      <c r="E32" s="29">
        <v>881567</v>
      </c>
      <c r="F32" s="29"/>
      <c r="G32" s="29"/>
      <c r="H32" s="29"/>
      <c r="I32" s="29">
        <v>201223</v>
      </c>
    </row>
    <row r="33" spans="1:9" ht="15">
      <c r="A33" s="29"/>
      <c r="B33" s="29"/>
      <c r="C33" s="13" t="s">
        <v>25</v>
      </c>
      <c r="D33" s="29"/>
      <c r="E33" s="13" t="s">
        <v>25</v>
      </c>
      <c r="F33" s="29"/>
      <c r="G33" s="13" t="s">
        <v>25</v>
      </c>
      <c r="H33" s="29"/>
      <c r="I33" s="13" t="s">
        <v>25</v>
      </c>
    </row>
    <row r="34" spans="1:9" ht="15">
      <c r="A34" s="29" t="s">
        <v>30</v>
      </c>
      <c r="B34" s="29"/>
      <c r="C34" s="31">
        <v>0.07656245075482997</v>
      </c>
      <c r="D34" s="31"/>
      <c r="E34" s="31">
        <v>0.07677124937752888</v>
      </c>
      <c r="F34" s="31"/>
      <c r="G34" s="31"/>
      <c r="H34" s="31"/>
      <c r="I34" s="32">
        <f>+I30/I32</f>
        <v>0.1078753422819459</v>
      </c>
    </row>
    <row r="35" spans="1:9" ht="15">
      <c r="A35" s="29"/>
      <c r="B35" s="29"/>
      <c r="C35" s="13" t="s">
        <v>25</v>
      </c>
      <c r="D35" s="29"/>
      <c r="E35" s="13" t="s">
        <v>25</v>
      </c>
      <c r="F35" s="29"/>
      <c r="G35" s="13" t="s">
        <v>25</v>
      </c>
      <c r="H35" s="29"/>
      <c r="I35" s="13" t="s">
        <v>25</v>
      </c>
    </row>
    <row r="36" spans="1:9" ht="15">
      <c r="A36" s="29"/>
      <c r="B36" s="29"/>
      <c r="C36" s="29"/>
      <c r="D36" s="29"/>
      <c r="E36" s="29"/>
      <c r="F36" s="29"/>
      <c r="G36" s="29"/>
      <c r="H36" s="29"/>
      <c r="I36" s="13" t="s">
        <v>25</v>
      </c>
    </row>
    <row r="37" spans="1:9" ht="15">
      <c r="A37" s="29" t="s">
        <v>31</v>
      </c>
      <c r="B37" s="29"/>
      <c r="C37" s="29"/>
      <c r="D37" s="29"/>
      <c r="E37" s="29"/>
      <c r="F37" s="29"/>
      <c r="G37" s="29"/>
      <c r="H37" s="29"/>
      <c r="I37" s="29"/>
    </row>
    <row r="38" spans="1:9" ht="15">
      <c r="A38" s="29" t="s">
        <v>28</v>
      </c>
      <c r="B38" s="29"/>
      <c r="C38" s="29"/>
      <c r="D38" s="29"/>
      <c r="E38" s="29"/>
      <c r="F38" s="29"/>
      <c r="G38" s="29"/>
      <c r="H38" s="29"/>
      <c r="I38" s="29"/>
    </row>
    <row r="39" spans="1:9" ht="15">
      <c r="A39" s="29" t="s">
        <v>29</v>
      </c>
      <c r="B39" s="29"/>
      <c r="C39" s="29"/>
      <c r="D39" s="29"/>
      <c r="E39" s="29"/>
      <c r="F39" s="29"/>
      <c r="G39" s="29"/>
      <c r="H39" s="29"/>
      <c r="I39" s="29"/>
    </row>
    <row r="40" spans="1:9" ht="15">
      <c r="A40" s="29" t="s">
        <v>22</v>
      </c>
      <c r="B40" s="29"/>
      <c r="C40" s="29"/>
      <c r="D40" s="29"/>
      <c r="E40" s="29"/>
      <c r="F40" s="29"/>
      <c r="G40" s="29"/>
      <c r="H40" s="29"/>
      <c r="I40" s="29"/>
    </row>
    <row r="41" spans="1:9" ht="15">
      <c r="A41" s="29" t="s">
        <v>23</v>
      </c>
      <c r="B41" s="29"/>
      <c r="C41" s="29"/>
      <c r="D41" s="29"/>
      <c r="E41" s="29"/>
      <c r="F41" s="29"/>
      <c r="G41" s="29"/>
      <c r="H41" s="29"/>
      <c r="I41" s="29"/>
    </row>
    <row r="42" spans="1:9" ht="15">
      <c r="A42" s="29"/>
      <c r="B42" s="29"/>
      <c r="C42" s="13" t="s">
        <v>13</v>
      </c>
      <c r="D42" s="29"/>
      <c r="E42" s="13" t="s">
        <v>13</v>
      </c>
      <c r="F42" s="29"/>
      <c r="G42" s="13" t="s">
        <v>13</v>
      </c>
      <c r="H42" s="29"/>
      <c r="I42" s="13" t="s">
        <v>13</v>
      </c>
    </row>
    <row r="43" spans="1:9" ht="15">
      <c r="A43" s="29" t="s">
        <v>24</v>
      </c>
      <c r="B43" s="29"/>
      <c r="C43" s="29"/>
      <c r="D43" s="29"/>
      <c r="E43" s="29"/>
      <c r="F43" s="29"/>
      <c r="G43" s="29"/>
      <c r="H43" s="29"/>
      <c r="I43" s="29"/>
    </row>
    <row r="44" spans="1:9" ht="1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">
      <c r="A45" s="29" t="s">
        <v>26</v>
      </c>
      <c r="B45" s="29"/>
      <c r="C45" s="29"/>
      <c r="D45" s="29"/>
      <c r="E45" s="29"/>
      <c r="F45" s="29"/>
      <c r="G45" s="29"/>
      <c r="H45" s="29"/>
      <c r="I45" s="29"/>
    </row>
    <row r="46" spans="1:9" ht="1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5">
      <c r="A47" s="29" t="s">
        <v>30</v>
      </c>
      <c r="B47" s="29"/>
      <c r="C47" s="29"/>
      <c r="D47" s="29"/>
      <c r="E47" s="29"/>
      <c r="F47" s="29"/>
      <c r="G47" s="29"/>
      <c r="H47" s="29"/>
      <c r="I47" s="29"/>
    </row>
    <row r="48" spans="1:9" ht="1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5">
      <c r="A50" s="29" t="s">
        <v>32</v>
      </c>
      <c r="B50" s="29"/>
      <c r="C50" s="31">
        <v>0.0911</v>
      </c>
      <c r="D50" s="31"/>
      <c r="E50" s="31">
        <v>0.0952</v>
      </c>
      <c r="F50" s="31"/>
      <c r="G50" s="31">
        <v>0.0955</v>
      </c>
      <c r="H50" s="31"/>
      <c r="I50" s="31">
        <v>0.0976</v>
      </c>
    </row>
    <row r="51" spans="1:9" ht="15">
      <c r="A51" s="29" t="s">
        <v>33</v>
      </c>
      <c r="B51" s="29"/>
      <c r="C51" s="30" t="s">
        <v>34</v>
      </c>
      <c r="D51" s="30"/>
      <c r="E51" s="30" t="s">
        <v>35</v>
      </c>
      <c r="F51" s="30"/>
      <c r="G51" s="30" t="s">
        <v>36</v>
      </c>
      <c r="H51" s="30"/>
      <c r="I51" s="30" t="s">
        <v>37</v>
      </c>
    </row>
    <row r="52" ht="15.75">
      <c r="A52" s="15" t="s">
        <v>86</v>
      </c>
    </row>
  </sheetData>
  <printOptions/>
  <pageMargins left="0.5" right="0.5" top="0.5" bottom="0.5" header="0.5" footer="0.5"/>
  <pageSetup horizontalDpi="600" verticalDpi="600" orientation="portrait" scale="8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defaultGridColor="0" zoomScale="87" zoomScaleNormal="87" colorId="22" workbookViewId="0" topLeftCell="A1">
      <selection activeCell="L51" sqref="L51"/>
    </sheetView>
  </sheetViews>
  <sheetFormatPr defaultColWidth="9.77734375" defaultRowHeight="15"/>
  <cols>
    <col min="1" max="1" width="28.77734375" style="0" customWidth="1"/>
    <col min="2" max="2" width="1.77734375" style="0" customWidth="1"/>
    <col min="3" max="3" width="15.21484375" style="15" customWidth="1"/>
    <col min="4" max="4" width="2.77734375" style="0" customWidth="1"/>
    <col min="5" max="5" width="14.88671875" style="15" customWidth="1"/>
    <col min="6" max="6" width="2.77734375" style="0" customWidth="1"/>
    <col min="7" max="7" width="14.6640625" style="15" customWidth="1"/>
    <col min="8" max="8" width="2.77734375" style="0" customWidth="1"/>
    <col min="9" max="9" width="14.99609375" style="15" customWidth="1"/>
  </cols>
  <sheetData>
    <row r="1" spans="1:9" ht="15.75">
      <c r="A1" s="1"/>
      <c r="B1" s="1"/>
      <c r="C1" s="8" t="s">
        <v>0</v>
      </c>
      <c r="D1" s="1"/>
      <c r="E1" s="8"/>
      <c r="F1" s="1"/>
      <c r="G1" s="8"/>
      <c r="H1" s="1"/>
      <c r="I1" s="10"/>
    </row>
    <row r="2" spans="1:10" ht="15.75">
      <c r="A2" s="8"/>
      <c r="B2" s="8" t="s">
        <v>1</v>
      </c>
      <c r="C2" s="8"/>
      <c r="D2" s="8"/>
      <c r="E2" s="8"/>
      <c r="F2" s="8"/>
      <c r="G2" s="8"/>
      <c r="H2" s="8"/>
      <c r="I2" s="8"/>
      <c r="J2" s="15"/>
    </row>
    <row r="3" spans="1:10" ht="15.75">
      <c r="A3" s="8"/>
      <c r="B3" s="8"/>
      <c r="C3" s="8"/>
      <c r="D3" s="14" t="s">
        <v>2</v>
      </c>
      <c r="E3" s="8"/>
      <c r="F3" s="8"/>
      <c r="G3" s="8"/>
      <c r="H3" s="8"/>
      <c r="I3" s="8"/>
      <c r="J3" s="15"/>
    </row>
    <row r="4" spans="1:10" ht="15.75">
      <c r="A4" s="8"/>
      <c r="B4" s="8"/>
      <c r="C4" s="8"/>
      <c r="D4" s="10"/>
      <c r="E4" s="8"/>
      <c r="F4" s="8"/>
      <c r="G4" s="8"/>
      <c r="H4" s="8"/>
      <c r="I4" s="8"/>
      <c r="J4" s="15"/>
    </row>
    <row r="5" spans="1:10" ht="15.75">
      <c r="A5" s="8"/>
      <c r="B5" s="8"/>
      <c r="C5" s="14" t="s">
        <v>38</v>
      </c>
      <c r="D5" s="8"/>
      <c r="E5" s="14" t="s">
        <v>4</v>
      </c>
      <c r="F5" s="8"/>
      <c r="G5" s="14" t="s">
        <v>5</v>
      </c>
      <c r="H5" s="8"/>
      <c r="I5" s="14" t="s">
        <v>6</v>
      </c>
      <c r="J5" s="15"/>
    </row>
    <row r="6" spans="1:10" ht="15.75">
      <c r="A6" s="8"/>
      <c r="B6" s="8"/>
      <c r="C6" s="14" t="s">
        <v>39</v>
      </c>
      <c r="D6" s="8"/>
      <c r="E6" s="14" t="s">
        <v>8</v>
      </c>
      <c r="F6" s="8"/>
      <c r="G6" s="14" t="s">
        <v>9</v>
      </c>
      <c r="H6" s="8"/>
      <c r="I6" s="14" t="s">
        <v>9</v>
      </c>
      <c r="J6" s="15"/>
    </row>
    <row r="7" spans="1:10" ht="15.75">
      <c r="A7" s="8"/>
      <c r="B7" s="8"/>
      <c r="C7" s="10"/>
      <c r="D7" s="10"/>
      <c r="E7" s="10"/>
      <c r="F7" s="8"/>
      <c r="G7" s="16" t="s">
        <v>51</v>
      </c>
      <c r="H7" s="8"/>
      <c r="I7" s="10"/>
      <c r="J7" s="15"/>
    </row>
    <row r="8" spans="1:10" ht="15.75">
      <c r="A8" s="8"/>
      <c r="B8" s="8"/>
      <c r="C8" s="8" t="s">
        <v>48</v>
      </c>
      <c r="D8" s="10"/>
      <c r="E8" s="8" t="s">
        <v>48</v>
      </c>
      <c r="F8" s="8"/>
      <c r="G8" s="8" t="s">
        <v>48</v>
      </c>
      <c r="H8" s="8"/>
      <c r="I8" s="8" t="s">
        <v>48</v>
      </c>
      <c r="J8" s="15"/>
    </row>
    <row r="9" spans="1:10" ht="15.75">
      <c r="A9" s="8"/>
      <c r="B9" s="8"/>
      <c r="C9" s="13" t="s">
        <v>13</v>
      </c>
      <c r="D9" s="8"/>
      <c r="E9" s="13" t="s">
        <v>13</v>
      </c>
      <c r="F9" s="8"/>
      <c r="G9" s="13" t="s">
        <v>13</v>
      </c>
      <c r="H9" s="8"/>
      <c r="I9" s="13" t="s">
        <v>13</v>
      </c>
      <c r="J9" s="15"/>
    </row>
    <row r="10" spans="1:10" ht="15.75">
      <c r="A10" s="8" t="s">
        <v>14</v>
      </c>
      <c r="B10" s="8"/>
      <c r="C10" s="14" t="s">
        <v>49</v>
      </c>
      <c r="D10" s="8"/>
      <c r="E10" s="14" t="s">
        <v>54</v>
      </c>
      <c r="F10" s="8"/>
      <c r="G10" s="14" t="s">
        <v>50</v>
      </c>
      <c r="H10" s="8"/>
      <c r="I10" s="16" t="s">
        <v>53</v>
      </c>
      <c r="J10" s="15"/>
    </row>
    <row r="11" spans="1:10" ht="15.75">
      <c r="A11" s="8"/>
      <c r="B11" s="8"/>
      <c r="C11" s="8"/>
      <c r="D11" s="8"/>
      <c r="E11" s="8"/>
      <c r="F11" s="8"/>
      <c r="G11" s="8"/>
      <c r="H11" s="8"/>
      <c r="I11" s="8"/>
      <c r="J11" s="15"/>
    </row>
    <row r="12" spans="1:10" ht="15.75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15"/>
    </row>
    <row r="13" spans="1:10" ht="15.75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pans="1:10" ht="15.75">
      <c r="A14" s="8" t="s">
        <v>20</v>
      </c>
      <c r="B14" s="8"/>
      <c r="C14" s="8"/>
      <c r="D14" s="8"/>
      <c r="E14" s="8"/>
      <c r="F14" s="8"/>
      <c r="G14" s="8"/>
      <c r="H14" s="8"/>
      <c r="I14" s="8"/>
      <c r="J14" s="15"/>
    </row>
    <row r="15" spans="1:10" ht="15.75">
      <c r="A15" s="8" t="s">
        <v>21</v>
      </c>
      <c r="B15" s="8"/>
      <c r="C15" s="8"/>
      <c r="D15" s="8"/>
      <c r="E15" s="8"/>
      <c r="F15" s="8"/>
      <c r="G15" s="8"/>
      <c r="H15" s="8"/>
      <c r="I15" s="8"/>
      <c r="J15" s="15"/>
    </row>
    <row r="16" spans="1:10" ht="15.75">
      <c r="A16" s="8" t="s">
        <v>22</v>
      </c>
      <c r="B16" s="8"/>
      <c r="C16" s="9">
        <v>105044</v>
      </c>
      <c r="D16" s="8"/>
      <c r="E16" s="9">
        <v>612310</v>
      </c>
      <c r="F16" s="8"/>
      <c r="G16" s="9">
        <v>40830</v>
      </c>
      <c r="H16" s="8"/>
      <c r="I16" s="9">
        <v>221989</v>
      </c>
      <c r="J16" s="15"/>
    </row>
    <row r="17" spans="1:10" ht="15.75">
      <c r="A17" s="8" t="s">
        <v>23</v>
      </c>
      <c r="B17" s="8"/>
      <c r="C17" s="8">
        <f>92136-1998+7317-31</f>
        <v>97424</v>
      </c>
      <c r="D17" s="8"/>
      <c r="E17" s="8">
        <v>558196</v>
      </c>
      <c r="F17" s="8"/>
      <c r="G17" s="8">
        <v>35721</v>
      </c>
      <c r="H17" s="8"/>
      <c r="I17" s="8">
        <f>135039+16063+49086</f>
        <v>200188</v>
      </c>
      <c r="J17" s="15"/>
    </row>
    <row r="18" spans="1:10" ht="15.75">
      <c r="A18" s="8"/>
      <c r="B18" s="8"/>
      <c r="C18" s="13" t="s">
        <v>13</v>
      </c>
      <c r="D18" s="8"/>
      <c r="E18" s="13" t="s">
        <v>13</v>
      </c>
      <c r="F18" s="8"/>
      <c r="G18" s="13" t="s">
        <v>13</v>
      </c>
      <c r="H18" s="8"/>
      <c r="I18" s="13" t="s">
        <v>13</v>
      </c>
      <c r="J18" s="15"/>
    </row>
    <row r="19" spans="1:10" ht="15.75">
      <c r="A19" s="8" t="s">
        <v>24</v>
      </c>
      <c r="B19" s="8"/>
      <c r="C19" s="9">
        <f>C16-C17</f>
        <v>7620</v>
      </c>
      <c r="D19" s="8"/>
      <c r="E19" s="9">
        <f>E16-E17</f>
        <v>54114</v>
      </c>
      <c r="F19" s="8"/>
      <c r="G19" s="9">
        <f>G16-G17</f>
        <v>5109</v>
      </c>
      <c r="H19" s="8"/>
      <c r="I19" s="9">
        <f>I16-I17</f>
        <v>21801</v>
      </c>
      <c r="J19" s="15"/>
    </row>
    <row r="20" spans="1:10" ht="15.75">
      <c r="A20" s="8"/>
      <c r="B20" s="8"/>
      <c r="C20" s="13" t="s">
        <v>25</v>
      </c>
      <c r="D20" s="8"/>
      <c r="E20" s="13" t="s">
        <v>25</v>
      </c>
      <c r="F20" s="8"/>
      <c r="G20" s="13" t="s">
        <v>25</v>
      </c>
      <c r="H20" s="8"/>
      <c r="I20" s="13" t="s">
        <v>25</v>
      </c>
      <c r="J20" s="15"/>
    </row>
    <row r="21" spans="1:10" ht="15.75">
      <c r="A21" s="8" t="s">
        <v>26</v>
      </c>
      <c r="B21" s="8"/>
      <c r="C21" s="9">
        <v>138202</v>
      </c>
      <c r="D21" s="8"/>
      <c r="E21" s="9">
        <v>938920</v>
      </c>
      <c r="F21" s="8"/>
      <c r="G21" s="9">
        <v>87492</v>
      </c>
      <c r="H21" s="8"/>
      <c r="I21" s="9">
        <v>201053</v>
      </c>
      <c r="J21" s="15"/>
    </row>
    <row r="22" spans="1:10" ht="15.75">
      <c r="A22" s="8"/>
      <c r="B22" s="8"/>
      <c r="C22" s="13" t="s">
        <v>25</v>
      </c>
      <c r="D22" s="8"/>
      <c r="E22" s="13" t="s">
        <v>25</v>
      </c>
      <c r="F22" s="8"/>
      <c r="G22" s="13" t="s">
        <v>25</v>
      </c>
      <c r="H22" s="8"/>
      <c r="I22" s="13" t="s">
        <v>25</v>
      </c>
      <c r="J22" s="15"/>
    </row>
    <row r="23" spans="1:10" ht="15.75">
      <c r="A23" s="8" t="s">
        <v>27</v>
      </c>
      <c r="B23" s="8"/>
      <c r="C23" s="11">
        <f>C19/C21</f>
        <v>0.05513668398431282</v>
      </c>
      <c r="D23" s="8"/>
      <c r="E23" s="11">
        <f>E19/E21</f>
        <v>0.05763430324202275</v>
      </c>
      <c r="F23" s="8"/>
      <c r="G23" s="11">
        <f>G19/G21</f>
        <v>0.05839391030037032</v>
      </c>
      <c r="H23" s="8"/>
      <c r="I23" s="11">
        <f>I19/I21</f>
        <v>0.10843409449249701</v>
      </c>
      <c r="J23" s="15"/>
    </row>
    <row r="24" spans="1:10" ht="15.75">
      <c r="A24" s="8"/>
      <c r="B24" s="8"/>
      <c r="C24" s="13" t="s">
        <v>25</v>
      </c>
      <c r="D24" s="8"/>
      <c r="E24" s="13" t="s">
        <v>25</v>
      </c>
      <c r="F24" s="8"/>
      <c r="G24" s="13" t="s">
        <v>25</v>
      </c>
      <c r="H24" s="8"/>
      <c r="I24" s="13" t="s">
        <v>25</v>
      </c>
      <c r="J24" s="15"/>
    </row>
    <row r="25" spans="1:10" ht="15.75">
      <c r="A25" s="8" t="s">
        <v>28</v>
      </c>
      <c r="B25" s="8"/>
      <c r="C25" s="8"/>
      <c r="D25" s="8"/>
      <c r="E25" s="8"/>
      <c r="F25" s="8"/>
      <c r="G25" s="8"/>
      <c r="H25" s="8"/>
      <c r="I25" s="8"/>
      <c r="J25" s="15"/>
    </row>
    <row r="26" spans="1:10" ht="15.75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15"/>
    </row>
    <row r="27" spans="1:10" ht="15.75">
      <c r="A27" s="8" t="s">
        <v>22</v>
      </c>
      <c r="B27" s="8"/>
      <c r="C27" s="9">
        <v>96424</v>
      </c>
      <c r="D27" s="8"/>
      <c r="E27" s="9">
        <v>568736</v>
      </c>
      <c r="F27" s="8"/>
      <c r="G27" s="9">
        <v>44847</v>
      </c>
      <c r="H27" s="8"/>
      <c r="I27" s="9">
        <v>218091</v>
      </c>
      <c r="J27" s="15"/>
    </row>
    <row r="28" spans="1:10" ht="15.75">
      <c r="A28" s="8" t="s">
        <v>23</v>
      </c>
      <c r="B28" s="8"/>
      <c r="C28" s="8">
        <f>85016-4775+6605-31</f>
        <v>86815</v>
      </c>
      <c r="D28" s="8"/>
      <c r="E28" s="8">
        <v>506742</v>
      </c>
      <c r="F28" s="8"/>
      <c r="G28" s="8">
        <v>38368</v>
      </c>
      <c r="H28" s="8"/>
      <c r="I28" s="8">
        <f>132143+16063+48663</f>
        <v>196869</v>
      </c>
      <c r="J28" s="15"/>
    </row>
    <row r="29" spans="1:10" ht="15.75">
      <c r="A29" s="8"/>
      <c r="B29" s="8"/>
      <c r="C29" s="13" t="s">
        <v>13</v>
      </c>
      <c r="D29" s="8"/>
      <c r="E29" s="13" t="s">
        <v>13</v>
      </c>
      <c r="F29" s="8"/>
      <c r="G29" s="13" t="s">
        <v>13</v>
      </c>
      <c r="H29" s="8"/>
      <c r="I29" s="13" t="s">
        <v>13</v>
      </c>
      <c r="J29" s="15"/>
    </row>
    <row r="30" spans="1:10" ht="15.75">
      <c r="A30" s="8" t="s">
        <v>24</v>
      </c>
      <c r="B30" s="8"/>
      <c r="C30" s="9">
        <f>C27-C28</f>
        <v>9609</v>
      </c>
      <c r="D30" s="8"/>
      <c r="E30" s="9">
        <f>E27-E28</f>
        <v>61994</v>
      </c>
      <c r="F30" s="8"/>
      <c r="G30" s="9">
        <f>G27-G28</f>
        <v>6479</v>
      </c>
      <c r="H30" s="8"/>
      <c r="I30" s="9">
        <f>I27-I28</f>
        <v>21222</v>
      </c>
      <c r="J30" s="15"/>
    </row>
    <row r="31" spans="1:10" ht="15.75">
      <c r="A31" s="8"/>
      <c r="B31" s="8"/>
      <c r="C31" s="13" t="s">
        <v>25</v>
      </c>
      <c r="D31" s="8"/>
      <c r="E31" s="13" t="s">
        <v>25</v>
      </c>
      <c r="F31" s="8"/>
      <c r="G31" s="13" t="s">
        <v>25</v>
      </c>
      <c r="H31" s="8"/>
      <c r="I31" s="13" t="s">
        <v>25</v>
      </c>
      <c r="J31" s="15"/>
    </row>
    <row r="32" spans="1:10" ht="15.75">
      <c r="A32" s="8" t="s">
        <v>26</v>
      </c>
      <c r="B32" s="8"/>
      <c r="C32" s="9">
        <v>130920</v>
      </c>
      <c r="D32" s="8"/>
      <c r="E32" s="9">
        <v>938756</v>
      </c>
      <c r="F32" s="8"/>
      <c r="G32" s="9">
        <v>90706</v>
      </c>
      <c r="H32" s="8"/>
      <c r="I32" s="9">
        <v>201053</v>
      </c>
      <c r="J32" s="15"/>
    </row>
    <row r="33" spans="1:10" ht="15.75">
      <c r="A33" s="8"/>
      <c r="B33" s="8"/>
      <c r="C33" s="13" t="s">
        <v>25</v>
      </c>
      <c r="D33" s="8"/>
      <c r="E33" s="13" t="s">
        <v>25</v>
      </c>
      <c r="F33" s="8"/>
      <c r="G33" s="13" t="s">
        <v>25</v>
      </c>
      <c r="H33" s="8"/>
      <c r="I33" s="13" t="s">
        <v>25</v>
      </c>
      <c r="J33" s="15"/>
    </row>
    <row r="34" spans="1:10" ht="15.75">
      <c r="A34" s="8" t="s">
        <v>30</v>
      </c>
      <c r="B34" s="8"/>
      <c r="C34" s="11">
        <f>C30/C32</f>
        <v>0.07339596700274977</v>
      </c>
      <c r="D34" s="8"/>
      <c r="E34" s="11">
        <f>E30/E32</f>
        <v>0.06603845940798247</v>
      </c>
      <c r="F34" s="8"/>
      <c r="G34" s="11">
        <f>G30/G32</f>
        <v>0.07142857142857142</v>
      </c>
      <c r="H34" s="8"/>
      <c r="I34" s="11">
        <f>I30/I32</f>
        <v>0.10555425683774924</v>
      </c>
      <c r="J34" s="15"/>
    </row>
    <row r="35" spans="1:10" ht="15.75">
      <c r="A35" s="8"/>
      <c r="B35" s="8"/>
      <c r="C35" s="13" t="s">
        <v>25</v>
      </c>
      <c r="D35" s="8"/>
      <c r="E35" s="13" t="s">
        <v>25</v>
      </c>
      <c r="F35" s="8"/>
      <c r="G35" s="13" t="s">
        <v>25</v>
      </c>
      <c r="H35" s="8"/>
      <c r="I35" s="13" t="s">
        <v>25</v>
      </c>
      <c r="J35" s="15"/>
    </row>
    <row r="36" spans="1:10" ht="15.75">
      <c r="A36" s="8"/>
      <c r="B36" s="8"/>
      <c r="C36" s="9"/>
      <c r="D36" s="8"/>
      <c r="E36" s="9"/>
      <c r="F36" s="8"/>
      <c r="G36" s="9"/>
      <c r="H36" s="8"/>
      <c r="I36" s="9"/>
      <c r="J36" s="15"/>
    </row>
    <row r="37" spans="1:10" ht="15.75">
      <c r="A37" s="10" t="s">
        <v>31</v>
      </c>
      <c r="B37" s="10"/>
      <c r="C37" s="10"/>
      <c r="D37" s="10"/>
      <c r="E37" s="10"/>
      <c r="F37" s="10"/>
      <c r="G37" s="10"/>
      <c r="H37" s="10"/>
      <c r="I37" s="10"/>
      <c r="J37" s="15"/>
    </row>
    <row r="38" spans="1:10" ht="15.75">
      <c r="A38" s="8" t="s">
        <v>28</v>
      </c>
      <c r="B38" s="8"/>
      <c r="C38" s="8"/>
      <c r="D38" s="8"/>
      <c r="E38" s="8"/>
      <c r="F38" s="8"/>
      <c r="G38" s="8"/>
      <c r="H38" s="8"/>
      <c r="I38" s="8"/>
      <c r="J38" s="15"/>
    </row>
    <row r="39" spans="1:10" ht="15.75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15"/>
    </row>
    <row r="40" spans="1:10" ht="15.75">
      <c r="A40" s="8" t="s">
        <v>22</v>
      </c>
      <c r="B40" s="8"/>
      <c r="C40" s="9"/>
      <c r="D40" s="8"/>
      <c r="E40" s="9"/>
      <c r="F40" s="8"/>
      <c r="G40" s="9">
        <f>40830989+4155758</f>
        <v>44986747</v>
      </c>
      <c r="H40" s="8"/>
      <c r="I40" s="9">
        <f>+I27</f>
        <v>218091</v>
      </c>
      <c r="J40" s="15"/>
    </row>
    <row r="41" spans="1:10" ht="15.75">
      <c r="A41" s="8" t="s">
        <v>23</v>
      </c>
      <c r="B41" s="8"/>
      <c r="C41" s="8"/>
      <c r="D41" s="8"/>
      <c r="E41" s="8"/>
      <c r="F41" s="8"/>
      <c r="G41" s="8">
        <v>38505874</v>
      </c>
      <c r="H41" s="8"/>
      <c r="I41" s="8">
        <f>+I28</f>
        <v>196869</v>
      </c>
      <c r="J41" s="15"/>
    </row>
    <row r="42" spans="1:10" ht="15.75">
      <c r="A42" s="8"/>
      <c r="B42" s="8"/>
      <c r="C42" s="13" t="s">
        <v>13</v>
      </c>
      <c r="D42" s="8"/>
      <c r="E42" s="13" t="s">
        <v>13</v>
      </c>
      <c r="F42" s="8"/>
      <c r="G42" s="13" t="s">
        <v>13</v>
      </c>
      <c r="H42" s="8"/>
      <c r="I42" s="13" t="s">
        <v>13</v>
      </c>
      <c r="J42" s="15"/>
    </row>
    <row r="43" spans="1:10" ht="15.75">
      <c r="A43" s="8" t="s">
        <v>24</v>
      </c>
      <c r="B43" s="8"/>
      <c r="C43" s="9"/>
      <c r="D43" s="8"/>
      <c r="E43" s="9"/>
      <c r="F43" s="8"/>
      <c r="G43" s="9">
        <f>+G40-G41</f>
        <v>6480873</v>
      </c>
      <c r="H43" s="8"/>
      <c r="I43" s="9">
        <f>+I40-I41</f>
        <v>21222</v>
      </c>
      <c r="J43" s="15"/>
    </row>
    <row r="44" spans="1:10" ht="15.75">
      <c r="A44" s="8"/>
      <c r="B44" s="8"/>
      <c r="C44" s="13" t="s">
        <v>25</v>
      </c>
      <c r="D44" s="8"/>
      <c r="E44" s="13" t="s">
        <v>25</v>
      </c>
      <c r="F44" s="8"/>
      <c r="G44" s="13" t="s">
        <v>25</v>
      </c>
      <c r="H44" s="8"/>
      <c r="I44" s="13" t="s">
        <v>25</v>
      </c>
      <c r="J44" s="15"/>
    </row>
    <row r="45" spans="1:10" ht="15.75">
      <c r="A45" s="8" t="s">
        <v>26</v>
      </c>
      <c r="B45" s="8"/>
      <c r="C45" s="9"/>
      <c r="D45" s="8"/>
      <c r="E45" s="9"/>
      <c r="F45" s="8"/>
      <c r="G45" s="9">
        <v>90705944</v>
      </c>
      <c r="H45" s="8"/>
      <c r="I45" s="9">
        <f>+I32</f>
        <v>201053</v>
      </c>
      <c r="J45" s="15"/>
    </row>
    <row r="46" spans="1:10" ht="15.75">
      <c r="A46" s="8"/>
      <c r="B46" s="8"/>
      <c r="C46" s="13" t="s">
        <v>25</v>
      </c>
      <c r="D46" s="8"/>
      <c r="E46" s="13" t="s">
        <v>25</v>
      </c>
      <c r="F46" s="8"/>
      <c r="G46" s="13" t="s">
        <v>25</v>
      </c>
      <c r="H46" s="8"/>
      <c r="I46" s="13" t="s">
        <v>25</v>
      </c>
      <c r="J46" s="15"/>
    </row>
    <row r="47" spans="1:10" ht="15.75">
      <c r="A47" s="8" t="s">
        <v>30</v>
      </c>
      <c r="B47" s="8"/>
      <c r="C47" s="11"/>
      <c r="D47" s="8"/>
      <c r="E47" s="11"/>
      <c r="F47" s="8"/>
      <c r="G47" s="11">
        <f>+G43/G45</f>
        <v>0.07144926467001986</v>
      </c>
      <c r="H47" s="8"/>
      <c r="I47" s="11">
        <f>+I43/I45</f>
        <v>0.10555425683774924</v>
      </c>
      <c r="J47" s="15"/>
    </row>
    <row r="48" spans="1:10" ht="15.75">
      <c r="A48" s="8"/>
      <c r="B48" s="8"/>
      <c r="C48" s="13" t="s">
        <v>25</v>
      </c>
      <c r="D48" s="8"/>
      <c r="E48" s="13" t="s">
        <v>25</v>
      </c>
      <c r="F48" s="8"/>
      <c r="G48" s="13" t="s">
        <v>25</v>
      </c>
      <c r="H48" s="8"/>
      <c r="I48" s="13" t="s">
        <v>25</v>
      </c>
      <c r="J48" s="15"/>
    </row>
    <row r="49" spans="1:10" ht="15.75">
      <c r="A49" s="8"/>
      <c r="B49" s="8"/>
      <c r="C49" s="8"/>
      <c r="D49" s="8"/>
      <c r="E49" s="8"/>
      <c r="F49" s="8"/>
      <c r="G49" s="8"/>
      <c r="H49" s="8"/>
      <c r="I49" s="8"/>
      <c r="J49" s="15"/>
    </row>
    <row r="50" spans="1:10" ht="15.75">
      <c r="A50" s="8" t="s">
        <v>32</v>
      </c>
      <c r="B50" s="8"/>
      <c r="C50" s="11">
        <v>0.0903</v>
      </c>
      <c r="D50" s="8"/>
      <c r="E50" s="11">
        <v>0.0952</v>
      </c>
      <c r="F50" s="8"/>
      <c r="G50" s="11">
        <v>0.0955</v>
      </c>
      <c r="H50" s="8"/>
      <c r="I50" s="11">
        <v>0.0976</v>
      </c>
      <c r="J50" s="15"/>
    </row>
    <row r="51" spans="1:10" ht="15.75">
      <c r="A51" s="8" t="s">
        <v>33</v>
      </c>
      <c r="B51" s="8"/>
      <c r="C51" s="16" t="s">
        <v>52</v>
      </c>
      <c r="D51" s="8"/>
      <c r="E51" s="12" t="s">
        <v>35</v>
      </c>
      <c r="F51" s="8"/>
      <c r="G51" s="12" t="s">
        <v>36</v>
      </c>
      <c r="H51" s="8"/>
      <c r="I51" s="12" t="s">
        <v>37</v>
      </c>
      <c r="J51" s="15"/>
    </row>
    <row r="52" spans="1:10" ht="15.75">
      <c r="A52" s="15" t="s">
        <v>86</v>
      </c>
      <c r="B52" s="15"/>
      <c r="D52" s="15"/>
      <c r="F52" s="15"/>
      <c r="H52" s="15"/>
      <c r="J52" s="15"/>
    </row>
  </sheetData>
  <printOptions/>
  <pageMargins left="0.5" right="0.5" top="0.5" bottom="0.5" header="0.5" footer="0.5"/>
  <pageSetup horizontalDpi="600" verticalDpi="600" orientation="portrait" scale="8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54"/>
  <sheetViews>
    <sheetView defaultGridColor="0" zoomScale="87" zoomScaleNormal="87" colorId="22" workbookViewId="0" topLeftCell="A4">
      <selection activeCell="A54" sqref="A54"/>
    </sheetView>
  </sheetViews>
  <sheetFormatPr defaultColWidth="9.77734375" defaultRowHeight="15"/>
  <cols>
    <col min="1" max="1" width="28.77734375" style="0" customWidth="1"/>
    <col min="2" max="2" width="1.77734375" style="0" customWidth="1"/>
    <col min="3" max="3" width="15.21484375" style="15" customWidth="1"/>
    <col min="4" max="4" width="2.77734375" style="0" customWidth="1"/>
    <col min="5" max="5" width="14.88671875" style="15" customWidth="1"/>
    <col min="6" max="6" width="2.77734375" style="0" customWidth="1"/>
    <col min="7" max="7" width="14.6640625" style="15" customWidth="1"/>
    <col min="8" max="8" width="2.5546875" style="0" customWidth="1"/>
    <col min="9" max="9" width="14.99609375" style="15" customWidth="1"/>
  </cols>
  <sheetData>
    <row r="1" spans="1:9" ht="15.75">
      <c r="A1" s="8"/>
      <c r="B1" s="8"/>
      <c r="C1" s="8" t="s">
        <v>0</v>
      </c>
      <c r="D1" s="1"/>
      <c r="E1" s="8"/>
      <c r="F1" s="1"/>
      <c r="G1" s="8"/>
      <c r="H1" s="1"/>
      <c r="I1" s="10"/>
    </row>
    <row r="2" spans="1:9" ht="15">
      <c r="A2" s="8"/>
      <c r="B2" s="8" t="s">
        <v>1</v>
      </c>
      <c r="C2" s="8"/>
      <c r="D2" s="8"/>
      <c r="E2" s="8"/>
      <c r="F2" s="8"/>
      <c r="G2" s="8"/>
      <c r="H2" s="1"/>
      <c r="I2" s="8"/>
    </row>
    <row r="3" spans="1:9" ht="15">
      <c r="A3" s="8"/>
      <c r="B3" s="8"/>
      <c r="C3" s="8"/>
      <c r="D3" s="14" t="s">
        <v>2</v>
      </c>
      <c r="E3" s="8"/>
      <c r="F3" s="8"/>
      <c r="G3" s="8"/>
      <c r="H3" s="1"/>
      <c r="I3" s="8"/>
    </row>
    <row r="4" spans="1:9" ht="15">
      <c r="A4" s="8"/>
      <c r="B4" s="8"/>
      <c r="C4" s="8"/>
      <c r="D4" s="2"/>
      <c r="E4" s="8"/>
      <c r="F4" s="1"/>
      <c r="G4" s="8"/>
      <c r="H4" s="1"/>
      <c r="I4" s="8"/>
    </row>
    <row r="5" spans="1:9" ht="15">
      <c r="A5" s="8"/>
      <c r="B5" s="8"/>
      <c r="C5" s="14" t="s">
        <v>38</v>
      </c>
      <c r="D5" s="1"/>
      <c r="E5" s="14" t="s">
        <v>4</v>
      </c>
      <c r="F5" s="1"/>
      <c r="G5" s="14" t="s">
        <v>5</v>
      </c>
      <c r="H5" s="1"/>
      <c r="I5" s="14" t="s">
        <v>6</v>
      </c>
    </row>
    <row r="6" spans="1:9" ht="15">
      <c r="A6" s="8"/>
      <c r="B6" s="8"/>
      <c r="C6" s="14" t="s">
        <v>39</v>
      </c>
      <c r="D6" s="1"/>
      <c r="E6" s="14" t="s">
        <v>8</v>
      </c>
      <c r="F6" s="1"/>
      <c r="G6" s="14" t="s">
        <v>9</v>
      </c>
      <c r="H6" s="1"/>
      <c r="I6" s="14" t="s">
        <v>9</v>
      </c>
    </row>
    <row r="7" spans="1:9" ht="15.75">
      <c r="A7" s="8"/>
      <c r="B7" s="8"/>
      <c r="C7" s="10"/>
      <c r="D7" s="2"/>
      <c r="E7" s="10"/>
      <c r="F7" s="1"/>
      <c r="G7" s="16" t="s">
        <v>51</v>
      </c>
      <c r="H7" s="1"/>
      <c r="I7" s="10"/>
    </row>
    <row r="8" spans="1:9" ht="15">
      <c r="A8" s="8"/>
      <c r="B8" s="8"/>
      <c r="C8" s="17" t="s">
        <v>59</v>
      </c>
      <c r="D8" s="2"/>
      <c r="E8" s="17" t="s">
        <v>59</v>
      </c>
      <c r="F8" s="1"/>
      <c r="G8" s="17" t="s">
        <v>59</v>
      </c>
      <c r="H8" s="1"/>
      <c r="I8" s="17" t="s">
        <v>59</v>
      </c>
    </row>
    <row r="9" spans="1:9" ht="15">
      <c r="A9" s="8"/>
      <c r="B9" s="8"/>
      <c r="C9" s="13" t="s">
        <v>13</v>
      </c>
      <c r="D9" s="1"/>
      <c r="E9" s="13" t="s">
        <v>13</v>
      </c>
      <c r="F9" s="1"/>
      <c r="G9" s="13" t="s">
        <v>13</v>
      </c>
      <c r="H9" s="1"/>
      <c r="I9" s="13" t="s">
        <v>13</v>
      </c>
    </row>
    <row r="10" spans="1:9" ht="15">
      <c r="A10" s="8" t="s">
        <v>14</v>
      </c>
      <c r="B10" s="8"/>
      <c r="C10" s="14" t="s">
        <v>63</v>
      </c>
      <c r="D10" s="1"/>
      <c r="E10" s="14" t="s">
        <v>64</v>
      </c>
      <c r="F10" s="1"/>
      <c r="G10" s="14" t="s">
        <v>60</v>
      </c>
      <c r="H10" s="1"/>
      <c r="I10" s="14" t="s">
        <v>65</v>
      </c>
    </row>
    <row r="11" spans="1:9" ht="15">
      <c r="A11" s="8"/>
      <c r="B11" s="8"/>
      <c r="C11" s="8"/>
      <c r="D11" s="1"/>
      <c r="E11" s="8"/>
      <c r="F11" s="1"/>
      <c r="G11" s="8"/>
      <c r="H11" s="1"/>
      <c r="I11" s="8"/>
    </row>
    <row r="12" spans="1:9" ht="15">
      <c r="A12" s="8" t="s">
        <v>19</v>
      </c>
      <c r="B12" s="8"/>
      <c r="C12" s="8"/>
      <c r="D12" s="1"/>
      <c r="E12" s="8"/>
      <c r="F12" s="1"/>
      <c r="G12" s="8"/>
      <c r="H12" s="1"/>
      <c r="I12" s="8"/>
    </row>
    <row r="13" spans="1:9" ht="15">
      <c r="A13" s="8"/>
      <c r="B13" s="8"/>
      <c r="C13" s="8"/>
      <c r="D13" s="1"/>
      <c r="E13" s="8"/>
      <c r="F13" s="1"/>
      <c r="G13" s="8"/>
      <c r="H13" s="1"/>
      <c r="I13" s="8"/>
    </row>
    <row r="14" spans="1:9" ht="15">
      <c r="A14" s="8" t="s">
        <v>20</v>
      </c>
      <c r="B14" s="8"/>
      <c r="C14" s="8"/>
      <c r="D14" s="1"/>
      <c r="E14" s="8"/>
      <c r="F14" s="1"/>
      <c r="G14" s="8"/>
      <c r="H14" s="1"/>
      <c r="I14" s="8"/>
    </row>
    <row r="15" spans="1:9" ht="15">
      <c r="A15" s="8" t="s">
        <v>21</v>
      </c>
      <c r="B15" s="8"/>
      <c r="C15" s="8"/>
      <c r="D15" s="1"/>
      <c r="E15" s="8"/>
      <c r="F15" s="1"/>
      <c r="G15" s="8"/>
      <c r="H15" s="1"/>
      <c r="I15" s="8"/>
    </row>
    <row r="16" spans="1:9" ht="15">
      <c r="A16" s="8" t="s">
        <v>22</v>
      </c>
      <c r="B16" s="8"/>
      <c r="C16" s="9">
        <v>153451</v>
      </c>
      <c r="D16" s="1"/>
      <c r="E16" s="9">
        <f>815071175/1000</f>
        <v>815071.175</v>
      </c>
      <c r="F16" s="1"/>
      <c r="G16" s="9">
        <f>55472736/1000</f>
        <v>55472.736</v>
      </c>
      <c r="H16" s="1"/>
      <c r="I16" s="9">
        <f>272227618/1000</f>
        <v>272227.618</v>
      </c>
    </row>
    <row r="17" spans="1:9" ht="15">
      <c r="A17" s="8" t="s">
        <v>23</v>
      </c>
      <c r="B17" s="8"/>
      <c r="C17" s="8">
        <f>(142327000+3096000-636000-30000)/1000</f>
        <v>144757</v>
      </c>
      <c r="D17" s="1"/>
      <c r="E17" s="8">
        <f>748243692/1000</f>
        <v>748243.692</v>
      </c>
      <c r="F17" s="1"/>
      <c r="G17" s="8">
        <f>47547445/1000</f>
        <v>47547.445</v>
      </c>
      <c r="H17" s="1"/>
      <c r="I17" s="8">
        <f>(182035521+18506307+51645825)/1000</f>
        <v>252187.653</v>
      </c>
    </row>
    <row r="18" spans="1:9" ht="15">
      <c r="A18" s="8"/>
      <c r="B18" s="8"/>
      <c r="C18" s="13" t="s">
        <v>13</v>
      </c>
      <c r="D18" s="1"/>
      <c r="E18" s="13" t="s">
        <v>13</v>
      </c>
      <c r="F18" s="1"/>
      <c r="G18" s="13" t="s">
        <v>13</v>
      </c>
      <c r="H18" s="1"/>
      <c r="I18" s="13" t="s">
        <v>13</v>
      </c>
    </row>
    <row r="19" spans="1:9" ht="15">
      <c r="A19" s="8" t="s">
        <v>24</v>
      </c>
      <c r="B19" s="8"/>
      <c r="C19" s="9">
        <f>+C16-C17</f>
        <v>8694</v>
      </c>
      <c r="D19" s="1"/>
      <c r="E19" s="9">
        <f>+E16-E17</f>
        <v>66827.48300000001</v>
      </c>
      <c r="F19" s="1"/>
      <c r="G19" s="9">
        <f>+G16-G17</f>
        <v>7925.290999999997</v>
      </c>
      <c r="H19" s="1"/>
      <c r="I19" s="9">
        <f>+I16-I17</f>
        <v>20039.965000000026</v>
      </c>
    </row>
    <row r="20" spans="1:9" ht="15">
      <c r="A20" s="8"/>
      <c r="B20" s="8"/>
      <c r="C20" s="13" t="s">
        <v>25</v>
      </c>
      <c r="D20" s="1"/>
      <c r="E20" s="13" t="s">
        <v>25</v>
      </c>
      <c r="F20" s="1"/>
      <c r="G20" s="13" t="s">
        <v>25</v>
      </c>
      <c r="H20" s="1"/>
      <c r="I20" s="13" t="s">
        <v>25</v>
      </c>
    </row>
    <row r="21" spans="1:9" ht="15">
      <c r="A21" s="8" t="s">
        <v>26</v>
      </c>
      <c r="B21" s="8"/>
      <c r="C21" s="9">
        <v>143976</v>
      </c>
      <c r="D21" s="1"/>
      <c r="E21" s="9">
        <f>1021420912/1000</f>
        <v>1021420.912</v>
      </c>
      <c r="F21" s="1"/>
      <c r="G21" s="9">
        <f>91661436/1000</f>
        <v>91661.436</v>
      </c>
      <c r="H21" s="1"/>
      <c r="I21" s="9">
        <f>203838613/1000</f>
        <v>203838.613</v>
      </c>
    </row>
    <row r="22" spans="1:9" ht="15">
      <c r="A22" s="8"/>
      <c r="B22" s="8"/>
      <c r="C22" s="13" t="s">
        <v>25</v>
      </c>
      <c r="D22" s="1"/>
      <c r="E22" s="13" t="s">
        <v>25</v>
      </c>
      <c r="F22" s="1"/>
      <c r="G22" s="13" t="s">
        <v>25</v>
      </c>
      <c r="H22" s="1"/>
      <c r="I22" s="13" t="s">
        <v>25</v>
      </c>
    </row>
    <row r="23" spans="1:9" ht="15">
      <c r="A23" s="8" t="s">
        <v>27</v>
      </c>
      <c r="B23" s="8"/>
      <c r="C23" s="11">
        <f>+C19/C21</f>
        <v>0.06038506417736289</v>
      </c>
      <c r="D23" s="1"/>
      <c r="E23" s="11">
        <f>+E19/E21</f>
        <v>0.06542599844480178</v>
      </c>
      <c r="F23" s="1"/>
      <c r="G23" s="11">
        <f>+G19/G21</f>
        <v>0.08646265371622584</v>
      </c>
      <c r="H23" s="19"/>
      <c r="I23" s="11">
        <f>+I19/I21</f>
        <v>0.09831289913653418</v>
      </c>
    </row>
    <row r="24" spans="1:9" ht="15">
      <c r="A24" s="17" t="s">
        <v>61</v>
      </c>
      <c r="B24" s="8"/>
      <c r="C24" s="11"/>
      <c r="D24" s="1"/>
      <c r="E24" s="11">
        <v>0.0518</v>
      </c>
      <c r="F24" s="1"/>
      <c r="G24" s="11">
        <v>0.1094</v>
      </c>
      <c r="H24" s="1"/>
      <c r="I24" s="11"/>
    </row>
    <row r="25" spans="1:9" ht="15">
      <c r="A25" s="8"/>
      <c r="B25" s="8"/>
      <c r="C25" s="13" t="s">
        <v>25</v>
      </c>
      <c r="D25" s="1"/>
      <c r="E25" s="13" t="s">
        <v>25</v>
      </c>
      <c r="F25" s="1"/>
      <c r="G25" s="13" t="s">
        <v>25</v>
      </c>
      <c r="H25" s="1"/>
      <c r="I25" s="13" t="s">
        <v>25</v>
      </c>
    </row>
    <row r="26" spans="1:9" ht="15">
      <c r="A26" s="8" t="s">
        <v>28</v>
      </c>
      <c r="B26" s="8"/>
      <c r="C26" s="8"/>
      <c r="D26" s="1"/>
      <c r="E26" s="8"/>
      <c r="F26" s="1"/>
      <c r="G26" s="8"/>
      <c r="H26" s="1"/>
      <c r="I26" s="8"/>
    </row>
    <row r="27" spans="1:9" ht="15">
      <c r="A27" s="8" t="s">
        <v>29</v>
      </c>
      <c r="B27" s="8"/>
      <c r="C27" s="8"/>
      <c r="D27" s="1"/>
      <c r="E27" s="8"/>
      <c r="F27" s="1"/>
      <c r="G27" s="8"/>
      <c r="H27" s="1"/>
      <c r="I27" s="8"/>
    </row>
    <row r="28" spans="1:9" ht="15">
      <c r="A28" s="8" t="s">
        <v>22</v>
      </c>
      <c r="B28" s="8"/>
      <c r="C28" s="9">
        <v>151389</v>
      </c>
      <c r="D28" s="1"/>
      <c r="E28" s="9">
        <f>706312398/1000</f>
        <v>706312.398</v>
      </c>
      <c r="F28" s="1"/>
      <c r="G28" s="9">
        <f>61008063/1000</f>
        <v>61008.063</v>
      </c>
      <c r="H28" s="1"/>
      <c r="I28" s="9">
        <f>272227618/1000</f>
        <v>272227.618</v>
      </c>
    </row>
    <row r="29" spans="1:9" ht="15">
      <c r="A29" s="8" t="s">
        <v>23</v>
      </c>
      <c r="B29" s="8"/>
      <c r="C29" s="8">
        <f>(138476000-256000+3078000-30000)/1000</f>
        <v>141268</v>
      </c>
      <c r="D29" s="1"/>
      <c r="E29" s="8">
        <f>642240119/1000</f>
        <v>642240.119</v>
      </c>
      <c r="F29" s="1"/>
      <c r="G29" s="8">
        <f>53872610/1000</f>
        <v>53872.61</v>
      </c>
      <c r="H29" s="1"/>
      <c r="I29" s="8">
        <f>(182035521+18506307+51645825)/1000</f>
        <v>252187.653</v>
      </c>
    </row>
    <row r="30" spans="1:9" ht="15">
      <c r="A30" s="8"/>
      <c r="B30" s="8"/>
      <c r="C30" s="13" t="s">
        <v>13</v>
      </c>
      <c r="D30" s="1"/>
      <c r="E30" s="13" t="s">
        <v>13</v>
      </c>
      <c r="F30" s="1"/>
      <c r="G30" s="13" t="s">
        <v>13</v>
      </c>
      <c r="H30" s="1"/>
      <c r="I30" s="13" t="s">
        <v>13</v>
      </c>
    </row>
    <row r="31" spans="1:9" ht="15">
      <c r="A31" s="8" t="s">
        <v>24</v>
      </c>
      <c r="B31" s="8"/>
      <c r="C31" s="9">
        <f>+C28-C29</f>
        <v>10121</v>
      </c>
      <c r="D31" s="1"/>
      <c r="E31" s="9">
        <f>+E28-E29</f>
        <v>64072.2790000001</v>
      </c>
      <c r="F31" s="1"/>
      <c r="G31" s="9">
        <f>+G28-G29</f>
        <v>7135.453000000001</v>
      </c>
      <c r="H31" s="1"/>
      <c r="I31" s="9">
        <f>+I28-I29</f>
        <v>20039.965000000026</v>
      </c>
    </row>
    <row r="32" spans="1:9" ht="15">
      <c r="A32" s="8"/>
      <c r="B32" s="8"/>
      <c r="C32" s="13" t="s">
        <v>25</v>
      </c>
      <c r="D32" s="1"/>
      <c r="E32" s="13" t="s">
        <v>25</v>
      </c>
      <c r="F32" s="1"/>
      <c r="G32" s="13" t="s">
        <v>25</v>
      </c>
      <c r="H32" s="1"/>
      <c r="I32" s="13" t="s">
        <v>25</v>
      </c>
    </row>
    <row r="33" spans="1:9" ht="15">
      <c r="A33" s="8" t="s">
        <v>26</v>
      </c>
      <c r="B33" s="8"/>
      <c r="C33" s="9">
        <v>135524</v>
      </c>
      <c r="D33" s="1"/>
      <c r="E33" s="9">
        <f>1021403545/1000</f>
        <v>1021403.545</v>
      </c>
      <c r="F33" s="1"/>
      <c r="G33" s="9">
        <f>94345381/1000</f>
        <v>94345.381</v>
      </c>
      <c r="H33" s="1"/>
      <c r="I33" s="9">
        <f>203838613/1000</f>
        <v>203838.613</v>
      </c>
    </row>
    <row r="34" spans="1:9" ht="15">
      <c r="A34" s="8"/>
      <c r="B34" s="8"/>
      <c r="C34" s="13" t="s">
        <v>25</v>
      </c>
      <c r="D34" s="1"/>
      <c r="E34" s="13" t="s">
        <v>25</v>
      </c>
      <c r="F34" s="1"/>
      <c r="G34" s="13" t="s">
        <v>25</v>
      </c>
      <c r="H34" s="1"/>
      <c r="I34" s="13" t="s">
        <v>25</v>
      </c>
    </row>
    <row r="35" spans="1:9" ht="15">
      <c r="A35" s="8" t="s">
        <v>30</v>
      </c>
      <c r="B35" s="8"/>
      <c r="C35" s="11">
        <f>+C31/C33</f>
        <v>0.07468049939494112</v>
      </c>
      <c r="D35" s="1"/>
      <c r="E35" s="11">
        <f>+E31/E33</f>
        <v>0.062729642278655</v>
      </c>
      <c r="F35" s="1"/>
      <c r="G35" s="11">
        <v>0.0756</v>
      </c>
      <c r="H35" s="1"/>
      <c r="I35" s="11">
        <f>+I31/I33</f>
        <v>0.09831289913653418</v>
      </c>
    </row>
    <row r="36" spans="1:9" ht="15">
      <c r="A36" s="17" t="s">
        <v>61</v>
      </c>
      <c r="B36" s="8"/>
      <c r="C36" s="11"/>
      <c r="D36" s="1"/>
      <c r="E36" s="11">
        <v>0.0439</v>
      </c>
      <c r="F36" s="1"/>
      <c r="G36" s="11">
        <v>0.0856</v>
      </c>
      <c r="H36" s="1"/>
      <c r="I36" s="11"/>
    </row>
    <row r="37" spans="1:9" ht="15">
      <c r="A37" s="8"/>
      <c r="B37" s="8"/>
      <c r="C37" s="13" t="s">
        <v>25</v>
      </c>
      <c r="D37" s="1"/>
      <c r="E37" s="13" t="s">
        <v>25</v>
      </c>
      <c r="F37" s="1"/>
      <c r="G37" s="13" t="s">
        <v>25</v>
      </c>
      <c r="H37" s="1"/>
      <c r="I37" s="13" t="s">
        <v>25</v>
      </c>
    </row>
    <row r="38" spans="1:9" ht="15">
      <c r="A38" s="8"/>
      <c r="B38" s="8"/>
      <c r="C38" s="9"/>
      <c r="D38" s="1"/>
      <c r="E38" s="9"/>
      <c r="F38" s="1"/>
      <c r="G38" s="9"/>
      <c r="H38" s="1"/>
      <c r="I38" s="9"/>
    </row>
    <row r="39" spans="1:9" ht="15.75">
      <c r="A39" s="10" t="s">
        <v>31</v>
      </c>
      <c r="B39" s="10"/>
      <c r="C39" s="10"/>
      <c r="D39" s="2"/>
      <c r="E39" s="10"/>
      <c r="F39" s="2"/>
      <c r="G39" s="10"/>
      <c r="H39" s="2"/>
      <c r="I39" s="10"/>
    </row>
    <row r="40" spans="1:9" ht="15">
      <c r="A40" s="8" t="s">
        <v>28</v>
      </c>
      <c r="B40" s="8"/>
      <c r="C40" s="8"/>
      <c r="D40" s="1"/>
      <c r="E40" s="8"/>
      <c r="F40" s="1"/>
      <c r="G40" s="8"/>
      <c r="H40" s="1"/>
      <c r="I40" s="8"/>
    </row>
    <row r="41" spans="1:9" ht="15">
      <c r="A41" s="8" t="s">
        <v>29</v>
      </c>
      <c r="B41" s="8"/>
      <c r="C41" s="8"/>
      <c r="D41" s="1"/>
      <c r="E41" s="8"/>
      <c r="F41" s="1"/>
      <c r="G41" s="8"/>
      <c r="H41" s="1"/>
      <c r="I41" s="8"/>
    </row>
    <row r="42" spans="1:9" ht="15">
      <c r="A42" s="8" t="s">
        <v>22</v>
      </c>
      <c r="B42" s="8"/>
      <c r="C42" s="9">
        <v>151389</v>
      </c>
      <c r="D42" s="1"/>
      <c r="E42" s="9">
        <f>706312398/1000</f>
        <v>706312.398</v>
      </c>
      <c r="F42" s="1"/>
      <c r="G42" s="9">
        <f>61008063/1000</f>
        <v>61008.063</v>
      </c>
      <c r="H42" s="1"/>
      <c r="I42" s="9">
        <f>272866645/1000</f>
        <v>272866.645</v>
      </c>
    </row>
    <row r="43" spans="1:9" ht="15">
      <c r="A43" s="8" t="s">
        <v>23</v>
      </c>
      <c r="B43" s="8"/>
      <c r="C43" s="8">
        <f>(138559-284+3078-30)</f>
        <v>141323</v>
      </c>
      <c r="D43" s="1"/>
      <c r="E43" s="8">
        <f>642240119/1000</f>
        <v>642240.119</v>
      </c>
      <c r="F43" s="1"/>
      <c r="G43" s="8">
        <f>53872610/1000</f>
        <v>53872.61</v>
      </c>
      <c r="H43" s="1"/>
      <c r="I43" s="8">
        <f>(51697924+182546929+18506307)/1000</f>
        <v>252751.16</v>
      </c>
    </row>
    <row r="44" spans="1:9" ht="15">
      <c r="A44" s="8"/>
      <c r="B44" s="8"/>
      <c r="C44" s="13" t="s">
        <v>13</v>
      </c>
      <c r="D44" s="1"/>
      <c r="E44" s="13" t="s">
        <v>13</v>
      </c>
      <c r="F44" s="1"/>
      <c r="G44" s="13" t="s">
        <v>13</v>
      </c>
      <c r="H44" s="1"/>
      <c r="I44" s="13" t="s">
        <v>13</v>
      </c>
    </row>
    <row r="45" spans="1:9" ht="15">
      <c r="A45" s="8" t="s">
        <v>24</v>
      </c>
      <c r="B45" s="8"/>
      <c r="C45" s="9">
        <f>+C42-C43</f>
        <v>10066</v>
      </c>
      <c r="D45" s="1"/>
      <c r="E45" s="9">
        <f>+E42-E43</f>
        <v>64072.2790000001</v>
      </c>
      <c r="F45" s="1"/>
      <c r="G45" s="9">
        <f>+G42-G43</f>
        <v>7135.453000000001</v>
      </c>
      <c r="H45" s="1"/>
      <c r="I45" s="9">
        <f>+I42-I43</f>
        <v>20115.485000000015</v>
      </c>
    </row>
    <row r="46" spans="1:9" ht="15">
      <c r="A46" s="8"/>
      <c r="B46" s="8"/>
      <c r="C46" s="13" t="s">
        <v>25</v>
      </c>
      <c r="D46" s="1"/>
      <c r="E46" s="13" t="s">
        <v>25</v>
      </c>
      <c r="F46" s="1"/>
      <c r="G46" s="13" t="s">
        <v>25</v>
      </c>
      <c r="H46" s="1"/>
      <c r="I46" s="13" t="s">
        <v>25</v>
      </c>
    </row>
    <row r="47" spans="1:9" ht="15">
      <c r="A47" s="8" t="s">
        <v>26</v>
      </c>
      <c r="B47" s="8"/>
      <c r="C47" s="9">
        <v>135524</v>
      </c>
      <c r="D47" s="1"/>
      <c r="E47" s="9">
        <f>1021403545/1000</f>
        <v>1021403.545</v>
      </c>
      <c r="F47" s="1"/>
      <c r="G47" s="9">
        <f>94345381/1000</f>
        <v>94345.381</v>
      </c>
      <c r="H47" s="1"/>
      <c r="I47" s="9">
        <f>203838613/1000</f>
        <v>203838.613</v>
      </c>
    </row>
    <row r="48" spans="1:9" ht="15">
      <c r="A48" s="8"/>
      <c r="B48" s="8"/>
      <c r="C48" s="13" t="s">
        <v>25</v>
      </c>
      <c r="D48" s="1"/>
      <c r="E48" s="13" t="s">
        <v>25</v>
      </c>
      <c r="F48" s="1"/>
      <c r="G48" s="13" t="s">
        <v>25</v>
      </c>
      <c r="H48" s="1"/>
      <c r="I48" s="13" t="s">
        <v>25</v>
      </c>
    </row>
    <row r="49" spans="1:9" ht="15">
      <c r="A49" s="8" t="s">
        <v>30</v>
      </c>
      <c r="B49" s="8"/>
      <c r="C49" s="11">
        <f>+C45/C47</f>
        <v>0.0742746672176146</v>
      </c>
      <c r="D49" s="1"/>
      <c r="E49" s="11">
        <f>+E45/E47</f>
        <v>0.062729642278655</v>
      </c>
      <c r="F49" s="1"/>
      <c r="G49" s="11">
        <v>0.0756</v>
      </c>
      <c r="H49" s="1"/>
      <c r="I49" s="11">
        <f>+I45/I47</f>
        <v>0.09868338831367546</v>
      </c>
    </row>
    <row r="50" spans="1:9" ht="15.75">
      <c r="A50" s="17" t="s">
        <v>61</v>
      </c>
      <c r="B50" s="8"/>
      <c r="D50" s="1"/>
      <c r="E50" s="20">
        <v>0.0439</v>
      </c>
      <c r="F50" s="1"/>
      <c r="G50" s="11">
        <v>0.0856</v>
      </c>
      <c r="H50" s="1"/>
      <c r="I50" s="13"/>
    </row>
    <row r="51" spans="1:9" ht="15">
      <c r="A51" s="8"/>
      <c r="B51" s="8"/>
      <c r="C51" s="13" t="s">
        <v>25</v>
      </c>
      <c r="D51" s="1"/>
      <c r="E51" s="13" t="s">
        <v>25</v>
      </c>
      <c r="F51" s="1"/>
      <c r="G51" s="13" t="s">
        <v>25</v>
      </c>
      <c r="H51" s="1"/>
      <c r="I51" s="13" t="s">
        <v>25</v>
      </c>
    </row>
    <row r="52" spans="1:9" ht="15">
      <c r="A52" s="8" t="s">
        <v>32</v>
      </c>
      <c r="B52" s="8"/>
      <c r="C52" s="11"/>
      <c r="D52" s="1"/>
      <c r="E52" s="11"/>
      <c r="F52" s="1"/>
      <c r="G52" s="11"/>
      <c r="H52" s="1"/>
      <c r="I52" s="11"/>
    </row>
    <row r="53" spans="1:9" ht="15">
      <c r="A53" s="8" t="s">
        <v>33</v>
      </c>
      <c r="B53" s="8"/>
      <c r="C53" s="16"/>
      <c r="D53" s="1"/>
      <c r="E53" s="12"/>
      <c r="F53" s="1"/>
      <c r="G53" s="12"/>
      <c r="H53" s="1"/>
      <c r="I53" s="12"/>
    </row>
    <row r="54" spans="1:2" ht="15.75">
      <c r="A54" s="15" t="s">
        <v>86</v>
      </c>
      <c r="B54" s="15"/>
    </row>
  </sheetData>
  <printOptions/>
  <pageMargins left="0.5" right="0.5" top="0.5" bottom="0.5" header="0.5" footer="0.5"/>
  <pageSetup horizontalDpi="600" verticalDpi="600" orientation="portrait" scale="85" r:id="rId3"/>
  <colBreaks count="1" manualBreakCount="1">
    <brk id="9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54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28.77734375" style="0" customWidth="1"/>
    <col min="2" max="2" width="1.77734375" style="0" customWidth="1"/>
    <col min="3" max="3" width="15.21484375" style="15" customWidth="1"/>
    <col min="4" max="4" width="2.77734375" style="0" customWidth="1"/>
    <col min="5" max="5" width="14.88671875" style="15" customWidth="1"/>
    <col min="6" max="6" width="2.77734375" style="0" customWidth="1"/>
    <col min="7" max="7" width="16.21484375" style="15" customWidth="1"/>
    <col min="8" max="8" width="2.77734375" style="0" customWidth="1"/>
    <col min="9" max="9" width="14.99609375" style="15" customWidth="1"/>
  </cols>
  <sheetData>
    <row r="1" spans="1:9" ht="15.75">
      <c r="A1" s="8"/>
      <c r="B1" s="8"/>
      <c r="C1" s="8" t="s">
        <v>0</v>
      </c>
      <c r="D1" s="8"/>
      <c r="E1" s="8"/>
      <c r="F1" s="8"/>
      <c r="G1" s="8"/>
      <c r="H1" s="1"/>
      <c r="I1" s="10"/>
    </row>
    <row r="2" spans="1:9" ht="15">
      <c r="A2" s="8"/>
      <c r="B2" s="8" t="s">
        <v>1</v>
      </c>
      <c r="C2" s="8"/>
      <c r="D2" s="8"/>
      <c r="E2" s="8"/>
      <c r="F2" s="8"/>
      <c r="G2" s="8"/>
      <c r="H2" s="1"/>
      <c r="I2" s="8"/>
    </row>
    <row r="3" spans="1:9" ht="15">
      <c r="A3" s="8"/>
      <c r="B3" s="8"/>
      <c r="C3" s="8"/>
      <c r="D3" s="14" t="s">
        <v>2</v>
      </c>
      <c r="E3" s="8"/>
      <c r="F3" s="8"/>
      <c r="G3" s="8"/>
      <c r="H3" s="1"/>
      <c r="I3" s="8"/>
    </row>
    <row r="4" spans="1:9" ht="15.75">
      <c r="A4" s="8"/>
      <c r="B4" s="8"/>
      <c r="C4" s="8"/>
      <c r="D4" s="10"/>
      <c r="E4" s="8"/>
      <c r="F4" s="8"/>
      <c r="G4" s="8"/>
      <c r="H4" s="1"/>
      <c r="I4" s="8"/>
    </row>
    <row r="5" spans="1:9" ht="15">
      <c r="A5" s="8"/>
      <c r="B5" s="8"/>
      <c r="C5" s="14" t="s">
        <v>38</v>
      </c>
      <c r="D5" s="8"/>
      <c r="E5" s="14" t="s">
        <v>71</v>
      </c>
      <c r="F5" s="8"/>
      <c r="G5" s="14" t="s">
        <v>5</v>
      </c>
      <c r="H5" s="1"/>
      <c r="I5" s="14" t="s">
        <v>6</v>
      </c>
    </row>
    <row r="6" spans="1:9" ht="15">
      <c r="A6" s="8"/>
      <c r="B6" s="8"/>
      <c r="C6" s="14" t="s">
        <v>39</v>
      </c>
      <c r="D6" s="8"/>
      <c r="E6" s="14" t="s">
        <v>8</v>
      </c>
      <c r="F6" s="8"/>
      <c r="G6" s="14" t="s">
        <v>9</v>
      </c>
      <c r="H6" s="1"/>
      <c r="I6" s="14" t="s">
        <v>9</v>
      </c>
    </row>
    <row r="7" spans="1:9" ht="15.75">
      <c r="A7" s="8"/>
      <c r="B7" s="8"/>
      <c r="C7" s="10"/>
      <c r="D7" s="10"/>
      <c r="E7" s="10"/>
      <c r="F7" s="8"/>
      <c r="G7" s="16" t="s">
        <v>51</v>
      </c>
      <c r="H7" s="1"/>
      <c r="I7" s="10"/>
    </row>
    <row r="8" spans="1:9" ht="15.75">
      <c r="A8" s="8"/>
      <c r="B8" s="8"/>
      <c r="C8" s="17" t="s">
        <v>62</v>
      </c>
      <c r="D8" s="10"/>
      <c r="E8" s="17" t="s">
        <v>62</v>
      </c>
      <c r="F8" s="8"/>
      <c r="G8" s="17" t="s">
        <v>62</v>
      </c>
      <c r="H8" s="1"/>
      <c r="I8" s="17" t="s">
        <v>67</v>
      </c>
    </row>
    <row r="9" spans="1:9" ht="15">
      <c r="A9" s="8"/>
      <c r="B9" s="8"/>
      <c r="C9" s="13" t="s">
        <v>13</v>
      </c>
      <c r="D9" s="8"/>
      <c r="E9" s="13" t="s">
        <v>13</v>
      </c>
      <c r="F9" s="8"/>
      <c r="G9" s="13" t="s">
        <v>13</v>
      </c>
      <c r="H9" s="1"/>
      <c r="I9" s="13" t="s">
        <v>13</v>
      </c>
    </row>
    <row r="10" spans="1:9" ht="15">
      <c r="A10" s="8" t="s">
        <v>14</v>
      </c>
      <c r="B10" s="8"/>
      <c r="C10" s="14" t="s">
        <v>69</v>
      </c>
      <c r="D10" s="8"/>
      <c r="E10" s="14" t="s">
        <v>70</v>
      </c>
      <c r="F10" s="8"/>
      <c r="G10" s="16" t="s">
        <v>68</v>
      </c>
      <c r="H10" s="1"/>
      <c r="I10" s="16" t="s">
        <v>66</v>
      </c>
    </row>
    <row r="11" spans="1:9" ht="15">
      <c r="A11" s="8"/>
      <c r="B11" s="8"/>
      <c r="C11" s="8"/>
      <c r="D11" s="8"/>
      <c r="E11" s="8"/>
      <c r="F11" s="8"/>
      <c r="G11" s="8"/>
      <c r="H11" s="1"/>
      <c r="I11" s="8"/>
    </row>
    <row r="12" spans="1:9" ht="15">
      <c r="A12" s="8" t="s">
        <v>19</v>
      </c>
      <c r="B12" s="8"/>
      <c r="C12" s="8"/>
      <c r="D12" s="8"/>
      <c r="E12" s="8"/>
      <c r="F12" s="8"/>
      <c r="G12" s="8"/>
      <c r="H12" s="1"/>
      <c r="I12" s="8"/>
    </row>
    <row r="13" spans="1:9" ht="15">
      <c r="A13" s="8"/>
      <c r="B13" s="8"/>
      <c r="C13" s="8"/>
      <c r="D13" s="8"/>
      <c r="E13" s="8"/>
      <c r="F13" s="8"/>
      <c r="G13" s="8"/>
      <c r="H13" s="1"/>
      <c r="I13" s="8"/>
    </row>
    <row r="14" spans="1:9" ht="15">
      <c r="A14" s="8" t="s">
        <v>20</v>
      </c>
      <c r="B14" s="8"/>
      <c r="C14" s="8"/>
      <c r="D14" s="8"/>
      <c r="E14" s="8"/>
      <c r="F14" s="8"/>
      <c r="G14" s="8"/>
      <c r="H14" s="1"/>
      <c r="I14" s="8"/>
    </row>
    <row r="15" spans="1:9" ht="15">
      <c r="A15" s="8" t="s">
        <v>21</v>
      </c>
      <c r="B15" s="8"/>
      <c r="C15" s="8"/>
      <c r="D15" s="8"/>
      <c r="E15" s="8"/>
      <c r="F15" s="8"/>
      <c r="G15" s="8"/>
      <c r="H15" s="1"/>
      <c r="I15" s="8"/>
    </row>
    <row r="16" spans="1:9" ht="15">
      <c r="A16" s="8" t="s">
        <v>22</v>
      </c>
      <c r="B16" s="8"/>
      <c r="C16" s="9">
        <v>157651</v>
      </c>
      <c r="D16" s="8"/>
      <c r="E16" s="9">
        <f>697155503/1000</f>
        <v>697155.503</v>
      </c>
      <c r="F16" s="8"/>
      <c r="G16" s="9">
        <f>56818342/1000</f>
        <v>56818.342</v>
      </c>
      <c r="H16" s="1"/>
      <c r="I16" s="9">
        <f>259416224/1000</f>
        <v>259416.224</v>
      </c>
    </row>
    <row r="17" spans="1:9" ht="15">
      <c r="A17" s="8" t="s">
        <v>23</v>
      </c>
      <c r="B17" s="8"/>
      <c r="C17" s="8">
        <f>(150324000+5789000-6422000-31000)/1000</f>
        <v>149660</v>
      </c>
      <c r="D17" s="8"/>
      <c r="E17" s="8">
        <f>618445393/1000</f>
        <v>618445.393</v>
      </c>
      <c r="F17" s="8"/>
      <c r="G17" s="8">
        <f>46421523/1000</f>
        <v>46421.523</v>
      </c>
      <c r="H17" s="1"/>
      <c r="I17" s="8">
        <f>(168786731+19133897+51689519)/1000</f>
        <v>239610.147</v>
      </c>
    </row>
    <row r="18" spans="1:9" ht="15">
      <c r="A18" s="8"/>
      <c r="B18" s="8"/>
      <c r="C18" s="13" t="s">
        <v>13</v>
      </c>
      <c r="D18" s="8"/>
      <c r="E18" s="13" t="s">
        <v>13</v>
      </c>
      <c r="F18" s="8"/>
      <c r="G18" s="13" t="s">
        <v>13</v>
      </c>
      <c r="H18" s="1"/>
      <c r="I18" s="13" t="s">
        <v>13</v>
      </c>
    </row>
    <row r="19" spans="1:9" ht="15">
      <c r="A19" s="8" t="s">
        <v>24</v>
      </c>
      <c r="B19" s="8"/>
      <c r="C19" s="9">
        <f>+C16-C17</f>
        <v>7991</v>
      </c>
      <c r="D19" s="8"/>
      <c r="E19" s="9">
        <f>+E16-E17</f>
        <v>78710.10999999999</v>
      </c>
      <c r="F19" s="8"/>
      <c r="G19" s="9">
        <f>+G16-G17</f>
        <v>10396.818999999996</v>
      </c>
      <c r="H19" s="1"/>
      <c r="I19" s="9">
        <f>+I16-I17</f>
        <v>19806.07699999999</v>
      </c>
    </row>
    <row r="20" spans="1:9" ht="15">
      <c r="A20" s="8"/>
      <c r="B20" s="8"/>
      <c r="C20" s="13" t="s">
        <v>25</v>
      </c>
      <c r="D20" s="8"/>
      <c r="E20" s="13" t="s">
        <v>25</v>
      </c>
      <c r="F20" s="8"/>
      <c r="G20" s="13" t="s">
        <v>25</v>
      </c>
      <c r="H20" s="1"/>
      <c r="I20" s="13" t="s">
        <v>25</v>
      </c>
    </row>
    <row r="21" spans="1:9" ht="15">
      <c r="A21" s="8" t="s">
        <v>26</v>
      </c>
      <c r="B21" s="8"/>
      <c r="C21" s="9">
        <v>145719</v>
      </c>
      <c r="D21" s="8"/>
      <c r="E21" s="9">
        <f>1065881548/1000</f>
        <v>1065881.548</v>
      </c>
      <c r="F21" s="8"/>
      <c r="G21" s="9">
        <f>91884099/1000</f>
        <v>91884.099</v>
      </c>
      <c r="H21" s="1"/>
      <c r="I21" s="9">
        <f>210049984/1000</f>
        <v>210049.984</v>
      </c>
    </row>
    <row r="22" spans="1:9" ht="15">
      <c r="A22" s="8"/>
      <c r="B22" s="8"/>
      <c r="C22" s="13" t="s">
        <v>25</v>
      </c>
      <c r="D22" s="8"/>
      <c r="E22" s="13" t="s">
        <v>25</v>
      </c>
      <c r="F22" s="8"/>
      <c r="G22" s="13" t="s">
        <v>25</v>
      </c>
      <c r="H22" s="1"/>
      <c r="I22" s="13" t="s">
        <v>25</v>
      </c>
    </row>
    <row r="23" spans="1:9" ht="15">
      <c r="A23" s="8" t="s">
        <v>27</v>
      </c>
      <c r="B23" s="8"/>
      <c r="C23" s="21">
        <f>+C19/C21</f>
        <v>0.05483842189419362</v>
      </c>
      <c r="D23" s="8"/>
      <c r="E23" s="21">
        <f>+E19/E21</f>
        <v>0.07384508170508267</v>
      </c>
      <c r="F23" s="8"/>
      <c r="G23" s="11">
        <f>+G19/G21</f>
        <v>0.11315144963221542</v>
      </c>
      <c r="H23" s="1"/>
      <c r="I23" s="11">
        <f>+I19/I21</f>
        <v>0.09429220903915894</v>
      </c>
    </row>
    <row r="24" spans="1:9" ht="15">
      <c r="A24" s="17" t="s">
        <v>61</v>
      </c>
      <c r="B24" s="8"/>
      <c r="C24" s="11"/>
      <c r="D24" s="8"/>
      <c r="E24" s="11"/>
      <c r="F24" s="8"/>
      <c r="G24" s="11">
        <v>0.165</v>
      </c>
      <c r="H24" s="1"/>
      <c r="I24" s="11"/>
    </row>
    <row r="25" spans="1:9" ht="15">
      <c r="A25" s="8"/>
      <c r="B25" s="8"/>
      <c r="C25" s="13" t="s">
        <v>25</v>
      </c>
      <c r="D25" s="8"/>
      <c r="E25" s="13" t="s">
        <v>25</v>
      </c>
      <c r="F25" s="8"/>
      <c r="G25" s="13" t="s">
        <v>25</v>
      </c>
      <c r="H25" s="1"/>
      <c r="I25" s="13" t="s">
        <v>25</v>
      </c>
    </row>
    <row r="26" spans="1:9" ht="15">
      <c r="A26" s="8" t="s">
        <v>28</v>
      </c>
      <c r="B26" s="8"/>
      <c r="C26" s="8"/>
      <c r="D26" s="8"/>
      <c r="E26" s="8"/>
      <c r="F26" s="8"/>
      <c r="G26" s="8"/>
      <c r="H26" s="1"/>
      <c r="I26" s="8"/>
    </row>
    <row r="27" spans="1:9" ht="15">
      <c r="A27" s="8" t="s">
        <v>29</v>
      </c>
      <c r="B27" s="8"/>
      <c r="C27" s="8"/>
      <c r="D27" s="8"/>
      <c r="E27" s="8"/>
      <c r="F27" s="8"/>
      <c r="G27" s="8"/>
      <c r="H27" s="1"/>
      <c r="I27" s="8"/>
    </row>
    <row r="28" spans="1:9" ht="15">
      <c r="A28" s="8" t="s">
        <v>22</v>
      </c>
      <c r="B28" s="8"/>
      <c r="C28" s="9">
        <v>154798</v>
      </c>
      <c r="D28" s="8"/>
      <c r="E28" s="9">
        <f>607106394/1000</f>
        <v>607106.394</v>
      </c>
      <c r="F28" s="8"/>
      <c r="G28" s="9">
        <f>47382046/1000</f>
        <v>47382.046</v>
      </c>
      <c r="H28" s="1"/>
      <c r="I28" s="9">
        <f>257470920/1000</f>
        <v>257470.92</v>
      </c>
    </row>
    <row r="29" spans="1:9" ht="15">
      <c r="A29" s="8" t="s">
        <v>23</v>
      </c>
      <c r="B29" s="8"/>
      <c r="C29" s="8">
        <f>(147069000+6949000-6302000-31000)/1000</f>
        <v>147685</v>
      </c>
      <c r="D29" s="8"/>
      <c r="E29" s="8">
        <f>552976163/1000</f>
        <v>552976.163</v>
      </c>
      <c r="F29" s="8"/>
      <c r="G29" s="8">
        <f>42128850/1000</f>
        <v>42128.85</v>
      </c>
      <c r="H29" s="1"/>
      <c r="I29" s="8">
        <f>(166971998+19133897+51714946)/1000</f>
        <v>237820.841</v>
      </c>
    </row>
    <row r="30" spans="1:9" ht="15">
      <c r="A30" s="8"/>
      <c r="B30" s="8"/>
      <c r="C30" s="13" t="s">
        <v>13</v>
      </c>
      <c r="D30" s="8"/>
      <c r="E30" s="13" t="s">
        <v>13</v>
      </c>
      <c r="F30" s="8"/>
      <c r="G30" s="13" t="s">
        <v>13</v>
      </c>
      <c r="H30" s="1"/>
      <c r="I30" s="13" t="s">
        <v>13</v>
      </c>
    </row>
    <row r="31" spans="1:9" ht="15">
      <c r="A31" s="8" t="s">
        <v>24</v>
      </c>
      <c r="B31" s="8"/>
      <c r="C31" s="9">
        <f>+C28-C29</f>
        <v>7113</v>
      </c>
      <c r="D31" s="8"/>
      <c r="E31" s="9">
        <f>+E28-E29</f>
        <v>54130.23100000003</v>
      </c>
      <c r="F31" s="8"/>
      <c r="G31" s="9">
        <f>+G28-G29</f>
        <v>5253.196000000004</v>
      </c>
      <c r="H31" s="1"/>
      <c r="I31" s="9">
        <f>+I28-I29</f>
        <v>19650.079000000027</v>
      </c>
    </row>
    <row r="32" spans="1:9" ht="15">
      <c r="A32" s="8"/>
      <c r="B32" s="8"/>
      <c r="C32" s="13" t="s">
        <v>25</v>
      </c>
      <c r="D32" s="8"/>
      <c r="E32" s="13" t="s">
        <v>25</v>
      </c>
      <c r="F32" s="8"/>
      <c r="G32" s="13" t="s">
        <v>25</v>
      </c>
      <c r="H32" s="1"/>
      <c r="I32" s="13" t="s">
        <v>25</v>
      </c>
    </row>
    <row r="33" spans="1:9" ht="15">
      <c r="A33" s="8" t="s">
        <v>26</v>
      </c>
      <c r="B33" s="8"/>
      <c r="C33" s="9">
        <v>136362</v>
      </c>
      <c r="D33" s="8"/>
      <c r="E33" s="9">
        <f>1066017873/1000</f>
        <v>1066017.873</v>
      </c>
      <c r="F33" s="8"/>
      <c r="G33" s="9">
        <f>95585444/1000</f>
        <v>95585.444</v>
      </c>
      <c r="H33" s="1"/>
      <c r="I33" s="9">
        <f>210049984/1000</f>
        <v>210049.984</v>
      </c>
    </row>
    <row r="34" spans="1:9" ht="15">
      <c r="A34" s="8"/>
      <c r="B34" s="8"/>
      <c r="C34" s="13" t="s">
        <v>25</v>
      </c>
      <c r="D34" s="8"/>
      <c r="E34" s="13" t="s">
        <v>25</v>
      </c>
      <c r="F34" s="8"/>
      <c r="G34" s="13" t="s">
        <v>25</v>
      </c>
      <c r="H34" s="1"/>
      <c r="I34" s="13" t="s">
        <v>25</v>
      </c>
    </row>
    <row r="35" spans="1:9" ht="15">
      <c r="A35" s="8" t="s">
        <v>30</v>
      </c>
      <c r="B35" s="8"/>
      <c r="C35" s="21">
        <f>+C31/C33</f>
        <v>0.052162625951511415</v>
      </c>
      <c r="D35" s="8"/>
      <c r="E35" s="21">
        <f>+E31/E33</f>
        <v>0.050777976965495054</v>
      </c>
      <c r="F35" s="8"/>
      <c r="G35" s="11">
        <f>+G31/G33</f>
        <v>0.05495811684465266</v>
      </c>
      <c r="H35" s="1"/>
      <c r="I35" s="11">
        <f>+I31/I33</f>
        <v>0.09354953818991972</v>
      </c>
    </row>
    <row r="36" spans="1:9" ht="15">
      <c r="A36" s="17" t="s">
        <v>61</v>
      </c>
      <c r="B36" s="8"/>
      <c r="C36" s="11"/>
      <c r="D36" s="8"/>
      <c r="E36" s="11"/>
      <c r="F36" s="8"/>
      <c r="G36" s="11">
        <v>0.0413</v>
      </c>
      <c r="H36" s="1"/>
      <c r="I36" s="11"/>
    </row>
    <row r="37" spans="1:9" ht="15">
      <c r="A37" s="8"/>
      <c r="B37" s="8"/>
      <c r="C37" s="13" t="s">
        <v>25</v>
      </c>
      <c r="D37" s="8"/>
      <c r="E37" s="13" t="s">
        <v>25</v>
      </c>
      <c r="F37" s="8"/>
      <c r="G37" s="13" t="s">
        <v>25</v>
      </c>
      <c r="H37" s="1"/>
      <c r="I37" s="13" t="s">
        <v>25</v>
      </c>
    </row>
    <row r="38" spans="1:9" ht="15">
      <c r="A38" s="8"/>
      <c r="B38" s="8"/>
      <c r="C38" s="9"/>
      <c r="D38" s="8"/>
      <c r="E38" s="9"/>
      <c r="F38" s="8"/>
      <c r="G38" s="9"/>
      <c r="H38" s="1"/>
      <c r="I38" s="9"/>
    </row>
    <row r="39" spans="1:9" ht="15.75">
      <c r="A39" s="10" t="s">
        <v>31</v>
      </c>
      <c r="B39" s="10"/>
      <c r="C39" s="10"/>
      <c r="D39" s="10"/>
      <c r="E39" s="10"/>
      <c r="F39" s="10"/>
      <c r="G39" s="10"/>
      <c r="H39" s="2"/>
      <c r="I39" s="10"/>
    </row>
    <row r="40" spans="1:9" ht="15">
      <c r="A40" s="8" t="s">
        <v>28</v>
      </c>
      <c r="B40" s="8"/>
      <c r="C40" s="8"/>
      <c r="D40" s="8"/>
      <c r="E40" s="8"/>
      <c r="F40" s="8"/>
      <c r="G40" s="8"/>
      <c r="H40" s="1"/>
      <c r="I40" s="8"/>
    </row>
    <row r="41" spans="1:9" ht="15">
      <c r="A41" s="8" t="s">
        <v>29</v>
      </c>
      <c r="B41" s="8"/>
      <c r="C41" s="8"/>
      <c r="D41" s="8"/>
      <c r="E41" s="8"/>
      <c r="F41" s="8"/>
      <c r="G41" s="8"/>
      <c r="H41" s="1"/>
      <c r="I41" s="8"/>
    </row>
    <row r="42" spans="1:9" ht="15">
      <c r="A42" s="8" t="s">
        <v>22</v>
      </c>
      <c r="B42" s="8"/>
      <c r="C42" s="9">
        <v>154798</v>
      </c>
      <c r="D42" s="8"/>
      <c r="E42" s="9"/>
      <c r="F42" s="8"/>
      <c r="G42" s="9">
        <f>47382046/1000</f>
        <v>47382.046</v>
      </c>
      <c r="H42" s="1"/>
      <c r="I42" s="9">
        <f>256658504/1000</f>
        <v>256658.504</v>
      </c>
    </row>
    <row r="43" spans="1:9" ht="15">
      <c r="A43" s="8" t="s">
        <v>23</v>
      </c>
      <c r="B43" s="8"/>
      <c r="C43" s="8">
        <v>147687</v>
      </c>
      <c r="D43" s="8"/>
      <c r="E43" s="8"/>
      <c r="F43" s="8"/>
      <c r="G43" s="8">
        <f>42128850/1000</f>
        <v>42128.85</v>
      </c>
      <c r="H43" s="1"/>
      <c r="I43" s="8">
        <f>(166841427+19133897+51458706)/1000</f>
        <v>237434.03</v>
      </c>
    </row>
    <row r="44" spans="1:9" ht="15">
      <c r="A44" s="8"/>
      <c r="B44" s="8"/>
      <c r="C44" s="13" t="s">
        <v>13</v>
      </c>
      <c r="D44" s="8"/>
      <c r="E44" s="13" t="s">
        <v>13</v>
      </c>
      <c r="F44" s="8"/>
      <c r="G44" s="13" t="s">
        <v>13</v>
      </c>
      <c r="H44" s="1"/>
      <c r="I44" s="13" t="s">
        <v>13</v>
      </c>
    </row>
    <row r="45" spans="1:9" ht="15">
      <c r="A45" s="8" t="s">
        <v>24</v>
      </c>
      <c r="B45" s="8"/>
      <c r="C45" s="9">
        <f>+C42-C43</f>
        <v>7111</v>
      </c>
      <c r="D45" s="8"/>
      <c r="E45" s="9"/>
      <c r="F45" s="8"/>
      <c r="G45" s="9">
        <f>+G42-G43</f>
        <v>5253.196000000004</v>
      </c>
      <c r="H45" s="1"/>
      <c r="I45" s="9">
        <f>+I42-I43</f>
        <v>19224.473999999987</v>
      </c>
    </row>
    <row r="46" spans="1:9" ht="15">
      <c r="A46" s="8"/>
      <c r="B46" s="8"/>
      <c r="C46" s="13" t="s">
        <v>25</v>
      </c>
      <c r="D46" s="8"/>
      <c r="E46" s="13" t="s">
        <v>25</v>
      </c>
      <c r="F46" s="8"/>
      <c r="G46" s="13" t="s">
        <v>25</v>
      </c>
      <c r="H46" s="1"/>
      <c r="I46" s="13" t="s">
        <v>25</v>
      </c>
    </row>
    <row r="47" spans="1:9" ht="15">
      <c r="A47" s="8" t="s">
        <v>26</v>
      </c>
      <c r="B47" s="8"/>
      <c r="C47" s="9">
        <v>136362</v>
      </c>
      <c r="D47" s="8"/>
      <c r="E47" s="9"/>
      <c r="F47" s="8"/>
      <c r="G47" s="9">
        <f>95585444/1000</f>
        <v>95585.444</v>
      </c>
      <c r="H47" s="1"/>
      <c r="I47" s="9">
        <f>210049984/1000</f>
        <v>210049.984</v>
      </c>
    </row>
    <row r="48" spans="1:9" ht="15">
      <c r="A48" s="8"/>
      <c r="B48" s="8"/>
      <c r="C48" s="13" t="s">
        <v>25</v>
      </c>
      <c r="D48" s="8"/>
      <c r="E48" s="13" t="s">
        <v>25</v>
      </c>
      <c r="F48" s="8"/>
      <c r="G48" s="13" t="s">
        <v>25</v>
      </c>
      <c r="H48" s="1"/>
      <c r="I48" s="13" t="s">
        <v>25</v>
      </c>
    </row>
    <row r="49" spans="1:9" ht="15">
      <c r="A49" s="8" t="s">
        <v>30</v>
      </c>
      <c r="B49" s="8"/>
      <c r="C49" s="21">
        <f>+C45/C47</f>
        <v>0.05214795910884264</v>
      </c>
      <c r="D49" s="8"/>
      <c r="E49" s="11"/>
      <c r="F49" s="8"/>
      <c r="G49" s="11">
        <f>+G45/G47</f>
        <v>0.05495811684465266</v>
      </c>
      <c r="H49" s="1"/>
      <c r="I49" s="11">
        <f>+I45/I47</f>
        <v>0.09152332998987511</v>
      </c>
    </row>
    <row r="50" spans="1:9" ht="15">
      <c r="A50" s="17" t="s">
        <v>61</v>
      </c>
      <c r="B50" s="8"/>
      <c r="C50" s="13" t="s">
        <v>25</v>
      </c>
      <c r="D50" s="8"/>
      <c r="E50" s="13" t="s">
        <v>25</v>
      </c>
      <c r="F50" s="8"/>
      <c r="G50" s="11">
        <v>0.0413</v>
      </c>
      <c r="H50" s="1"/>
      <c r="I50" s="13" t="s">
        <v>25</v>
      </c>
    </row>
    <row r="51" spans="1:9" ht="15.75">
      <c r="A51" s="8"/>
      <c r="B51" s="8"/>
      <c r="D51" s="8"/>
      <c r="E51" s="8"/>
      <c r="F51" s="8"/>
      <c r="G51" s="8"/>
      <c r="H51" s="1"/>
      <c r="I51" s="8"/>
    </row>
    <row r="52" spans="1:9" ht="15.75">
      <c r="A52" s="8" t="s">
        <v>32</v>
      </c>
      <c r="B52" s="8"/>
      <c r="C52" s="22">
        <f>0.0903</f>
        <v>0.0903</v>
      </c>
      <c r="D52" s="8"/>
      <c r="E52" s="11"/>
      <c r="F52" s="8"/>
      <c r="G52" s="11"/>
      <c r="H52" s="1"/>
      <c r="I52" s="11"/>
    </row>
    <row r="53" spans="1:9" ht="15.75">
      <c r="A53" s="8" t="s">
        <v>33</v>
      </c>
      <c r="B53" s="8"/>
      <c r="C53" s="23" t="s">
        <v>52</v>
      </c>
      <c r="D53" s="8"/>
      <c r="E53" s="12"/>
      <c r="F53" s="8"/>
      <c r="G53" s="12"/>
      <c r="H53" s="1"/>
      <c r="I53" s="12"/>
    </row>
    <row r="54" ht="15.75">
      <c r="A54" s="15" t="s">
        <v>86</v>
      </c>
    </row>
  </sheetData>
  <printOptions/>
  <pageMargins left="0.5" right="0.5" top="0.5" bottom="0.5" header="0.5" footer="0.5"/>
  <pageSetup horizontalDpi="600" verticalDpi="600" orientation="portrait" scale="8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53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28.77734375" style="0" customWidth="1"/>
    <col min="2" max="2" width="1.77734375" style="0" customWidth="1"/>
    <col min="3" max="3" width="15.21484375" style="15" customWidth="1"/>
    <col min="4" max="4" width="2.77734375" style="0" customWidth="1"/>
    <col min="5" max="5" width="14.88671875" style="15" customWidth="1"/>
    <col min="6" max="6" width="2.77734375" style="0" customWidth="1"/>
    <col min="7" max="7" width="16.21484375" style="15" customWidth="1"/>
    <col min="8" max="8" width="2.77734375" style="0" customWidth="1"/>
    <col min="9" max="9" width="14.99609375" style="15" customWidth="1"/>
  </cols>
  <sheetData>
    <row r="1" spans="1:9" ht="15.75">
      <c r="A1" s="1"/>
      <c r="B1" s="1"/>
      <c r="C1" s="8" t="s">
        <v>0</v>
      </c>
      <c r="D1" s="1"/>
      <c r="E1" s="8"/>
      <c r="F1" s="1"/>
      <c r="G1" s="8"/>
      <c r="H1" s="1"/>
      <c r="I1" s="10"/>
    </row>
    <row r="2" spans="1:9" ht="15">
      <c r="A2" s="1"/>
      <c r="B2" s="8" t="s">
        <v>1</v>
      </c>
      <c r="C2" s="8"/>
      <c r="D2" s="8"/>
      <c r="E2" s="8"/>
      <c r="F2" s="8"/>
      <c r="G2" s="8"/>
      <c r="H2" s="1"/>
      <c r="I2" s="8"/>
    </row>
    <row r="3" spans="1:9" ht="15">
      <c r="A3" s="1"/>
      <c r="B3" s="8"/>
      <c r="C3" s="8"/>
      <c r="D3" s="14" t="s">
        <v>2</v>
      </c>
      <c r="E3" s="8"/>
      <c r="F3" s="8"/>
      <c r="G3" s="8"/>
      <c r="H3" s="1"/>
      <c r="I3" s="8"/>
    </row>
    <row r="4" spans="1:9" ht="15">
      <c r="A4" s="1"/>
      <c r="B4" s="1"/>
      <c r="C4" s="8"/>
      <c r="D4" s="2"/>
      <c r="E4" s="8"/>
      <c r="F4" s="1"/>
      <c r="G4" s="8"/>
      <c r="H4" s="1"/>
      <c r="I4" s="8"/>
    </row>
    <row r="5" spans="1:9" ht="15">
      <c r="A5" s="1"/>
      <c r="B5" s="1"/>
      <c r="C5" s="14" t="s">
        <v>38</v>
      </c>
      <c r="D5" s="1"/>
      <c r="E5" s="14" t="s">
        <v>71</v>
      </c>
      <c r="F5" s="1"/>
      <c r="G5" s="14" t="s">
        <v>5</v>
      </c>
      <c r="H5" s="1"/>
      <c r="I5" s="14" t="s">
        <v>6</v>
      </c>
    </row>
    <row r="6" spans="1:9" ht="15">
      <c r="A6" s="1"/>
      <c r="B6" s="1"/>
      <c r="C6" s="14" t="s">
        <v>39</v>
      </c>
      <c r="D6" s="1"/>
      <c r="E6" s="14" t="s">
        <v>8</v>
      </c>
      <c r="F6" s="1"/>
      <c r="G6" s="14" t="s">
        <v>9</v>
      </c>
      <c r="H6" s="1"/>
      <c r="I6" s="14" t="s">
        <v>9</v>
      </c>
    </row>
    <row r="7" spans="1:9" ht="15.75">
      <c r="A7" s="1"/>
      <c r="B7" s="1"/>
      <c r="C7" s="10"/>
      <c r="D7" s="2"/>
      <c r="E7" s="10"/>
      <c r="F7" s="1"/>
      <c r="G7" s="16" t="s">
        <v>51</v>
      </c>
      <c r="H7" s="1"/>
      <c r="I7" s="10"/>
    </row>
    <row r="8" spans="1:9" ht="15">
      <c r="A8" s="1"/>
      <c r="B8" s="1"/>
      <c r="C8" s="17" t="s">
        <v>72</v>
      </c>
      <c r="D8" s="2"/>
      <c r="E8" s="17" t="s">
        <v>72</v>
      </c>
      <c r="F8" s="1"/>
      <c r="G8" s="17" t="s">
        <v>72</v>
      </c>
      <c r="H8" s="1"/>
      <c r="I8" s="17" t="s">
        <v>73</v>
      </c>
    </row>
    <row r="9" spans="1:9" ht="15">
      <c r="A9" s="1"/>
      <c r="B9" s="1"/>
      <c r="C9" s="13" t="s">
        <v>13</v>
      </c>
      <c r="D9" s="1"/>
      <c r="E9" s="13" t="s">
        <v>13</v>
      </c>
      <c r="F9" s="1"/>
      <c r="G9" s="13" t="s">
        <v>13</v>
      </c>
      <c r="H9" s="1"/>
      <c r="I9" s="13" t="s">
        <v>13</v>
      </c>
    </row>
    <row r="10" spans="1:9" ht="15">
      <c r="A10" s="8" t="s">
        <v>14</v>
      </c>
      <c r="B10" s="1"/>
      <c r="C10" s="14" t="s">
        <v>81</v>
      </c>
      <c r="D10" s="1"/>
      <c r="E10" s="14" t="s">
        <v>76</v>
      </c>
      <c r="F10" s="1"/>
      <c r="G10" s="16" t="s">
        <v>82</v>
      </c>
      <c r="H10" s="1"/>
      <c r="I10" s="16" t="s">
        <v>84</v>
      </c>
    </row>
    <row r="11" spans="1:9" ht="15">
      <c r="A11" s="8"/>
      <c r="B11" s="1"/>
      <c r="C11" s="8"/>
      <c r="D11" s="1"/>
      <c r="E11" s="8"/>
      <c r="F11" s="1"/>
      <c r="G11" s="8"/>
      <c r="H11" s="1"/>
      <c r="I11" s="8"/>
    </row>
    <row r="12" spans="1:9" ht="15">
      <c r="A12" s="8" t="s">
        <v>19</v>
      </c>
      <c r="B12" s="1"/>
      <c r="C12" s="8"/>
      <c r="D12" s="1"/>
      <c r="E12" s="8"/>
      <c r="F12" s="1"/>
      <c r="G12" s="8"/>
      <c r="H12" s="1"/>
      <c r="I12" s="8"/>
    </row>
    <row r="13" spans="1:9" ht="15">
      <c r="A13" s="8"/>
      <c r="B13" s="1"/>
      <c r="C13" s="8"/>
      <c r="D13" s="1"/>
      <c r="E13" s="8"/>
      <c r="F13" s="1"/>
      <c r="G13" s="8"/>
      <c r="H13" s="1"/>
      <c r="I13" s="8"/>
    </row>
    <row r="14" spans="1:9" ht="15">
      <c r="A14" s="8" t="s">
        <v>20</v>
      </c>
      <c r="B14" s="1"/>
      <c r="C14" s="8"/>
      <c r="D14" s="1"/>
      <c r="E14" s="8"/>
      <c r="F14" s="1"/>
      <c r="G14" s="8"/>
      <c r="H14" s="1"/>
      <c r="I14" s="8"/>
    </row>
    <row r="15" spans="1:9" ht="15">
      <c r="A15" s="8" t="s">
        <v>21</v>
      </c>
      <c r="B15" s="1"/>
      <c r="C15" s="8"/>
      <c r="D15" s="1"/>
      <c r="E15" s="8"/>
      <c r="F15" s="1"/>
      <c r="G15" s="8"/>
      <c r="H15" s="1"/>
      <c r="I15" s="8"/>
    </row>
    <row r="16" spans="1:9" ht="15">
      <c r="A16" s="8" t="s">
        <v>22</v>
      </c>
      <c r="B16" s="1"/>
      <c r="C16" s="9">
        <v>138111</v>
      </c>
      <c r="D16" s="1"/>
      <c r="E16" s="9">
        <v>634230</v>
      </c>
      <c r="F16" s="1"/>
      <c r="G16" s="9">
        <f>46594517/1000</f>
        <v>46594.517</v>
      </c>
      <c r="H16" s="1"/>
      <c r="I16" s="9">
        <f>242501173/1000</f>
        <v>242501.173</v>
      </c>
    </row>
    <row r="17" spans="1:9" ht="15">
      <c r="A17" s="8" t="s">
        <v>23</v>
      </c>
      <c r="B17" s="1"/>
      <c r="C17" s="8">
        <v>131060</v>
      </c>
      <c r="D17" s="1"/>
      <c r="E17" s="8">
        <f>224914+327132</f>
        <v>552046</v>
      </c>
      <c r="F17" s="1"/>
      <c r="G17" s="8">
        <f>41364070/1000</f>
        <v>41364.07</v>
      </c>
      <c r="H17" s="1"/>
      <c r="I17" s="8">
        <f>(154576538+18064627+53094497)/1000</f>
        <v>225735.662</v>
      </c>
    </row>
    <row r="18" spans="1:9" ht="15">
      <c r="A18" s="8"/>
      <c r="B18" s="1"/>
      <c r="C18" s="13" t="s">
        <v>13</v>
      </c>
      <c r="D18" s="1"/>
      <c r="E18" s="13" t="s">
        <v>13</v>
      </c>
      <c r="F18" s="1"/>
      <c r="G18" s="13" t="s">
        <v>13</v>
      </c>
      <c r="H18" s="1"/>
      <c r="I18" s="13" t="s">
        <v>13</v>
      </c>
    </row>
    <row r="19" spans="1:9" ht="15">
      <c r="A19" s="8" t="s">
        <v>24</v>
      </c>
      <c r="B19" s="1"/>
      <c r="C19" s="9">
        <f>+C16-C17</f>
        <v>7051</v>
      </c>
      <c r="D19" s="1"/>
      <c r="E19" s="9">
        <f>+E16-E17</f>
        <v>82184</v>
      </c>
      <c r="F19" s="1"/>
      <c r="G19" s="9">
        <f>+G16-G17</f>
        <v>5230.447</v>
      </c>
      <c r="H19" s="1"/>
      <c r="I19" s="9">
        <f>+I16-I17</f>
        <v>16765.511</v>
      </c>
    </row>
    <row r="20" spans="1:9" ht="15">
      <c r="A20" s="8"/>
      <c r="B20" s="1"/>
      <c r="C20" s="13" t="s">
        <v>25</v>
      </c>
      <c r="D20" s="1"/>
      <c r="E20" s="13" t="s">
        <v>25</v>
      </c>
      <c r="F20" s="1"/>
      <c r="G20" s="13" t="s">
        <v>25</v>
      </c>
      <c r="H20" s="1"/>
      <c r="I20" s="13" t="s">
        <v>25</v>
      </c>
    </row>
    <row r="21" spans="1:9" ht="15">
      <c r="A21" s="8" t="s">
        <v>26</v>
      </c>
      <c r="B21" s="1"/>
      <c r="C21" s="9">
        <v>147614</v>
      </c>
      <c r="D21" s="1"/>
      <c r="E21" s="9">
        <v>1067144</v>
      </c>
      <c r="F21" s="1"/>
      <c r="G21" s="9">
        <f>94923191/1000</f>
        <v>94923.191</v>
      </c>
      <c r="H21" s="1"/>
      <c r="I21" s="9">
        <f>211945019/1000</f>
        <v>211945.019</v>
      </c>
    </row>
    <row r="22" spans="1:9" ht="15">
      <c r="A22" s="8"/>
      <c r="B22" s="1"/>
      <c r="C22" s="13" t="s">
        <v>25</v>
      </c>
      <c r="D22" s="1"/>
      <c r="E22" s="13" t="s">
        <v>25</v>
      </c>
      <c r="F22" s="1"/>
      <c r="G22" s="13" t="s">
        <v>25</v>
      </c>
      <c r="H22" s="1"/>
      <c r="I22" s="13" t="s">
        <v>25</v>
      </c>
    </row>
    <row r="23" spans="1:9" ht="15">
      <c r="A23" s="8" t="s">
        <v>27</v>
      </c>
      <c r="B23" s="1"/>
      <c r="C23" s="21">
        <f>+C19/C21</f>
        <v>0.04776647201484954</v>
      </c>
      <c r="D23" s="1"/>
      <c r="E23" s="21">
        <f>+E19/E21</f>
        <v>0.07701303666609192</v>
      </c>
      <c r="F23" s="1"/>
      <c r="G23" s="11">
        <f>+G19/G21</f>
        <v>0.055101887588250166</v>
      </c>
      <c r="H23" s="1"/>
      <c r="I23" s="11">
        <f>+I19/I21</f>
        <v>0.07910311400146657</v>
      </c>
    </row>
    <row r="24" spans="1:9" ht="15">
      <c r="A24" s="17" t="s">
        <v>61</v>
      </c>
      <c r="B24" s="1"/>
      <c r="C24" s="11"/>
      <c r="D24" s="1"/>
      <c r="E24" s="11"/>
      <c r="F24" s="1"/>
      <c r="G24" s="11">
        <v>0.0471</v>
      </c>
      <c r="H24" s="1"/>
      <c r="I24" s="11"/>
    </row>
    <row r="25" spans="1:9" ht="15">
      <c r="A25" s="8"/>
      <c r="B25" s="1"/>
      <c r="C25" s="13" t="s">
        <v>25</v>
      </c>
      <c r="D25" s="1"/>
      <c r="E25" s="13" t="s">
        <v>25</v>
      </c>
      <c r="F25" s="1"/>
      <c r="G25" s="13" t="s">
        <v>25</v>
      </c>
      <c r="H25" s="1"/>
      <c r="I25" s="13" t="s">
        <v>25</v>
      </c>
    </row>
    <row r="26" spans="1:9" ht="15">
      <c r="A26" s="8" t="s">
        <v>28</v>
      </c>
      <c r="B26" s="1"/>
      <c r="C26" s="8"/>
      <c r="D26" s="1"/>
      <c r="E26" s="8"/>
      <c r="F26" s="1"/>
      <c r="G26" s="8"/>
      <c r="H26" s="1"/>
      <c r="I26" s="8"/>
    </row>
    <row r="27" spans="1:9" ht="15">
      <c r="A27" s="8" t="s">
        <v>29</v>
      </c>
      <c r="B27" s="1"/>
      <c r="C27" s="8"/>
      <c r="D27" s="1"/>
      <c r="E27" s="8"/>
      <c r="F27" s="1"/>
      <c r="G27" s="8"/>
      <c r="H27" s="1"/>
      <c r="I27" s="8"/>
    </row>
    <row r="28" spans="1:9" ht="15">
      <c r="A28" s="8" t="s">
        <v>22</v>
      </c>
      <c r="B28" s="1"/>
      <c r="C28" s="9">
        <v>142606</v>
      </c>
      <c r="D28" s="1"/>
      <c r="E28" s="9">
        <v>692020</v>
      </c>
      <c r="F28" s="1"/>
      <c r="G28" s="9">
        <f>54873801/1000</f>
        <v>54873.801</v>
      </c>
      <c r="H28" s="1"/>
      <c r="I28" s="9">
        <f>250077058/1000</f>
        <v>250077.058</v>
      </c>
    </row>
    <row r="29" spans="1:9" ht="15">
      <c r="A29" s="8" t="s">
        <v>23</v>
      </c>
      <c r="B29" s="1"/>
      <c r="C29" s="8">
        <v>135529</v>
      </c>
      <c r="D29" s="1"/>
      <c r="E29" s="8">
        <f>227314+397919</f>
        <v>625233</v>
      </c>
      <c r="F29" s="1"/>
      <c r="G29" s="8">
        <f>49005459/1000</f>
        <v>49005.459</v>
      </c>
      <c r="H29" s="1"/>
      <c r="I29" s="8">
        <f>(159906486+18064627+53649393)/1000</f>
        <v>231620.506</v>
      </c>
    </row>
    <row r="30" spans="1:9" ht="15">
      <c r="A30" s="8"/>
      <c r="B30" s="1"/>
      <c r="C30" s="13" t="s">
        <v>13</v>
      </c>
      <c r="D30" s="1"/>
      <c r="E30" s="13" t="s">
        <v>13</v>
      </c>
      <c r="F30" s="1"/>
      <c r="G30" s="13" t="s">
        <v>13</v>
      </c>
      <c r="H30" s="1"/>
      <c r="I30" s="13" t="s">
        <v>13</v>
      </c>
    </row>
    <row r="31" spans="1:9" ht="15">
      <c r="A31" s="8" t="s">
        <v>24</v>
      </c>
      <c r="B31" s="1"/>
      <c r="C31" s="9">
        <f>+C28-C29</f>
        <v>7077</v>
      </c>
      <c r="D31" s="1"/>
      <c r="E31" s="9">
        <f>+E28-E29</f>
        <v>66787</v>
      </c>
      <c r="F31" s="1"/>
      <c r="G31" s="9">
        <f>+G28-G29</f>
        <v>5868.341999999997</v>
      </c>
      <c r="H31" s="1"/>
      <c r="I31" s="9">
        <f>+I28-I29</f>
        <v>18456.551999999996</v>
      </c>
    </row>
    <row r="32" spans="1:9" ht="15">
      <c r="A32" s="8"/>
      <c r="B32" s="1"/>
      <c r="C32" s="13" t="s">
        <v>25</v>
      </c>
      <c r="D32" s="1"/>
      <c r="E32" s="13" t="s">
        <v>25</v>
      </c>
      <c r="F32" s="1"/>
      <c r="G32" s="13" t="s">
        <v>25</v>
      </c>
      <c r="H32" s="1"/>
      <c r="I32" s="13" t="s">
        <v>25</v>
      </c>
    </row>
    <row r="33" spans="1:9" ht="15">
      <c r="A33" s="8" t="s">
        <v>26</v>
      </c>
      <c r="B33" s="1"/>
      <c r="C33" s="9">
        <v>131627</v>
      </c>
      <c r="D33" s="1"/>
      <c r="E33" s="9">
        <v>1067215</v>
      </c>
      <c r="F33" s="1"/>
      <c r="G33" s="9">
        <f>101204603/1000</f>
        <v>101204.603</v>
      </c>
      <c r="H33" s="1"/>
      <c r="I33" s="9">
        <f>211945019/1000</f>
        <v>211945.019</v>
      </c>
    </row>
    <row r="34" spans="1:9" ht="15">
      <c r="A34" s="8"/>
      <c r="B34" s="1"/>
      <c r="C34" s="13" t="s">
        <v>25</v>
      </c>
      <c r="D34" s="1"/>
      <c r="E34" s="13" t="s">
        <v>25</v>
      </c>
      <c r="F34" s="1"/>
      <c r="G34" s="13" t="s">
        <v>25</v>
      </c>
      <c r="H34" s="1"/>
      <c r="I34" s="13" t="s">
        <v>25</v>
      </c>
    </row>
    <row r="35" spans="1:9" ht="15">
      <c r="A35" s="8" t="s">
        <v>30</v>
      </c>
      <c r="B35" s="1"/>
      <c r="C35" s="21">
        <f>+C31/C33</f>
        <v>0.0537655648157293</v>
      </c>
      <c r="D35" s="1"/>
      <c r="E35" s="21">
        <f>+E31/E33</f>
        <v>0.0625806421386506</v>
      </c>
      <c r="F35" s="1"/>
      <c r="G35" s="11">
        <f>+G31/G33</f>
        <v>0.05798493177232262</v>
      </c>
      <c r="H35" s="1"/>
      <c r="I35" s="11">
        <f>+I31/I33</f>
        <v>0.08708179171693578</v>
      </c>
    </row>
    <row r="36" spans="1:9" ht="15">
      <c r="A36" s="17" t="s">
        <v>61</v>
      </c>
      <c r="B36" s="1"/>
      <c r="C36" s="11"/>
      <c r="D36" s="1"/>
      <c r="E36" s="11"/>
      <c r="F36" s="1"/>
      <c r="G36" s="11">
        <v>0.0533</v>
      </c>
      <c r="H36" s="1"/>
      <c r="I36" s="11"/>
    </row>
    <row r="37" spans="1:9" ht="15">
      <c r="A37" s="8"/>
      <c r="B37" s="1"/>
      <c r="C37" s="13" t="s">
        <v>25</v>
      </c>
      <c r="D37" s="1"/>
      <c r="E37" s="13" t="s">
        <v>25</v>
      </c>
      <c r="F37" s="1"/>
      <c r="G37" s="13" t="s">
        <v>25</v>
      </c>
      <c r="H37" s="1"/>
      <c r="I37" s="13" t="s">
        <v>25</v>
      </c>
    </row>
    <row r="38" spans="1:9" ht="15">
      <c r="A38" s="8"/>
      <c r="B38" s="1"/>
      <c r="C38" s="9"/>
      <c r="D38" s="1"/>
      <c r="E38" s="9"/>
      <c r="F38" s="1"/>
      <c r="G38" s="9"/>
      <c r="H38" s="1"/>
      <c r="I38" s="9"/>
    </row>
    <row r="39" spans="1:9" ht="15.75">
      <c r="A39" s="10"/>
      <c r="B39" s="2"/>
      <c r="C39" s="10"/>
      <c r="D39" s="2"/>
      <c r="E39" s="10"/>
      <c r="F39" s="2"/>
      <c r="G39" s="10"/>
      <c r="H39" s="2"/>
      <c r="I39" s="10"/>
    </row>
    <row r="40" spans="1:9" ht="15">
      <c r="A40" s="8" t="s">
        <v>32</v>
      </c>
      <c r="B40" s="1"/>
      <c r="C40" s="24">
        <v>0.0903</v>
      </c>
      <c r="D40" s="1"/>
      <c r="E40" s="11">
        <v>0.0876</v>
      </c>
      <c r="F40" s="1"/>
      <c r="G40" s="8"/>
      <c r="H40" s="1"/>
      <c r="I40" s="8"/>
    </row>
    <row r="41" spans="1:9" ht="15">
      <c r="A41" s="8" t="s">
        <v>33</v>
      </c>
      <c r="B41" s="1"/>
      <c r="C41" s="25" t="s">
        <v>52</v>
      </c>
      <c r="D41" s="1"/>
      <c r="E41" s="12" t="s">
        <v>77</v>
      </c>
      <c r="F41" s="1"/>
      <c r="G41" s="8"/>
      <c r="H41" s="1"/>
      <c r="I41" s="8"/>
    </row>
    <row r="42" spans="1:9" ht="15.75">
      <c r="A42" s="15" t="s">
        <v>86</v>
      </c>
      <c r="B42" s="1"/>
      <c r="C42" s="9"/>
      <c r="D42" s="1"/>
      <c r="E42" s="9"/>
      <c r="F42" s="1"/>
      <c r="G42" s="9"/>
      <c r="H42" s="1"/>
      <c r="I42" s="9"/>
    </row>
    <row r="43" spans="1:9" ht="15">
      <c r="A43" s="1"/>
      <c r="B43" s="1"/>
      <c r="C43" s="8"/>
      <c r="D43" s="1"/>
      <c r="E43" s="8"/>
      <c r="F43" s="1"/>
      <c r="G43" s="8"/>
      <c r="H43" s="1"/>
      <c r="I43" s="8"/>
    </row>
    <row r="44" spans="1:9" ht="15">
      <c r="A44" s="1"/>
      <c r="B44" s="1"/>
      <c r="C44" s="13"/>
      <c r="D44" s="1"/>
      <c r="E44" s="13"/>
      <c r="F44" s="1"/>
      <c r="G44" s="13"/>
      <c r="H44" s="1"/>
      <c r="I44" s="13"/>
    </row>
    <row r="45" spans="1:9" ht="15">
      <c r="A45" s="1"/>
      <c r="B45" s="1"/>
      <c r="C45" s="9"/>
      <c r="D45" s="1"/>
      <c r="E45" s="9"/>
      <c r="F45" s="1"/>
      <c r="G45" s="9"/>
      <c r="H45" s="1"/>
      <c r="I45" s="9"/>
    </row>
    <row r="46" spans="1:9" ht="15">
      <c r="A46" s="1"/>
      <c r="B46" s="1"/>
      <c r="C46" s="13"/>
      <c r="D46" s="1"/>
      <c r="E46" s="13"/>
      <c r="F46" s="1"/>
      <c r="G46" s="13"/>
      <c r="H46" s="1"/>
      <c r="I46" s="13"/>
    </row>
    <row r="47" spans="1:9" ht="15">
      <c r="A47" s="1"/>
      <c r="B47" s="1"/>
      <c r="C47" s="9"/>
      <c r="D47" s="1"/>
      <c r="E47" s="9"/>
      <c r="F47" s="1"/>
      <c r="G47" s="9"/>
      <c r="H47" s="1"/>
      <c r="I47" s="9"/>
    </row>
    <row r="48" spans="1:9" ht="15">
      <c r="A48" s="1"/>
      <c r="B48" s="1"/>
      <c r="C48" s="13"/>
      <c r="D48" s="1"/>
      <c r="E48" s="13"/>
      <c r="F48" s="1"/>
      <c r="G48" s="13"/>
      <c r="H48" s="1"/>
      <c r="I48" s="13"/>
    </row>
    <row r="49" spans="1:9" ht="15">
      <c r="A49" s="1"/>
      <c r="B49" s="1"/>
      <c r="C49" s="21"/>
      <c r="D49" s="1"/>
      <c r="E49" s="11"/>
      <c r="F49" s="1"/>
      <c r="G49" s="11"/>
      <c r="H49" s="1"/>
      <c r="I49" s="11"/>
    </row>
    <row r="50" spans="1:9" ht="15">
      <c r="A50" s="18"/>
      <c r="B50" s="1"/>
      <c r="C50" s="13"/>
      <c r="D50" s="1"/>
      <c r="E50" s="13"/>
      <c r="F50" s="1"/>
      <c r="G50" s="11"/>
      <c r="H50" s="1"/>
      <c r="I50" s="13"/>
    </row>
    <row r="51" spans="1:9" ht="15.75">
      <c r="A51" s="1"/>
      <c r="B51" s="1"/>
      <c r="D51" s="1"/>
      <c r="E51" s="8"/>
      <c r="F51" s="1"/>
      <c r="G51" s="8"/>
      <c r="H51" s="1"/>
      <c r="I51" s="8"/>
    </row>
    <row r="52" spans="6:9" ht="15.75">
      <c r="F52" s="1"/>
      <c r="G52" s="11"/>
      <c r="H52" s="1"/>
      <c r="I52" s="11"/>
    </row>
    <row r="53" spans="6:9" ht="15.75">
      <c r="F53" s="1"/>
      <c r="G53" s="12"/>
      <c r="H53" s="1"/>
      <c r="I53" s="12"/>
    </row>
  </sheetData>
  <printOptions/>
  <pageMargins left="0.5" right="0.5" top="0.5" bottom="0.5" header="0.5" footer="0.5"/>
  <pageSetup horizontalDpi="600" verticalDpi="600" orientation="portrait" scale="8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defaultGridColor="0" zoomScale="75" zoomScaleNormal="75" colorId="22" workbookViewId="0" topLeftCell="A7">
      <selection activeCell="F46" sqref="F46"/>
    </sheetView>
  </sheetViews>
  <sheetFormatPr defaultColWidth="9.77734375" defaultRowHeight="15"/>
  <cols>
    <col min="1" max="1" width="28.77734375" style="0" customWidth="1"/>
    <col min="2" max="2" width="1.77734375" style="0" customWidth="1"/>
    <col min="3" max="3" width="15.21484375" style="15" customWidth="1"/>
    <col min="4" max="4" width="2.77734375" style="0" customWidth="1"/>
    <col min="5" max="5" width="14.88671875" style="15" customWidth="1"/>
    <col min="6" max="6" width="2.77734375" style="0" customWidth="1"/>
    <col min="7" max="7" width="16.21484375" style="15" customWidth="1"/>
    <col min="8" max="8" width="2.77734375" style="0" customWidth="1"/>
    <col min="9" max="9" width="14.99609375" style="15" customWidth="1"/>
  </cols>
  <sheetData>
    <row r="1" spans="1:9" ht="15.75">
      <c r="A1" s="1"/>
      <c r="B1" s="1"/>
      <c r="C1" s="8" t="s">
        <v>0</v>
      </c>
      <c r="D1" s="1"/>
      <c r="E1" s="8"/>
      <c r="F1" s="1"/>
      <c r="G1" s="8"/>
      <c r="H1" s="1"/>
      <c r="I1" s="10"/>
    </row>
    <row r="2" spans="1:9" ht="15">
      <c r="A2" s="8"/>
      <c r="B2" s="8" t="s">
        <v>1</v>
      </c>
      <c r="C2" s="8"/>
      <c r="D2" s="8"/>
      <c r="E2" s="8"/>
      <c r="F2" s="8"/>
      <c r="G2" s="8"/>
      <c r="H2" s="1"/>
      <c r="I2" s="8"/>
    </row>
    <row r="3" spans="1:9" ht="15">
      <c r="A3" s="8"/>
      <c r="B3" s="8"/>
      <c r="C3" s="8"/>
      <c r="D3" s="14" t="s">
        <v>2</v>
      </c>
      <c r="E3" s="8"/>
      <c r="F3" s="8"/>
      <c r="G3" s="8"/>
      <c r="H3" s="1"/>
      <c r="I3" s="8"/>
    </row>
    <row r="4" spans="1:9" ht="15.75">
      <c r="A4" s="8"/>
      <c r="B4" s="8"/>
      <c r="C4" s="8"/>
      <c r="D4" s="10"/>
      <c r="E4" s="8"/>
      <c r="F4" s="8"/>
      <c r="G4" s="8"/>
      <c r="H4" s="1"/>
      <c r="I4" s="8"/>
    </row>
    <row r="5" spans="1:9" ht="15">
      <c r="A5" s="8"/>
      <c r="B5" s="8"/>
      <c r="C5" s="14" t="s">
        <v>38</v>
      </c>
      <c r="D5" s="8"/>
      <c r="E5" s="14" t="s">
        <v>71</v>
      </c>
      <c r="F5" s="8"/>
      <c r="G5" s="14" t="s">
        <v>5</v>
      </c>
      <c r="H5" s="1"/>
      <c r="I5" s="14" t="s">
        <v>6</v>
      </c>
    </row>
    <row r="6" spans="1:9" ht="15">
      <c r="A6" s="8"/>
      <c r="B6" s="8"/>
      <c r="C6" s="14" t="s">
        <v>39</v>
      </c>
      <c r="D6" s="8"/>
      <c r="E6" s="14" t="s">
        <v>8</v>
      </c>
      <c r="F6" s="8"/>
      <c r="G6" s="14" t="s">
        <v>9</v>
      </c>
      <c r="H6" s="1"/>
      <c r="I6" s="14" t="s">
        <v>9</v>
      </c>
    </row>
    <row r="7" spans="1:9" ht="15.75">
      <c r="A7" s="8"/>
      <c r="B7" s="8"/>
      <c r="C7" s="10"/>
      <c r="D7" s="10"/>
      <c r="E7" s="10"/>
      <c r="F7" s="8"/>
      <c r="G7" s="16" t="s">
        <v>51</v>
      </c>
      <c r="H7" s="1"/>
      <c r="I7" s="10"/>
    </row>
    <row r="8" spans="1:9" ht="15.75">
      <c r="A8" s="8"/>
      <c r="B8" s="8"/>
      <c r="C8" s="17" t="s">
        <v>74</v>
      </c>
      <c r="D8" s="10"/>
      <c r="E8" s="17" t="s">
        <v>74</v>
      </c>
      <c r="F8" s="8"/>
      <c r="G8" s="17" t="s">
        <v>74</v>
      </c>
      <c r="H8" s="1"/>
      <c r="I8" s="17" t="s">
        <v>75</v>
      </c>
    </row>
    <row r="9" spans="1:9" ht="15">
      <c r="A9" s="8"/>
      <c r="B9" s="8"/>
      <c r="C9" s="13" t="s">
        <v>13</v>
      </c>
      <c r="D9" s="8"/>
      <c r="E9" s="13" t="s">
        <v>13</v>
      </c>
      <c r="F9" s="8"/>
      <c r="G9" s="13" t="s">
        <v>13</v>
      </c>
      <c r="H9" s="1"/>
      <c r="I9" s="13" t="s">
        <v>13</v>
      </c>
    </row>
    <row r="10" spans="1:9" ht="15">
      <c r="A10" s="8" t="s">
        <v>14</v>
      </c>
      <c r="B10" s="8"/>
      <c r="C10" s="14" t="s">
        <v>79</v>
      </c>
      <c r="D10" s="8"/>
      <c r="E10" s="14" t="s">
        <v>78</v>
      </c>
      <c r="F10" s="8"/>
      <c r="G10" s="16" t="s">
        <v>83</v>
      </c>
      <c r="H10" s="1"/>
      <c r="I10" s="16" t="s">
        <v>85</v>
      </c>
    </row>
    <row r="11" spans="1:9" ht="15">
      <c r="A11" s="8"/>
      <c r="B11" s="8"/>
      <c r="C11" s="8"/>
      <c r="D11" s="8"/>
      <c r="E11" s="8"/>
      <c r="F11" s="8"/>
      <c r="G11" s="8"/>
      <c r="H11" s="1"/>
      <c r="I11" s="8"/>
    </row>
    <row r="12" spans="1:9" ht="15">
      <c r="A12" s="8" t="s">
        <v>19</v>
      </c>
      <c r="B12" s="8"/>
      <c r="C12" s="8"/>
      <c r="D12" s="8"/>
      <c r="E12" s="8"/>
      <c r="F12" s="8"/>
      <c r="G12" s="8"/>
      <c r="H12" s="1"/>
      <c r="I12" s="8"/>
    </row>
    <row r="13" spans="1:9" ht="15">
      <c r="A13" s="8"/>
      <c r="B13" s="8"/>
      <c r="C13" s="8"/>
      <c r="D13" s="8"/>
      <c r="E13" s="8"/>
      <c r="F13" s="8"/>
      <c r="G13" s="8"/>
      <c r="H13" s="1"/>
      <c r="I13" s="8"/>
    </row>
    <row r="14" spans="1:9" ht="15">
      <c r="A14" s="8" t="s">
        <v>20</v>
      </c>
      <c r="B14" s="8"/>
      <c r="C14" s="8"/>
      <c r="D14" s="8"/>
      <c r="E14" s="8"/>
      <c r="F14" s="8"/>
      <c r="G14" s="8"/>
      <c r="H14" s="1"/>
      <c r="I14" s="8"/>
    </row>
    <row r="15" spans="1:9" ht="15">
      <c r="A15" s="8" t="s">
        <v>21</v>
      </c>
      <c r="B15" s="8"/>
      <c r="C15" s="8"/>
      <c r="D15" s="8"/>
      <c r="E15" s="8"/>
      <c r="F15" s="8"/>
      <c r="G15" s="8"/>
      <c r="H15" s="1"/>
      <c r="I15" s="8"/>
    </row>
    <row r="16" spans="1:9" ht="15">
      <c r="A16" s="8" t="s">
        <v>22</v>
      </c>
      <c r="B16" s="8"/>
      <c r="C16" s="9">
        <v>151751</v>
      </c>
      <c r="D16" s="8"/>
      <c r="E16" s="9">
        <v>769306</v>
      </c>
      <c r="F16" s="8"/>
      <c r="G16" s="9">
        <f>58781665/1000</f>
        <v>58781.665</v>
      </c>
      <c r="H16" s="1"/>
      <c r="I16" s="9">
        <f>251813309/1000</f>
        <v>251813.309</v>
      </c>
    </row>
    <row r="17" spans="1:9" ht="15">
      <c r="A17" s="8" t="s">
        <v>23</v>
      </c>
      <c r="B17" s="8"/>
      <c r="C17" s="8">
        <v>144880</v>
      </c>
      <c r="D17" s="8"/>
      <c r="E17" s="8">
        <f>244055+451302</f>
        <v>695357</v>
      </c>
      <c r="F17" s="8"/>
      <c r="G17" s="8">
        <f>52659106/1000</f>
        <v>52659.106</v>
      </c>
      <c r="H17" s="1"/>
      <c r="I17" s="8">
        <f>(161378880+19373727+51886345)/1000</f>
        <v>232638.952</v>
      </c>
    </row>
    <row r="18" spans="1:9" ht="15">
      <c r="A18" s="8"/>
      <c r="B18" s="8"/>
      <c r="C18" s="13" t="s">
        <v>13</v>
      </c>
      <c r="D18" s="8"/>
      <c r="E18" s="13" t="s">
        <v>13</v>
      </c>
      <c r="F18" s="8"/>
      <c r="G18" s="13" t="s">
        <v>13</v>
      </c>
      <c r="H18" s="1"/>
      <c r="I18" s="13" t="s">
        <v>13</v>
      </c>
    </row>
    <row r="19" spans="1:9" ht="15">
      <c r="A19" s="8" t="s">
        <v>24</v>
      </c>
      <c r="B19" s="8"/>
      <c r="C19" s="9">
        <f>+C16-C17</f>
        <v>6871</v>
      </c>
      <c r="D19" s="8"/>
      <c r="E19" s="9">
        <f>+E16-E17</f>
        <v>73949</v>
      </c>
      <c r="F19" s="8"/>
      <c r="G19" s="9">
        <f>+G16-G17</f>
        <v>6122.559000000001</v>
      </c>
      <c r="H19" s="1"/>
      <c r="I19" s="9">
        <f>+I16-I17</f>
        <v>19174.357000000018</v>
      </c>
    </row>
    <row r="20" spans="1:9" ht="15">
      <c r="A20" s="8"/>
      <c r="B20" s="8"/>
      <c r="C20" s="13" t="s">
        <v>25</v>
      </c>
      <c r="D20" s="8"/>
      <c r="E20" s="13" t="s">
        <v>25</v>
      </c>
      <c r="F20" s="8"/>
      <c r="G20" s="13" t="s">
        <v>25</v>
      </c>
      <c r="H20" s="1"/>
      <c r="I20" s="13" t="s">
        <v>25</v>
      </c>
    </row>
    <row r="21" spans="1:9" ht="15">
      <c r="A21" s="8" t="s">
        <v>26</v>
      </c>
      <c r="B21" s="8"/>
      <c r="C21" s="9">
        <v>151703</v>
      </c>
      <c r="D21" s="8"/>
      <c r="E21" s="9">
        <v>1070195</v>
      </c>
      <c r="F21" s="8"/>
      <c r="G21" s="9">
        <f>101458671/1000</f>
        <v>101458.671</v>
      </c>
      <c r="H21" s="1"/>
      <c r="I21" s="9">
        <f>210840204/1000</f>
        <v>210840.204</v>
      </c>
    </row>
    <row r="22" spans="1:9" ht="15">
      <c r="A22" s="8"/>
      <c r="B22" s="8"/>
      <c r="C22" s="13" t="s">
        <v>25</v>
      </c>
      <c r="D22" s="8"/>
      <c r="E22" s="13" t="s">
        <v>25</v>
      </c>
      <c r="F22" s="8"/>
      <c r="G22" s="13" t="s">
        <v>25</v>
      </c>
      <c r="H22" s="1"/>
      <c r="I22" s="13" t="s">
        <v>25</v>
      </c>
    </row>
    <row r="23" spans="1:9" ht="15">
      <c r="A23" s="8" t="s">
        <v>27</v>
      </c>
      <c r="B23" s="8"/>
      <c r="C23" s="21">
        <f>+C19/C21</f>
        <v>0.04529244642492238</v>
      </c>
      <c r="D23" s="8"/>
      <c r="E23" s="21">
        <f>+E19/E21</f>
        <v>0.06909862221370872</v>
      </c>
      <c r="F23" s="8"/>
      <c r="G23" s="11">
        <v>0.0547</v>
      </c>
      <c r="H23" s="1"/>
      <c r="I23" s="11">
        <f>+I19/I21</f>
        <v>0.09094260314792722</v>
      </c>
    </row>
    <row r="24" spans="1:9" ht="15">
      <c r="A24" s="17" t="s">
        <v>61</v>
      </c>
      <c r="B24" s="8"/>
      <c r="C24" s="11"/>
      <c r="D24" s="8"/>
      <c r="E24" s="11"/>
      <c r="F24" s="8"/>
      <c r="G24" s="11"/>
      <c r="H24" s="1"/>
      <c r="I24" s="11"/>
    </row>
    <row r="25" spans="1:9" ht="15">
      <c r="A25" s="8"/>
      <c r="B25" s="8"/>
      <c r="C25" s="13" t="s">
        <v>25</v>
      </c>
      <c r="D25" s="8"/>
      <c r="E25" s="13" t="s">
        <v>25</v>
      </c>
      <c r="F25" s="8"/>
      <c r="G25" s="13" t="s">
        <v>25</v>
      </c>
      <c r="H25" s="1"/>
      <c r="I25" s="13" t="s">
        <v>25</v>
      </c>
    </row>
    <row r="26" spans="1:9" ht="15">
      <c r="A26" s="8" t="s">
        <v>28</v>
      </c>
      <c r="B26" s="8"/>
      <c r="C26" s="8"/>
      <c r="D26" s="8"/>
      <c r="E26" s="8"/>
      <c r="F26" s="8"/>
      <c r="G26" s="8"/>
      <c r="H26" s="1"/>
      <c r="I26" s="8"/>
    </row>
    <row r="27" spans="1:9" ht="15">
      <c r="A27" s="8" t="s">
        <v>29</v>
      </c>
      <c r="B27" s="8"/>
      <c r="C27" s="8"/>
      <c r="D27" s="8"/>
      <c r="E27" s="8"/>
      <c r="F27" s="8"/>
      <c r="G27" s="8"/>
      <c r="H27" s="1"/>
      <c r="I27" s="8"/>
    </row>
    <row r="28" spans="1:9" ht="15">
      <c r="A28" s="8" t="s">
        <v>22</v>
      </c>
      <c r="B28" s="8"/>
      <c r="C28" s="9">
        <v>164275</v>
      </c>
      <c r="D28" s="8"/>
      <c r="E28" s="9">
        <v>814556</v>
      </c>
      <c r="F28" s="8"/>
      <c r="G28" s="9">
        <f>72973878/1000</f>
        <v>72973.878</v>
      </c>
      <c r="H28" s="1"/>
      <c r="I28" s="9">
        <f>252868586/1000</f>
        <v>252868.586</v>
      </c>
    </row>
    <row r="29" spans="1:9" ht="15">
      <c r="A29" s="8" t="s">
        <v>23</v>
      </c>
      <c r="B29" s="8"/>
      <c r="C29" s="8">
        <v>153115</v>
      </c>
      <c r="D29" s="8"/>
      <c r="E29" s="8">
        <f>506862+245545</f>
        <v>752407</v>
      </c>
      <c r="F29" s="8"/>
      <c r="G29" s="8">
        <f>64236034/1000</f>
        <v>64236.034</v>
      </c>
      <c r="H29" s="1"/>
      <c r="I29" s="8">
        <f>(162164555+19373727+51582127)/1000</f>
        <v>233120.409</v>
      </c>
    </row>
    <row r="30" spans="1:9" ht="15">
      <c r="A30" s="8"/>
      <c r="B30" s="8"/>
      <c r="C30" s="13" t="s">
        <v>13</v>
      </c>
      <c r="D30" s="8"/>
      <c r="E30" s="13" t="s">
        <v>13</v>
      </c>
      <c r="F30" s="8"/>
      <c r="G30" s="13" t="s">
        <v>13</v>
      </c>
      <c r="H30" s="1"/>
      <c r="I30" s="13" t="s">
        <v>13</v>
      </c>
    </row>
    <row r="31" spans="1:9" ht="15">
      <c r="A31" s="8" t="s">
        <v>24</v>
      </c>
      <c r="B31" s="8"/>
      <c r="C31" s="9">
        <f>+C28-C29</f>
        <v>11160</v>
      </c>
      <c r="D31" s="8"/>
      <c r="E31" s="9">
        <f>+E28-E29</f>
        <v>62149</v>
      </c>
      <c r="F31" s="8"/>
      <c r="G31" s="9">
        <f>+G28-G29</f>
        <v>8737.843999999997</v>
      </c>
      <c r="H31" s="1"/>
      <c r="I31" s="9">
        <f>+I28-I29</f>
        <v>19748.176999999996</v>
      </c>
    </row>
    <row r="32" spans="1:9" ht="15">
      <c r="A32" s="8"/>
      <c r="B32" s="8"/>
      <c r="C32" s="13" t="s">
        <v>25</v>
      </c>
      <c r="D32" s="8"/>
      <c r="E32" s="13" t="s">
        <v>25</v>
      </c>
      <c r="F32" s="8"/>
      <c r="G32" s="13" t="s">
        <v>25</v>
      </c>
      <c r="H32" s="1"/>
      <c r="I32" s="13" t="s">
        <v>25</v>
      </c>
    </row>
    <row r="33" spans="1:9" ht="15">
      <c r="A33" s="8" t="s">
        <v>26</v>
      </c>
      <c r="B33" s="8"/>
      <c r="C33" s="9">
        <v>130718</v>
      </c>
      <c r="D33" s="8"/>
      <c r="E33" s="9">
        <v>1070393</v>
      </c>
      <c r="F33" s="8"/>
      <c r="G33" s="9">
        <f>107644947/1000</f>
        <v>107644.947</v>
      </c>
      <c r="H33" s="1"/>
      <c r="I33" s="9">
        <f>210840204/1000</f>
        <v>210840.204</v>
      </c>
    </row>
    <row r="34" spans="1:9" ht="15">
      <c r="A34" s="8"/>
      <c r="B34" s="8"/>
      <c r="C34" s="13" t="s">
        <v>25</v>
      </c>
      <c r="D34" s="8"/>
      <c r="E34" s="13" t="s">
        <v>25</v>
      </c>
      <c r="F34" s="8"/>
      <c r="G34" s="13" t="s">
        <v>25</v>
      </c>
      <c r="H34" s="1"/>
      <c r="I34" s="13" t="s">
        <v>25</v>
      </c>
    </row>
    <row r="35" spans="1:9" ht="15">
      <c r="A35" s="8" t="s">
        <v>30</v>
      </c>
      <c r="B35" s="8"/>
      <c r="C35" s="21">
        <f>+C31/C33</f>
        <v>0.08537462323474962</v>
      </c>
      <c r="D35" s="8"/>
      <c r="E35" s="21">
        <f>+E31/E33</f>
        <v>0.0580618520487335</v>
      </c>
      <c r="F35" s="8"/>
      <c r="G35" s="11">
        <f>+G31/G33</f>
        <v>0.08117282086636168</v>
      </c>
      <c r="H35" s="1"/>
      <c r="I35" s="11">
        <f>+I31/I33</f>
        <v>0.09366419034578431</v>
      </c>
    </row>
    <row r="36" spans="1:9" ht="15">
      <c r="A36" s="17" t="s">
        <v>61</v>
      </c>
      <c r="B36" s="8"/>
      <c r="C36" s="11"/>
      <c r="D36" s="8"/>
      <c r="E36" s="11"/>
      <c r="F36" s="8"/>
      <c r="G36" s="11">
        <v>0.0954</v>
      </c>
      <c r="H36" s="1"/>
      <c r="I36" s="11"/>
    </row>
    <row r="37" spans="1:9" ht="15">
      <c r="A37" s="8"/>
      <c r="B37" s="8"/>
      <c r="C37" s="13" t="s">
        <v>25</v>
      </c>
      <c r="D37" s="8"/>
      <c r="E37" s="13" t="s">
        <v>25</v>
      </c>
      <c r="F37" s="8"/>
      <c r="G37" s="13" t="s">
        <v>25</v>
      </c>
      <c r="H37" s="1"/>
      <c r="I37" s="13" t="s">
        <v>25</v>
      </c>
    </row>
    <row r="38" spans="1:9" ht="15">
      <c r="A38" s="8"/>
      <c r="B38" s="8"/>
      <c r="C38" s="9"/>
      <c r="D38" s="8"/>
      <c r="E38" s="9"/>
      <c r="F38" s="8"/>
      <c r="G38" s="9"/>
      <c r="H38" s="1"/>
      <c r="I38" s="9"/>
    </row>
    <row r="39" spans="1:9" ht="15.75">
      <c r="A39" s="10"/>
      <c r="B39" s="10"/>
      <c r="C39" s="10"/>
      <c r="D39" s="10"/>
      <c r="E39" s="10"/>
      <c r="F39" s="10"/>
      <c r="G39" s="10"/>
      <c r="H39" s="2"/>
      <c r="I39" s="10"/>
    </row>
    <row r="40" spans="1:9" ht="15">
      <c r="A40" s="8" t="s">
        <v>32</v>
      </c>
      <c r="B40" s="8"/>
      <c r="C40" s="24">
        <v>0.0868</v>
      </c>
      <c r="D40" s="8"/>
      <c r="E40" s="11">
        <v>0.0876</v>
      </c>
      <c r="F40" s="8"/>
      <c r="G40" s="11"/>
      <c r="H40" s="1"/>
      <c r="I40" s="11"/>
    </row>
    <row r="41" spans="1:9" ht="15">
      <c r="A41" s="8" t="s">
        <v>33</v>
      </c>
      <c r="B41" s="8"/>
      <c r="C41" s="25" t="s">
        <v>80</v>
      </c>
      <c r="D41" s="8"/>
      <c r="E41" s="12" t="s">
        <v>77</v>
      </c>
      <c r="F41" s="8"/>
      <c r="G41" s="12"/>
      <c r="H41" s="1"/>
      <c r="I41" s="12"/>
    </row>
    <row r="42" spans="1:6" ht="15.75">
      <c r="A42" s="15" t="s">
        <v>86</v>
      </c>
      <c r="B42" s="15"/>
      <c r="D42" s="15"/>
      <c r="F42" s="15"/>
    </row>
    <row r="43" spans="1:9" ht="15">
      <c r="A43" s="1"/>
      <c r="B43" s="1"/>
      <c r="C43" s="8"/>
      <c r="D43" s="1"/>
      <c r="E43" s="8"/>
      <c r="F43" s="1"/>
      <c r="G43" s="8"/>
      <c r="H43" s="1"/>
      <c r="I43" s="8"/>
    </row>
    <row r="44" spans="1:9" ht="15">
      <c r="A44" s="1"/>
      <c r="B44" s="1"/>
      <c r="C44" s="13"/>
      <c r="D44" s="1"/>
      <c r="E44" s="13"/>
      <c r="F44" s="1"/>
      <c r="G44" s="13"/>
      <c r="H44" s="1"/>
      <c r="I44" s="13"/>
    </row>
    <row r="45" spans="1:9" ht="15">
      <c r="A45" s="1"/>
      <c r="B45" s="1"/>
      <c r="C45" s="9"/>
      <c r="D45" s="1"/>
      <c r="E45" s="9"/>
      <c r="F45" s="1"/>
      <c r="G45" s="9"/>
      <c r="H45" s="1"/>
      <c r="I45" s="9"/>
    </row>
    <row r="46" spans="1:9" ht="15">
      <c r="A46" s="1"/>
      <c r="B46" s="1"/>
      <c r="C46" s="13"/>
      <c r="D46" s="1"/>
      <c r="E46" s="13"/>
      <c r="F46" s="1"/>
      <c r="G46" s="13"/>
      <c r="H46" s="1"/>
      <c r="I46" s="13"/>
    </row>
    <row r="47" spans="1:9" ht="15">
      <c r="A47" s="1"/>
      <c r="B47" s="1"/>
      <c r="C47" s="9"/>
      <c r="D47" s="1"/>
      <c r="E47" s="9"/>
      <c r="F47" s="1"/>
      <c r="G47" s="9"/>
      <c r="H47" s="1"/>
      <c r="I47" s="9"/>
    </row>
    <row r="48" spans="1:9" ht="15">
      <c r="A48" s="1"/>
      <c r="B48" s="1"/>
      <c r="C48" s="13"/>
      <c r="D48" s="1"/>
      <c r="E48" s="13"/>
      <c r="F48" s="1"/>
      <c r="G48" s="13"/>
      <c r="H48" s="1"/>
      <c r="I48" s="13"/>
    </row>
    <row r="49" spans="1:9" ht="15">
      <c r="A49" s="1"/>
      <c r="B49" s="1"/>
      <c r="C49" s="21"/>
      <c r="D49" s="1"/>
      <c r="E49" s="11"/>
      <c r="F49" s="1"/>
      <c r="G49" s="11"/>
      <c r="H49" s="1"/>
      <c r="I49" s="11"/>
    </row>
    <row r="50" spans="1:9" ht="15">
      <c r="A50" s="18"/>
      <c r="B50" s="1"/>
      <c r="C50" s="13"/>
      <c r="D50" s="1"/>
      <c r="E50" s="13"/>
      <c r="F50" s="1"/>
      <c r="G50" s="11"/>
      <c r="H50" s="1"/>
      <c r="I50" s="13"/>
    </row>
    <row r="51" spans="1:9" ht="15.75">
      <c r="A51" s="1"/>
      <c r="B51" s="1"/>
      <c r="D51" s="1"/>
      <c r="E51" s="8"/>
      <c r="F51" s="1"/>
      <c r="G51" s="8"/>
      <c r="H51" s="1"/>
      <c r="I51" s="8"/>
    </row>
  </sheetData>
  <printOptions/>
  <pageMargins left="0.5" right="0.5" top="0.5" bottom="0.5" header="0.5" footer="0.5"/>
  <pageSetup horizontalDpi="600" verticalDpi="600" orientation="portrait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JRussell</cp:lastModifiedBy>
  <cp:lastPrinted>2006-07-18T18:09:27Z</cp:lastPrinted>
  <dcterms:created xsi:type="dcterms:W3CDTF">2001-05-10T23:34:15Z</dcterms:created>
  <dcterms:modified xsi:type="dcterms:W3CDTF">2006-07-18T18:09:31Z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2006-07-25T00:00:00Z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