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30" tabRatio="781" firstSheet="10" activeTab="17"/>
  </bookViews>
  <sheets>
    <sheet name="JUNE1995" sheetId="1" r:id="rId1"/>
    <sheet name="DECEMBER1995" sheetId="2" r:id="rId2"/>
    <sheet name="JUNE1996" sheetId="3" r:id="rId3"/>
    <sheet name="DECEMBER1996" sheetId="4" r:id="rId4"/>
    <sheet name="JUNE1997" sheetId="5" r:id="rId5"/>
    <sheet name="DECEMBER 1997" sheetId="6" r:id="rId6"/>
    <sheet name="JUNE1998" sheetId="7" r:id="rId7"/>
    <sheet name="DECEMBER1998" sheetId="8" r:id="rId8"/>
    <sheet name="JUNE1999" sheetId="9" r:id="rId9"/>
    <sheet name="DECEMBER1999" sheetId="10" r:id="rId10"/>
    <sheet name="JUNE 2000" sheetId="11" r:id="rId11"/>
    <sheet name="DECEMBER 2000" sheetId="12" r:id="rId12"/>
    <sheet name="2001" sheetId="13" r:id="rId13"/>
    <sheet name="2002" sheetId="14" r:id="rId14"/>
    <sheet name="2003" sheetId="15" r:id="rId15"/>
    <sheet name="2004" sheetId="16" r:id="rId16"/>
    <sheet name="2005" sheetId="17" r:id="rId17"/>
    <sheet name="Rates of Return" sheetId="18" r:id="rId18"/>
  </sheets>
  <externalReferences>
    <externalReference r:id="rId21"/>
  </externalReferences>
  <definedNames>
    <definedName name="B">'JUNE1995'!$A$1:$H$57</definedName>
    <definedName name="_xlnm.Print_Area" localSheetId="10">'JUNE 2000'!$A$1:$G$38</definedName>
    <definedName name="_xlnm.Print_Area" localSheetId="8">'JUNE1999'!$A$1:$G$38</definedName>
  </definedNames>
  <calcPr fullCalcOnLoad="1"/>
</workbook>
</file>

<file path=xl/sharedStrings.xml><?xml version="1.0" encoding="utf-8"?>
<sst xmlns="http://schemas.openxmlformats.org/spreadsheetml/2006/main" count="1125" uniqueCount="128">
  <si>
    <t xml:space="preserve">      WASHINGTON ELECTRIC UTILITIES</t>
  </si>
  <si>
    <t xml:space="preserve">     RESTATED AND NORMALIZED RESULTS OF OPERATIONS</t>
  </si>
  <si>
    <t xml:space="preserve">               FOR THE TWELVE MONTHS ENDED JUNE 30, 1995</t>
  </si>
  <si>
    <t xml:space="preserve"> (000)</t>
  </si>
  <si>
    <t>PUGET SOUND</t>
  </si>
  <si>
    <t>PACIFIC</t>
  </si>
  <si>
    <t>WA WATER</t>
  </si>
  <si>
    <t>POWER &amp; LIGHT</t>
  </si>
  <si>
    <t>POWER-ELECTRIC</t>
  </si>
  <si>
    <t>-</t>
  </si>
  <si>
    <t>Docket Number</t>
  </si>
  <si>
    <t>UE-951255</t>
  </si>
  <si>
    <t>UE-951268</t>
  </si>
  <si>
    <t>UE-951256</t>
  </si>
  <si>
    <t>WASHINGTON RESULTS OF OPERATIONS</t>
  </si>
  <si>
    <t>PER BOOKS:</t>
  </si>
  <si>
    <t>----------</t>
  </si>
  <si>
    <t xml:space="preserve">     Operating Revenues</t>
  </si>
  <si>
    <t xml:space="preserve">     Operating Expenses</t>
  </si>
  <si>
    <t xml:space="preserve">     Net Operating Income</t>
  </si>
  <si>
    <t>=</t>
  </si>
  <si>
    <t xml:space="preserve">     Rate Base</t>
  </si>
  <si>
    <t xml:space="preserve">     Rate of Return-Per Books</t>
  </si>
  <si>
    <t>RESTATED &amp; NORMALIZED:</t>
  </si>
  <si>
    <t>----------------------</t>
  </si>
  <si>
    <t xml:space="preserve">     Rate of Return-Normalized</t>
  </si>
  <si>
    <t>Authorized Rate of Return</t>
  </si>
  <si>
    <t>Per Docket Number</t>
  </si>
  <si>
    <t>UE-921262</t>
  </si>
  <si>
    <t>U-86-02</t>
  </si>
  <si>
    <t>UE-900093</t>
  </si>
  <si>
    <t xml:space="preserve">           WASHINGTON ELECTRIC UTILITIES</t>
  </si>
  <si>
    <t xml:space="preserve">           RESTATED AND NORMALIZED RESULTS OF OPERATIONS</t>
  </si>
  <si>
    <t xml:space="preserve">                FOR THE TWELVE MONTHS ENDED DECEMBER 31, 1995</t>
  </si>
  <si>
    <t xml:space="preserve">     (000)</t>
  </si>
  <si>
    <t/>
  </si>
  <si>
    <t xml:space="preserve"> WA WATER</t>
  </si>
  <si>
    <t>POWER - ELECTRIC</t>
  </si>
  <si>
    <t>UE-960574</t>
  </si>
  <si>
    <t>UE-960595</t>
  </si>
  <si>
    <t xml:space="preserve">                FOR THE TWELVE MONTHS ENDED JUNE 30, 1996</t>
  </si>
  <si>
    <t>UE-961373</t>
  </si>
  <si>
    <t>UE-961389</t>
  </si>
  <si>
    <t>UE-961438</t>
  </si>
  <si>
    <t xml:space="preserve">            FOR THE TWELVE MONTHS ENDED DECEMBER 31, 1996</t>
  </si>
  <si>
    <t>UE-970722</t>
  </si>
  <si>
    <t>UE-970732</t>
  </si>
  <si>
    <t>UE-970904</t>
  </si>
  <si>
    <t xml:space="preserve">              FOR THE TWELVE MONTHS ENDED JUNE 30, 1997</t>
  </si>
  <si>
    <t>UE-971593</t>
  </si>
  <si>
    <t>UE-971590</t>
  </si>
  <si>
    <t>UE-980101</t>
  </si>
  <si>
    <t xml:space="preserve">              FOR THE TWELVE MONTHS ENDED DEC, 31, 1997</t>
  </si>
  <si>
    <t>UE-980629</t>
  </si>
  <si>
    <t>UE-980714</t>
  </si>
  <si>
    <t xml:space="preserve">              FOR THE TWELVE MONTHS ENDED June 30, 1998</t>
  </si>
  <si>
    <t>Puget Sound</t>
  </si>
  <si>
    <t xml:space="preserve">Pacific </t>
  </si>
  <si>
    <t>Avista</t>
  </si>
  <si>
    <t>Energy</t>
  </si>
  <si>
    <t>Power &amp; Light</t>
  </si>
  <si>
    <t>Corp. Electric</t>
  </si>
  <si>
    <t>UE-981293</t>
  </si>
  <si>
    <t>UE-981379</t>
  </si>
  <si>
    <t xml:space="preserve">              FOR THE TWELVE MONTHS ENDED December 31, 1998</t>
  </si>
  <si>
    <t>UE-990640</t>
  </si>
  <si>
    <t>UE-990639</t>
  </si>
  <si>
    <t>UE-990730</t>
  </si>
  <si>
    <t xml:space="preserve">              FOR THE TWELVE MONTHS ENDED June 30, 1999</t>
  </si>
  <si>
    <t>UE-991665</t>
  </si>
  <si>
    <t>UE-992045</t>
  </si>
  <si>
    <t>UE-991686</t>
  </si>
  <si>
    <t xml:space="preserve">              FOR THE TWELVE MONTHS ENDED December 31, 1999</t>
  </si>
  <si>
    <t>UE-000634</t>
  </si>
  <si>
    <t>Waived</t>
  </si>
  <si>
    <t>UE-001024</t>
  </si>
  <si>
    <t>UE-991606</t>
  </si>
  <si>
    <t xml:space="preserve">                              FOR THE TWELVE MONTHS ENDED </t>
  </si>
  <si>
    <t>UE-001684</t>
  </si>
  <si>
    <t>UE-001669</t>
  </si>
  <si>
    <t>UE-010644</t>
  </si>
  <si>
    <t>UE-010690</t>
  </si>
  <si>
    <t>UE-021455</t>
  </si>
  <si>
    <t>UE-021531</t>
  </si>
  <si>
    <t>UE-030598</t>
  </si>
  <si>
    <t>UE-020987</t>
  </si>
  <si>
    <t>Type 1 adj. Only</t>
  </si>
  <si>
    <t>Per Company</t>
  </si>
  <si>
    <t>Per Staff</t>
  </si>
  <si>
    <t>UE-030605</t>
  </si>
  <si>
    <t>(000s)</t>
  </si>
  <si>
    <t>Washington Electric Utilities</t>
  </si>
  <si>
    <t>Restated and Normalized Results of Operations</t>
  </si>
  <si>
    <t xml:space="preserve">for the Twelve Months Ended </t>
  </si>
  <si>
    <t>UE-041178</t>
  </si>
  <si>
    <t>UE-011570</t>
  </si>
  <si>
    <t>UE-050662</t>
  </si>
  <si>
    <t>UE-050635</t>
  </si>
  <si>
    <t>UE-040786</t>
  </si>
  <si>
    <t>UE-031312</t>
  </si>
  <si>
    <t>UE-041363</t>
  </si>
  <si>
    <t>UE-051170</t>
  </si>
  <si>
    <t>UE-050482</t>
  </si>
  <si>
    <t>Service Date</t>
  </si>
  <si>
    <t>Dec. 21, 2005</t>
  </si>
  <si>
    <t>UE-011595</t>
  </si>
  <si>
    <t>Sept. 29, 2000</t>
  </si>
  <si>
    <t>Not Specified</t>
  </si>
  <si>
    <t>UE-991832</t>
  </si>
  <si>
    <t>Aug. 9, 2000</t>
  </si>
  <si>
    <t>UE-032065</t>
  </si>
  <si>
    <t>Oct. 27, 2004</t>
  </si>
  <si>
    <t>Sept. 19, 1986</t>
  </si>
  <si>
    <t>UE-020154</t>
  </si>
  <si>
    <t>UE-021025</t>
  </si>
  <si>
    <t>UE-011365</t>
  </si>
  <si>
    <t>=============</t>
  </si>
  <si>
    <t>============</t>
  </si>
  <si>
    <t>Sept. 21, 1993</t>
  </si>
  <si>
    <t>UE-040641</t>
  </si>
  <si>
    <t>Feb. 18, 2005</t>
  </si>
  <si>
    <t>UE-061033</t>
  </si>
  <si>
    <t>UE-060889</t>
  </si>
  <si>
    <t>PSE</t>
  </si>
  <si>
    <t>AVISTA</t>
  </si>
  <si>
    <t>*PacifiCorp return for 12 months ended March, PSE &amp; Avista for 12 months ended December</t>
  </si>
  <si>
    <t>PACIFICORP*</t>
  </si>
  <si>
    <t>Warmer (-Cold)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</si>
</sst>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mmmm\ d\,\ yyyy"/>
    <numFmt numFmtId="172" formatCode="[$-409]dddd\,\ mmmm\ dd\,\ yyyy"/>
    <numFmt numFmtId="173" formatCode="m/d/yyyy;@"/>
    <numFmt numFmtId="174" formatCode="[$-409]mmmm\ d\,\ yyyy;@"/>
    <numFmt numFmtId="175" formatCode="0_);\(0\)"/>
  </numFmts>
  <fonts count="14">
    <font>
      <sz val="12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8"/>
      <name val="Arial"/>
      <family val="0"/>
    </font>
    <font>
      <b/>
      <sz val="16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5" fontId="6" fillId="0" borderId="0" xfId="17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fill"/>
      <protection/>
    </xf>
    <xf numFmtId="10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7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 applyProtection="1">
      <alignment horizontal="fill"/>
      <protection/>
    </xf>
    <xf numFmtId="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9" fontId="3" fillId="0" borderId="0" xfId="15" applyNumberFormat="1" applyFont="1" applyAlignment="1" applyProtection="1">
      <alignment/>
      <protection/>
    </xf>
    <xf numFmtId="165" fontId="3" fillId="0" borderId="0" xfId="17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0" fontId="3" fillId="0" borderId="0" xfId="21" applyNumberFormat="1" applyFont="1" applyAlignment="1" applyProtection="1">
      <alignment/>
      <protection/>
    </xf>
    <xf numFmtId="169" fontId="3" fillId="0" borderId="0" xfId="15" applyNumberFormat="1" applyFont="1" applyAlignment="1" applyProtection="1">
      <alignment horizontal="fill"/>
      <protection/>
    </xf>
    <xf numFmtId="10" fontId="3" fillId="0" borderId="0" xfId="0" applyNumberFormat="1" applyFont="1" applyAlignment="1" applyProtection="1">
      <alignment horizontal="fill"/>
      <protection/>
    </xf>
    <xf numFmtId="169" fontId="3" fillId="0" borderId="0" xfId="15" applyNumberFormat="1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center"/>
    </xf>
    <xf numFmtId="10" fontId="6" fillId="0" borderId="0" xfId="0" applyNumberFormat="1" applyFont="1" applyAlignment="1" applyProtection="1">
      <alignment horizontal="center"/>
      <protection/>
    </xf>
    <xf numFmtId="174" fontId="0" fillId="0" borderId="0" xfId="0" applyNumberFormat="1" applyAlignment="1">
      <alignment horizontal="center"/>
    </xf>
    <xf numFmtId="174" fontId="3" fillId="0" borderId="0" xfId="0" applyNumberFormat="1" applyFont="1" applyAlignment="1">
      <alignment horizontal="center"/>
    </xf>
    <xf numFmtId="10" fontId="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7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0" fontId="3" fillId="0" borderId="0" xfId="21" applyNumberFormat="1" applyFont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165" fontId="3" fillId="0" borderId="2" xfId="17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 quotePrefix="1">
      <alignment horizontal="fill"/>
      <protection/>
    </xf>
    <xf numFmtId="165" fontId="3" fillId="0" borderId="0" xfId="17" applyNumberFormat="1" applyFont="1" applyAlignment="1" applyProtection="1" quotePrefix="1">
      <alignment horizontal="fill"/>
      <protection/>
    </xf>
    <xf numFmtId="37" fontId="9" fillId="0" borderId="1" xfId="0" applyNumberFormat="1" applyFont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0" fontId="6" fillId="0" borderId="2" xfId="0" applyNumberFormat="1" applyFont="1" applyBorder="1" applyAlignment="1">
      <alignment/>
    </xf>
    <xf numFmtId="10" fontId="6" fillId="0" borderId="0" xfId="21" applyNumberFormat="1" applyFont="1" applyAlignment="1" applyProtection="1">
      <alignment/>
      <protection/>
    </xf>
    <xf numFmtId="10" fontId="6" fillId="0" borderId="0" xfId="21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 quotePrefix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Electric Actual Rates of Return - Washington</a:t>
            </a:r>
          </a:p>
        </c:rich>
      </c:tx>
      <c:layout>
        <c:manualLayout>
          <c:xMode val="factor"/>
          <c:yMode val="factor"/>
          <c:x val="-0.036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175"/>
          <c:w val="0.798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'Rates of Return'!$B$1</c:f>
              <c:strCache>
                <c:ptCount val="1"/>
                <c:pt idx="0">
                  <c:v>PSE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'Rates of Return'!$A$2:$A$7</c:f>
              <c:numCache/>
            </c:numRef>
          </c:cat>
          <c:val>
            <c:numRef>
              <c:f>'Rates of Return'!$B$2:$B$7</c:f>
              <c:numCache/>
            </c:numRef>
          </c:val>
          <c:smooth val="0"/>
        </c:ser>
        <c:ser>
          <c:idx val="1"/>
          <c:order val="1"/>
          <c:tx>
            <c:strRef>
              <c:f>'Rates of Return'!$C$1</c:f>
              <c:strCache>
                <c:ptCount val="1"/>
                <c:pt idx="0">
                  <c:v>PACIFICORP*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'Rates of Return'!$A$2:$A$7</c:f>
              <c:numCache/>
            </c:numRef>
          </c:cat>
          <c:val>
            <c:numRef>
              <c:f>'Rates of Return'!$C$2:$C$7</c:f>
              <c:numCache/>
            </c:numRef>
          </c:val>
          <c:smooth val="0"/>
        </c:ser>
        <c:ser>
          <c:idx val="2"/>
          <c:order val="2"/>
          <c:tx>
            <c:strRef>
              <c:f>'Rates of Return'!$D$1</c:f>
              <c:strCache>
                <c:ptCount val="1"/>
                <c:pt idx="0">
                  <c:v>AVISTA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'Rates of Return'!$A$2:$A$7</c:f>
              <c:numCache/>
            </c:numRef>
          </c:cat>
          <c:val>
            <c:numRef>
              <c:f>'Rates of Return'!$D$2:$D$7</c:f>
              <c:numCache/>
            </c:numRef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0.02175</cdr:y>
    </cdr:from>
    <cdr:to>
      <cdr:x>0.98225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76200"/>
          <a:ext cx="1914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Docket No. UE-060266 &amp; UG-060267
Exhibit ___(JMR-5)
Page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38100</xdr:rowOff>
    </xdr:from>
    <xdr:to>
      <xdr:col>8</xdr:col>
      <xdr:colOff>647700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80975" y="1571625"/>
        <a:ext cx="6743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martin\LOCALS~1\Temp\notesEA312D\02-05%20Actual%20Return%20on%20Equ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1">
        <row r="7">
          <cell r="J7">
            <v>-0.05545132374400667</v>
          </cell>
        </row>
        <row r="22">
          <cell r="J22">
            <v>0.031686470710860955</v>
          </cell>
        </row>
        <row r="37">
          <cell r="J37">
            <v>0.07838232228476132</v>
          </cell>
        </row>
        <row r="52">
          <cell r="J52">
            <v>0.06420679591411299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7"/>
  <sheetViews>
    <sheetView defaultGridColor="0" zoomScale="75" zoomScaleNormal="75" colorId="22" workbookViewId="0" topLeftCell="A31">
      <selection activeCell="C46" sqref="C46"/>
    </sheetView>
  </sheetViews>
  <sheetFormatPr defaultColWidth="9.77734375" defaultRowHeight="15"/>
  <cols>
    <col min="1" max="1" width="30.77734375" style="0" customWidth="1"/>
    <col min="3" max="3" width="13.21484375" style="0" customWidth="1"/>
    <col min="5" max="5" width="12.3359375" style="0" customWidth="1"/>
    <col min="7" max="7" width="12.4453125" style="0" customWidth="1"/>
  </cols>
  <sheetData>
    <row r="1" spans="1:7" ht="15.75">
      <c r="A1" s="19"/>
      <c r="B1" s="19"/>
      <c r="C1" s="19" t="s">
        <v>0</v>
      </c>
      <c r="D1" s="19"/>
      <c r="E1" s="19"/>
      <c r="F1" s="19"/>
      <c r="G1" s="19"/>
    </row>
    <row r="2" spans="1:7" ht="15.75">
      <c r="A2" s="19"/>
      <c r="B2" s="19" t="s">
        <v>1</v>
      </c>
      <c r="C2" s="19"/>
      <c r="D2" s="19"/>
      <c r="E2" s="19"/>
      <c r="F2" s="19"/>
      <c r="G2" s="19"/>
    </row>
    <row r="3" spans="1:7" ht="15.75">
      <c r="A3" s="19"/>
      <c r="B3" s="19" t="s">
        <v>2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19"/>
      <c r="D6" s="19"/>
      <c r="E6" s="19"/>
      <c r="F6" s="19"/>
      <c r="G6" s="19"/>
    </row>
    <row r="7" spans="1:7" ht="15.75">
      <c r="A7" s="19"/>
      <c r="B7" s="19"/>
      <c r="C7" s="5"/>
      <c r="D7" s="19"/>
      <c r="E7" s="5"/>
      <c r="F7" s="19"/>
      <c r="G7" s="5"/>
    </row>
    <row r="8" spans="1:7" ht="15.75">
      <c r="A8" s="19"/>
      <c r="B8" s="19"/>
      <c r="C8" s="5"/>
      <c r="D8" s="19"/>
      <c r="E8" s="5"/>
      <c r="F8" s="19"/>
      <c r="G8" s="5"/>
    </row>
    <row r="9" spans="1:7" ht="15.75">
      <c r="A9" s="19"/>
      <c r="B9" s="19"/>
      <c r="C9" s="27" t="s">
        <v>4</v>
      </c>
      <c r="D9" s="19"/>
      <c r="E9" s="27" t="s">
        <v>5</v>
      </c>
      <c r="F9" s="19"/>
      <c r="G9" s="27" t="s">
        <v>6</v>
      </c>
    </row>
    <row r="10" spans="1:7" ht="15.75">
      <c r="A10" s="19"/>
      <c r="B10" s="19"/>
      <c r="C10" s="5" t="s">
        <v>7</v>
      </c>
      <c r="D10" s="19"/>
      <c r="E10" s="5" t="s">
        <v>7</v>
      </c>
      <c r="F10" s="19"/>
      <c r="G10" s="5" t="s">
        <v>8</v>
      </c>
    </row>
    <row r="11" spans="1:7" ht="15.75">
      <c r="A11" s="19"/>
      <c r="B11" s="19"/>
      <c r="C11" s="27" t="s">
        <v>9</v>
      </c>
      <c r="D11" s="19"/>
      <c r="E11" s="19" t="s">
        <v>9</v>
      </c>
      <c r="F11" s="19"/>
      <c r="G11" s="27" t="s">
        <v>9</v>
      </c>
    </row>
    <row r="12" spans="1:7" ht="15.75">
      <c r="A12" s="19" t="s">
        <v>10</v>
      </c>
      <c r="B12" s="19"/>
      <c r="C12" s="5" t="s">
        <v>11</v>
      </c>
      <c r="D12" s="19"/>
      <c r="E12" s="5" t="s">
        <v>12</v>
      </c>
      <c r="F12" s="19"/>
      <c r="G12" s="5" t="s">
        <v>13</v>
      </c>
    </row>
    <row r="13" spans="1:7" ht="15.75">
      <c r="A13" s="19"/>
      <c r="B13" s="19"/>
      <c r="C13" s="19"/>
      <c r="D13" s="19"/>
      <c r="E13" s="19"/>
      <c r="F13" s="19"/>
      <c r="G13" s="19"/>
    </row>
    <row r="14" spans="1:7" ht="15.75">
      <c r="A14" s="19"/>
      <c r="B14" s="19"/>
      <c r="C14" s="19"/>
      <c r="D14" s="19"/>
      <c r="E14" s="19"/>
      <c r="F14" s="19"/>
      <c r="G14" s="19"/>
    </row>
    <row r="15" spans="1:7" ht="15.75">
      <c r="A15" s="19" t="s">
        <v>14</v>
      </c>
      <c r="B15" s="19"/>
      <c r="C15" s="19"/>
      <c r="D15" s="19"/>
      <c r="E15" s="19"/>
      <c r="F15" s="19"/>
      <c r="G15" s="19"/>
    </row>
    <row r="16" spans="1:7" ht="15.75">
      <c r="A16" s="19"/>
      <c r="B16" s="19"/>
      <c r="C16" s="28"/>
      <c r="D16" s="19"/>
      <c r="E16" s="28"/>
      <c r="F16" s="19"/>
      <c r="G16" s="28"/>
    </row>
    <row r="17" spans="1:7" ht="15.75">
      <c r="A17" s="19" t="s">
        <v>15</v>
      </c>
      <c r="B17" s="19"/>
      <c r="C17" s="29"/>
      <c r="D17" s="19"/>
      <c r="E17" s="29"/>
      <c r="F17" s="19"/>
      <c r="G17" s="29"/>
    </row>
    <row r="18" spans="1:7" ht="15.75">
      <c r="A18" s="19" t="s">
        <v>16</v>
      </c>
      <c r="B18" s="19"/>
      <c r="C18" s="19"/>
      <c r="D18" s="19"/>
      <c r="E18" s="19"/>
      <c r="F18" s="19"/>
      <c r="G18" s="19"/>
    </row>
    <row r="19" spans="1:7" ht="15.75">
      <c r="A19" s="19"/>
      <c r="B19" s="19"/>
      <c r="C19" s="28"/>
      <c r="D19" s="19"/>
      <c r="E19" s="28"/>
      <c r="F19" s="19"/>
      <c r="G19" s="28"/>
    </row>
    <row r="20" spans="1:7" ht="15.75">
      <c r="A20" s="19" t="s">
        <v>17</v>
      </c>
      <c r="B20" s="19"/>
      <c r="C20" s="32">
        <v>1201161</v>
      </c>
      <c r="D20" s="32"/>
      <c r="E20" s="32">
        <v>219457</v>
      </c>
      <c r="F20" s="32"/>
      <c r="G20" s="32">
        <v>313483</v>
      </c>
    </row>
    <row r="21" spans="1:7" ht="15.75">
      <c r="A21" s="19" t="s">
        <v>18</v>
      </c>
      <c r="B21" s="19"/>
      <c r="C21" s="28">
        <v>993836</v>
      </c>
      <c r="D21" s="19"/>
      <c r="E21" s="28">
        <v>166814</v>
      </c>
      <c r="F21" s="19"/>
      <c r="G21" s="28">
        <v>246847</v>
      </c>
    </row>
    <row r="22" spans="1:7" ht="15.75">
      <c r="A22" s="19"/>
      <c r="B22" s="19"/>
      <c r="C22" s="27" t="s">
        <v>9</v>
      </c>
      <c r="D22" s="19"/>
      <c r="E22" s="27" t="s">
        <v>9</v>
      </c>
      <c r="F22" s="19"/>
      <c r="G22" s="27" t="s">
        <v>9</v>
      </c>
    </row>
    <row r="23" spans="1:7" ht="15.75">
      <c r="A23" s="19" t="s">
        <v>19</v>
      </c>
      <c r="B23" s="19"/>
      <c r="C23" s="52">
        <f>C20-C21</f>
        <v>207325</v>
      </c>
      <c r="D23" s="34"/>
      <c r="E23" s="33">
        <f>E20-E21</f>
        <v>52643</v>
      </c>
      <c r="F23" s="19"/>
      <c r="G23" s="33">
        <f>G20-G21</f>
        <v>66636</v>
      </c>
    </row>
    <row r="24" spans="1:7" ht="15.75">
      <c r="A24" s="19"/>
      <c r="B24" s="19"/>
      <c r="C24" s="53" t="s">
        <v>116</v>
      </c>
      <c r="D24" s="34"/>
      <c r="E24" s="54" t="s">
        <v>117</v>
      </c>
      <c r="F24" s="19"/>
      <c r="G24" s="27" t="s">
        <v>20</v>
      </c>
    </row>
    <row r="25" spans="1:7" ht="15.75">
      <c r="A25" s="19" t="s">
        <v>21</v>
      </c>
      <c r="B25" s="19"/>
      <c r="C25" s="33">
        <v>2318803</v>
      </c>
      <c r="D25" s="34"/>
      <c r="E25" s="33">
        <v>546388</v>
      </c>
      <c r="F25" s="19"/>
      <c r="G25" s="33">
        <v>720200</v>
      </c>
    </row>
    <row r="26" spans="1:7" ht="15.75">
      <c r="A26" s="19"/>
      <c r="B26" s="19"/>
      <c r="C26" s="27" t="s">
        <v>20</v>
      </c>
      <c r="D26" s="34"/>
      <c r="E26" s="27" t="s">
        <v>20</v>
      </c>
      <c r="F26" s="19"/>
      <c r="G26" s="27" t="s">
        <v>20</v>
      </c>
    </row>
    <row r="27" spans="1:7" ht="15.75">
      <c r="A27" s="19" t="s">
        <v>22</v>
      </c>
      <c r="B27" s="19"/>
      <c r="C27" s="35">
        <f>C23/C25</f>
        <v>0.08941035525656987</v>
      </c>
      <c r="D27" s="19"/>
      <c r="E27" s="35">
        <f>E23/E25</f>
        <v>0.09634728434738683</v>
      </c>
      <c r="F27" s="19"/>
      <c r="G27" s="35">
        <f>G23/G25</f>
        <v>0.09252429880588725</v>
      </c>
    </row>
    <row r="28" spans="1:7" ht="15.75">
      <c r="A28" s="19"/>
      <c r="B28" s="19"/>
      <c r="C28" s="29" t="s">
        <v>20</v>
      </c>
      <c r="D28" s="19"/>
      <c r="E28" s="29" t="s">
        <v>20</v>
      </c>
      <c r="F28" s="19"/>
      <c r="G28" s="29" t="s">
        <v>20</v>
      </c>
    </row>
    <row r="29" spans="1:7" ht="15.75">
      <c r="A29" s="19" t="s">
        <v>23</v>
      </c>
      <c r="B29" s="19"/>
      <c r="C29" s="19"/>
      <c r="D29" s="19"/>
      <c r="E29" s="19"/>
      <c r="F29" s="19"/>
      <c r="G29" s="19"/>
    </row>
    <row r="30" spans="1:7" ht="15.75">
      <c r="A30" s="19" t="s">
        <v>24</v>
      </c>
      <c r="B30" s="19"/>
      <c r="C30" s="28"/>
      <c r="D30" s="19"/>
      <c r="E30" s="28"/>
      <c r="F30" s="19"/>
      <c r="G30" s="28"/>
    </row>
    <row r="31" spans="1:7" ht="15.75">
      <c r="A31" s="19"/>
      <c r="B31" s="19"/>
      <c r="C31" s="19"/>
      <c r="D31" s="19"/>
      <c r="E31" s="19"/>
      <c r="F31" s="19"/>
      <c r="G31" s="19"/>
    </row>
    <row r="32" spans="1:7" ht="15.75">
      <c r="A32" s="19"/>
      <c r="B32" s="19"/>
      <c r="C32" s="28"/>
      <c r="D32" s="19"/>
      <c r="E32" s="28"/>
      <c r="F32" s="19"/>
      <c r="G32" s="28"/>
    </row>
    <row r="33" spans="1:7" ht="15.75">
      <c r="A33" s="19" t="s">
        <v>17</v>
      </c>
      <c r="B33" s="19"/>
      <c r="C33" s="33">
        <v>1181086</v>
      </c>
      <c r="D33" s="32"/>
      <c r="E33" s="33">
        <v>218746</v>
      </c>
      <c r="F33" s="33"/>
      <c r="G33" s="33">
        <v>303377</v>
      </c>
    </row>
    <row r="34" spans="1:7" ht="15.75">
      <c r="A34" s="19" t="s">
        <v>18</v>
      </c>
      <c r="B34" s="19"/>
      <c r="C34" s="32">
        <v>1005747</v>
      </c>
      <c r="D34" s="32"/>
      <c r="E34" s="32">
        <v>169717</v>
      </c>
      <c r="F34" s="19"/>
      <c r="G34" s="32">
        <v>233076</v>
      </c>
    </row>
    <row r="35" spans="1:7" ht="15.75">
      <c r="A35" s="19"/>
      <c r="B35" s="19"/>
      <c r="C35" s="36" t="s">
        <v>9</v>
      </c>
      <c r="D35" s="32"/>
      <c r="E35" s="36" t="s">
        <v>9</v>
      </c>
      <c r="F35" s="19"/>
      <c r="G35" s="27" t="s">
        <v>9</v>
      </c>
    </row>
    <row r="36" spans="1:7" ht="15.75">
      <c r="A36" s="19" t="s">
        <v>19</v>
      </c>
      <c r="B36" s="19"/>
      <c r="C36" s="32">
        <f>C33-C34</f>
        <v>175339</v>
      </c>
      <c r="D36" s="32"/>
      <c r="E36" s="32">
        <f>E33-E34</f>
        <v>49029</v>
      </c>
      <c r="F36" s="19"/>
      <c r="G36" s="28">
        <f>G33-G34</f>
        <v>70301</v>
      </c>
    </row>
    <row r="37" spans="1:7" ht="15.75">
      <c r="A37" s="19"/>
      <c r="B37" s="19"/>
      <c r="C37" s="37" t="s">
        <v>20</v>
      </c>
      <c r="D37" s="32"/>
      <c r="E37" s="37" t="s">
        <v>20</v>
      </c>
      <c r="F37" s="19"/>
      <c r="G37" s="37" t="s">
        <v>20</v>
      </c>
    </row>
    <row r="38" spans="1:7" ht="15.75">
      <c r="A38" s="19" t="s">
        <v>21</v>
      </c>
      <c r="B38" s="19"/>
      <c r="C38" s="38">
        <v>2316847</v>
      </c>
      <c r="D38" s="32"/>
      <c r="E38" s="38">
        <v>531212</v>
      </c>
      <c r="F38" s="19"/>
      <c r="G38" s="38">
        <v>666027</v>
      </c>
    </row>
    <row r="39" spans="1:7" ht="15.75">
      <c r="A39" s="19"/>
      <c r="B39" s="19"/>
      <c r="C39" s="37" t="s">
        <v>20</v>
      </c>
      <c r="D39" s="32"/>
      <c r="E39" s="37" t="s">
        <v>20</v>
      </c>
      <c r="F39" s="19"/>
      <c r="G39" s="37" t="s">
        <v>20</v>
      </c>
    </row>
    <row r="40" spans="1:7" ht="15.75">
      <c r="A40" s="19" t="s">
        <v>25</v>
      </c>
      <c r="B40" s="19"/>
      <c r="C40" s="35">
        <f>C36/C38</f>
        <v>0.07568000821806532</v>
      </c>
      <c r="D40" s="35"/>
      <c r="E40" s="35">
        <f>E36/E38</f>
        <v>0.09229648426616868</v>
      </c>
      <c r="F40" s="19"/>
      <c r="G40" s="35">
        <f>G36/G38</f>
        <v>0.10555277789038582</v>
      </c>
    </row>
    <row r="41" spans="1:7" ht="15.75">
      <c r="A41" s="19"/>
      <c r="B41" s="19"/>
      <c r="C41" s="27" t="s">
        <v>20</v>
      </c>
      <c r="D41" s="19"/>
      <c r="E41" s="27" t="s">
        <v>20</v>
      </c>
      <c r="F41" s="19"/>
      <c r="G41" s="27" t="s">
        <v>20</v>
      </c>
    </row>
    <row r="42" spans="1:7" ht="15.75">
      <c r="A42" s="19"/>
      <c r="B42" s="19"/>
      <c r="C42" s="19"/>
      <c r="D42" s="19"/>
      <c r="E42" s="19"/>
      <c r="F42" s="19"/>
      <c r="G42" s="19"/>
    </row>
    <row r="43" spans="1:7" ht="15.75">
      <c r="A43" s="19"/>
      <c r="B43" s="19"/>
      <c r="C43" s="35"/>
      <c r="D43" s="35"/>
      <c r="E43" s="35"/>
      <c r="F43" s="35"/>
      <c r="G43" s="35"/>
    </row>
    <row r="44" spans="1:7" ht="15.75">
      <c r="A44" s="19" t="s">
        <v>26</v>
      </c>
      <c r="B44" s="19"/>
      <c r="C44" s="49">
        <v>0.0894</v>
      </c>
      <c r="D44" s="49"/>
      <c r="E44" s="45">
        <v>0.1042</v>
      </c>
      <c r="F44" s="49"/>
      <c r="G44" s="45">
        <v>0.1067</v>
      </c>
    </row>
    <row r="45" spans="1:7" ht="15.75">
      <c r="A45" s="19" t="s">
        <v>27</v>
      </c>
      <c r="B45" s="19"/>
      <c r="C45" s="5" t="s">
        <v>28</v>
      </c>
      <c r="D45" s="5"/>
      <c r="E45" s="5" t="s">
        <v>29</v>
      </c>
      <c r="F45" s="5"/>
      <c r="G45" s="5" t="s">
        <v>30</v>
      </c>
    </row>
    <row r="46" spans="1:7" ht="15.75">
      <c r="A46" s="20" t="s">
        <v>103</v>
      </c>
      <c r="B46" s="20"/>
      <c r="C46" s="39" t="s">
        <v>118</v>
      </c>
      <c r="D46" s="39"/>
      <c r="E46" s="39" t="s">
        <v>112</v>
      </c>
      <c r="F46" s="39"/>
      <c r="G46" s="47">
        <v>33046</v>
      </c>
    </row>
    <row r="47" spans="1:7" ht="15.75">
      <c r="A47" s="20"/>
      <c r="B47" s="20"/>
      <c r="C47" s="20"/>
      <c r="D47" s="20"/>
      <c r="E47" s="20"/>
      <c r="F47" s="20"/>
      <c r="G47" s="20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39"/>
  <sheetViews>
    <sheetView defaultGridColor="0" zoomScale="75" zoomScaleNormal="75" colorId="22" workbookViewId="0" topLeftCell="A16">
      <selection activeCell="C39" sqref="C39"/>
    </sheetView>
  </sheetViews>
  <sheetFormatPr defaultColWidth="9.77734375" defaultRowHeight="15"/>
  <cols>
    <col min="1" max="1" width="27.77734375" style="0" customWidth="1"/>
    <col min="3" max="7" width="12.77734375" style="0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72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19"/>
      <c r="D6" s="19"/>
      <c r="E6" s="19" t="s">
        <v>35</v>
      </c>
      <c r="F6" s="19"/>
      <c r="G6" s="19" t="s">
        <v>35</v>
      </c>
    </row>
    <row r="7" spans="1:7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</row>
    <row r="8" spans="1:7" ht="15.75">
      <c r="A8" s="19"/>
      <c r="B8" s="19"/>
      <c r="C8" s="5" t="s">
        <v>59</v>
      </c>
      <c r="D8" s="19"/>
      <c r="E8" s="5" t="s">
        <v>60</v>
      </c>
      <c r="F8" s="19"/>
      <c r="G8" s="5" t="s">
        <v>61</v>
      </c>
    </row>
    <row r="9" spans="1:7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</row>
    <row r="10" spans="1:7" ht="15.75">
      <c r="A10" s="19" t="s">
        <v>10</v>
      </c>
      <c r="B10" s="19"/>
      <c r="C10" s="5" t="s">
        <v>73</v>
      </c>
      <c r="D10" s="19"/>
      <c r="E10" s="5" t="s">
        <v>75</v>
      </c>
      <c r="F10" s="19"/>
      <c r="G10" s="5" t="s">
        <v>74</v>
      </c>
    </row>
    <row r="11" spans="1:7" ht="15.75">
      <c r="A11" s="19"/>
      <c r="B11" s="19"/>
      <c r="C11" s="19"/>
      <c r="D11" s="19"/>
      <c r="E11" s="19"/>
      <c r="F11" s="19"/>
      <c r="G11" s="19"/>
    </row>
    <row r="12" spans="1:7" ht="15.75">
      <c r="A12" s="19" t="s">
        <v>14</v>
      </c>
      <c r="B12" s="19"/>
      <c r="C12" s="5"/>
      <c r="D12" s="19"/>
      <c r="E12" s="5"/>
      <c r="F12" s="19"/>
      <c r="G12" s="5"/>
    </row>
    <row r="13" spans="1:7" ht="15.75">
      <c r="A13" s="19"/>
      <c r="B13" s="19"/>
      <c r="C13" s="19"/>
      <c r="D13" s="19"/>
      <c r="E13" s="19"/>
      <c r="F13" s="19"/>
      <c r="G13" s="19"/>
    </row>
    <row r="14" spans="1:7" ht="15.75">
      <c r="A14" s="19" t="s">
        <v>15</v>
      </c>
      <c r="B14" s="19"/>
      <c r="C14" s="19"/>
      <c r="D14" s="19"/>
      <c r="E14" s="19"/>
      <c r="F14" s="19"/>
      <c r="G14" s="19"/>
    </row>
    <row r="15" spans="1:7" ht="15.75">
      <c r="A15" s="19" t="s">
        <v>16</v>
      </c>
      <c r="B15" s="19"/>
      <c r="C15" s="19"/>
      <c r="D15" s="19"/>
      <c r="E15" s="19"/>
      <c r="F15" s="19"/>
      <c r="G15" s="19"/>
    </row>
    <row r="16" spans="1:7" ht="15.75">
      <c r="A16" s="19" t="s">
        <v>17</v>
      </c>
      <c r="B16" s="19"/>
      <c r="C16" s="28">
        <v>1558054.89</v>
      </c>
      <c r="D16" s="19"/>
      <c r="E16" s="28">
        <f>292833285/1000</f>
        <v>292833.285</v>
      </c>
      <c r="F16" s="19"/>
      <c r="G16" s="28"/>
    </row>
    <row r="17" spans="1:7" ht="15.75">
      <c r="A17" s="19" t="s">
        <v>18</v>
      </c>
      <c r="B17" s="19"/>
      <c r="C17" s="29">
        <v>1328263.622</v>
      </c>
      <c r="D17" s="19"/>
      <c r="E17" s="29">
        <f>251942902/1000</f>
        <v>251942.902</v>
      </c>
      <c r="F17" s="19"/>
      <c r="G17" s="29"/>
    </row>
    <row r="18" spans="1:7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</row>
    <row r="19" spans="1:7" ht="15.75">
      <c r="A19" s="19" t="s">
        <v>19</v>
      </c>
      <c r="B19" s="19"/>
      <c r="C19" s="28">
        <f>C16-C17</f>
        <v>229791.26799999992</v>
      </c>
      <c r="D19" s="19"/>
      <c r="E19" s="28">
        <f>E16-E17</f>
        <v>40890.38299999997</v>
      </c>
      <c r="F19" s="19"/>
      <c r="G19" s="28">
        <f>G16-G17</f>
        <v>0</v>
      </c>
    </row>
    <row r="20" spans="1:7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</row>
    <row r="21" spans="1:7" ht="15.75">
      <c r="A21" s="19" t="s">
        <v>21</v>
      </c>
      <c r="B21" s="19"/>
      <c r="C21" s="28">
        <v>2219975.798</v>
      </c>
      <c r="D21" s="19"/>
      <c r="E21" s="28">
        <f>642380077/1000</f>
        <v>642380.077</v>
      </c>
      <c r="F21" s="19"/>
      <c r="G21" s="28"/>
    </row>
    <row r="22" spans="1:7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</row>
    <row r="23" spans="1:7" ht="15.75">
      <c r="A23" s="19" t="s">
        <v>22</v>
      </c>
      <c r="B23" s="19"/>
      <c r="C23" s="30">
        <f>C19/C21</f>
        <v>0.10351070863341004</v>
      </c>
      <c r="D23" s="19"/>
      <c r="E23" s="30">
        <f>E19/E21</f>
        <v>0.06365450060494321</v>
      </c>
      <c r="F23" s="19"/>
      <c r="G23" s="30">
        <v>0</v>
      </c>
    </row>
    <row r="24" spans="1:7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</row>
    <row r="25" spans="1:7" ht="15.75">
      <c r="A25" s="19" t="s">
        <v>23</v>
      </c>
      <c r="B25" s="19"/>
      <c r="C25" s="19"/>
      <c r="D25" s="19"/>
      <c r="E25" s="19"/>
      <c r="F25" s="19"/>
      <c r="G25" s="19"/>
    </row>
    <row r="26" spans="1:7" ht="15.75">
      <c r="A26" s="19" t="s">
        <v>24</v>
      </c>
      <c r="B26" s="19"/>
      <c r="C26" s="19"/>
      <c r="D26" s="19"/>
      <c r="E26" s="19"/>
      <c r="F26" s="19"/>
      <c r="G26" s="19"/>
    </row>
    <row r="27" spans="1:7" ht="15.75">
      <c r="A27" s="19" t="s">
        <v>17</v>
      </c>
      <c r="B27" s="19"/>
      <c r="C27" s="28">
        <v>1302148.201</v>
      </c>
      <c r="D27" s="19"/>
      <c r="E27" s="28">
        <f>292038118/1000</f>
        <v>292038.118</v>
      </c>
      <c r="F27" s="19"/>
      <c r="G27" s="28"/>
    </row>
    <row r="28" spans="1:7" ht="15.75">
      <c r="A28" s="19" t="s">
        <v>18</v>
      </c>
      <c r="B28" s="19"/>
      <c r="C28" s="29">
        <v>1120019.053</v>
      </c>
      <c r="D28" s="19"/>
      <c r="E28" s="29">
        <f>253156252/1000</f>
        <v>253156.252</v>
      </c>
      <c r="F28" s="19"/>
      <c r="G28" s="29"/>
    </row>
    <row r="29" spans="1:7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</row>
    <row r="30" spans="1:7" ht="15.75">
      <c r="A30" s="19" t="s">
        <v>19</v>
      </c>
      <c r="B30" s="19"/>
      <c r="C30" s="28">
        <f>C27-C28</f>
        <v>182129.1479999998</v>
      </c>
      <c r="D30" s="19"/>
      <c r="E30" s="28">
        <f>E27-E28</f>
        <v>38881.86600000001</v>
      </c>
      <c r="F30" s="19"/>
      <c r="G30" s="28">
        <f>G27-G28</f>
        <v>0</v>
      </c>
    </row>
    <row r="31" spans="1:7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</row>
    <row r="32" spans="1:7" ht="15.75">
      <c r="A32" s="19" t="s">
        <v>21</v>
      </c>
      <c r="B32" s="19"/>
      <c r="C32" s="28">
        <v>2220069.025</v>
      </c>
      <c r="D32" s="19"/>
      <c r="E32" s="28">
        <f>628923098/1000</f>
        <v>628923.098</v>
      </c>
      <c r="F32" s="19"/>
      <c r="G32" s="28"/>
    </row>
    <row r="33" spans="1:7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</row>
    <row r="34" spans="1:7" ht="15.75">
      <c r="A34" s="19" t="s">
        <v>25</v>
      </c>
      <c r="B34" s="19"/>
      <c r="C34" s="30">
        <f>C30/C32</f>
        <v>0.0820376060154255</v>
      </c>
      <c r="D34" s="19"/>
      <c r="E34" s="30">
        <f>E30/E32</f>
        <v>0.06182292576571899</v>
      </c>
      <c r="F34" s="19"/>
      <c r="G34" s="30">
        <v>0</v>
      </c>
    </row>
    <row r="35" spans="1:7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</row>
    <row r="36" spans="1:7" ht="15.75">
      <c r="A36" s="19"/>
      <c r="B36" s="19"/>
      <c r="C36" s="28"/>
      <c r="D36" s="19"/>
      <c r="E36" s="28"/>
      <c r="F36" s="19"/>
      <c r="G36" s="28"/>
    </row>
    <row r="37" spans="1:7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f>0.0903</f>
        <v>0.0903</v>
      </c>
    </row>
    <row r="38" spans="1:7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76</v>
      </c>
    </row>
    <row r="39" spans="1:7" ht="15.75">
      <c r="A39" s="20" t="s">
        <v>103</v>
      </c>
      <c r="C39" s="39" t="s">
        <v>118</v>
      </c>
      <c r="D39" s="46"/>
      <c r="E39" s="39" t="s">
        <v>112</v>
      </c>
      <c r="F39" s="46"/>
      <c r="G39" s="39" t="s">
        <v>106</v>
      </c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C39" sqref="C39"/>
    </sheetView>
  </sheetViews>
  <sheetFormatPr defaultColWidth="8.88671875" defaultRowHeight="15"/>
  <cols>
    <col min="2" max="2" width="14.6640625" style="0" customWidth="1"/>
    <col min="3" max="3" width="13.5546875" style="0" bestFit="1" customWidth="1"/>
    <col min="4" max="4" width="4.3359375" style="0" customWidth="1"/>
    <col min="5" max="5" width="12.88671875" style="0" customWidth="1"/>
    <col min="6" max="6" width="4.88671875" style="0" customWidth="1"/>
    <col min="7" max="7" width="11.99609375" style="0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77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3">
        <v>36707</v>
      </c>
      <c r="D6" s="4"/>
      <c r="E6" s="3">
        <v>36799</v>
      </c>
      <c r="F6" s="4"/>
      <c r="G6" s="3">
        <v>36707</v>
      </c>
    </row>
    <row r="7" spans="1:7" ht="15.75">
      <c r="A7" s="19"/>
      <c r="B7" s="19"/>
      <c r="C7" s="10" t="s">
        <v>56</v>
      </c>
      <c r="D7" s="9"/>
      <c r="E7" s="10" t="s">
        <v>57</v>
      </c>
      <c r="F7" s="9"/>
      <c r="G7" s="10" t="s">
        <v>58</v>
      </c>
    </row>
    <row r="8" spans="1:7" ht="15.75">
      <c r="A8" s="19"/>
      <c r="B8" s="19"/>
      <c r="C8" s="10" t="s">
        <v>59</v>
      </c>
      <c r="D8" s="9"/>
      <c r="E8" s="10" t="s">
        <v>60</v>
      </c>
      <c r="F8" s="9"/>
      <c r="G8" s="10" t="s">
        <v>61</v>
      </c>
    </row>
    <row r="9" spans="1:7" ht="15.75">
      <c r="A9" s="19"/>
      <c r="B9" s="19"/>
      <c r="C9" s="14" t="s">
        <v>9</v>
      </c>
      <c r="D9" s="9"/>
      <c r="E9" s="14" t="s">
        <v>9</v>
      </c>
      <c r="F9" s="9"/>
      <c r="G9" s="14" t="s">
        <v>9</v>
      </c>
    </row>
    <row r="10" spans="1:7" ht="15.75">
      <c r="A10" s="19" t="s">
        <v>10</v>
      </c>
      <c r="B10" s="19"/>
      <c r="C10" s="10" t="s">
        <v>78</v>
      </c>
      <c r="D10" s="9"/>
      <c r="E10" s="10" t="s">
        <v>114</v>
      </c>
      <c r="F10" s="9"/>
      <c r="G10" s="10" t="s">
        <v>79</v>
      </c>
    </row>
    <row r="11" spans="1:7" ht="15.75">
      <c r="A11" s="19"/>
      <c r="B11" s="19"/>
      <c r="C11" s="9"/>
      <c r="D11" s="9"/>
      <c r="E11" s="9"/>
      <c r="F11" s="9"/>
      <c r="G11" s="9"/>
    </row>
    <row r="12" spans="1:7" ht="15.75">
      <c r="A12" s="19" t="s">
        <v>14</v>
      </c>
      <c r="B12" s="19"/>
      <c r="C12" s="10"/>
      <c r="D12" s="9"/>
      <c r="E12" s="10"/>
      <c r="F12" s="9"/>
      <c r="G12" s="10"/>
    </row>
    <row r="13" spans="1:7" ht="15.75">
      <c r="A13" s="19"/>
      <c r="B13" s="19"/>
      <c r="C13" s="9"/>
      <c r="D13" s="9"/>
      <c r="E13" s="9"/>
      <c r="F13" s="9"/>
      <c r="G13" s="9"/>
    </row>
    <row r="14" spans="1:7" ht="15.75">
      <c r="A14" s="19" t="s">
        <v>15</v>
      </c>
      <c r="B14" s="19"/>
      <c r="C14" s="9"/>
      <c r="D14" s="9"/>
      <c r="E14" s="9"/>
      <c r="F14" s="9"/>
      <c r="G14" s="9"/>
    </row>
    <row r="15" spans="1:7" ht="15.75">
      <c r="A15" s="19" t="s">
        <v>16</v>
      </c>
      <c r="B15" s="19"/>
      <c r="C15" s="9"/>
      <c r="D15" s="9"/>
      <c r="E15" s="9"/>
      <c r="F15" s="9"/>
      <c r="G15" s="9"/>
    </row>
    <row r="16" spans="1:7" ht="15.75">
      <c r="A16" s="19" t="s">
        <v>17</v>
      </c>
      <c r="B16" s="19"/>
      <c r="C16" s="11">
        <f>1696181579/1000</f>
        <v>1696181.579</v>
      </c>
      <c r="D16" s="9"/>
      <c r="E16" s="12">
        <f>300967625/1000</f>
        <v>300967.625</v>
      </c>
      <c r="F16" s="9"/>
      <c r="G16" s="12">
        <f>700168</f>
        <v>700168</v>
      </c>
    </row>
    <row r="17" spans="1:7" ht="15.75">
      <c r="A17" s="19" t="s">
        <v>18</v>
      </c>
      <c r="B17" s="19"/>
      <c r="C17" s="13">
        <f>1442810395/1000</f>
        <v>1442810.395</v>
      </c>
      <c r="D17" s="9"/>
      <c r="E17" s="13">
        <f>274457344/1000</f>
        <v>274457.344</v>
      </c>
      <c r="F17" s="9"/>
      <c r="G17" s="13">
        <f>704309-5093-5093</f>
        <v>694123</v>
      </c>
    </row>
    <row r="18" spans="1:7" ht="15.75">
      <c r="A18" s="19"/>
      <c r="B18" s="19"/>
      <c r="C18" s="14" t="s">
        <v>9</v>
      </c>
      <c r="D18" s="9"/>
      <c r="E18" s="14" t="s">
        <v>9</v>
      </c>
      <c r="F18" s="9"/>
      <c r="G18" s="14" t="s">
        <v>9</v>
      </c>
    </row>
    <row r="19" spans="1:7" ht="15.75">
      <c r="A19" s="19" t="s">
        <v>19</v>
      </c>
      <c r="B19" s="19"/>
      <c r="C19" s="12">
        <f>C16-C17</f>
        <v>253371.1839999999</v>
      </c>
      <c r="D19" s="9"/>
      <c r="E19" s="12">
        <f>E16-E17</f>
        <v>26510.281000000017</v>
      </c>
      <c r="F19" s="9"/>
      <c r="G19" s="12">
        <f>G16-G17</f>
        <v>6045</v>
      </c>
    </row>
    <row r="20" spans="1:7" ht="15.75">
      <c r="A20" s="19"/>
      <c r="B20" s="19"/>
      <c r="C20" s="14" t="s">
        <v>20</v>
      </c>
      <c r="D20" s="9"/>
      <c r="E20" s="14" t="s">
        <v>20</v>
      </c>
      <c r="F20" s="9"/>
      <c r="G20" s="14" t="s">
        <v>20</v>
      </c>
    </row>
    <row r="21" spans="1:7" ht="15.75">
      <c r="A21" s="19" t="s">
        <v>21</v>
      </c>
      <c r="B21" s="19"/>
      <c r="C21" s="12">
        <f>2333169138/1000</f>
        <v>2333169.138</v>
      </c>
      <c r="D21" s="9"/>
      <c r="E21" s="12">
        <f>622457683/1000</f>
        <v>622457.683</v>
      </c>
      <c r="F21" s="9"/>
      <c r="G21" s="12">
        <f>750136</f>
        <v>750136</v>
      </c>
    </row>
    <row r="22" spans="1:7" ht="15.75">
      <c r="A22" s="19"/>
      <c r="B22" s="19"/>
      <c r="C22" s="14" t="s">
        <v>20</v>
      </c>
      <c r="D22" s="9"/>
      <c r="E22" s="14" t="s">
        <v>20</v>
      </c>
      <c r="F22" s="9"/>
      <c r="G22" s="14" t="s">
        <v>20</v>
      </c>
    </row>
    <row r="23" spans="1:7" ht="15.75">
      <c r="A23" s="19" t="s">
        <v>22</v>
      </c>
      <c r="B23" s="19"/>
      <c r="C23" s="15">
        <f>C19/C21</f>
        <v>0.10859529207436307</v>
      </c>
      <c r="D23" s="9"/>
      <c r="E23" s="15">
        <f>E19/E21</f>
        <v>0.04258969199678112</v>
      </c>
      <c r="F23" s="9"/>
      <c r="G23" s="15">
        <f>G19/G21</f>
        <v>0.008058538718312414</v>
      </c>
    </row>
    <row r="24" spans="1:7" ht="15.75">
      <c r="A24" s="19"/>
      <c r="B24" s="19"/>
      <c r="C24" s="14" t="s">
        <v>20</v>
      </c>
      <c r="D24" s="9"/>
      <c r="E24" s="14" t="s">
        <v>20</v>
      </c>
      <c r="F24" s="9"/>
      <c r="G24" s="14" t="s">
        <v>20</v>
      </c>
    </row>
    <row r="25" spans="1:7" ht="15.75">
      <c r="A25" s="19" t="s">
        <v>23</v>
      </c>
      <c r="B25" s="19"/>
      <c r="C25" s="9"/>
      <c r="D25" s="9"/>
      <c r="E25" s="9"/>
      <c r="F25" s="9"/>
      <c r="G25" s="9"/>
    </row>
    <row r="26" spans="1:7" ht="15.75">
      <c r="A26" s="19" t="s">
        <v>24</v>
      </c>
      <c r="B26" s="19"/>
      <c r="C26" s="9"/>
      <c r="D26" s="9"/>
      <c r="E26" s="9"/>
      <c r="F26" s="9"/>
      <c r="G26" s="9"/>
    </row>
    <row r="27" spans="1:7" ht="15.75">
      <c r="A27" s="19" t="s">
        <v>17</v>
      </c>
      <c r="B27" s="19"/>
      <c r="C27" s="12">
        <f>1356964111/1000</f>
        <v>1356964.111</v>
      </c>
      <c r="D27" s="9"/>
      <c r="E27" s="12">
        <f>327594638/1000</f>
        <v>327594.638</v>
      </c>
      <c r="F27" s="9"/>
      <c r="G27" s="12">
        <f>389107</f>
        <v>389107</v>
      </c>
    </row>
    <row r="28" spans="1:7" ht="15.75">
      <c r="A28" s="19" t="s">
        <v>18</v>
      </c>
      <c r="B28" s="19"/>
      <c r="C28" s="13">
        <f>1121660522/1000</f>
        <v>1121660.522</v>
      </c>
      <c r="D28" s="9"/>
      <c r="E28" s="13">
        <f>299325844/1000</f>
        <v>299325.844</v>
      </c>
      <c r="F28" s="9"/>
      <c r="G28" s="13">
        <f>318996+20619-4525+6442</f>
        <v>341532</v>
      </c>
    </row>
    <row r="29" spans="1:7" ht="15.75">
      <c r="A29" s="19"/>
      <c r="B29" s="19"/>
      <c r="C29" s="14" t="s">
        <v>9</v>
      </c>
      <c r="D29" s="9"/>
      <c r="E29" s="14" t="s">
        <v>9</v>
      </c>
      <c r="F29" s="9"/>
      <c r="G29" s="14" t="s">
        <v>9</v>
      </c>
    </row>
    <row r="30" spans="1:7" ht="15.75">
      <c r="A30" s="19" t="s">
        <v>19</v>
      </c>
      <c r="B30" s="19"/>
      <c r="C30" s="12">
        <f>C27-C28</f>
        <v>235303.58899999992</v>
      </c>
      <c r="D30" s="9"/>
      <c r="E30" s="12">
        <f>E27-E28</f>
        <v>28268.793999999994</v>
      </c>
      <c r="F30" s="9"/>
      <c r="G30" s="12">
        <f>G27-G28</f>
        <v>47575</v>
      </c>
    </row>
    <row r="31" spans="1:7" ht="15.75">
      <c r="A31" s="19"/>
      <c r="B31" s="19"/>
      <c r="C31" s="14" t="s">
        <v>20</v>
      </c>
      <c r="D31" s="9"/>
      <c r="E31" s="14" t="s">
        <v>20</v>
      </c>
      <c r="F31" s="9"/>
      <c r="G31" s="14" t="s">
        <v>20</v>
      </c>
    </row>
    <row r="32" spans="1:7" ht="15.75">
      <c r="A32" s="19" t="s">
        <v>21</v>
      </c>
      <c r="B32" s="19"/>
      <c r="C32" s="12">
        <f>2333950734/1000</f>
        <v>2333950.734</v>
      </c>
      <c r="D32" s="9"/>
      <c r="E32" s="12">
        <f>571408432/1000</f>
        <v>571408.432</v>
      </c>
      <c r="F32" s="9"/>
      <c r="G32" s="12">
        <f>660673</f>
        <v>660673</v>
      </c>
    </row>
    <row r="33" spans="1:7" ht="15.75">
      <c r="A33" s="19"/>
      <c r="B33" s="19"/>
      <c r="C33" s="14" t="s">
        <v>20</v>
      </c>
      <c r="D33" s="9"/>
      <c r="E33" s="14" t="s">
        <v>20</v>
      </c>
      <c r="F33" s="9"/>
      <c r="G33" s="14" t="s">
        <v>20</v>
      </c>
    </row>
    <row r="34" spans="1:7" ht="15.75">
      <c r="A34" s="19" t="s">
        <v>25</v>
      </c>
      <c r="B34" s="19"/>
      <c r="C34" s="15">
        <f>C30/C32</f>
        <v>0.10081771888849128</v>
      </c>
      <c r="D34" s="9"/>
      <c r="E34" s="15">
        <f>E30/E32</f>
        <v>0.049472133095858815</v>
      </c>
      <c r="F34" s="9"/>
      <c r="G34" s="15">
        <f>G30/G32</f>
        <v>0.07200990505136429</v>
      </c>
    </row>
    <row r="35" spans="1:7" ht="15.75">
      <c r="A35" s="19"/>
      <c r="B35" s="19"/>
      <c r="C35" s="14" t="s">
        <v>20</v>
      </c>
      <c r="D35" s="9"/>
      <c r="E35" s="14" t="s">
        <v>20</v>
      </c>
      <c r="F35" s="9"/>
      <c r="G35" s="14" t="s">
        <v>20</v>
      </c>
    </row>
    <row r="36" spans="1:7" ht="15.75">
      <c r="A36" s="19"/>
      <c r="B36" s="19"/>
      <c r="C36" s="12"/>
      <c r="D36" s="9"/>
      <c r="E36" s="12"/>
      <c r="F36" s="9"/>
      <c r="G36" s="12"/>
    </row>
    <row r="37" spans="1:7" ht="15.75">
      <c r="A37" s="19" t="s">
        <v>26</v>
      </c>
      <c r="B37" s="19"/>
      <c r="C37" s="42">
        <v>0.0894</v>
      </c>
      <c r="D37" s="10"/>
      <c r="E37" s="42">
        <v>0.1042</v>
      </c>
      <c r="F37" s="10"/>
      <c r="G37" s="42">
        <f>0.0903</f>
        <v>0.0903</v>
      </c>
    </row>
    <row r="38" spans="1:7" ht="15.75">
      <c r="A38" s="19" t="s">
        <v>27</v>
      </c>
      <c r="B38" s="19"/>
      <c r="C38" s="10" t="s">
        <v>28</v>
      </c>
      <c r="D38" s="10"/>
      <c r="E38" s="10" t="s">
        <v>29</v>
      </c>
      <c r="F38" s="10"/>
      <c r="G38" s="10" t="s">
        <v>76</v>
      </c>
    </row>
    <row r="39" spans="1:7" ht="15.75">
      <c r="A39" s="19" t="s">
        <v>103</v>
      </c>
      <c r="B39" s="20"/>
      <c r="C39" s="40" t="s">
        <v>118</v>
      </c>
      <c r="D39" s="39"/>
      <c r="E39" s="40" t="s">
        <v>112</v>
      </c>
      <c r="F39" s="39"/>
      <c r="G39" s="40" t="s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4">
      <selection activeCell="G23" sqref="G23"/>
    </sheetView>
  </sheetViews>
  <sheetFormatPr defaultColWidth="8.88671875" defaultRowHeight="15"/>
  <cols>
    <col min="3" max="3" width="13.99609375" style="0" bestFit="1" customWidth="1"/>
    <col min="4" max="4" width="6.3359375" style="0" customWidth="1"/>
    <col min="5" max="5" width="12.5546875" style="0" customWidth="1"/>
    <col min="6" max="6" width="5.6640625" style="0" customWidth="1"/>
    <col min="7" max="7" width="12.10546875" style="0" bestFit="1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77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3">
        <v>36891</v>
      </c>
      <c r="D6" s="4"/>
      <c r="E6" s="3">
        <v>36981</v>
      </c>
      <c r="F6" s="4"/>
      <c r="G6" s="3">
        <v>36891</v>
      </c>
    </row>
    <row r="7" spans="1:7" ht="15.75">
      <c r="A7" s="19"/>
      <c r="B7" s="19"/>
      <c r="C7" s="10" t="s">
        <v>56</v>
      </c>
      <c r="D7" s="9"/>
      <c r="E7" s="10" t="s">
        <v>57</v>
      </c>
      <c r="F7" s="9"/>
      <c r="G7" s="10" t="s">
        <v>58</v>
      </c>
    </row>
    <row r="8" spans="1:7" ht="15.75">
      <c r="A8" s="19"/>
      <c r="B8" s="19"/>
      <c r="C8" s="10" t="s">
        <v>59</v>
      </c>
      <c r="D8" s="9"/>
      <c r="E8" s="10" t="s">
        <v>60</v>
      </c>
      <c r="F8" s="9"/>
      <c r="G8" s="10" t="s">
        <v>61</v>
      </c>
    </row>
    <row r="9" spans="1:7" ht="15.75">
      <c r="A9" s="19"/>
      <c r="B9" s="19"/>
      <c r="C9" s="14" t="s">
        <v>9</v>
      </c>
      <c r="D9" s="9"/>
      <c r="E9" s="14" t="s">
        <v>9</v>
      </c>
      <c r="F9" s="9"/>
      <c r="G9" s="14" t="s">
        <v>9</v>
      </c>
    </row>
    <row r="10" spans="1:7" ht="15.75">
      <c r="A10" s="19" t="s">
        <v>10</v>
      </c>
      <c r="B10" s="19"/>
      <c r="C10" s="10" t="s">
        <v>80</v>
      </c>
      <c r="D10" s="9"/>
      <c r="E10" s="10" t="s">
        <v>115</v>
      </c>
      <c r="F10" s="9"/>
      <c r="G10" s="10" t="s">
        <v>81</v>
      </c>
    </row>
    <row r="11" spans="1:7" ht="15.75">
      <c r="A11" s="19"/>
      <c r="B11" s="19"/>
      <c r="C11" s="9"/>
      <c r="D11" s="9"/>
      <c r="E11" s="9"/>
      <c r="F11" s="9"/>
      <c r="G11" s="9"/>
    </row>
    <row r="12" spans="1:7" ht="15.75">
      <c r="A12" s="19" t="s">
        <v>14</v>
      </c>
      <c r="B12" s="19"/>
      <c r="C12" s="10"/>
      <c r="D12" s="9"/>
      <c r="E12" s="10"/>
      <c r="F12" s="9"/>
      <c r="G12" s="10"/>
    </row>
    <row r="13" spans="1:7" ht="15.75">
      <c r="A13" s="19"/>
      <c r="B13" s="19"/>
      <c r="C13" s="9"/>
      <c r="D13" s="9"/>
      <c r="E13" s="9"/>
      <c r="F13" s="9"/>
      <c r="G13" s="9"/>
    </row>
    <row r="14" spans="1:7" ht="15.75">
      <c r="A14" s="19" t="s">
        <v>15</v>
      </c>
      <c r="B14" s="19"/>
      <c r="C14" s="9"/>
      <c r="D14" s="9"/>
      <c r="E14" s="9"/>
      <c r="F14" s="9"/>
      <c r="G14" s="9"/>
    </row>
    <row r="15" spans="1:7" ht="15.75">
      <c r="A15" s="19" t="s">
        <v>16</v>
      </c>
      <c r="B15" s="19"/>
      <c r="C15" s="9"/>
      <c r="D15" s="9"/>
      <c r="E15" s="9"/>
      <c r="F15" s="9"/>
      <c r="G15" s="9"/>
    </row>
    <row r="16" spans="1:7" ht="15.75">
      <c r="A16" s="19" t="s">
        <v>17</v>
      </c>
      <c r="B16" s="19"/>
      <c r="C16" s="11">
        <f>2807132584/1000</f>
        <v>2807132.584</v>
      </c>
      <c r="D16" s="9"/>
      <c r="E16" s="12">
        <f>371044020/1000</f>
        <v>371044.02</v>
      </c>
      <c r="F16" s="9"/>
      <c r="G16" s="12">
        <v>846920</v>
      </c>
    </row>
    <row r="17" spans="1:7" ht="15.75">
      <c r="A17" s="19" t="s">
        <v>18</v>
      </c>
      <c r="B17" s="19"/>
      <c r="C17" s="13">
        <f>2493081628/1000</f>
        <v>2493081.628</v>
      </c>
      <c r="D17" s="9"/>
      <c r="E17" s="13">
        <f>352094751/1000</f>
        <v>352094.751</v>
      </c>
      <c r="F17" s="9"/>
      <c r="G17" s="13">
        <v>851927</v>
      </c>
    </row>
    <row r="18" spans="1:7" ht="15.75">
      <c r="A18" s="19"/>
      <c r="B18" s="19"/>
      <c r="C18" s="14" t="s">
        <v>9</v>
      </c>
      <c r="D18" s="9"/>
      <c r="E18" s="14" t="s">
        <v>9</v>
      </c>
      <c r="F18" s="9"/>
      <c r="G18" s="14" t="s">
        <v>9</v>
      </c>
    </row>
    <row r="19" spans="1:7" ht="15.75">
      <c r="A19" s="19" t="s">
        <v>19</v>
      </c>
      <c r="B19" s="19"/>
      <c r="C19" s="12">
        <f>C16-C17</f>
        <v>314050.9559999998</v>
      </c>
      <c r="D19" s="9"/>
      <c r="E19" s="12">
        <f>E16-E17</f>
        <v>18949.26900000003</v>
      </c>
      <c r="F19" s="9"/>
      <c r="G19" s="12">
        <f>G16-G17</f>
        <v>-5007</v>
      </c>
    </row>
    <row r="20" spans="1:7" ht="15.75">
      <c r="A20" s="19"/>
      <c r="B20" s="19"/>
      <c r="C20" s="14" t="s">
        <v>20</v>
      </c>
      <c r="D20" s="9"/>
      <c r="E20" s="14" t="s">
        <v>20</v>
      </c>
      <c r="F20" s="9"/>
      <c r="G20" s="14" t="s">
        <v>20</v>
      </c>
    </row>
    <row r="21" spans="1:7" ht="15.75">
      <c r="A21" s="19" t="s">
        <v>21</v>
      </c>
      <c r="B21" s="19"/>
      <c r="C21" s="12">
        <f>2454870931/1000</f>
        <v>2454870.931</v>
      </c>
      <c r="D21" s="9"/>
      <c r="E21" s="12">
        <f>601712444/1000</f>
        <v>601712.444</v>
      </c>
      <c r="F21" s="9"/>
      <c r="G21" s="12">
        <v>754924</v>
      </c>
    </row>
    <row r="22" spans="1:7" ht="15.75">
      <c r="A22" s="19"/>
      <c r="B22" s="19"/>
      <c r="C22" s="14" t="s">
        <v>20</v>
      </c>
      <c r="D22" s="9"/>
      <c r="E22" s="14" t="s">
        <v>20</v>
      </c>
      <c r="F22" s="9"/>
      <c r="G22" s="14" t="s">
        <v>20</v>
      </c>
    </row>
    <row r="23" spans="1:7" ht="15.75">
      <c r="A23" s="19" t="s">
        <v>22</v>
      </c>
      <c r="B23" s="19"/>
      <c r="C23" s="15">
        <f>C19/C21</f>
        <v>0.12792972210236328</v>
      </c>
      <c r="D23" s="9"/>
      <c r="E23" s="15">
        <f>E19/E21</f>
        <v>0.031492233855146975</v>
      </c>
      <c r="F23" s="9"/>
      <c r="G23" s="15">
        <f>G19/G21</f>
        <v>-0.006632455717396718</v>
      </c>
    </row>
    <row r="24" spans="1:7" ht="15.75">
      <c r="A24" s="19"/>
      <c r="B24" s="19"/>
      <c r="C24" s="14" t="s">
        <v>20</v>
      </c>
      <c r="D24" s="9"/>
      <c r="E24" s="14" t="s">
        <v>20</v>
      </c>
      <c r="F24" s="9"/>
      <c r="G24" s="14" t="s">
        <v>20</v>
      </c>
    </row>
    <row r="25" spans="1:7" ht="15.75">
      <c r="A25" s="19" t="s">
        <v>23</v>
      </c>
      <c r="B25" s="19"/>
      <c r="C25" s="9"/>
      <c r="D25" s="9"/>
      <c r="E25" s="9"/>
      <c r="F25" s="9"/>
      <c r="G25" s="9"/>
    </row>
    <row r="26" spans="1:7" ht="15.75">
      <c r="A26" s="19" t="s">
        <v>24</v>
      </c>
      <c r="B26" s="19"/>
      <c r="C26" s="9"/>
      <c r="D26" s="9"/>
      <c r="E26" s="9"/>
      <c r="F26" s="9"/>
      <c r="G26" s="9"/>
    </row>
    <row r="27" spans="1:7" ht="15.75">
      <c r="A27" s="19" t="s">
        <v>17</v>
      </c>
      <c r="B27" s="19"/>
      <c r="C27" s="12">
        <f>2806230663/1000</f>
        <v>2806230.663</v>
      </c>
      <c r="D27" s="9"/>
      <c r="E27" s="12">
        <f>440366958/1000</f>
        <v>440366.958</v>
      </c>
      <c r="F27" s="9"/>
      <c r="G27" s="12">
        <v>393254</v>
      </c>
    </row>
    <row r="28" spans="1:7" ht="15.75">
      <c r="A28" s="19" t="s">
        <v>18</v>
      </c>
      <c r="B28" s="19"/>
      <c r="C28" s="13">
        <f>2541422113/1000</f>
        <v>2541422.113</v>
      </c>
      <c r="D28" s="9"/>
      <c r="E28" s="13">
        <f>413505461/1000</f>
        <v>413505.461</v>
      </c>
      <c r="F28" s="9"/>
      <c r="G28" s="13">
        <v>365937</v>
      </c>
    </row>
    <row r="29" spans="1:7" ht="15.75">
      <c r="A29" s="19"/>
      <c r="B29" s="19"/>
      <c r="C29" s="14" t="s">
        <v>9</v>
      </c>
      <c r="D29" s="9"/>
      <c r="E29" s="14" t="s">
        <v>9</v>
      </c>
      <c r="F29" s="9"/>
      <c r="G29" s="14" t="s">
        <v>9</v>
      </c>
    </row>
    <row r="30" spans="1:7" ht="15.75">
      <c r="A30" s="19" t="s">
        <v>19</v>
      </c>
      <c r="B30" s="19"/>
      <c r="C30" s="12">
        <f>C27-C28</f>
        <v>264808.5500000003</v>
      </c>
      <c r="D30" s="9"/>
      <c r="E30" s="12">
        <f>E27-E28</f>
        <v>26861.496999999974</v>
      </c>
      <c r="F30" s="9"/>
      <c r="G30" s="12">
        <f>G27-G28</f>
        <v>27317</v>
      </c>
    </row>
    <row r="31" spans="1:7" ht="15.75">
      <c r="A31" s="19"/>
      <c r="B31" s="19"/>
      <c r="C31" s="14" t="s">
        <v>20</v>
      </c>
      <c r="D31" s="9"/>
      <c r="E31" s="14" t="s">
        <v>20</v>
      </c>
      <c r="F31" s="9"/>
      <c r="G31" s="14" t="s">
        <v>20</v>
      </c>
    </row>
    <row r="32" spans="1:7" ht="15.75">
      <c r="A32" s="19" t="s">
        <v>21</v>
      </c>
      <c r="B32" s="19"/>
      <c r="C32" s="12">
        <f>2454649612/1000</f>
        <v>2454649.612</v>
      </c>
      <c r="D32" s="9"/>
      <c r="E32" s="12">
        <f>627292818/1000</f>
        <v>627292.818</v>
      </c>
      <c r="F32" s="9"/>
      <c r="G32" s="12">
        <v>568492</v>
      </c>
    </row>
    <row r="33" spans="1:7" ht="15.75">
      <c r="A33" s="19"/>
      <c r="B33" s="19"/>
      <c r="C33" s="14" t="s">
        <v>20</v>
      </c>
      <c r="D33" s="9"/>
      <c r="E33" s="14" t="s">
        <v>20</v>
      </c>
      <c r="F33" s="9"/>
      <c r="G33" s="14" t="s">
        <v>20</v>
      </c>
    </row>
    <row r="34" spans="1:7" ht="15.75">
      <c r="A34" s="19" t="s">
        <v>25</v>
      </c>
      <c r="B34" s="19"/>
      <c r="C34" s="15">
        <f>C30/C32</f>
        <v>0.10788038696253657</v>
      </c>
      <c r="D34" s="9"/>
      <c r="E34" s="15">
        <f>E30/E32</f>
        <v>0.04282130486627057</v>
      </c>
      <c r="F34" s="9"/>
      <c r="G34" s="15">
        <f>G30/G32</f>
        <v>0.04805168762269302</v>
      </c>
    </row>
    <row r="35" spans="1:7" ht="15.75">
      <c r="A35" s="19"/>
      <c r="B35" s="19"/>
      <c r="C35" s="14" t="s">
        <v>20</v>
      </c>
      <c r="D35" s="9"/>
      <c r="E35" s="14" t="s">
        <v>20</v>
      </c>
      <c r="F35" s="9"/>
      <c r="G35" s="14" t="s">
        <v>20</v>
      </c>
    </row>
    <row r="36" spans="1:7" ht="15.75">
      <c r="A36" s="19"/>
      <c r="B36" s="19"/>
      <c r="C36" s="12"/>
      <c r="D36" s="9"/>
      <c r="E36" s="12"/>
      <c r="F36" s="9"/>
      <c r="G36" s="12"/>
    </row>
    <row r="37" spans="1:7" ht="15.75">
      <c r="A37" s="19" t="s">
        <v>26</v>
      </c>
      <c r="B37" s="19"/>
      <c r="C37" s="42">
        <v>0.0894</v>
      </c>
      <c r="D37" s="10"/>
      <c r="E37" s="42" t="s">
        <v>107</v>
      </c>
      <c r="F37" s="9"/>
      <c r="G37" s="42">
        <f>0.0903</f>
        <v>0.0903</v>
      </c>
    </row>
    <row r="38" spans="1:7" ht="15.75">
      <c r="A38" s="19" t="s">
        <v>27</v>
      </c>
      <c r="B38" s="19"/>
      <c r="C38" s="10" t="s">
        <v>28</v>
      </c>
      <c r="D38" s="10"/>
      <c r="E38" s="10" t="s">
        <v>108</v>
      </c>
      <c r="F38" s="9"/>
      <c r="G38" s="10" t="s">
        <v>76</v>
      </c>
    </row>
    <row r="39" spans="1:7" ht="15.75">
      <c r="A39" s="19" t="s">
        <v>103</v>
      </c>
      <c r="C39" s="40" t="s">
        <v>118</v>
      </c>
      <c r="D39" s="40"/>
      <c r="E39" s="40" t="s">
        <v>109</v>
      </c>
      <c r="G39" s="40" t="s">
        <v>106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G23" sqref="G23"/>
    </sheetView>
  </sheetViews>
  <sheetFormatPr defaultColWidth="8.88671875" defaultRowHeight="15"/>
  <cols>
    <col min="2" max="2" width="14.99609375" style="0" customWidth="1"/>
    <col min="3" max="3" width="13.99609375" style="0" bestFit="1" customWidth="1"/>
    <col min="4" max="4" width="2.10546875" style="0" customWidth="1"/>
    <col min="5" max="5" width="12.5546875" style="0" customWidth="1"/>
    <col min="6" max="6" width="2.21484375" style="0" customWidth="1"/>
    <col min="7" max="7" width="12.10546875" style="0" bestFit="1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77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3">
        <v>37256</v>
      </c>
      <c r="D6" s="4"/>
      <c r="E6" s="3">
        <v>37164</v>
      </c>
      <c r="F6" s="4"/>
      <c r="G6" s="3">
        <v>37256</v>
      </c>
    </row>
    <row r="7" spans="1:7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</row>
    <row r="8" spans="1:7" ht="16.5" thickBot="1">
      <c r="A8" s="19"/>
      <c r="B8" s="19"/>
      <c r="C8" s="6" t="s">
        <v>59</v>
      </c>
      <c r="D8" s="22"/>
      <c r="E8" s="6" t="s">
        <v>60</v>
      </c>
      <c r="F8" s="22"/>
      <c r="G8" s="6" t="s">
        <v>61</v>
      </c>
    </row>
    <row r="9" spans="1:7" ht="15.75">
      <c r="A9" s="20"/>
      <c r="B9" s="20"/>
      <c r="C9" s="20"/>
      <c r="D9" s="20"/>
      <c r="E9" s="20"/>
      <c r="F9" s="20"/>
      <c r="G9" s="20"/>
    </row>
    <row r="10" spans="1:7" ht="15.75">
      <c r="A10" s="21"/>
      <c r="B10" s="19"/>
      <c r="C10" s="3"/>
      <c r="D10" s="19"/>
      <c r="E10" s="3"/>
      <c r="F10" s="19"/>
      <c r="G10" s="3"/>
    </row>
    <row r="11" spans="1:7" ht="15.75">
      <c r="A11" s="21" t="s">
        <v>10</v>
      </c>
      <c r="B11" s="21"/>
      <c r="C11" s="8" t="s">
        <v>83</v>
      </c>
      <c r="D11" s="9"/>
      <c r="E11" s="10" t="s">
        <v>113</v>
      </c>
      <c r="F11" s="9"/>
      <c r="G11" s="8" t="s">
        <v>82</v>
      </c>
    </row>
    <row r="12" spans="1:7" ht="15.75">
      <c r="A12" s="21"/>
      <c r="B12" s="21"/>
      <c r="C12" s="9"/>
      <c r="D12" s="9"/>
      <c r="E12" s="9"/>
      <c r="F12" s="9"/>
      <c r="G12" s="9"/>
    </row>
    <row r="13" spans="1:7" ht="15.75">
      <c r="A13" s="21" t="s">
        <v>14</v>
      </c>
      <c r="B13" s="21"/>
      <c r="C13" s="10"/>
      <c r="D13" s="9"/>
      <c r="E13" s="10"/>
      <c r="F13" s="9"/>
      <c r="G13" s="10"/>
    </row>
    <row r="14" spans="1:7" ht="15.75">
      <c r="A14" s="21"/>
      <c r="B14" s="21"/>
      <c r="C14" s="9"/>
      <c r="D14" s="9"/>
      <c r="E14" s="9"/>
      <c r="F14" s="9"/>
      <c r="G14" s="9"/>
    </row>
    <row r="15" spans="1:7" ht="15.75">
      <c r="A15" s="21" t="s">
        <v>15</v>
      </c>
      <c r="B15" s="21"/>
      <c r="C15" s="9"/>
      <c r="D15" s="9"/>
      <c r="E15" s="9"/>
      <c r="F15" s="9"/>
      <c r="G15" s="9"/>
    </row>
    <row r="16" spans="1:7" ht="15.75">
      <c r="A16" s="21" t="s">
        <v>17</v>
      </c>
      <c r="B16" s="21"/>
      <c r="C16" s="11">
        <v>2383327</v>
      </c>
      <c r="D16" s="9"/>
      <c r="E16" s="12">
        <f>419594444/1000</f>
        <v>419594.444</v>
      </c>
      <c r="F16" s="9"/>
      <c r="G16" s="12">
        <v>611115</v>
      </c>
    </row>
    <row r="17" spans="1:7" ht="15.75">
      <c r="A17" s="21" t="s">
        <v>18</v>
      </c>
      <c r="B17" s="21"/>
      <c r="C17" s="13">
        <v>2173483</v>
      </c>
      <c r="D17" s="9"/>
      <c r="E17" s="13">
        <f>392754123/1000</f>
        <v>392754.123</v>
      </c>
      <c r="F17" s="9"/>
      <c r="G17" s="13">
        <f>556301+65649-70971</f>
        <v>550979</v>
      </c>
    </row>
    <row r="18" spans="1:7" ht="15.75">
      <c r="A18" s="21"/>
      <c r="B18" s="21"/>
      <c r="C18" s="14" t="s">
        <v>9</v>
      </c>
      <c r="D18" s="9"/>
      <c r="E18" s="14" t="s">
        <v>9</v>
      </c>
      <c r="F18" s="9"/>
      <c r="G18" s="14" t="s">
        <v>9</v>
      </c>
    </row>
    <row r="19" spans="1:7" ht="15.75">
      <c r="A19" s="21" t="s">
        <v>19</v>
      </c>
      <c r="B19" s="21"/>
      <c r="C19" s="12">
        <f>C16-C17</f>
        <v>209844</v>
      </c>
      <c r="D19" s="9"/>
      <c r="E19" s="12">
        <f>E16-E17</f>
        <v>26840.320999999996</v>
      </c>
      <c r="F19" s="9"/>
      <c r="G19" s="12">
        <f>G16-G17</f>
        <v>60136</v>
      </c>
    </row>
    <row r="20" spans="1:7" ht="15.75">
      <c r="A20" s="21"/>
      <c r="B20" s="21"/>
      <c r="C20" s="14" t="s">
        <v>20</v>
      </c>
      <c r="D20" s="9"/>
      <c r="E20" s="14" t="s">
        <v>20</v>
      </c>
      <c r="F20" s="9"/>
      <c r="G20" s="14" t="s">
        <v>20</v>
      </c>
    </row>
    <row r="21" spans="1:7" ht="15.75">
      <c r="A21" s="21" t="s">
        <v>21</v>
      </c>
      <c r="B21" s="21"/>
      <c r="C21" s="12">
        <v>2722776</v>
      </c>
      <c r="D21" s="9"/>
      <c r="E21" s="12">
        <f>605934390/1000</f>
        <v>605934.39</v>
      </c>
      <c r="F21" s="9"/>
      <c r="G21" s="12">
        <v>771819</v>
      </c>
    </row>
    <row r="22" spans="1:7" ht="15.75">
      <c r="A22" s="21"/>
      <c r="B22" s="21"/>
      <c r="C22" s="14" t="s">
        <v>20</v>
      </c>
      <c r="D22" s="9"/>
      <c r="E22" s="14" t="s">
        <v>20</v>
      </c>
      <c r="F22" s="9"/>
      <c r="G22" s="14" t="s">
        <v>20</v>
      </c>
    </row>
    <row r="23" spans="1:7" ht="15.75">
      <c r="A23" s="21" t="s">
        <v>22</v>
      </c>
      <c r="B23" s="21"/>
      <c r="C23" s="15">
        <f>C19/C21</f>
        <v>0.077069872806283</v>
      </c>
      <c r="D23" s="9"/>
      <c r="E23" s="15">
        <f>E19/E21</f>
        <v>0.04429575452880302</v>
      </c>
      <c r="F23" s="9"/>
      <c r="G23" s="15">
        <f>G19/G21</f>
        <v>0.07791464060874376</v>
      </c>
    </row>
    <row r="24" spans="1:7" ht="15.75">
      <c r="A24" s="21"/>
      <c r="B24" s="21"/>
      <c r="C24" s="14" t="s">
        <v>20</v>
      </c>
      <c r="D24" s="9"/>
      <c r="E24" s="14" t="s">
        <v>20</v>
      </c>
      <c r="F24" s="9"/>
      <c r="G24" s="14" t="s">
        <v>20</v>
      </c>
    </row>
    <row r="25" spans="1:7" ht="15.75">
      <c r="A25" s="21" t="s">
        <v>23</v>
      </c>
      <c r="B25" s="21"/>
      <c r="C25" s="9"/>
      <c r="D25" s="9"/>
      <c r="E25" s="9"/>
      <c r="F25" s="9"/>
      <c r="G25" s="9"/>
    </row>
    <row r="26" spans="1:7" ht="15.75">
      <c r="A26" s="21" t="s">
        <v>24</v>
      </c>
      <c r="B26" s="21"/>
      <c r="C26" s="9"/>
      <c r="D26" s="9"/>
      <c r="E26" s="9"/>
      <c r="F26" s="9"/>
      <c r="G26" s="9"/>
    </row>
    <row r="27" spans="1:7" ht="15.75">
      <c r="A27" s="21" t="s">
        <v>17</v>
      </c>
      <c r="B27" s="21"/>
      <c r="C27" s="12">
        <v>1890217</v>
      </c>
      <c r="D27" s="9"/>
      <c r="E27" s="12">
        <f>419052731/1000</f>
        <v>419052.731</v>
      </c>
      <c r="F27" s="9"/>
      <c r="G27" s="12">
        <v>364422</v>
      </c>
    </row>
    <row r="28" spans="1:7" ht="15.75">
      <c r="A28" s="21" t="s">
        <v>18</v>
      </c>
      <c r="B28" s="21"/>
      <c r="C28" s="13">
        <v>1728502</v>
      </c>
      <c r="D28" s="9"/>
      <c r="E28" s="13">
        <f>404019710/1000</f>
        <v>404019.71</v>
      </c>
      <c r="F28" s="9"/>
      <c r="G28" s="13">
        <f>270636+7803+16107+5369</f>
        <v>299915</v>
      </c>
    </row>
    <row r="29" spans="1:7" ht="15.75">
      <c r="A29" s="21"/>
      <c r="B29" s="21"/>
      <c r="C29" s="14" t="s">
        <v>9</v>
      </c>
      <c r="D29" s="9"/>
      <c r="E29" s="14" t="s">
        <v>9</v>
      </c>
      <c r="F29" s="9"/>
      <c r="G29" s="14" t="s">
        <v>9</v>
      </c>
    </row>
    <row r="30" spans="1:7" ht="15.75">
      <c r="A30" s="21" t="s">
        <v>19</v>
      </c>
      <c r="B30" s="21"/>
      <c r="C30" s="12">
        <f>C27-C28</f>
        <v>161715</v>
      </c>
      <c r="D30" s="9"/>
      <c r="E30" s="12">
        <f>E27-E28</f>
        <v>15033.021000000008</v>
      </c>
      <c r="F30" s="9"/>
      <c r="G30" s="12">
        <f>G27-G28</f>
        <v>64507</v>
      </c>
    </row>
    <row r="31" spans="1:7" ht="15.75">
      <c r="A31" s="21"/>
      <c r="B31" s="21"/>
      <c r="C31" s="14" t="s">
        <v>20</v>
      </c>
      <c r="D31" s="9"/>
      <c r="E31" s="14" t="s">
        <v>20</v>
      </c>
      <c r="F31" s="9"/>
      <c r="G31" s="14" t="s">
        <v>20</v>
      </c>
    </row>
    <row r="32" spans="1:7" ht="15.75">
      <c r="A32" s="21" t="s">
        <v>21</v>
      </c>
      <c r="B32" s="21"/>
      <c r="C32" s="12">
        <v>2722254</v>
      </c>
      <c r="D32" s="9"/>
      <c r="E32" s="12">
        <f>566973601/1000</f>
        <v>566973.601</v>
      </c>
      <c r="F32" s="9"/>
      <c r="G32" s="12">
        <v>597515</v>
      </c>
    </row>
    <row r="33" spans="1:7" ht="15.75">
      <c r="A33" s="21"/>
      <c r="B33" s="21"/>
      <c r="C33" s="14" t="s">
        <v>20</v>
      </c>
      <c r="D33" s="9"/>
      <c r="E33" s="14" t="s">
        <v>20</v>
      </c>
      <c r="F33" s="9"/>
      <c r="G33" s="14" t="s">
        <v>20</v>
      </c>
    </row>
    <row r="34" spans="1:7" ht="15.75">
      <c r="A34" s="21" t="s">
        <v>25</v>
      </c>
      <c r="B34" s="21"/>
      <c r="C34" s="15">
        <f>C30/C32</f>
        <v>0.05940481674377189</v>
      </c>
      <c r="D34" s="9"/>
      <c r="E34" s="15">
        <f>E30/E32</f>
        <v>0.026514499041023265</v>
      </c>
      <c r="F34" s="9"/>
      <c r="G34" s="15">
        <f>G30/G32</f>
        <v>0.1079587960134892</v>
      </c>
    </row>
    <row r="35" spans="1:7" ht="15.75">
      <c r="A35" s="21"/>
      <c r="B35" s="21"/>
      <c r="C35" s="14" t="s">
        <v>20</v>
      </c>
      <c r="D35" s="9"/>
      <c r="E35" s="14" t="s">
        <v>20</v>
      </c>
      <c r="F35" s="9"/>
      <c r="G35" s="14" t="s">
        <v>20</v>
      </c>
    </row>
    <row r="36" spans="1:7" ht="15.75">
      <c r="A36" s="21"/>
      <c r="B36" s="21"/>
      <c r="C36" s="12"/>
      <c r="D36" s="9"/>
      <c r="E36" s="12"/>
      <c r="F36" s="9"/>
      <c r="G36" s="12"/>
    </row>
    <row r="37" spans="1:7" ht="15.75">
      <c r="A37" s="21" t="s">
        <v>26</v>
      </c>
      <c r="B37" s="21"/>
      <c r="C37" s="42">
        <v>0.0894</v>
      </c>
      <c r="D37" s="10"/>
      <c r="E37" s="42" t="s">
        <v>107</v>
      </c>
      <c r="F37" s="10"/>
      <c r="G37" s="42">
        <f>0.0903</f>
        <v>0.0903</v>
      </c>
    </row>
    <row r="38" spans="1:7" ht="15.75">
      <c r="A38" s="21" t="s">
        <v>27</v>
      </c>
      <c r="B38" s="21"/>
      <c r="C38" s="10" t="s">
        <v>28</v>
      </c>
      <c r="D38" s="10"/>
      <c r="E38" s="10" t="s">
        <v>108</v>
      </c>
      <c r="F38" s="10"/>
      <c r="G38" s="10" t="s">
        <v>76</v>
      </c>
    </row>
    <row r="39" spans="1:7" ht="15.75">
      <c r="A39" s="19" t="s">
        <v>103</v>
      </c>
      <c r="B39" s="20"/>
      <c r="C39" s="40" t="s">
        <v>118</v>
      </c>
      <c r="D39" s="39"/>
      <c r="E39" s="40" t="s">
        <v>109</v>
      </c>
      <c r="F39" s="39"/>
      <c r="G39" s="40" t="s">
        <v>106</v>
      </c>
    </row>
    <row r="40" spans="1:7" ht="15.75">
      <c r="A40" s="20"/>
      <c r="B40" s="20"/>
      <c r="C40" s="20"/>
      <c r="D40" s="20"/>
      <c r="E40" s="20"/>
      <c r="F40" s="20"/>
      <c r="G40" s="20"/>
    </row>
    <row r="41" spans="1:7" ht="15.75">
      <c r="A41" s="20"/>
      <c r="B41" s="20"/>
      <c r="C41" s="20"/>
      <c r="D41" s="20"/>
      <c r="E41" s="20"/>
      <c r="F41" s="20"/>
      <c r="G41" s="20"/>
    </row>
    <row r="42" spans="1:7" ht="15.75">
      <c r="A42" s="20"/>
      <c r="B42" s="20"/>
      <c r="C42" s="20"/>
      <c r="D42" s="20"/>
      <c r="E42" s="20"/>
      <c r="F42" s="20"/>
      <c r="G42" s="20"/>
    </row>
    <row r="43" spans="1:7" ht="15.75">
      <c r="A43" s="20"/>
      <c r="B43" s="20"/>
      <c r="C43" s="20"/>
      <c r="D43" s="20"/>
      <c r="E43" s="20"/>
      <c r="F43" s="20"/>
      <c r="G43" s="20"/>
    </row>
    <row r="44" spans="1:7" ht="15.75">
      <c r="A44" s="20"/>
      <c r="B44" s="20"/>
      <c r="C44" s="20"/>
      <c r="D44" s="20"/>
      <c r="E44" s="20"/>
      <c r="F44" s="20"/>
      <c r="G44" s="20"/>
    </row>
    <row r="45" spans="1:7" ht="15.75">
      <c r="A45" s="20"/>
      <c r="B45" s="20"/>
      <c r="C45" s="20"/>
      <c r="D45" s="20"/>
      <c r="E45" s="20"/>
      <c r="F45" s="20"/>
      <c r="G45" s="20"/>
    </row>
    <row r="46" spans="1:7" ht="15.75">
      <c r="A46" s="20"/>
      <c r="B46" s="20"/>
      <c r="C46" s="20"/>
      <c r="D46" s="20"/>
      <c r="E46" s="20"/>
      <c r="F46" s="20"/>
      <c r="G46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7">
      <selection activeCell="D23" sqref="D23"/>
    </sheetView>
  </sheetViews>
  <sheetFormatPr defaultColWidth="8.88671875" defaultRowHeight="15"/>
  <cols>
    <col min="1" max="1" width="34.3359375" style="0" bestFit="1" customWidth="1"/>
    <col min="2" max="2" width="14.3359375" style="0" customWidth="1"/>
    <col min="3" max="4" width="13.21484375" style="0" customWidth="1"/>
  </cols>
  <sheetData>
    <row r="1" spans="1:10" ht="15.75">
      <c r="A1" s="19"/>
      <c r="B1" s="64" t="s">
        <v>91</v>
      </c>
      <c r="C1" s="65"/>
      <c r="D1" s="65"/>
      <c r="E1" s="20"/>
      <c r="F1" s="20"/>
      <c r="G1" s="20"/>
      <c r="H1" s="20"/>
      <c r="I1" s="20"/>
      <c r="J1" s="20"/>
    </row>
    <row r="2" spans="1:10" ht="15.75">
      <c r="A2" s="19"/>
      <c r="B2" s="64" t="s">
        <v>92</v>
      </c>
      <c r="C2" s="65"/>
      <c r="D2" s="64"/>
      <c r="E2" s="20"/>
      <c r="F2" s="20"/>
      <c r="G2" s="20"/>
      <c r="H2" s="20"/>
      <c r="I2" s="20"/>
      <c r="J2" s="20"/>
    </row>
    <row r="3" spans="1:10" ht="15.75">
      <c r="A3" s="19"/>
      <c r="B3" s="64" t="s">
        <v>93</v>
      </c>
      <c r="C3" s="65"/>
      <c r="D3" s="64"/>
      <c r="E3" s="20"/>
      <c r="F3" s="20"/>
      <c r="G3" s="20"/>
      <c r="H3" s="20"/>
      <c r="I3" s="20"/>
      <c r="J3" s="20"/>
    </row>
    <row r="4" spans="1:10" ht="15.75">
      <c r="A4" s="19"/>
      <c r="B4" s="66" t="s">
        <v>90</v>
      </c>
      <c r="C4" s="65"/>
      <c r="D4" s="65"/>
      <c r="E4" s="20"/>
      <c r="F4" s="20"/>
      <c r="G4" s="20"/>
      <c r="H4" s="20"/>
      <c r="I4" s="20"/>
      <c r="J4" s="20"/>
    </row>
    <row r="5" spans="1:10" ht="15.75">
      <c r="A5" s="19"/>
      <c r="B5" s="19"/>
      <c r="C5" s="19"/>
      <c r="D5" s="19"/>
      <c r="E5" s="20"/>
      <c r="F5" s="20"/>
      <c r="G5" s="20"/>
      <c r="H5" s="20"/>
      <c r="I5" s="20"/>
      <c r="J5" s="20"/>
    </row>
    <row r="6" spans="1:10" ht="15.75">
      <c r="A6" s="19"/>
      <c r="B6" s="3">
        <v>37621</v>
      </c>
      <c r="C6" s="3">
        <v>37346</v>
      </c>
      <c r="D6" s="3">
        <v>37621</v>
      </c>
      <c r="E6" s="20"/>
      <c r="F6" s="20"/>
      <c r="G6" s="20"/>
      <c r="H6" s="20"/>
      <c r="I6" s="20"/>
      <c r="J6" s="20"/>
    </row>
    <row r="7" spans="1:10" ht="15.75">
      <c r="A7" s="19"/>
      <c r="B7" s="5" t="s">
        <v>56</v>
      </c>
      <c r="C7" s="5" t="s">
        <v>57</v>
      </c>
      <c r="D7" s="5" t="s">
        <v>58</v>
      </c>
      <c r="E7" s="20"/>
      <c r="F7" s="20"/>
      <c r="G7" s="20"/>
      <c r="H7" s="20"/>
      <c r="I7" s="20"/>
      <c r="J7" s="20"/>
    </row>
    <row r="8" spans="1:10" ht="16.5" thickBot="1">
      <c r="A8" s="19"/>
      <c r="B8" s="6" t="s">
        <v>59</v>
      </c>
      <c r="C8" s="6" t="s">
        <v>60</v>
      </c>
      <c r="D8" s="6" t="s">
        <v>61</v>
      </c>
      <c r="E8" s="20"/>
      <c r="F8" s="20"/>
      <c r="G8" s="20"/>
      <c r="H8" s="20"/>
      <c r="I8" s="20"/>
      <c r="J8" s="20"/>
    </row>
    <row r="9" spans="1:10" ht="15.75">
      <c r="A9" s="20"/>
      <c r="B9" s="16"/>
      <c r="C9" s="16"/>
      <c r="D9" s="16"/>
      <c r="E9" s="20"/>
      <c r="F9" s="20"/>
      <c r="G9" s="20"/>
      <c r="H9" s="20"/>
      <c r="I9" s="20"/>
      <c r="J9" s="20"/>
    </row>
    <row r="10" spans="1:10" ht="15.75">
      <c r="A10" s="21"/>
      <c r="B10" s="16"/>
      <c r="C10" s="16"/>
      <c r="D10" s="16"/>
      <c r="E10" s="20"/>
      <c r="F10" s="20"/>
      <c r="G10" s="20"/>
      <c r="H10" s="20"/>
      <c r="I10" s="20"/>
      <c r="J10" s="20"/>
    </row>
    <row r="11" spans="1:10" ht="15.75">
      <c r="A11" s="21" t="s">
        <v>10</v>
      </c>
      <c r="B11" s="8" t="s">
        <v>89</v>
      </c>
      <c r="C11" s="10" t="s">
        <v>85</v>
      </c>
      <c r="D11" s="8" t="s">
        <v>84</v>
      </c>
      <c r="E11" s="20"/>
      <c r="F11" s="20"/>
      <c r="G11" s="20"/>
      <c r="H11" s="20"/>
      <c r="I11" s="20"/>
      <c r="J11" s="20"/>
    </row>
    <row r="12" spans="1:10" ht="15.75">
      <c r="A12" s="21"/>
      <c r="B12" s="9"/>
      <c r="C12" s="9"/>
      <c r="D12" s="9"/>
      <c r="E12" s="20"/>
      <c r="F12" s="20"/>
      <c r="G12" s="20"/>
      <c r="H12" s="20"/>
      <c r="I12" s="20"/>
      <c r="J12" s="20"/>
    </row>
    <row r="13" spans="1:10" ht="15.75">
      <c r="A13" s="21" t="s">
        <v>14</v>
      </c>
      <c r="B13" s="10"/>
      <c r="C13" s="10"/>
      <c r="D13" s="10"/>
      <c r="E13" s="20"/>
      <c r="F13" s="20"/>
      <c r="G13" s="20"/>
      <c r="H13" s="20"/>
      <c r="I13" s="20"/>
      <c r="J13" s="20"/>
    </row>
    <row r="14" spans="1:10" ht="15.75">
      <c r="A14" s="21"/>
      <c r="B14" s="9"/>
      <c r="C14" s="9"/>
      <c r="D14" s="9"/>
      <c r="E14" s="20"/>
      <c r="F14" s="20"/>
      <c r="G14" s="20"/>
      <c r="H14" s="20"/>
      <c r="I14" s="20"/>
      <c r="J14" s="20"/>
    </row>
    <row r="15" spans="1:10" ht="15.75">
      <c r="A15" s="21" t="s">
        <v>15</v>
      </c>
      <c r="B15" s="9"/>
      <c r="C15" s="9"/>
      <c r="D15" s="9"/>
      <c r="E15" s="20"/>
      <c r="F15" s="20"/>
      <c r="G15" s="20"/>
      <c r="H15" s="20"/>
      <c r="I15" s="20"/>
      <c r="J15" s="20"/>
    </row>
    <row r="16" spans="1:10" ht="15.75">
      <c r="A16" s="21" t="s">
        <v>17</v>
      </c>
      <c r="B16" s="11">
        <f>1398023402/1000</f>
        <v>1398023.402</v>
      </c>
      <c r="C16" s="12">
        <f>339249313/1000</f>
        <v>339249.313</v>
      </c>
      <c r="D16" s="12">
        <v>387537</v>
      </c>
      <c r="E16" s="20"/>
      <c r="F16" s="20"/>
      <c r="G16" s="20"/>
      <c r="H16" s="20"/>
      <c r="I16" s="20"/>
      <c r="J16" s="20"/>
    </row>
    <row r="17" spans="1:10" ht="15.75">
      <c r="A17" s="21" t="s">
        <v>18</v>
      </c>
      <c r="B17" s="13">
        <f>1187222645/1000</f>
        <v>1187222.645</v>
      </c>
      <c r="C17" s="13">
        <f>302205330/1000</f>
        <v>302205.33</v>
      </c>
      <c r="D17" s="13">
        <f>299461+16833-2107</f>
        <v>314187</v>
      </c>
      <c r="E17" s="20"/>
      <c r="F17" s="20"/>
      <c r="G17" s="20"/>
      <c r="H17" s="20"/>
      <c r="I17" s="20"/>
      <c r="J17" s="20"/>
    </row>
    <row r="18" spans="1:10" ht="15.75">
      <c r="A18" s="21"/>
      <c r="B18" s="14" t="s">
        <v>9</v>
      </c>
      <c r="C18" s="14" t="s">
        <v>9</v>
      </c>
      <c r="D18" s="14" t="s">
        <v>9</v>
      </c>
      <c r="E18" s="20"/>
      <c r="F18" s="20"/>
      <c r="G18" s="20"/>
      <c r="H18" s="20"/>
      <c r="I18" s="20"/>
      <c r="J18" s="20"/>
    </row>
    <row r="19" spans="1:10" ht="15.75">
      <c r="A19" s="21" t="s">
        <v>19</v>
      </c>
      <c r="B19" s="12">
        <f>B16-B17</f>
        <v>210800.75699999998</v>
      </c>
      <c r="C19" s="12">
        <f>C16-C17</f>
        <v>37043.98300000001</v>
      </c>
      <c r="D19" s="12">
        <f>D16-D17</f>
        <v>73350</v>
      </c>
      <c r="E19" s="20"/>
      <c r="F19" s="20"/>
      <c r="G19" s="20"/>
      <c r="H19" s="20"/>
      <c r="I19" s="20"/>
      <c r="J19" s="20"/>
    </row>
    <row r="20" spans="1:10" ht="15.75">
      <c r="A20" s="21"/>
      <c r="B20" s="14" t="s">
        <v>20</v>
      </c>
      <c r="C20" s="14" t="s">
        <v>20</v>
      </c>
      <c r="D20" s="14" t="s">
        <v>20</v>
      </c>
      <c r="E20" s="20"/>
      <c r="F20" s="20"/>
      <c r="G20" s="20"/>
      <c r="H20" s="20"/>
      <c r="I20" s="20"/>
      <c r="J20" s="20"/>
    </row>
    <row r="21" spans="1:10" ht="15.75">
      <c r="A21" s="21" t="s">
        <v>21</v>
      </c>
      <c r="B21" s="12">
        <f>2703655257/1000</f>
        <v>2703655.257</v>
      </c>
      <c r="C21" s="12">
        <f>584975137/1000</f>
        <v>584975.137</v>
      </c>
      <c r="D21" s="12">
        <v>771248</v>
      </c>
      <c r="E21" s="20"/>
      <c r="F21" s="20"/>
      <c r="G21" s="20"/>
      <c r="H21" s="20"/>
      <c r="I21" s="20"/>
      <c r="J21" s="20"/>
    </row>
    <row r="22" spans="1:10" ht="15.75">
      <c r="A22" s="21"/>
      <c r="B22" s="14" t="s">
        <v>20</v>
      </c>
      <c r="C22" s="14" t="s">
        <v>20</v>
      </c>
      <c r="D22" s="14" t="s">
        <v>20</v>
      </c>
      <c r="E22" s="20"/>
      <c r="F22" s="20"/>
      <c r="G22" s="20"/>
      <c r="H22" s="20"/>
      <c r="I22" s="20"/>
      <c r="J22" s="20"/>
    </row>
    <row r="23" spans="1:10" ht="15.75">
      <c r="A23" s="21" t="s">
        <v>22</v>
      </c>
      <c r="B23" s="15">
        <f>B19/B21</f>
        <v>0.0779688003691367</v>
      </c>
      <c r="C23" s="15">
        <f>C19/C21</f>
        <v>0.06332573926129105</v>
      </c>
      <c r="D23" s="15">
        <f>D19/D21</f>
        <v>0.0951055950874427</v>
      </c>
      <c r="E23" s="20"/>
      <c r="F23" s="20"/>
      <c r="G23" s="20"/>
      <c r="H23" s="20"/>
      <c r="I23" s="20"/>
      <c r="J23" s="20"/>
    </row>
    <row r="24" spans="1:10" ht="15.75">
      <c r="A24" s="21"/>
      <c r="B24" s="14" t="s">
        <v>20</v>
      </c>
      <c r="C24" s="14" t="s">
        <v>20</v>
      </c>
      <c r="D24" s="14" t="s">
        <v>20</v>
      </c>
      <c r="E24" s="20"/>
      <c r="F24" s="20"/>
      <c r="G24" s="20"/>
      <c r="H24" s="20"/>
      <c r="I24" s="20"/>
      <c r="J24" s="20"/>
    </row>
    <row r="25" spans="1:10" ht="15.75">
      <c r="A25" s="21" t="s">
        <v>23</v>
      </c>
      <c r="B25" s="9"/>
      <c r="C25" s="9"/>
      <c r="D25" s="9"/>
      <c r="E25" s="20"/>
      <c r="F25" s="20"/>
      <c r="G25" s="20"/>
      <c r="H25" s="20"/>
      <c r="I25" s="20"/>
      <c r="J25" s="20"/>
    </row>
    <row r="26" spans="1:10" ht="15.75">
      <c r="A26" s="21" t="s">
        <v>87</v>
      </c>
      <c r="B26" s="9"/>
      <c r="C26" s="9" t="s">
        <v>86</v>
      </c>
      <c r="D26" s="9"/>
      <c r="E26" s="20"/>
      <c r="F26" s="20"/>
      <c r="G26" s="20"/>
      <c r="H26" s="20"/>
      <c r="I26" s="20"/>
      <c r="J26" s="20"/>
    </row>
    <row r="27" spans="1:10" ht="15.75">
      <c r="A27" s="21" t="s">
        <v>17</v>
      </c>
      <c r="B27" s="12">
        <f>1499823758/1000</f>
        <v>1499823.758</v>
      </c>
      <c r="C27" s="12">
        <f>345681559/1000</f>
        <v>345681.559</v>
      </c>
      <c r="D27" s="12">
        <v>338301</v>
      </c>
      <c r="E27" s="20"/>
      <c r="F27" s="20"/>
      <c r="G27" s="20"/>
      <c r="H27" s="20"/>
      <c r="I27" s="20"/>
      <c r="J27" s="20"/>
    </row>
    <row r="28" spans="1:10" ht="15.75">
      <c r="A28" s="21" t="s">
        <v>18</v>
      </c>
      <c r="B28" s="13">
        <f>1302664468/1000</f>
        <v>1302664.468</v>
      </c>
      <c r="C28" s="13">
        <f>322252679/1000</f>
        <v>322252.679</v>
      </c>
      <c r="D28" s="13">
        <f>260183+12532+3470</f>
        <v>276185</v>
      </c>
      <c r="E28" s="20"/>
      <c r="F28" s="20"/>
      <c r="G28" s="20"/>
      <c r="H28" s="20"/>
      <c r="I28" s="20"/>
      <c r="J28" s="20"/>
    </row>
    <row r="29" spans="1:10" ht="15.75">
      <c r="A29" s="21"/>
      <c r="B29" s="14" t="s">
        <v>9</v>
      </c>
      <c r="C29" s="14" t="s">
        <v>9</v>
      </c>
      <c r="D29" s="14" t="s">
        <v>9</v>
      </c>
      <c r="E29" s="20"/>
      <c r="F29" s="20"/>
      <c r="G29" s="20"/>
      <c r="H29" s="20"/>
      <c r="I29" s="20"/>
      <c r="J29" s="20"/>
    </row>
    <row r="30" spans="1:10" ht="15.75">
      <c r="A30" s="21" t="s">
        <v>19</v>
      </c>
      <c r="B30" s="12">
        <f>B27-B28</f>
        <v>197159.2899999998</v>
      </c>
      <c r="C30" s="12">
        <f>C27-C28</f>
        <v>23428.880000000005</v>
      </c>
      <c r="D30" s="12">
        <f>D27-D28</f>
        <v>62116</v>
      </c>
      <c r="E30" s="20"/>
      <c r="F30" s="20"/>
      <c r="G30" s="20"/>
      <c r="H30" s="20"/>
      <c r="I30" s="20"/>
      <c r="J30" s="20"/>
    </row>
    <row r="31" spans="1:10" ht="15.75">
      <c r="A31" s="21"/>
      <c r="B31" s="14" t="s">
        <v>20</v>
      </c>
      <c r="C31" s="14" t="s">
        <v>20</v>
      </c>
      <c r="D31" s="14" t="s">
        <v>20</v>
      </c>
      <c r="E31" s="20"/>
      <c r="F31" s="20"/>
      <c r="G31" s="20"/>
      <c r="H31" s="20"/>
      <c r="I31" s="20"/>
      <c r="J31" s="20"/>
    </row>
    <row r="32" spans="1:10" ht="15.75">
      <c r="A32" s="21" t="s">
        <v>21</v>
      </c>
      <c r="B32" s="12">
        <f>2703792729/1000</f>
        <v>2703792.729</v>
      </c>
      <c r="C32" s="12">
        <f>562313866/1000</f>
        <v>562313.866</v>
      </c>
      <c r="D32" s="12">
        <v>761858</v>
      </c>
      <c r="E32" s="20"/>
      <c r="F32" s="20"/>
      <c r="G32" s="20"/>
      <c r="H32" s="20"/>
      <c r="I32" s="20"/>
      <c r="J32" s="20"/>
    </row>
    <row r="33" spans="1:10" ht="15.75">
      <c r="A33" s="21"/>
      <c r="B33" s="14" t="s">
        <v>20</v>
      </c>
      <c r="C33" s="14" t="s">
        <v>20</v>
      </c>
      <c r="D33" s="14" t="s">
        <v>20</v>
      </c>
      <c r="E33" s="20"/>
      <c r="F33" s="20"/>
      <c r="G33" s="20"/>
      <c r="H33" s="20"/>
      <c r="I33" s="20"/>
      <c r="J33" s="20"/>
    </row>
    <row r="34" spans="1:10" ht="15.75">
      <c r="A34" s="21" t="s">
        <v>25</v>
      </c>
      <c r="B34" s="15">
        <f>B30/B32</f>
        <v>0.07291952814479213</v>
      </c>
      <c r="C34" s="15">
        <f>C30/C32</f>
        <v>0.04166512941724258</v>
      </c>
      <c r="D34" s="15">
        <f>D30/D32</f>
        <v>0.08153225404209183</v>
      </c>
      <c r="E34" s="20"/>
      <c r="F34" s="20"/>
      <c r="G34" s="20"/>
      <c r="H34" s="20"/>
      <c r="I34" s="20"/>
      <c r="J34" s="20"/>
    </row>
    <row r="35" spans="1:10" ht="15.75">
      <c r="A35" s="21"/>
      <c r="B35" s="14" t="s">
        <v>20</v>
      </c>
      <c r="C35" s="14" t="s">
        <v>20</v>
      </c>
      <c r="D35" s="14" t="s">
        <v>20</v>
      </c>
      <c r="E35" s="20"/>
      <c r="F35" s="20"/>
      <c r="G35" s="20"/>
      <c r="H35" s="20"/>
      <c r="I35" s="20"/>
      <c r="J35" s="20"/>
    </row>
    <row r="36" spans="1:10" ht="15.75">
      <c r="A36" s="21"/>
      <c r="B36" s="12"/>
      <c r="C36" s="12"/>
      <c r="D36" s="12"/>
      <c r="E36" s="20"/>
      <c r="F36" s="20"/>
      <c r="G36" s="20"/>
      <c r="H36" s="20"/>
      <c r="I36" s="20"/>
      <c r="J36" s="20"/>
    </row>
    <row r="37" spans="1:10" ht="15.75">
      <c r="A37" s="21" t="s">
        <v>26</v>
      </c>
      <c r="B37" s="42">
        <v>0.0894</v>
      </c>
      <c r="C37" s="42" t="s">
        <v>107</v>
      </c>
      <c r="D37" s="42">
        <v>0.0972</v>
      </c>
      <c r="E37" s="39"/>
      <c r="F37" s="20"/>
      <c r="G37" s="20"/>
      <c r="H37" s="20"/>
      <c r="I37" s="20"/>
      <c r="J37" s="20"/>
    </row>
    <row r="38" spans="1:10" ht="15.75">
      <c r="A38" s="21" t="s">
        <v>27</v>
      </c>
      <c r="B38" s="10" t="s">
        <v>28</v>
      </c>
      <c r="C38" s="10" t="s">
        <v>108</v>
      </c>
      <c r="D38" s="10" t="s">
        <v>105</v>
      </c>
      <c r="E38" s="39"/>
      <c r="F38" s="20"/>
      <c r="G38" s="20"/>
      <c r="H38" s="20"/>
      <c r="I38" s="20"/>
      <c r="J38" s="20"/>
    </row>
    <row r="39" spans="1:10" ht="15.75">
      <c r="A39" s="20" t="s">
        <v>103</v>
      </c>
      <c r="B39" s="40" t="s">
        <v>118</v>
      </c>
      <c r="C39" s="40" t="s">
        <v>109</v>
      </c>
      <c r="D39" s="41">
        <v>37425</v>
      </c>
      <c r="E39" s="39"/>
      <c r="F39" s="20"/>
      <c r="G39" s="20"/>
      <c r="H39" s="20"/>
      <c r="I39" s="20"/>
      <c r="J39" s="20"/>
    </row>
    <row r="40" spans="1:10" ht="15.75">
      <c r="A40" s="20"/>
      <c r="B40" s="16"/>
      <c r="C40" s="16"/>
      <c r="D40" s="17"/>
      <c r="E40" s="20"/>
      <c r="F40" s="20"/>
      <c r="G40" s="20"/>
      <c r="H40" s="20"/>
      <c r="I40" s="20"/>
      <c r="J40" s="20"/>
    </row>
    <row r="41" spans="1:10" ht="15.75">
      <c r="A41" s="21" t="s">
        <v>23</v>
      </c>
      <c r="B41" s="9"/>
      <c r="C41" s="9"/>
      <c r="D41" s="18"/>
      <c r="E41" s="20"/>
      <c r="F41" s="20"/>
      <c r="G41" s="20"/>
      <c r="H41" s="20"/>
      <c r="I41" s="20"/>
      <c r="J41" s="20"/>
    </row>
    <row r="42" spans="1:10" ht="15.75">
      <c r="A42" s="51" t="s">
        <v>88</v>
      </c>
      <c r="B42" s="9"/>
      <c r="C42" s="9" t="s">
        <v>86</v>
      </c>
      <c r="D42" s="9"/>
      <c r="E42" s="20"/>
      <c r="F42" s="20"/>
      <c r="G42" s="20"/>
      <c r="H42" s="20"/>
      <c r="I42" s="20"/>
      <c r="J42" s="20"/>
    </row>
    <row r="43" spans="1:10" ht="15.75">
      <c r="A43" s="21" t="s">
        <v>17</v>
      </c>
      <c r="B43" s="12"/>
      <c r="C43" s="12">
        <f>345681559/1000</f>
        <v>345681.559</v>
      </c>
      <c r="D43" s="12">
        <v>317641</v>
      </c>
      <c r="E43" s="20"/>
      <c r="F43" s="20"/>
      <c r="G43" s="20"/>
      <c r="H43" s="20"/>
      <c r="I43" s="20"/>
      <c r="J43" s="20"/>
    </row>
    <row r="44" spans="1:10" ht="15.75">
      <c r="A44" s="21" t="s">
        <v>18</v>
      </c>
      <c r="B44" s="13"/>
      <c r="C44" s="13">
        <f>322252679/1000</f>
        <v>322252.679</v>
      </c>
      <c r="D44" s="13">
        <v>263201</v>
      </c>
      <c r="E44" s="20"/>
      <c r="F44" s="20"/>
      <c r="G44" s="20"/>
      <c r="H44" s="20"/>
      <c r="I44" s="20"/>
      <c r="J44" s="20"/>
    </row>
    <row r="45" spans="1:10" ht="15.75">
      <c r="A45" s="21"/>
      <c r="B45" s="14" t="s">
        <v>9</v>
      </c>
      <c r="C45" s="14" t="s">
        <v>9</v>
      </c>
      <c r="D45" s="14" t="s">
        <v>9</v>
      </c>
      <c r="E45" s="20"/>
      <c r="F45" s="20"/>
      <c r="G45" s="20"/>
      <c r="H45" s="20"/>
      <c r="I45" s="20"/>
      <c r="J45" s="20"/>
    </row>
    <row r="46" spans="1:10" ht="15.75">
      <c r="A46" s="21" t="s">
        <v>19</v>
      </c>
      <c r="B46" s="12">
        <f>B43-B44</f>
        <v>0</v>
      </c>
      <c r="C46" s="12">
        <f>C43-C44</f>
        <v>23428.880000000005</v>
      </c>
      <c r="D46" s="12">
        <f>D43-D44</f>
        <v>54440</v>
      </c>
      <c r="E46" s="20"/>
      <c r="F46" s="20"/>
      <c r="G46" s="20"/>
      <c r="H46" s="20"/>
      <c r="I46" s="20"/>
      <c r="J46" s="20"/>
    </row>
    <row r="47" spans="1:10" ht="15.75">
      <c r="A47" s="21"/>
      <c r="B47" s="14" t="s">
        <v>20</v>
      </c>
      <c r="C47" s="14" t="s">
        <v>20</v>
      </c>
      <c r="D47" s="14" t="s">
        <v>20</v>
      </c>
      <c r="E47" s="50"/>
      <c r="F47" s="20"/>
      <c r="G47" s="20"/>
      <c r="H47" s="20"/>
      <c r="I47" s="20"/>
      <c r="J47" s="20"/>
    </row>
    <row r="48" spans="1:10" ht="15.75">
      <c r="A48" s="21" t="s">
        <v>21</v>
      </c>
      <c r="B48" s="12"/>
      <c r="C48" s="12">
        <f>562313866/1000</f>
        <v>562313.866</v>
      </c>
      <c r="D48" s="12">
        <v>683022</v>
      </c>
      <c r="E48" s="20"/>
      <c r="F48" s="20"/>
      <c r="G48" s="20"/>
      <c r="H48" s="20"/>
      <c r="I48" s="20"/>
      <c r="J48" s="20"/>
    </row>
    <row r="49" spans="1:10" ht="15.75">
      <c r="A49" s="21"/>
      <c r="B49" s="14" t="s">
        <v>20</v>
      </c>
      <c r="C49" s="14" t="s">
        <v>20</v>
      </c>
      <c r="D49" s="14" t="s">
        <v>20</v>
      </c>
      <c r="E49" s="20"/>
      <c r="F49" s="20"/>
      <c r="G49" s="20"/>
      <c r="H49" s="20"/>
      <c r="I49" s="20"/>
      <c r="J49" s="20"/>
    </row>
    <row r="50" spans="1:10" ht="15.75">
      <c r="A50" s="21" t="s">
        <v>25</v>
      </c>
      <c r="B50" s="15">
        <v>0</v>
      </c>
      <c r="C50" s="15">
        <f>C46/C48</f>
        <v>0.04166512941724258</v>
      </c>
      <c r="D50" s="15">
        <f>D46/D48</f>
        <v>0.07970460687942701</v>
      </c>
      <c r="E50" s="20"/>
      <c r="F50" s="20"/>
      <c r="G50" s="20"/>
      <c r="H50" s="20"/>
      <c r="I50" s="20"/>
      <c r="J50" s="20"/>
    </row>
    <row r="51" spans="1:10" ht="15.75">
      <c r="A51" s="21"/>
      <c r="B51" s="14" t="s">
        <v>20</v>
      </c>
      <c r="C51" s="14" t="s">
        <v>20</v>
      </c>
      <c r="D51" s="14" t="s">
        <v>20</v>
      </c>
      <c r="E51" s="20"/>
      <c r="F51" s="20"/>
      <c r="G51" s="20"/>
      <c r="H51" s="20"/>
      <c r="I51" s="20"/>
      <c r="J51" s="20"/>
    </row>
    <row r="52" spans="1:10" ht="15.75">
      <c r="A52" s="21"/>
      <c r="B52" s="23"/>
      <c r="C52" s="23"/>
      <c r="D52" s="23"/>
      <c r="E52" s="20"/>
      <c r="F52" s="20"/>
      <c r="G52" s="20"/>
      <c r="H52" s="20"/>
      <c r="I52" s="20"/>
      <c r="J52" s="20"/>
    </row>
    <row r="53" spans="1:10" ht="15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75">
      <c r="A55" s="20"/>
      <c r="B55" s="24"/>
      <c r="C55" s="24"/>
      <c r="D55" s="24"/>
      <c r="E55" s="20"/>
      <c r="F55" s="20"/>
      <c r="G55" s="20"/>
      <c r="H55" s="20"/>
      <c r="I55" s="20"/>
      <c r="J55" s="20"/>
    </row>
    <row r="56" spans="1:10" ht="15.75">
      <c r="A56" s="20"/>
      <c r="B56" s="25"/>
      <c r="C56" s="25"/>
      <c r="D56" s="25"/>
      <c r="E56" s="20"/>
      <c r="F56" s="20"/>
      <c r="G56" s="20"/>
      <c r="H56" s="20"/>
      <c r="I56" s="20"/>
      <c r="J56" s="20"/>
    </row>
    <row r="57" spans="1:10" ht="15.75">
      <c r="A57" s="20"/>
      <c r="B57" s="26"/>
      <c r="C57" s="26"/>
      <c r="D57" s="26"/>
      <c r="E57" s="20"/>
      <c r="F57" s="20"/>
      <c r="G57" s="20"/>
      <c r="H57" s="20"/>
      <c r="I57" s="20"/>
      <c r="J57" s="20"/>
    </row>
    <row r="58" spans="1:10" ht="15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5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5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5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5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</sheetData>
  <mergeCells count="4"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7">
      <selection activeCell="G23" sqref="G23"/>
    </sheetView>
  </sheetViews>
  <sheetFormatPr defaultColWidth="8.88671875" defaultRowHeight="15"/>
  <cols>
    <col min="2" max="2" width="14.99609375" style="0" customWidth="1"/>
    <col min="3" max="3" width="13.99609375" style="0" bestFit="1" customWidth="1"/>
    <col min="4" max="4" width="2.10546875" style="0" customWidth="1"/>
    <col min="5" max="5" width="12.5546875" style="0" customWidth="1"/>
    <col min="6" max="6" width="2.21484375" style="0" customWidth="1"/>
    <col min="7" max="7" width="12.10546875" style="0" bestFit="1" customWidth="1"/>
  </cols>
  <sheetData>
    <row r="1" spans="1:8" ht="15.75">
      <c r="A1" s="19"/>
      <c r="B1" s="19"/>
      <c r="C1" s="19" t="s">
        <v>31</v>
      </c>
      <c r="D1" s="19"/>
      <c r="E1" s="19"/>
      <c r="F1" s="19"/>
      <c r="G1" s="19"/>
      <c r="H1" s="20"/>
    </row>
    <row r="2" spans="1:8" ht="15.75">
      <c r="A2" s="19"/>
      <c r="B2" s="19" t="s">
        <v>32</v>
      </c>
      <c r="C2" s="19"/>
      <c r="D2" s="19"/>
      <c r="E2" s="19"/>
      <c r="F2" s="19"/>
      <c r="G2" s="19"/>
      <c r="H2" s="20"/>
    </row>
    <row r="3" spans="1:8" ht="15.75">
      <c r="A3" s="19"/>
      <c r="B3" s="19" t="s">
        <v>77</v>
      </c>
      <c r="C3" s="19"/>
      <c r="D3" s="19"/>
      <c r="E3" s="19"/>
      <c r="F3" s="19"/>
      <c r="G3" s="19"/>
      <c r="H3" s="20"/>
    </row>
    <row r="4" spans="1:8" ht="15.75">
      <c r="A4" s="19"/>
      <c r="B4" s="19"/>
      <c r="C4" s="19"/>
      <c r="D4" s="5" t="s">
        <v>34</v>
      </c>
      <c r="E4" s="19"/>
      <c r="F4" s="19"/>
      <c r="G4" s="19"/>
      <c r="H4" s="20"/>
    </row>
    <row r="5" spans="1:8" ht="15.75">
      <c r="A5" s="19"/>
      <c r="B5" s="19"/>
      <c r="C5" s="19"/>
      <c r="D5" s="19"/>
      <c r="E5" s="19"/>
      <c r="F5" s="19"/>
      <c r="G5" s="19"/>
      <c r="H5" s="20"/>
    </row>
    <row r="6" spans="1:8" ht="15.75">
      <c r="A6" s="19"/>
      <c r="B6" s="19"/>
      <c r="C6" s="3">
        <v>37986</v>
      </c>
      <c r="D6" s="19"/>
      <c r="E6" s="3">
        <v>37711</v>
      </c>
      <c r="F6" s="19"/>
      <c r="G6" s="3">
        <v>37986</v>
      </c>
      <c r="H6" s="20"/>
    </row>
    <row r="7" spans="1:8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  <c r="H7" s="20"/>
    </row>
    <row r="8" spans="1:8" ht="16.5" thickBot="1">
      <c r="A8" s="19"/>
      <c r="B8" s="19"/>
      <c r="C8" s="6" t="s">
        <v>59</v>
      </c>
      <c r="D8" s="22"/>
      <c r="E8" s="6" t="s">
        <v>60</v>
      </c>
      <c r="F8" s="22"/>
      <c r="G8" s="6" t="s">
        <v>61</v>
      </c>
      <c r="H8" s="20"/>
    </row>
    <row r="9" spans="1:8" ht="15.75">
      <c r="A9" s="20"/>
      <c r="B9" s="20"/>
      <c r="C9" s="20"/>
      <c r="D9" s="20"/>
      <c r="E9" s="20"/>
      <c r="F9" s="20"/>
      <c r="G9" s="20"/>
      <c r="H9" s="20"/>
    </row>
    <row r="10" spans="1:8" ht="15.75">
      <c r="A10" s="21"/>
      <c r="B10" s="20"/>
      <c r="C10" s="20"/>
      <c r="D10" s="20"/>
      <c r="E10" s="20"/>
      <c r="F10" s="20"/>
      <c r="G10" s="20"/>
      <c r="H10" s="20"/>
    </row>
    <row r="11" spans="1:8" ht="15.75">
      <c r="A11" s="21" t="s">
        <v>10</v>
      </c>
      <c r="B11" s="21"/>
      <c r="C11" s="8" t="s">
        <v>94</v>
      </c>
      <c r="D11" s="9"/>
      <c r="E11" s="10" t="s">
        <v>99</v>
      </c>
      <c r="F11" s="9"/>
      <c r="G11" s="10" t="s">
        <v>98</v>
      </c>
      <c r="H11" s="20"/>
    </row>
    <row r="12" spans="1:8" ht="15.75">
      <c r="A12" s="21"/>
      <c r="B12" s="21"/>
      <c r="C12" s="9"/>
      <c r="D12" s="9"/>
      <c r="E12" s="9"/>
      <c r="F12" s="9"/>
      <c r="G12" s="9"/>
      <c r="H12" s="20"/>
    </row>
    <row r="13" spans="1:8" ht="15.75">
      <c r="A13" s="21" t="s">
        <v>14</v>
      </c>
      <c r="B13" s="21"/>
      <c r="C13" s="10"/>
      <c r="D13" s="9"/>
      <c r="E13" s="10"/>
      <c r="F13" s="9"/>
      <c r="G13" s="10"/>
      <c r="H13" s="20"/>
    </row>
    <row r="14" spans="1:8" ht="15.75">
      <c r="A14" s="21"/>
      <c r="B14" s="21"/>
      <c r="C14" s="9"/>
      <c r="D14" s="9"/>
      <c r="E14" s="9"/>
      <c r="F14" s="9"/>
      <c r="G14" s="9"/>
      <c r="H14" s="20"/>
    </row>
    <row r="15" spans="1:8" ht="15.75">
      <c r="A15" s="21" t="s">
        <v>15</v>
      </c>
      <c r="B15" s="21"/>
      <c r="C15" s="9"/>
      <c r="D15" s="9"/>
      <c r="E15" s="9"/>
      <c r="F15" s="9"/>
      <c r="G15" s="9"/>
      <c r="H15" s="20"/>
    </row>
    <row r="16" spans="1:8" ht="15.75">
      <c r="A16" s="21" t="s">
        <v>17</v>
      </c>
      <c r="B16" s="21"/>
      <c r="C16" s="11">
        <v>1516768</v>
      </c>
      <c r="D16" s="9"/>
      <c r="E16" s="12">
        <f>291176744/1000</f>
        <v>291176.744</v>
      </c>
      <c r="F16" s="9"/>
      <c r="G16" s="12">
        <v>427839</v>
      </c>
      <c r="H16" s="20"/>
    </row>
    <row r="17" spans="1:8" ht="15.75">
      <c r="A17" s="21" t="s">
        <v>18</v>
      </c>
      <c r="B17" s="21"/>
      <c r="C17" s="13">
        <v>1303294</v>
      </c>
      <c r="D17" s="9"/>
      <c r="E17" s="13">
        <f>250988930/1000</f>
        <v>250988.93</v>
      </c>
      <c r="F17" s="9"/>
      <c r="G17" s="13">
        <v>356990</v>
      </c>
      <c r="H17" s="20"/>
    </row>
    <row r="18" spans="1:8" ht="15.75">
      <c r="A18" s="21"/>
      <c r="B18" s="21"/>
      <c r="C18" s="14" t="s">
        <v>9</v>
      </c>
      <c r="D18" s="9"/>
      <c r="E18" s="14" t="s">
        <v>9</v>
      </c>
      <c r="F18" s="9"/>
      <c r="G18" s="14" t="s">
        <v>9</v>
      </c>
      <c r="H18" s="20"/>
    </row>
    <row r="19" spans="1:8" ht="15.75">
      <c r="A19" s="21" t="s">
        <v>19</v>
      </c>
      <c r="B19" s="21"/>
      <c r="C19" s="12">
        <f>C16-C17</f>
        <v>213474</v>
      </c>
      <c r="D19" s="9"/>
      <c r="E19" s="12">
        <f>E16-E17</f>
        <v>40187.81400000001</v>
      </c>
      <c r="F19" s="9"/>
      <c r="G19" s="12">
        <f>G16-G17</f>
        <v>70849</v>
      </c>
      <c r="H19" s="20"/>
    </row>
    <row r="20" spans="1:8" ht="15.75">
      <c r="A20" s="21"/>
      <c r="B20" s="21"/>
      <c r="C20" s="14" t="s">
        <v>20</v>
      </c>
      <c r="D20" s="9"/>
      <c r="E20" s="14" t="s">
        <v>20</v>
      </c>
      <c r="F20" s="9"/>
      <c r="G20" s="14" t="s">
        <v>20</v>
      </c>
      <c r="H20" s="20"/>
    </row>
    <row r="21" spans="1:8" ht="15.75">
      <c r="A21" s="21" t="s">
        <v>21</v>
      </c>
      <c r="B21" s="21"/>
      <c r="C21" s="12">
        <v>2613992</v>
      </c>
      <c r="D21" s="9"/>
      <c r="E21" s="12">
        <f>579797966/1000</f>
        <v>579797.966</v>
      </c>
      <c r="F21" s="9"/>
      <c r="G21" s="12">
        <v>818465</v>
      </c>
      <c r="H21" s="20"/>
    </row>
    <row r="22" spans="1:8" ht="15.75">
      <c r="A22" s="21"/>
      <c r="B22" s="21"/>
      <c r="C22" s="14" t="s">
        <v>20</v>
      </c>
      <c r="D22" s="9"/>
      <c r="E22" s="14" t="s">
        <v>20</v>
      </c>
      <c r="F22" s="9"/>
      <c r="G22" s="14" t="s">
        <v>20</v>
      </c>
      <c r="H22" s="20"/>
    </row>
    <row r="23" spans="1:8" ht="15.75">
      <c r="A23" s="21" t="s">
        <v>22</v>
      </c>
      <c r="B23" s="21"/>
      <c r="C23" s="15">
        <f>C19/C21</f>
        <v>0.08166589645262877</v>
      </c>
      <c r="D23" s="9"/>
      <c r="E23" s="15">
        <f>E19/E21</f>
        <v>0.06931347875752984</v>
      </c>
      <c r="F23" s="9"/>
      <c r="G23" s="15">
        <f>G19/G21</f>
        <v>0.08656326171552846</v>
      </c>
      <c r="H23" s="20"/>
    </row>
    <row r="24" spans="1:8" ht="15.75">
      <c r="A24" s="21"/>
      <c r="B24" s="21"/>
      <c r="C24" s="14" t="s">
        <v>20</v>
      </c>
      <c r="D24" s="9"/>
      <c r="E24" s="14" t="s">
        <v>20</v>
      </c>
      <c r="F24" s="9"/>
      <c r="G24" s="14" t="s">
        <v>20</v>
      </c>
      <c r="H24" s="20"/>
    </row>
    <row r="25" spans="1:8" ht="15.75">
      <c r="A25" s="21" t="s">
        <v>23</v>
      </c>
      <c r="B25" s="21"/>
      <c r="C25" s="9"/>
      <c r="D25" s="9"/>
      <c r="E25" s="9"/>
      <c r="F25" s="9"/>
      <c r="G25" s="9"/>
      <c r="H25" s="20"/>
    </row>
    <row r="26" spans="1:8" ht="15.75">
      <c r="A26" s="21" t="s">
        <v>24</v>
      </c>
      <c r="B26" s="21"/>
      <c r="C26" s="9"/>
      <c r="D26" s="9"/>
      <c r="E26" s="9"/>
      <c r="F26" s="9"/>
      <c r="G26" s="9"/>
      <c r="H26" s="20"/>
    </row>
    <row r="27" spans="1:8" ht="15.75">
      <c r="A27" s="21" t="s">
        <v>17</v>
      </c>
      <c r="B27" s="21"/>
      <c r="C27" s="12">
        <v>1626061</v>
      </c>
      <c r="D27" s="9"/>
      <c r="E27" s="12">
        <f>295963913/1000</f>
        <v>295963.913</v>
      </c>
      <c r="F27" s="9"/>
      <c r="G27" s="12">
        <v>376604</v>
      </c>
      <c r="H27" s="20"/>
    </row>
    <row r="28" spans="1:8" ht="15.75">
      <c r="A28" s="21" t="s">
        <v>18</v>
      </c>
      <c r="B28" s="21"/>
      <c r="C28" s="13">
        <v>1395000</v>
      </c>
      <c r="D28" s="9"/>
      <c r="E28" s="13">
        <f>264911401/1000</f>
        <v>264911.401</v>
      </c>
      <c r="F28" s="9"/>
      <c r="G28" s="13">
        <v>308315</v>
      </c>
      <c r="H28" s="20"/>
    </row>
    <row r="29" spans="1:8" ht="15.75">
      <c r="A29" s="21"/>
      <c r="B29" s="21"/>
      <c r="C29" s="14" t="s">
        <v>9</v>
      </c>
      <c r="D29" s="9"/>
      <c r="E29" s="14" t="s">
        <v>9</v>
      </c>
      <c r="F29" s="9"/>
      <c r="G29" s="14" t="s">
        <v>9</v>
      </c>
      <c r="H29" s="20"/>
    </row>
    <row r="30" spans="1:8" ht="15.75">
      <c r="A30" s="21" t="s">
        <v>19</v>
      </c>
      <c r="B30" s="21"/>
      <c r="C30" s="12">
        <f>C27-C28</f>
        <v>231061</v>
      </c>
      <c r="D30" s="9"/>
      <c r="E30" s="12">
        <f>E27-E28</f>
        <v>31052.511999999988</v>
      </c>
      <c r="F30" s="9"/>
      <c r="G30" s="12">
        <f>G27-G28</f>
        <v>68289</v>
      </c>
      <c r="H30" s="20"/>
    </row>
    <row r="31" spans="1:8" ht="15.75">
      <c r="A31" s="21"/>
      <c r="B31" s="21"/>
      <c r="C31" s="14" t="s">
        <v>20</v>
      </c>
      <c r="D31" s="9"/>
      <c r="E31" s="14" t="s">
        <v>20</v>
      </c>
      <c r="F31" s="9"/>
      <c r="G31" s="14" t="s">
        <v>20</v>
      </c>
      <c r="H31" s="20"/>
    </row>
    <row r="32" spans="1:8" ht="15.75">
      <c r="A32" s="21" t="s">
        <v>21</v>
      </c>
      <c r="B32" s="21"/>
      <c r="C32" s="12">
        <v>2613857</v>
      </c>
      <c r="D32" s="9"/>
      <c r="E32" s="12">
        <f>556696675/1000</f>
        <v>556696.675</v>
      </c>
      <c r="F32" s="9"/>
      <c r="G32" s="12">
        <v>742443</v>
      </c>
      <c r="H32" s="20"/>
    </row>
    <row r="33" spans="1:8" ht="15.75">
      <c r="A33" s="21"/>
      <c r="B33" s="21"/>
      <c r="C33" s="14" t="s">
        <v>20</v>
      </c>
      <c r="D33" s="9"/>
      <c r="E33" s="14" t="s">
        <v>20</v>
      </c>
      <c r="F33" s="9"/>
      <c r="G33" s="14" t="s">
        <v>20</v>
      </c>
      <c r="H33" s="20"/>
    </row>
    <row r="34" spans="1:8" ht="15.75">
      <c r="A34" s="21" t="s">
        <v>25</v>
      </c>
      <c r="B34" s="21"/>
      <c r="C34" s="15">
        <f>C30/C32</f>
        <v>0.08839848545654946</v>
      </c>
      <c r="D34" s="9"/>
      <c r="E34" s="15">
        <f>E30/E32</f>
        <v>0.05577994874857118</v>
      </c>
      <c r="F34" s="9"/>
      <c r="G34" s="15">
        <f>G30/G32</f>
        <v>0.09197877816882913</v>
      </c>
      <c r="H34" s="20"/>
    </row>
    <row r="35" spans="1:8" ht="15.75">
      <c r="A35" s="21"/>
      <c r="B35" s="21"/>
      <c r="C35" s="14" t="s">
        <v>20</v>
      </c>
      <c r="D35" s="9"/>
      <c r="E35" s="14" t="s">
        <v>20</v>
      </c>
      <c r="F35" s="9"/>
      <c r="G35" s="14" t="s">
        <v>20</v>
      </c>
      <c r="H35" s="20"/>
    </row>
    <row r="36" spans="1:8" ht="15.75">
      <c r="A36" s="21"/>
      <c r="B36" s="21"/>
      <c r="C36" s="12"/>
      <c r="D36" s="9"/>
      <c r="E36" s="12"/>
      <c r="F36" s="9"/>
      <c r="G36" s="12"/>
      <c r="H36" s="20"/>
    </row>
    <row r="37" spans="1:8" ht="15.75">
      <c r="A37" s="21" t="s">
        <v>26</v>
      </c>
      <c r="B37" s="21"/>
      <c r="C37" s="42">
        <v>0.0876</v>
      </c>
      <c r="D37" s="10"/>
      <c r="E37" s="42" t="s">
        <v>107</v>
      </c>
      <c r="F37" s="10"/>
      <c r="G37" s="42">
        <v>0.0972</v>
      </c>
      <c r="H37" s="20"/>
    </row>
    <row r="38" spans="1:8" ht="15.75">
      <c r="A38" s="21" t="s">
        <v>27</v>
      </c>
      <c r="B38" s="21"/>
      <c r="C38" s="10" t="s">
        <v>95</v>
      </c>
      <c r="D38" s="10"/>
      <c r="E38" s="10" t="s">
        <v>108</v>
      </c>
      <c r="F38" s="10"/>
      <c r="G38" s="10" t="s">
        <v>105</v>
      </c>
      <c r="H38" s="20"/>
    </row>
    <row r="39" spans="1:8" ht="15.75">
      <c r="A39" s="20" t="s">
        <v>103</v>
      </c>
      <c r="B39" s="20"/>
      <c r="C39" s="41">
        <v>37427</v>
      </c>
      <c r="D39" s="39"/>
      <c r="E39" s="40" t="s">
        <v>109</v>
      </c>
      <c r="F39" s="39"/>
      <c r="G39" s="41">
        <v>37425</v>
      </c>
      <c r="H39" s="20"/>
    </row>
    <row r="40" spans="1:8" ht="15.75">
      <c r="A40" s="20"/>
      <c r="B40" s="20"/>
      <c r="C40" s="20"/>
      <c r="D40" s="20"/>
      <c r="E40" s="20"/>
      <c r="F40" s="20"/>
      <c r="G40" s="20"/>
      <c r="H40" s="20"/>
    </row>
    <row r="41" spans="1:8" ht="15.75">
      <c r="A41" s="20"/>
      <c r="B41" s="20"/>
      <c r="C41" s="20"/>
      <c r="D41" s="20"/>
      <c r="E41" s="20"/>
      <c r="F41" s="20"/>
      <c r="G41" s="20"/>
      <c r="H41" s="20"/>
    </row>
    <row r="42" spans="1:8" ht="15.75">
      <c r="A42" s="20"/>
      <c r="B42" s="20"/>
      <c r="C42" s="20"/>
      <c r="D42" s="20"/>
      <c r="E42" s="20"/>
      <c r="F42" s="20"/>
      <c r="G42" s="20"/>
      <c r="H42" s="20"/>
    </row>
    <row r="43" spans="1:8" ht="15.75">
      <c r="A43" s="20"/>
      <c r="B43" s="20"/>
      <c r="C43" s="20"/>
      <c r="D43" s="20"/>
      <c r="E43" s="20"/>
      <c r="F43" s="20"/>
      <c r="G43" s="20"/>
      <c r="H43" s="20"/>
    </row>
    <row r="44" spans="1:8" ht="15.75">
      <c r="A44" s="20"/>
      <c r="B44" s="20"/>
      <c r="C44" s="20"/>
      <c r="D44" s="20"/>
      <c r="E44" s="20"/>
      <c r="F44" s="20"/>
      <c r="G44" s="20"/>
      <c r="H44" s="20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  <row r="50" spans="1:8" ht="15.75">
      <c r="A50" s="20"/>
      <c r="B50" s="20"/>
      <c r="C50" s="20"/>
      <c r="D50" s="20"/>
      <c r="E50" s="20"/>
      <c r="F50" s="20"/>
      <c r="G50" s="20"/>
      <c r="H50" s="20"/>
    </row>
    <row r="51" spans="1:8" ht="15.75">
      <c r="A51" s="20"/>
      <c r="B51" s="20"/>
      <c r="C51" s="20"/>
      <c r="D51" s="20"/>
      <c r="E51" s="20"/>
      <c r="F51" s="20"/>
      <c r="G51" s="20"/>
      <c r="H51" s="20"/>
    </row>
    <row r="52" spans="1:8" ht="15.75">
      <c r="A52" s="20"/>
      <c r="B52" s="20"/>
      <c r="C52" s="20"/>
      <c r="D52" s="20"/>
      <c r="E52" s="20"/>
      <c r="F52" s="20"/>
      <c r="G52" s="20"/>
      <c r="H52" s="20"/>
    </row>
    <row r="53" spans="1:8" ht="15.75">
      <c r="A53" s="20"/>
      <c r="B53" s="20"/>
      <c r="C53" s="20"/>
      <c r="D53" s="20"/>
      <c r="E53" s="20"/>
      <c r="F53" s="20"/>
      <c r="G53" s="20"/>
      <c r="H53" s="20"/>
    </row>
    <row r="54" spans="1:8" ht="15.75">
      <c r="A54" s="20"/>
      <c r="B54" s="20"/>
      <c r="C54" s="20"/>
      <c r="D54" s="20"/>
      <c r="E54" s="20"/>
      <c r="F54" s="20"/>
      <c r="G54" s="20"/>
      <c r="H54" s="20"/>
    </row>
    <row r="55" spans="1:8" ht="15.75">
      <c r="A55" s="20"/>
      <c r="B55" s="20"/>
      <c r="C55" s="20"/>
      <c r="D55" s="20"/>
      <c r="E55" s="20"/>
      <c r="F55" s="20"/>
      <c r="G55" s="20"/>
      <c r="H55" s="20"/>
    </row>
    <row r="56" spans="1:8" ht="15.75">
      <c r="A56" s="20"/>
      <c r="B56" s="20"/>
      <c r="C56" s="20"/>
      <c r="D56" s="20"/>
      <c r="E56" s="20"/>
      <c r="F56" s="20"/>
      <c r="G56" s="20"/>
      <c r="H56" s="20"/>
    </row>
    <row r="57" spans="1:8" ht="15.75">
      <c r="A57" s="20"/>
      <c r="B57" s="20"/>
      <c r="C57" s="20"/>
      <c r="D57" s="20"/>
      <c r="E57" s="20"/>
      <c r="F57" s="20"/>
      <c r="G57" s="20"/>
      <c r="H57" s="20"/>
    </row>
    <row r="58" spans="1:8" ht="15.75">
      <c r="A58" s="20"/>
      <c r="B58" s="20"/>
      <c r="C58" s="20"/>
      <c r="D58" s="20"/>
      <c r="E58" s="20"/>
      <c r="F58" s="20"/>
      <c r="G58" s="20"/>
      <c r="H58" s="20"/>
    </row>
    <row r="59" spans="1:8" ht="15.75">
      <c r="A59" s="20"/>
      <c r="B59" s="20"/>
      <c r="C59" s="20"/>
      <c r="D59" s="20"/>
      <c r="E59" s="20"/>
      <c r="F59" s="20"/>
      <c r="G59" s="20"/>
      <c r="H59" s="20"/>
    </row>
    <row r="60" spans="1:8" ht="15.75">
      <c r="A60" s="20"/>
      <c r="B60" s="20"/>
      <c r="C60" s="20"/>
      <c r="D60" s="20"/>
      <c r="E60" s="20"/>
      <c r="F60" s="20"/>
      <c r="G60" s="20"/>
      <c r="H60" s="20"/>
    </row>
    <row r="61" spans="1:8" ht="15.75">
      <c r="A61" s="20"/>
      <c r="B61" s="20"/>
      <c r="C61" s="20"/>
      <c r="D61" s="20"/>
      <c r="E61" s="20"/>
      <c r="F61" s="20"/>
      <c r="G61" s="20"/>
      <c r="H61" s="20"/>
    </row>
    <row r="62" spans="1:8" ht="15.75">
      <c r="A62" s="20"/>
      <c r="B62" s="20"/>
      <c r="C62" s="20"/>
      <c r="D62" s="20"/>
      <c r="E62" s="20"/>
      <c r="F62" s="20"/>
      <c r="G62" s="20"/>
      <c r="H62" s="20"/>
    </row>
    <row r="63" spans="1:8" ht="15.75">
      <c r="A63" s="20"/>
      <c r="B63" s="20"/>
      <c r="C63" s="20"/>
      <c r="D63" s="20"/>
      <c r="E63" s="20"/>
      <c r="F63" s="20"/>
      <c r="G63" s="20"/>
      <c r="H63" s="20"/>
    </row>
    <row r="64" spans="1:8" ht="15.75">
      <c r="A64" s="20"/>
      <c r="B64" s="20"/>
      <c r="C64" s="20"/>
      <c r="D64" s="20"/>
      <c r="E64" s="20"/>
      <c r="F64" s="20"/>
      <c r="G64" s="20"/>
      <c r="H64" s="20"/>
    </row>
    <row r="65" spans="1:8" ht="15.75">
      <c r="A65" s="20"/>
      <c r="B65" s="20"/>
      <c r="C65" s="20"/>
      <c r="D65" s="20"/>
      <c r="E65" s="20"/>
      <c r="F65" s="20"/>
      <c r="G65" s="20"/>
      <c r="H65" s="20"/>
    </row>
    <row r="66" spans="1:8" ht="15.75">
      <c r="A66" s="20"/>
      <c r="B66" s="20"/>
      <c r="C66" s="20"/>
      <c r="D66" s="20"/>
      <c r="E66" s="20"/>
      <c r="F66" s="20"/>
      <c r="G66" s="20"/>
      <c r="H66" s="20"/>
    </row>
    <row r="67" spans="1:8" ht="15.75">
      <c r="A67" s="20"/>
      <c r="B67" s="20"/>
      <c r="C67" s="20"/>
      <c r="D67" s="20"/>
      <c r="E67" s="20"/>
      <c r="F67" s="20"/>
      <c r="G67" s="20"/>
      <c r="H67" s="20"/>
    </row>
    <row r="68" spans="1:8" ht="15.75">
      <c r="A68" s="20"/>
      <c r="B68" s="20"/>
      <c r="C68" s="20"/>
      <c r="D68" s="20"/>
      <c r="E68" s="20"/>
      <c r="F68" s="20"/>
      <c r="G68" s="20"/>
      <c r="H68" s="20"/>
    </row>
    <row r="69" spans="1:8" ht="15.75">
      <c r="A69" s="20"/>
      <c r="B69" s="20"/>
      <c r="C69" s="20"/>
      <c r="D69" s="20"/>
      <c r="E69" s="20"/>
      <c r="F69" s="20"/>
      <c r="G69" s="20"/>
      <c r="H69" s="20"/>
    </row>
    <row r="70" spans="1:8" ht="15.75">
      <c r="A70" s="20"/>
      <c r="B70" s="20"/>
      <c r="C70" s="20"/>
      <c r="D70" s="20"/>
      <c r="E70" s="20"/>
      <c r="F70" s="20"/>
      <c r="G70" s="20"/>
      <c r="H70" s="20"/>
    </row>
    <row r="71" spans="1:8" ht="15.75">
      <c r="A71" s="20"/>
      <c r="B71" s="20"/>
      <c r="C71" s="20"/>
      <c r="D71" s="20"/>
      <c r="E71" s="20"/>
      <c r="F71" s="20"/>
      <c r="G71" s="20"/>
      <c r="H71" s="20"/>
    </row>
    <row r="72" spans="1:8" ht="15.75">
      <c r="A72" s="20"/>
      <c r="B72" s="20"/>
      <c r="C72" s="20"/>
      <c r="D72" s="20"/>
      <c r="E72" s="20"/>
      <c r="F72" s="20"/>
      <c r="G72" s="20"/>
      <c r="H72" s="20"/>
    </row>
    <row r="73" spans="1:8" ht="15.75">
      <c r="A73" s="20"/>
      <c r="B73" s="20"/>
      <c r="C73" s="20"/>
      <c r="D73" s="20"/>
      <c r="E73" s="20"/>
      <c r="F73" s="20"/>
      <c r="G73" s="20"/>
      <c r="H73" s="20"/>
    </row>
    <row r="74" spans="1:8" ht="15.75">
      <c r="A74" s="20"/>
      <c r="B74" s="20"/>
      <c r="C74" s="20"/>
      <c r="D74" s="20"/>
      <c r="E74" s="20"/>
      <c r="F74" s="20"/>
      <c r="G74" s="20"/>
      <c r="H74" s="20"/>
    </row>
    <row r="75" spans="1:8" ht="15.75">
      <c r="A75" s="20"/>
      <c r="B75" s="20"/>
      <c r="C75" s="20"/>
      <c r="D75" s="20"/>
      <c r="E75" s="20"/>
      <c r="F75" s="20"/>
      <c r="G75" s="20"/>
      <c r="H75" s="20"/>
    </row>
    <row r="76" spans="1:8" ht="15.75">
      <c r="A76" s="20"/>
      <c r="B76" s="20"/>
      <c r="C76" s="20"/>
      <c r="D76" s="20"/>
      <c r="E76" s="20"/>
      <c r="F76" s="20"/>
      <c r="G76" s="20"/>
      <c r="H76" s="20"/>
    </row>
    <row r="77" spans="1:8" ht="15.75">
      <c r="A77" s="20"/>
      <c r="B77" s="20"/>
      <c r="C77" s="20"/>
      <c r="D77" s="20"/>
      <c r="E77" s="20"/>
      <c r="F77" s="20"/>
      <c r="G77" s="20"/>
      <c r="H77" s="20"/>
    </row>
    <row r="78" spans="1:8" ht="15.75">
      <c r="A78" s="20"/>
      <c r="B78" s="20"/>
      <c r="C78" s="20"/>
      <c r="D78" s="20"/>
      <c r="E78" s="20"/>
      <c r="F78" s="20"/>
      <c r="G78" s="20"/>
      <c r="H78" s="20"/>
    </row>
    <row r="79" spans="1:8" ht="15.75">
      <c r="A79" s="20"/>
      <c r="B79" s="20"/>
      <c r="C79" s="20"/>
      <c r="D79" s="20"/>
      <c r="E79" s="20"/>
      <c r="F79" s="20"/>
      <c r="G79" s="20"/>
      <c r="H79" s="20"/>
    </row>
    <row r="80" spans="1:8" ht="15.75">
      <c r="A80" s="20"/>
      <c r="B80" s="20"/>
      <c r="C80" s="20"/>
      <c r="D80" s="20"/>
      <c r="E80" s="20"/>
      <c r="F80" s="20"/>
      <c r="G80" s="20"/>
      <c r="H80" s="20"/>
    </row>
    <row r="81" spans="1:8" ht="15.75">
      <c r="A81" s="20"/>
      <c r="B81" s="20"/>
      <c r="C81" s="20"/>
      <c r="D81" s="20"/>
      <c r="E81" s="20"/>
      <c r="F81" s="20"/>
      <c r="G81" s="20"/>
      <c r="H81" s="20"/>
    </row>
    <row r="82" spans="1:8" ht="15.75">
      <c r="A82" s="20"/>
      <c r="B82" s="20"/>
      <c r="C82" s="20"/>
      <c r="D82" s="20"/>
      <c r="E82" s="20"/>
      <c r="F82" s="20"/>
      <c r="G82" s="20"/>
      <c r="H82" s="20"/>
    </row>
    <row r="83" spans="1:8" ht="15.75">
      <c r="A83" s="20"/>
      <c r="B83" s="20"/>
      <c r="C83" s="20"/>
      <c r="D83" s="20"/>
      <c r="E83" s="20"/>
      <c r="F83" s="20"/>
      <c r="G83" s="20"/>
      <c r="H83" s="20"/>
    </row>
    <row r="84" spans="1:8" ht="15.75">
      <c r="A84" s="20"/>
      <c r="B84" s="20"/>
      <c r="C84" s="20"/>
      <c r="D84" s="20"/>
      <c r="E84" s="20"/>
      <c r="F84" s="20"/>
      <c r="G84" s="20"/>
      <c r="H84" s="20"/>
    </row>
    <row r="85" spans="1:8" ht="15.75">
      <c r="A85" s="20"/>
      <c r="B85" s="20"/>
      <c r="C85" s="20"/>
      <c r="D85" s="20"/>
      <c r="E85" s="20"/>
      <c r="F85" s="20"/>
      <c r="G85" s="20"/>
      <c r="H85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G23" sqref="G23"/>
    </sheetView>
  </sheetViews>
  <sheetFormatPr defaultColWidth="8.88671875" defaultRowHeight="15"/>
  <cols>
    <col min="2" max="2" width="14.99609375" style="0" customWidth="1"/>
    <col min="3" max="3" width="13.99609375" style="0" bestFit="1" customWidth="1"/>
    <col min="4" max="4" width="2.10546875" style="0" customWidth="1"/>
    <col min="5" max="5" width="12.5546875" style="0" customWidth="1"/>
    <col min="6" max="6" width="2.21484375" style="0" customWidth="1"/>
    <col min="7" max="7" width="12.10546875" style="0" bestFit="1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77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3">
        <v>38352</v>
      </c>
      <c r="D6" s="19"/>
      <c r="E6" s="3">
        <v>38077</v>
      </c>
      <c r="F6" s="19"/>
      <c r="G6" s="3">
        <v>38352</v>
      </c>
    </row>
    <row r="7" spans="1:7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</row>
    <row r="8" spans="1:7" ht="16.5" thickBot="1">
      <c r="A8" s="19"/>
      <c r="B8" s="19"/>
      <c r="C8" s="6" t="s">
        <v>59</v>
      </c>
      <c r="D8" s="22"/>
      <c r="E8" s="6" t="s">
        <v>60</v>
      </c>
      <c r="F8" s="22"/>
      <c r="G8" s="6" t="s">
        <v>61</v>
      </c>
    </row>
    <row r="9" spans="1:7" ht="15.75">
      <c r="A9" s="20"/>
      <c r="B9" s="20"/>
      <c r="C9" s="20"/>
      <c r="D9" s="20"/>
      <c r="E9" s="20"/>
      <c r="F9" s="20"/>
      <c r="G9" s="20"/>
    </row>
    <row r="10" spans="1:7" ht="15.75">
      <c r="A10" s="21"/>
      <c r="B10" s="20"/>
      <c r="C10" s="20"/>
      <c r="D10" s="20"/>
      <c r="E10" s="20"/>
      <c r="F10" s="20"/>
      <c r="G10" s="20"/>
    </row>
    <row r="11" spans="1:7" ht="15.75">
      <c r="A11" s="21" t="s">
        <v>10</v>
      </c>
      <c r="B11" s="21"/>
      <c r="C11" s="8" t="s">
        <v>96</v>
      </c>
      <c r="D11" s="9"/>
      <c r="E11" s="10" t="s">
        <v>100</v>
      </c>
      <c r="F11" s="9"/>
      <c r="G11" s="10" t="s">
        <v>97</v>
      </c>
    </row>
    <row r="12" spans="1:7" ht="15.75">
      <c r="A12" s="21"/>
      <c r="B12" s="21"/>
      <c r="C12" s="9"/>
      <c r="D12" s="9"/>
      <c r="E12" s="9"/>
      <c r="F12" s="9"/>
      <c r="G12" s="9"/>
    </row>
    <row r="13" spans="1:7" ht="15.75">
      <c r="A13" s="21" t="s">
        <v>14</v>
      </c>
      <c r="B13" s="21"/>
      <c r="C13" s="10"/>
      <c r="D13" s="9"/>
      <c r="E13" s="10"/>
      <c r="F13" s="9"/>
      <c r="G13" s="10"/>
    </row>
    <row r="14" spans="1:7" ht="15.75">
      <c r="A14" s="21"/>
      <c r="B14" s="21"/>
      <c r="C14" s="9"/>
      <c r="D14" s="9"/>
      <c r="E14" s="9"/>
      <c r="F14" s="9"/>
      <c r="G14" s="9"/>
    </row>
    <row r="15" spans="1:7" ht="15.75">
      <c r="A15" s="21" t="s">
        <v>15</v>
      </c>
      <c r="B15" s="21"/>
      <c r="C15" s="9"/>
      <c r="D15" s="9"/>
      <c r="E15" s="9"/>
      <c r="F15" s="9"/>
      <c r="G15" s="9"/>
    </row>
    <row r="16" spans="1:7" ht="15.75">
      <c r="A16" s="21" t="s">
        <v>17</v>
      </c>
      <c r="B16" s="21"/>
      <c r="C16" s="11">
        <v>1481335</v>
      </c>
      <c r="D16" s="9"/>
      <c r="E16" s="12">
        <f>264111309/1000</f>
        <v>264111.309</v>
      </c>
      <c r="F16" s="9"/>
      <c r="G16" s="12">
        <v>436717</v>
      </c>
    </row>
    <row r="17" spans="1:7" ht="15.75">
      <c r="A17" s="21" t="s">
        <v>18</v>
      </c>
      <c r="B17" s="21"/>
      <c r="C17" s="13">
        <v>1270026</v>
      </c>
      <c r="D17" s="9"/>
      <c r="E17" s="13">
        <f>212828682/1000</f>
        <v>212828.682</v>
      </c>
      <c r="F17" s="9"/>
      <c r="G17" s="13">
        <v>370921</v>
      </c>
    </row>
    <row r="18" spans="1:7" ht="15.75">
      <c r="A18" s="21"/>
      <c r="B18" s="21"/>
      <c r="C18" s="14" t="s">
        <v>9</v>
      </c>
      <c r="D18" s="9"/>
      <c r="E18" s="14" t="s">
        <v>9</v>
      </c>
      <c r="F18" s="9"/>
      <c r="G18" s="14" t="s">
        <v>9</v>
      </c>
    </row>
    <row r="19" spans="1:7" ht="15.75">
      <c r="A19" s="21" t="s">
        <v>19</v>
      </c>
      <c r="B19" s="21"/>
      <c r="C19" s="12">
        <f>C16-C17</f>
        <v>211309</v>
      </c>
      <c r="D19" s="9"/>
      <c r="E19" s="12">
        <f>E16-E17</f>
        <v>51282.62700000001</v>
      </c>
      <c r="F19" s="9"/>
      <c r="G19" s="12">
        <f>G16-G17</f>
        <v>65796</v>
      </c>
    </row>
    <row r="20" spans="1:7" ht="15.75">
      <c r="A20" s="21"/>
      <c r="B20" s="21"/>
      <c r="C20" s="14" t="s">
        <v>20</v>
      </c>
      <c r="D20" s="9"/>
      <c r="E20" s="14" t="s">
        <v>20</v>
      </c>
      <c r="F20" s="9"/>
      <c r="G20" s="14" t="s">
        <v>20</v>
      </c>
    </row>
    <row r="21" spans="1:7" ht="15.75">
      <c r="A21" s="21" t="s">
        <v>21</v>
      </c>
      <c r="B21" s="21"/>
      <c r="C21" s="12">
        <v>2490635</v>
      </c>
      <c r="D21" s="9"/>
      <c r="E21" s="12">
        <f>582801148/1000</f>
        <v>582801.148</v>
      </c>
      <c r="F21" s="9"/>
      <c r="G21" s="12">
        <v>867289</v>
      </c>
    </row>
    <row r="22" spans="1:7" ht="15.75">
      <c r="A22" s="21"/>
      <c r="B22" s="21"/>
      <c r="C22" s="14" t="s">
        <v>20</v>
      </c>
      <c r="D22" s="9"/>
      <c r="E22" s="14" t="s">
        <v>20</v>
      </c>
      <c r="F22" s="9"/>
      <c r="G22" s="14" t="s">
        <v>20</v>
      </c>
    </row>
    <row r="23" spans="1:7" ht="15.75">
      <c r="A23" s="21" t="s">
        <v>22</v>
      </c>
      <c r="B23" s="21"/>
      <c r="C23" s="15">
        <f>C19/C21</f>
        <v>0.0848414159441267</v>
      </c>
      <c r="D23" s="9"/>
      <c r="E23" s="15">
        <f>E19/E21</f>
        <v>0.08799335275159753</v>
      </c>
      <c r="F23" s="9"/>
      <c r="G23" s="15">
        <f>G19/G21</f>
        <v>0.07586398536128096</v>
      </c>
    </row>
    <row r="24" spans="1:7" ht="15.75">
      <c r="A24" s="21"/>
      <c r="B24" s="21"/>
      <c r="C24" s="14" t="s">
        <v>20</v>
      </c>
      <c r="D24" s="9"/>
      <c r="E24" s="14" t="s">
        <v>20</v>
      </c>
      <c r="F24" s="9"/>
      <c r="G24" s="14" t="s">
        <v>20</v>
      </c>
    </row>
    <row r="25" spans="1:7" ht="15.75">
      <c r="A25" s="21" t="s">
        <v>23</v>
      </c>
      <c r="B25" s="21"/>
      <c r="C25" s="9"/>
      <c r="D25" s="9"/>
      <c r="E25" s="9"/>
      <c r="F25" s="9"/>
      <c r="G25" s="9"/>
    </row>
    <row r="26" spans="1:7" ht="15.75">
      <c r="A26" s="21"/>
      <c r="B26" s="21"/>
      <c r="C26" s="9"/>
      <c r="D26" s="9"/>
      <c r="E26" s="9"/>
      <c r="F26" s="9"/>
      <c r="G26" s="9"/>
    </row>
    <row r="27" spans="1:7" ht="15.75">
      <c r="A27" s="21" t="s">
        <v>17</v>
      </c>
      <c r="B27" s="21"/>
      <c r="C27" s="12">
        <v>1604849</v>
      </c>
      <c r="D27" s="9"/>
      <c r="E27" s="12">
        <f>258851014/1000</f>
        <v>258851.014</v>
      </c>
      <c r="F27" s="9"/>
      <c r="G27" s="12">
        <v>398624</v>
      </c>
    </row>
    <row r="28" spans="1:7" ht="15.75">
      <c r="A28" s="21" t="s">
        <v>18</v>
      </c>
      <c r="B28" s="21"/>
      <c r="C28" s="13">
        <v>1388761</v>
      </c>
      <c r="D28" s="9"/>
      <c r="E28" s="13">
        <f>224490799/1000</f>
        <v>224490.799</v>
      </c>
      <c r="F28" s="9"/>
      <c r="G28" s="13">
        <v>338711</v>
      </c>
    </row>
    <row r="29" spans="1:7" ht="15.75">
      <c r="A29" s="21"/>
      <c r="B29" s="21"/>
      <c r="C29" s="14" t="s">
        <v>9</v>
      </c>
      <c r="D29" s="9"/>
      <c r="E29" s="14" t="s">
        <v>9</v>
      </c>
      <c r="F29" s="9"/>
      <c r="G29" s="14" t="s">
        <v>9</v>
      </c>
    </row>
    <row r="30" spans="1:7" ht="15.75">
      <c r="A30" s="21" t="s">
        <v>19</v>
      </c>
      <c r="B30" s="21"/>
      <c r="C30" s="12">
        <f>C27-C28</f>
        <v>216088</v>
      </c>
      <c r="D30" s="9"/>
      <c r="E30" s="12">
        <f>E27-E28</f>
        <v>34360.215</v>
      </c>
      <c r="F30" s="9"/>
      <c r="G30" s="12">
        <f>G27-G28</f>
        <v>59913</v>
      </c>
    </row>
    <row r="31" spans="1:7" ht="15.75">
      <c r="A31" s="21"/>
      <c r="B31" s="21"/>
      <c r="C31" s="14" t="s">
        <v>20</v>
      </c>
      <c r="D31" s="9"/>
      <c r="E31" s="14" t="s">
        <v>20</v>
      </c>
      <c r="F31" s="9"/>
      <c r="G31" s="14" t="s">
        <v>20</v>
      </c>
    </row>
    <row r="32" spans="1:7" ht="15.75">
      <c r="A32" s="21" t="s">
        <v>21</v>
      </c>
      <c r="B32" s="21"/>
      <c r="C32" s="12">
        <v>2490609</v>
      </c>
      <c r="D32" s="9"/>
      <c r="E32" s="12">
        <f>580152761/1000</f>
        <v>580152.761</v>
      </c>
      <c r="F32" s="9"/>
      <c r="G32" s="12">
        <v>778011</v>
      </c>
    </row>
    <row r="33" spans="1:7" ht="15.75">
      <c r="A33" s="21"/>
      <c r="B33" s="21"/>
      <c r="C33" s="14" t="s">
        <v>20</v>
      </c>
      <c r="D33" s="9"/>
      <c r="E33" s="14" t="s">
        <v>20</v>
      </c>
      <c r="F33" s="9"/>
      <c r="G33" s="14" t="s">
        <v>20</v>
      </c>
    </row>
    <row r="34" spans="1:7" ht="15.75">
      <c r="A34" s="21" t="s">
        <v>25</v>
      </c>
      <c r="B34" s="21"/>
      <c r="C34" s="15">
        <f>C30/C32</f>
        <v>0.08676110943146836</v>
      </c>
      <c r="D34" s="9"/>
      <c r="E34" s="15">
        <f>E30/E32</f>
        <v>0.059226150955093</v>
      </c>
      <c r="F34" s="9"/>
      <c r="G34" s="15">
        <f>G30/G32</f>
        <v>0.07700790862854125</v>
      </c>
    </row>
    <row r="35" spans="1:7" ht="15.75">
      <c r="A35" s="21"/>
      <c r="B35" s="21"/>
      <c r="C35" s="14" t="s">
        <v>20</v>
      </c>
      <c r="D35" s="9"/>
      <c r="E35" s="14" t="s">
        <v>20</v>
      </c>
      <c r="F35" s="9"/>
      <c r="G35" s="14" t="s">
        <v>20</v>
      </c>
    </row>
    <row r="36" spans="1:7" ht="15.75">
      <c r="A36" s="21"/>
      <c r="B36" s="21"/>
      <c r="C36" s="12"/>
      <c r="D36" s="9"/>
      <c r="E36" s="12"/>
      <c r="F36" s="9"/>
      <c r="G36" s="12"/>
    </row>
    <row r="37" spans="1:7" ht="15.75">
      <c r="A37" s="21" t="s">
        <v>26</v>
      </c>
      <c r="B37" s="21"/>
      <c r="C37" s="42">
        <v>0.0876</v>
      </c>
      <c r="D37" s="10"/>
      <c r="E37" s="42">
        <v>0.0839</v>
      </c>
      <c r="F37" s="10"/>
      <c r="G37" s="42">
        <v>0.0972</v>
      </c>
    </row>
    <row r="38" spans="1:7" ht="15.75">
      <c r="A38" s="21" t="s">
        <v>27</v>
      </c>
      <c r="B38" s="21"/>
      <c r="C38" s="10" t="s">
        <v>95</v>
      </c>
      <c r="D38" s="10"/>
      <c r="E38" s="10" t="s">
        <v>110</v>
      </c>
      <c r="F38" s="10"/>
      <c r="G38" s="10" t="s">
        <v>105</v>
      </c>
    </row>
    <row r="39" spans="1:7" ht="15.75">
      <c r="A39" s="20" t="s">
        <v>103</v>
      </c>
      <c r="B39" s="20"/>
      <c r="C39" s="41">
        <v>37427</v>
      </c>
      <c r="D39" s="44"/>
      <c r="E39" s="41" t="s">
        <v>111</v>
      </c>
      <c r="F39" s="44"/>
      <c r="G39" s="41">
        <v>37425</v>
      </c>
    </row>
    <row r="40" spans="1:7" ht="15.75">
      <c r="A40" s="20"/>
      <c r="B40" s="20"/>
      <c r="C40" s="20"/>
      <c r="D40" s="20"/>
      <c r="E40" s="20"/>
      <c r="F40" s="20"/>
      <c r="G40" s="20"/>
    </row>
    <row r="41" spans="1:7" ht="15.75">
      <c r="A41" s="20"/>
      <c r="B41" s="20"/>
      <c r="C41" s="20"/>
      <c r="D41" s="20"/>
      <c r="E41" s="20"/>
      <c r="F41" s="20"/>
      <c r="G41" s="20"/>
    </row>
    <row r="42" spans="1:7" ht="15.75">
      <c r="A42" s="20"/>
      <c r="B42" s="20"/>
      <c r="C42" s="20"/>
      <c r="D42" s="20"/>
      <c r="E42" s="20"/>
      <c r="F42" s="20"/>
      <c r="G42" s="20"/>
    </row>
    <row r="43" spans="1:7" ht="15.75">
      <c r="A43" s="20"/>
      <c r="B43" s="20"/>
      <c r="C43" s="20"/>
      <c r="D43" s="20"/>
      <c r="E43" s="20"/>
      <c r="F43" s="20"/>
      <c r="G43" s="20"/>
    </row>
    <row r="44" spans="1:7" ht="15.75">
      <c r="A44" s="20"/>
      <c r="B44" s="20"/>
      <c r="C44" s="20"/>
      <c r="D44" s="20"/>
      <c r="E44" s="20"/>
      <c r="F44" s="20"/>
      <c r="G44" s="20"/>
    </row>
    <row r="45" spans="1:7" ht="15.75">
      <c r="A45" s="20"/>
      <c r="B45" s="20"/>
      <c r="C45" s="20"/>
      <c r="D45" s="20"/>
      <c r="E45" s="20"/>
      <c r="F45" s="20"/>
      <c r="G45" s="20"/>
    </row>
    <row r="46" spans="1:7" ht="15.75">
      <c r="A46" s="20"/>
      <c r="B46" s="20"/>
      <c r="C46" s="20"/>
      <c r="D46" s="20"/>
      <c r="E46" s="20"/>
      <c r="F46" s="20"/>
      <c r="G46" s="20"/>
    </row>
    <row r="47" spans="1:7" ht="15.75">
      <c r="A47" s="20"/>
      <c r="B47" s="20"/>
      <c r="C47" s="20"/>
      <c r="D47" s="20"/>
      <c r="E47" s="20"/>
      <c r="F47" s="20"/>
      <c r="G47" s="20"/>
    </row>
    <row r="48" spans="1:7" ht="15.75">
      <c r="A48" s="20"/>
      <c r="B48" s="20"/>
      <c r="C48" s="20"/>
      <c r="D48" s="20"/>
      <c r="E48" s="20"/>
      <c r="F48" s="20"/>
      <c r="G48" s="20"/>
    </row>
    <row r="49" spans="1:7" ht="15.75">
      <c r="A49" s="20"/>
      <c r="B49" s="20"/>
      <c r="C49" s="20"/>
      <c r="D49" s="20"/>
      <c r="E49" s="20"/>
      <c r="F49" s="20"/>
      <c r="G49" s="20"/>
    </row>
    <row r="50" spans="1:7" ht="15.75">
      <c r="A50" s="20"/>
      <c r="B50" s="20"/>
      <c r="C50" s="20"/>
      <c r="D50" s="20"/>
      <c r="E50" s="20"/>
      <c r="F50" s="20"/>
      <c r="G50" s="20"/>
    </row>
    <row r="51" spans="1:7" ht="15.75">
      <c r="A51" s="20"/>
      <c r="B51" s="20"/>
      <c r="C51" s="20"/>
      <c r="D51" s="20"/>
      <c r="E51" s="20"/>
      <c r="F51" s="20"/>
      <c r="G51" s="20"/>
    </row>
    <row r="52" spans="1:7" ht="15.75">
      <c r="A52" s="20"/>
      <c r="B52" s="20"/>
      <c r="C52" s="20"/>
      <c r="D52" s="20"/>
      <c r="E52" s="20"/>
      <c r="F52" s="20"/>
      <c r="G52" s="20"/>
    </row>
    <row r="53" spans="1:7" ht="15.75">
      <c r="A53" s="20"/>
      <c r="B53" s="20"/>
      <c r="C53" s="20"/>
      <c r="D53" s="20"/>
      <c r="E53" s="20"/>
      <c r="F53" s="20"/>
      <c r="G53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7">
      <selection activeCell="G23" sqref="G23"/>
    </sheetView>
  </sheetViews>
  <sheetFormatPr defaultColWidth="8.88671875" defaultRowHeight="15"/>
  <cols>
    <col min="1" max="1" width="10.3359375" style="0" customWidth="1"/>
    <col min="2" max="2" width="14.99609375" style="0" customWidth="1"/>
    <col min="3" max="3" width="13.99609375" style="0" bestFit="1" customWidth="1"/>
    <col min="4" max="4" width="2.10546875" style="0" customWidth="1"/>
    <col min="5" max="5" width="12.5546875" style="0" customWidth="1"/>
    <col min="6" max="6" width="2.21484375" style="0" customWidth="1"/>
    <col min="7" max="7" width="12.10546875" style="0" bestFit="1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77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"/>
      <c r="D5" s="1"/>
      <c r="E5" s="1"/>
      <c r="F5" s="1"/>
      <c r="G5" s="1"/>
    </row>
    <row r="6" spans="1:7" ht="15.75">
      <c r="A6" s="19"/>
      <c r="B6" s="19"/>
      <c r="C6" s="3">
        <v>38717</v>
      </c>
      <c r="D6" s="1"/>
      <c r="E6" s="3">
        <v>38442</v>
      </c>
      <c r="F6" s="1"/>
      <c r="G6" s="3">
        <v>38717</v>
      </c>
    </row>
    <row r="7" spans="1:7" ht="15.75">
      <c r="A7" s="19"/>
      <c r="B7" s="19"/>
      <c r="C7" s="5" t="s">
        <v>56</v>
      </c>
      <c r="D7" s="1"/>
      <c r="E7" s="5" t="s">
        <v>57</v>
      </c>
      <c r="F7" s="1"/>
      <c r="G7" s="5" t="s">
        <v>58</v>
      </c>
    </row>
    <row r="8" spans="1:7" ht="16.5" thickBot="1">
      <c r="A8" s="19"/>
      <c r="B8" s="19"/>
      <c r="C8" s="6" t="s">
        <v>59</v>
      </c>
      <c r="D8" s="7"/>
      <c r="E8" s="6" t="s">
        <v>60</v>
      </c>
      <c r="F8" s="7"/>
      <c r="G8" s="6" t="s">
        <v>61</v>
      </c>
    </row>
    <row r="9" spans="1:2" ht="15.75">
      <c r="A9" s="20"/>
      <c r="B9" s="20"/>
    </row>
    <row r="10" spans="1:2" ht="15.75">
      <c r="A10" s="21"/>
      <c r="B10" s="20"/>
    </row>
    <row r="11" spans="1:7" ht="15.75">
      <c r="A11" s="21" t="s">
        <v>10</v>
      </c>
      <c r="B11" s="21"/>
      <c r="C11" s="10" t="s">
        <v>121</v>
      </c>
      <c r="D11" s="9"/>
      <c r="E11" s="10" t="s">
        <v>101</v>
      </c>
      <c r="F11" s="9"/>
      <c r="G11" s="10" t="s">
        <v>122</v>
      </c>
    </row>
    <row r="12" spans="1:7" ht="15.75">
      <c r="A12" s="21"/>
      <c r="B12" s="21"/>
      <c r="C12" s="9"/>
      <c r="D12" s="9"/>
      <c r="E12" s="9"/>
      <c r="F12" s="9"/>
      <c r="G12" s="9"/>
    </row>
    <row r="13" spans="1:7" ht="15.75">
      <c r="A13" s="21" t="s">
        <v>14</v>
      </c>
      <c r="B13" s="21"/>
      <c r="C13" s="10"/>
      <c r="D13" s="9"/>
      <c r="E13" s="10"/>
      <c r="F13" s="9"/>
      <c r="G13" s="10"/>
    </row>
    <row r="14" spans="1:7" ht="15.75">
      <c r="A14" s="21"/>
      <c r="B14" s="21"/>
      <c r="C14" s="9"/>
      <c r="D14" s="9"/>
      <c r="E14" s="9"/>
      <c r="F14" s="9"/>
      <c r="G14" s="9"/>
    </row>
    <row r="15" spans="1:7" ht="15.75">
      <c r="A15" s="21" t="s">
        <v>15</v>
      </c>
      <c r="B15" s="21"/>
      <c r="C15" s="9"/>
      <c r="D15" s="9"/>
      <c r="E15" s="9"/>
      <c r="F15" s="9"/>
      <c r="G15" s="9"/>
    </row>
    <row r="16" spans="1:7" ht="15.75">
      <c r="A16" s="21" t="s">
        <v>17</v>
      </c>
      <c r="B16" s="21"/>
      <c r="C16" s="11">
        <f>1684797079/1000</f>
        <v>1684797.079</v>
      </c>
      <c r="D16" s="9"/>
      <c r="E16" s="12">
        <f>254685557/1000</f>
        <v>254685.557</v>
      </c>
      <c r="F16" s="9"/>
      <c r="G16" s="12">
        <v>510844</v>
      </c>
    </row>
    <row r="17" spans="1:7" ht="15.75">
      <c r="A17" s="21" t="s">
        <v>18</v>
      </c>
      <c r="B17" s="21"/>
      <c r="C17" s="13">
        <f>(1462977027)/1000</f>
        <v>1462977.027</v>
      </c>
      <c r="D17" s="9"/>
      <c r="E17" s="13">
        <f>217557498/1000</f>
        <v>217557.498</v>
      </c>
      <c r="F17" s="9"/>
      <c r="G17" s="13">
        <v>446247</v>
      </c>
    </row>
    <row r="18" spans="1:7" ht="15.75">
      <c r="A18" s="21"/>
      <c r="B18" s="21"/>
      <c r="C18" s="14" t="s">
        <v>9</v>
      </c>
      <c r="D18" s="9"/>
      <c r="E18" s="14" t="s">
        <v>9</v>
      </c>
      <c r="F18" s="9"/>
      <c r="G18" s="14" t="s">
        <v>9</v>
      </c>
    </row>
    <row r="19" spans="1:7" ht="15.75">
      <c r="A19" s="21" t="s">
        <v>19</v>
      </c>
      <c r="B19" s="21"/>
      <c r="C19" s="12">
        <f>C16-C17</f>
        <v>221820.0519999999</v>
      </c>
      <c r="D19" s="9"/>
      <c r="E19" s="12">
        <f>E16-E17</f>
        <v>37128.05900000001</v>
      </c>
      <c r="F19" s="9"/>
      <c r="G19" s="12">
        <f>G16-G17</f>
        <v>64597</v>
      </c>
    </row>
    <row r="20" spans="1:7" ht="15.75">
      <c r="A20" s="21"/>
      <c r="B20" s="21"/>
      <c r="C20" s="14" t="s">
        <v>20</v>
      </c>
      <c r="D20" s="9"/>
      <c r="E20" s="14" t="s">
        <v>20</v>
      </c>
      <c r="F20" s="9"/>
      <c r="G20" s="14" t="s">
        <v>20</v>
      </c>
    </row>
    <row r="21" spans="1:7" ht="15.75">
      <c r="A21" s="21" t="s">
        <v>21</v>
      </c>
      <c r="B21" s="21"/>
      <c r="C21" s="12">
        <f>2530948203/1000</f>
        <v>2530948.203</v>
      </c>
      <c r="D21" s="9"/>
      <c r="E21" s="12">
        <f>585214071/1000</f>
        <v>585214.071</v>
      </c>
      <c r="F21" s="9"/>
      <c r="G21" s="12">
        <v>934058</v>
      </c>
    </row>
    <row r="22" spans="1:7" ht="15.75">
      <c r="A22" s="21"/>
      <c r="B22" s="21"/>
      <c r="C22" s="14" t="s">
        <v>20</v>
      </c>
      <c r="D22" s="9"/>
      <c r="E22" s="14" t="s">
        <v>20</v>
      </c>
      <c r="F22" s="9"/>
      <c r="G22" s="14" t="s">
        <v>20</v>
      </c>
    </row>
    <row r="23" spans="1:7" ht="15.75">
      <c r="A23" s="21" t="s">
        <v>22</v>
      </c>
      <c r="B23" s="21"/>
      <c r="C23" s="15">
        <f>C19/C21</f>
        <v>0.08764306268183233</v>
      </c>
      <c r="D23" s="9"/>
      <c r="E23" s="15">
        <f>E19/E21</f>
        <v>0.06344355141112117</v>
      </c>
      <c r="F23" s="9"/>
      <c r="G23" s="15">
        <f>G19/G21</f>
        <v>0.06915737566617919</v>
      </c>
    </row>
    <row r="24" spans="1:7" ht="15.75">
      <c r="A24" s="21"/>
      <c r="B24" s="21"/>
      <c r="C24" s="14" t="s">
        <v>20</v>
      </c>
      <c r="D24" s="9"/>
      <c r="E24" s="14" t="s">
        <v>20</v>
      </c>
      <c r="F24" s="9"/>
      <c r="G24" s="14" t="s">
        <v>20</v>
      </c>
    </row>
    <row r="25" spans="1:7" ht="15.75">
      <c r="A25" s="21" t="s">
        <v>23</v>
      </c>
      <c r="B25" s="21"/>
      <c r="C25" s="9"/>
      <c r="D25" s="9"/>
      <c r="E25" s="9"/>
      <c r="F25" s="9"/>
      <c r="G25" s="9"/>
    </row>
    <row r="26" spans="1:7" ht="15.75">
      <c r="A26" s="21"/>
      <c r="B26" s="21"/>
      <c r="C26" s="9"/>
      <c r="D26" s="9"/>
      <c r="E26" s="9"/>
      <c r="F26" s="9"/>
      <c r="G26" s="9"/>
    </row>
    <row r="27" spans="1:7" ht="15.75">
      <c r="A27" s="21" t="s">
        <v>17</v>
      </c>
      <c r="B27" s="21"/>
      <c r="C27" s="12">
        <f>1799918990/1000</f>
        <v>1799918.99</v>
      </c>
      <c r="D27" s="9"/>
      <c r="E27" s="12">
        <f>321971238/1000</f>
        <v>321971.238</v>
      </c>
      <c r="F27" s="9"/>
      <c r="G27" s="12">
        <v>344906</v>
      </c>
    </row>
    <row r="28" spans="1:7" ht="15.75">
      <c r="A28" s="21" t="s">
        <v>18</v>
      </c>
      <c r="B28" s="21"/>
      <c r="C28" s="13">
        <f>1586649987/1000</f>
        <v>1586649.987</v>
      </c>
      <c r="D28" s="9"/>
      <c r="E28" s="13">
        <f>279270103/1000</f>
        <v>279270.103</v>
      </c>
      <c r="F28" s="9"/>
      <c r="G28" s="13">
        <v>288798</v>
      </c>
    </row>
    <row r="29" spans="1:7" ht="15.75">
      <c r="A29" s="21"/>
      <c r="B29" s="21"/>
      <c r="C29" s="14" t="s">
        <v>9</v>
      </c>
      <c r="D29" s="9"/>
      <c r="E29" s="14" t="s">
        <v>9</v>
      </c>
      <c r="F29" s="9"/>
      <c r="G29" s="14" t="s">
        <v>9</v>
      </c>
    </row>
    <row r="30" spans="1:7" ht="15.75">
      <c r="A30" s="21" t="s">
        <v>19</v>
      </c>
      <c r="B30" s="21"/>
      <c r="C30" s="12">
        <f>C27-C28</f>
        <v>213269.00300000003</v>
      </c>
      <c r="D30" s="9"/>
      <c r="E30" s="12">
        <f>E27-E28</f>
        <v>42701.13500000001</v>
      </c>
      <c r="F30" s="9"/>
      <c r="G30" s="12">
        <f>G27-G28</f>
        <v>56108</v>
      </c>
    </row>
    <row r="31" spans="1:7" ht="15.75">
      <c r="A31" s="21"/>
      <c r="B31" s="21"/>
      <c r="C31" s="14" t="s">
        <v>20</v>
      </c>
      <c r="D31" s="9"/>
      <c r="E31" s="14" t="s">
        <v>20</v>
      </c>
      <c r="F31" s="9"/>
      <c r="G31" s="14" t="s">
        <v>20</v>
      </c>
    </row>
    <row r="32" spans="1:7" ht="15.75">
      <c r="A32" s="21" t="s">
        <v>21</v>
      </c>
      <c r="B32" s="21"/>
      <c r="C32" s="12">
        <f>2530772552/1000</f>
        <v>2530772.552</v>
      </c>
      <c r="D32" s="9"/>
      <c r="E32" s="12">
        <f>574343900/1000</f>
        <v>574343.9</v>
      </c>
      <c r="F32" s="9"/>
      <c r="G32" s="12">
        <v>819842</v>
      </c>
    </row>
    <row r="33" spans="1:7" ht="15.75">
      <c r="A33" s="21"/>
      <c r="B33" s="21"/>
      <c r="C33" s="14" t="s">
        <v>20</v>
      </c>
      <c r="D33" s="9"/>
      <c r="E33" s="14" t="s">
        <v>20</v>
      </c>
      <c r="F33" s="9"/>
      <c r="G33" s="14" t="s">
        <v>20</v>
      </c>
    </row>
    <row r="34" spans="1:7" ht="15.75">
      <c r="A34" s="21" t="s">
        <v>25</v>
      </c>
      <c r="B34" s="21"/>
      <c r="C34" s="15">
        <f>C30/C32</f>
        <v>0.08427031612598271</v>
      </c>
      <c r="D34" s="9"/>
      <c r="E34" s="15">
        <f>E30/E32</f>
        <v>0.0743476774106942</v>
      </c>
      <c r="F34" s="9"/>
      <c r="G34" s="15">
        <f>G30/G32</f>
        <v>0.06843757699654324</v>
      </c>
    </row>
    <row r="35" spans="1:7" ht="15.75">
      <c r="A35" s="21"/>
      <c r="B35" s="21"/>
      <c r="C35" s="14" t="s">
        <v>20</v>
      </c>
      <c r="D35" s="9"/>
      <c r="E35" s="14" t="s">
        <v>20</v>
      </c>
      <c r="F35" s="9"/>
      <c r="G35" s="14" t="s">
        <v>20</v>
      </c>
    </row>
    <row r="36" spans="1:7" ht="15.75">
      <c r="A36" s="21"/>
      <c r="B36" s="21"/>
      <c r="C36" s="12"/>
      <c r="D36" s="9"/>
      <c r="E36" s="12"/>
      <c r="F36" s="9"/>
      <c r="G36" s="12"/>
    </row>
    <row r="37" spans="1:7" ht="15.75">
      <c r="A37" s="21" t="s">
        <v>26</v>
      </c>
      <c r="B37" s="21"/>
      <c r="C37" s="42">
        <v>0.084</v>
      </c>
      <c r="D37" s="10"/>
      <c r="E37" s="42">
        <v>0.0839</v>
      </c>
      <c r="F37" s="10"/>
      <c r="G37" s="42">
        <v>0.0911</v>
      </c>
    </row>
    <row r="38" spans="1:7" ht="15.75">
      <c r="A38" s="21" t="s">
        <v>27</v>
      </c>
      <c r="B38" s="21"/>
      <c r="C38" s="10" t="s">
        <v>119</v>
      </c>
      <c r="D38" s="10"/>
      <c r="E38" s="10" t="s">
        <v>110</v>
      </c>
      <c r="F38" s="10"/>
      <c r="G38" s="10" t="s">
        <v>102</v>
      </c>
    </row>
    <row r="39" spans="1:7" ht="15.75">
      <c r="A39" s="21" t="s">
        <v>103</v>
      </c>
      <c r="B39" s="20"/>
      <c r="C39" s="41" t="s">
        <v>120</v>
      </c>
      <c r="D39" s="43"/>
      <c r="E39" s="41" t="s">
        <v>111</v>
      </c>
      <c r="F39" s="43"/>
      <c r="G39" s="41" t="s">
        <v>104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3" max="3" width="10.99609375" style="0" customWidth="1"/>
  </cols>
  <sheetData>
    <row r="1" spans="2:6" ht="15.75" thickBot="1">
      <c r="B1" s="55" t="s">
        <v>123</v>
      </c>
      <c r="C1" s="55" t="s">
        <v>126</v>
      </c>
      <c r="D1" s="55" t="s">
        <v>124</v>
      </c>
      <c r="E1" s="60">
        <f>E2</f>
        <v>0.0785</v>
      </c>
      <c r="F1" s="56" t="s">
        <v>127</v>
      </c>
    </row>
    <row r="2" spans="1:5" ht="15">
      <c r="A2" s="57">
        <v>2000</v>
      </c>
      <c r="B2" s="61">
        <v>0.12792972210236328</v>
      </c>
      <c r="C2" s="62">
        <v>0.031492233855146975</v>
      </c>
      <c r="D2" s="62">
        <v>-0.006632455717396718</v>
      </c>
      <c r="E2" s="62">
        <v>0.0785</v>
      </c>
    </row>
    <row r="3" spans="1:5" ht="15">
      <c r="A3" s="57">
        <v>2001</v>
      </c>
      <c r="B3" s="62">
        <v>0.077069872806283</v>
      </c>
      <c r="C3" s="62">
        <v>0.04429575452880302</v>
      </c>
      <c r="D3" s="62">
        <v>0.07791464060874376</v>
      </c>
      <c r="E3" s="62">
        <v>0.0785</v>
      </c>
    </row>
    <row r="4" spans="1:6" ht="15">
      <c r="A4" s="57">
        <v>2002</v>
      </c>
      <c r="B4" s="62">
        <v>0.0779688003691367</v>
      </c>
      <c r="C4" s="62">
        <v>0.06332573926129105</v>
      </c>
      <c r="D4" s="62">
        <v>0.0951055950874427</v>
      </c>
      <c r="E4" s="62">
        <v>0.0785</v>
      </c>
      <c r="F4" s="58">
        <f>'[1]Gas'!$J$7</f>
        <v>-0.05545132374400667</v>
      </c>
    </row>
    <row r="5" spans="1:6" ht="15">
      <c r="A5" s="57">
        <v>2003</v>
      </c>
      <c r="B5" s="62">
        <v>0.08166589645262877</v>
      </c>
      <c r="C5" s="62">
        <v>0.06931347875752984</v>
      </c>
      <c r="D5" s="62">
        <v>0.08656326171552846</v>
      </c>
      <c r="E5" s="62">
        <v>0.0785</v>
      </c>
      <c r="F5" s="59">
        <f>'[1]Gas'!$J$22</f>
        <v>0.031686470710860955</v>
      </c>
    </row>
    <row r="6" spans="1:6" ht="15">
      <c r="A6" s="57">
        <v>2004</v>
      </c>
      <c r="B6" s="62">
        <v>0.0848414159441267</v>
      </c>
      <c r="C6" s="62">
        <v>0.08799335275159753</v>
      </c>
      <c r="D6" s="62">
        <v>0.07586398536128096</v>
      </c>
      <c r="E6" s="62">
        <v>0.0785</v>
      </c>
      <c r="F6" s="59">
        <f>'[1]Gas'!$J$37</f>
        <v>0.07838232228476132</v>
      </c>
    </row>
    <row r="7" spans="1:6" ht="15">
      <c r="A7" s="57">
        <v>2005</v>
      </c>
      <c r="B7" s="62">
        <v>0.08764306268183233</v>
      </c>
      <c r="C7" s="62">
        <v>0.06344355141112117</v>
      </c>
      <c r="D7" s="62">
        <v>0.06915737566617919</v>
      </c>
      <c r="E7" s="62">
        <v>0.0785</v>
      </c>
      <c r="F7" s="59">
        <f>'[1]Gas'!$J$52</f>
        <v>0.06420679591411299</v>
      </c>
    </row>
    <row r="8" ht="15">
      <c r="B8" s="63" t="s">
        <v>125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73"/>
  <sheetViews>
    <sheetView defaultGridColor="0" zoomScale="75" zoomScaleNormal="75" colorId="22" workbookViewId="0" topLeftCell="A19">
      <selection activeCell="C39" sqref="C39"/>
    </sheetView>
  </sheetViews>
  <sheetFormatPr defaultColWidth="9.77734375" defaultRowHeight="15"/>
  <cols>
    <col min="1" max="1" width="30.77734375" style="0" customWidth="1"/>
    <col min="2" max="3" width="15.77734375" style="0" customWidth="1"/>
    <col min="4" max="4" width="5.88671875" style="0" customWidth="1"/>
    <col min="5" max="5" width="15.77734375" style="0" customWidth="1"/>
    <col min="6" max="6" width="5.4453125" style="0" customWidth="1"/>
    <col min="7" max="8" width="15.77734375" style="0" customWidth="1"/>
  </cols>
  <sheetData>
    <row r="1" spans="1:10" ht="15.75">
      <c r="A1" s="19"/>
      <c r="B1" s="19"/>
      <c r="C1" s="19" t="s">
        <v>31</v>
      </c>
      <c r="D1" s="19"/>
      <c r="E1" s="19"/>
      <c r="F1" s="19"/>
      <c r="G1" s="19"/>
      <c r="H1" s="20"/>
      <c r="I1" s="20"/>
      <c r="J1" s="20"/>
    </row>
    <row r="2" spans="1:10" ht="15.75">
      <c r="A2" s="19"/>
      <c r="B2" s="19" t="s">
        <v>32</v>
      </c>
      <c r="C2" s="19"/>
      <c r="D2" s="19"/>
      <c r="E2" s="19"/>
      <c r="F2" s="19"/>
      <c r="G2" s="19"/>
      <c r="H2" s="20"/>
      <c r="I2" s="20"/>
      <c r="J2" s="20"/>
    </row>
    <row r="3" spans="1:10" ht="15.75">
      <c r="A3" s="19"/>
      <c r="B3" s="19" t="s">
        <v>33</v>
      </c>
      <c r="C3" s="19"/>
      <c r="D3" s="19"/>
      <c r="E3" s="19"/>
      <c r="F3" s="19"/>
      <c r="G3" s="19"/>
      <c r="H3" s="20"/>
      <c r="I3" s="20"/>
      <c r="J3" s="20"/>
    </row>
    <row r="4" spans="1:10" ht="15.75">
      <c r="A4" s="19"/>
      <c r="B4" s="19"/>
      <c r="C4" s="19"/>
      <c r="D4" s="5" t="s">
        <v>34</v>
      </c>
      <c r="E4" s="19"/>
      <c r="F4" s="19"/>
      <c r="G4" s="19"/>
      <c r="H4" s="20"/>
      <c r="I4" s="20"/>
      <c r="J4" s="20"/>
    </row>
    <row r="5" spans="1:10" ht="15.75">
      <c r="A5" s="19"/>
      <c r="B5" s="19"/>
      <c r="C5" s="19"/>
      <c r="D5" s="19"/>
      <c r="E5" s="19"/>
      <c r="F5" s="19"/>
      <c r="G5" s="19"/>
      <c r="H5" s="20"/>
      <c r="I5" s="20"/>
      <c r="J5" s="20"/>
    </row>
    <row r="6" spans="1:10" ht="15.75">
      <c r="A6" s="19"/>
      <c r="B6" s="19"/>
      <c r="C6" s="19"/>
      <c r="D6" s="19"/>
      <c r="E6" s="19" t="s">
        <v>35</v>
      </c>
      <c r="F6" s="19"/>
      <c r="G6" s="19" t="s">
        <v>35</v>
      </c>
      <c r="H6" s="20"/>
      <c r="I6" s="20"/>
      <c r="J6" s="20"/>
    </row>
    <row r="7" spans="1:10" ht="15.75">
      <c r="A7" s="19"/>
      <c r="B7" s="19"/>
      <c r="C7" s="5" t="s">
        <v>4</v>
      </c>
      <c r="D7" s="19"/>
      <c r="E7" s="5" t="s">
        <v>5</v>
      </c>
      <c r="F7" s="19"/>
      <c r="G7" s="5" t="s">
        <v>36</v>
      </c>
      <c r="H7" s="20"/>
      <c r="I7" s="20"/>
      <c r="J7" s="20"/>
    </row>
    <row r="8" spans="1:10" ht="15.75">
      <c r="A8" s="19"/>
      <c r="B8" s="19"/>
      <c r="C8" s="5" t="s">
        <v>7</v>
      </c>
      <c r="D8" s="19"/>
      <c r="E8" s="5" t="s">
        <v>7</v>
      </c>
      <c r="F8" s="19"/>
      <c r="G8" s="5" t="s">
        <v>37</v>
      </c>
      <c r="H8" s="20"/>
      <c r="I8" s="20"/>
      <c r="J8" s="20"/>
    </row>
    <row r="9" spans="1:10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  <c r="H9" s="20"/>
      <c r="I9" s="20"/>
      <c r="J9" s="20"/>
    </row>
    <row r="10" spans="1:10" ht="15.75">
      <c r="A10" s="19" t="s">
        <v>10</v>
      </c>
      <c r="B10" s="19"/>
      <c r="C10" s="5" t="s">
        <v>38</v>
      </c>
      <c r="D10" s="19"/>
      <c r="E10" s="5" t="s">
        <v>12</v>
      </c>
      <c r="F10" s="19"/>
      <c r="G10" s="5" t="s">
        <v>39</v>
      </c>
      <c r="H10" s="20"/>
      <c r="I10" s="20"/>
      <c r="J10" s="20"/>
    </row>
    <row r="11" spans="1:10" ht="15.75">
      <c r="A11" s="19"/>
      <c r="B11" s="19"/>
      <c r="C11" s="19"/>
      <c r="D11" s="19"/>
      <c r="E11" s="19" t="s">
        <v>35</v>
      </c>
      <c r="F11" s="19"/>
      <c r="G11" s="19"/>
      <c r="H11" s="20"/>
      <c r="I11" s="20"/>
      <c r="J11" s="20"/>
    </row>
    <row r="12" spans="1:10" ht="15.75">
      <c r="A12" s="19" t="s">
        <v>14</v>
      </c>
      <c r="B12" s="19"/>
      <c r="C12" s="5"/>
      <c r="D12" s="19"/>
      <c r="E12" s="5"/>
      <c r="F12" s="19"/>
      <c r="G12" s="5"/>
      <c r="H12" s="20"/>
      <c r="I12" s="20"/>
      <c r="J12" s="20"/>
    </row>
    <row r="13" spans="1:10" ht="15.75">
      <c r="A13" s="19"/>
      <c r="B13" s="19"/>
      <c r="C13" s="19"/>
      <c r="D13" s="19"/>
      <c r="E13" s="19"/>
      <c r="F13" s="19"/>
      <c r="G13" s="19"/>
      <c r="H13" s="20"/>
      <c r="I13" s="20"/>
      <c r="J13" s="20"/>
    </row>
    <row r="14" spans="1:10" ht="15.75">
      <c r="A14" s="19" t="s">
        <v>15</v>
      </c>
      <c r="B14" s="19"/>
      <c r="C14" s="19"/>
      <c r="D14" s="19"/>
      <c r="E14" s="19"/>
      <c r="F14" s="19"/>
      <c r="G14" s="19"/>
      <c r="H14" s="20"/>
      <c r="I14" s="20"/>
      <c r="J14" s="20"/>
    </row>
    <row r="15" spans="1:10" ht="15.75">
      <c r="A15" s="19" t="s">
        <v>16</v>
      </c>
      <c r="B15" s="19"/>
      <c r="C15" s="19"/>
      <c r="D15" s="19"/>
      <c r="E15" s="19"/>
      <c r="F15" s="19"/>
      <c r="G15" s="19"/>
      <c r="H15" s="20"/>
      <c r="I15" s="20"/>
      <c r="J15" s="20"/>
    </row>
    <row r="16" spans="1:10" ht="15.75">
      <c r="A16" s="19" t="s">
        <v>17</v>
      </c>
      <c r="B16" s="19"/>
      <c r="C16" s="28">
        <v>1179330</v>
      </c>
      <c r="D16" s="19"/>
      <c r="E16" s="28">
        <v>221104</v>
      </c>
      <c r="F16" s="19"/>
      <c r="G16" s="28">
        <v>328713</v>
      </c>
      <c r="H16" s="20"/>
      <c r="I16" s="20"/>
      <c r="J16" s="20"/>
    </row>
    <row r="17" spans="1:10" ht="15.75">
      <c r="A17" s="19" t="s">
        <v>18</v>
      </c>
      <c r="B17" s="19"/>
      <c r="C17" s="29">
        <v>964742</v>
      </c>
      <c r="D17" s="19"/>
      <c r="E17" s="29">
        <v>168949</v>
      </c>
      <c r="F17" s="19"/>
      <c r="G17" s="29">
        <v>258449</v>
      </c>
      <c r="H17" s="20"/>
      <c r="I17" s="20"/>
      <c r="J17" s="20"/>
    </row>
    <row r="18" spans="1:10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  <c r="H18" s="20"/>
      <c r="I18" s="20"/>
      <c r="J18" s="20"/>
    </row>
    <row r="19" spans="1:10" ht="15.75">
      <c r="A19" s="19" t="s">
        <v>19</v>
      </c>
      <c r="B19" s="19"/>
      <c r="C19" s="28">
        <f>C16-C17</f>
        <v>214588</v>
      </c>
      <c r="D19" s="19"/>
      <c r="E19" s="28">
        <f>E16-E17</f>
        <v>52155</v>
      </c>
      <c r="F19" s="19"/>
      <c r="G19" s="28">
        <f>G16-G17</f>
        <v>70264</v>
      </c>
      <c r="H19" s="20"/>
      <c r="I19" s="20"/>
      <c r="J19" s="20"/>
    </row>
    <row r="20" spans="1:10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  <c r="H20" s="20"/>
      <c r="I20" s="20"/>
      <c r="J20" s="20"/>
    </row>
    <row r="21" spans="1:10" ht="15.75">
      <c r="A21" s="19" t="s">
        <v>21</v>
      </c>
      <c r="B21" s="19"/>
      <c r="C21" s="28">
        <v>2266924</v>
      </c>
      <c r="D21" s="19"/>
      <c r="E21" s="28">
        <v>561895</v>
      </c>
      <c r="F21" s="19"/>
      <c r="G21" s="28">
        <v>655822</v>
      </c>
      <c r="H21" s="20"/>
      <c r="I21" s="20"/>
      <c r="J21" s="20"/>
    </row>
    <row r="22" spans="1:10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  <c r="H22" s="20"/>
      <c r="I22" s="20"/>
      <c r="J22" s="20"/>
    </row>
    <row r="23" spans="1:10" ht="15.75">
      <c r="A23" s="19" t="s">
        <v>22</v>
      </c>
      <c r="B23" s="19"/>
      <c r="C23" s="30">
        <f>C19/C21</f>
        <v>0.09466042972768386</v>
      </c>
      <c r="D23" s="19"/>
      <c r="E23" s="30">
        <f>E19/E21</f>
        <v>0.09281983288692727</v>
      </c>
      <c r="F23" s="19"/>
      <c r="G23" s="30">
        <f>G19/G21</f>
        <v>0.1071388273037501</v>
      </c>
      <c r="H23" s="20"/>
      <c r="I23" s="20"/>
      <c r="J23" s="20"/>
    </row>
    <row r="24" spans="1:10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  <c r="H24" s="20"/>
      <c r="I24" s="20"/>
      <c r="J24" s="20"/>
    </row>
    <row r="25" spans="1:10" ht="15.75">
      <c r="A25" s="19" t="s">
        <v>23</v>
      </c>
      <c r="B25" s="19"/>
      <c r="C25" s="19"/>
      <c r="D25" s="19"/>
      <c r="E25" s="19"/>
      <c r="F25" s="19"/>
      <c r="G25" s="19"/>
      <c r="H25" s="20"/>
      <c r="I25" s="20"/>
      <c r="J25" s="20"/>
    </row>
    <row r="26" spans="1:10" ht="15.75">
      <c r="A26" s="19" t="s">
        <v>24</v>
      </c>
      <c r="B26" s="19"/>
      <c r="C26" s="19"/>
      <c r="D26" s="19"/>
      <c r="E26" s="19"/>
      <c r="F26" s="19"/>
      <c r="G26" s="19"/>
      <c r="H26" s="20"/>
      <c r="I26" s="20"/>
      <c r="J26" s="20"/>
    </row>
    <row r="27" spans="1:10" ht="15.75">
      <c r="A27" s="19" t="s">
        <v>17</v>
      </c>
      <c r="B27" s="19"/>
      <c r="C27" s="28">
        <v>1218946</v>
      </c>
      <c r="D27" s="19"/>
      <c r="E27" s="28">
        <v>224730</v>
      </c>
      <c r="F27" s="19"/>
      <c r="G27" s="28">
        <v>309845</v>
      </c>
      <c r="H27" s="20"/>
      <c r="I27" s="20"/>
      <c r="J27" s="20"/>
    </row>
    <row r="28" spans="1:10" ht="15.75">
      <c r="A28" s="19" t="s">
        <v>18</v>
      </c>
      <c r="B28" s="19"/>
      <c r="C28" s="29">
        <v>1026169</v>
      </c>
      <c r="D28" s="19"/>
      <c r="E28" s="29">
        <v>175087</v>
      </c>
      <c r="F28" s="19"/>
      <c r="G28" s="29">
        <v>240510</v>
      </c>
      <c r="H28" s="20"/>
      <c r="I28" s="20"/>
      <c r="J28" s="20"/>
    </row>
    <row r="29" spans="1:10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  <c r="H29" s="20"/>
      <c r="I29" s="20"/>
      <c r="J29" s="20"/>
    </row>
    <row r="30" spans="1:10" ht="15.75">
      <c r="A30" s="19" t="s">
        <v>19</v>
      </c>
      <c r="B30" s="19"/>
      <c r="C30" s="28">
        <f>C27-C28</f>
        <v>192777</v>
      </c>
      <c r="D30" s="19"/>
      <c r="E30" s="28">
        <f>E27-E28</f>
        <v>49643</v>
      </c>
      <c r="F30" s="19"/>
      <c r="G30" s="28">
        <f>G27-G28</f>
        <v>69335</v>
      </c>
      <c r="H30" s="20"/>
      <c r="I30" s="20"/>
      <c r="J30" s="20"/>
    </row>
    <row r="31" spans="1:10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  <c r="H31" s="20"/>
      <c r="I31" s="20"/>
      <c r="J31" s="20"/>
    </row>
    <row r="32" spans="1:10" ht="15.75">
      <c r="A32" s="19" t="s">
        <v>21</v>
      </c>
      <c r="B32" s="19"/>
      <c r="C32" s="28">
        <v>2356484</v>
      </c>
      <c r="D32" s="19"/>
      <c r="E32" s="28">
        <v>572142</v>
      </c>
      <c r="F32" s="19"/>
      <c r="G32" s="28">
        <v>655871</v>
      </c>
      <c r="H32" s="20"/>
      <c r="I32" s="20"/>
      <c r="J32" s="20"/>
    </row>
    <row r="33" spans="1:10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  <c r="H33" s="20"/>
      <c r="I33" s="20"/>
      <c r="J33" s="20"/>
    </row>
    <row r="34" spans="1:10" ht="15.75">
      <c r="A34" s="19" t="s">
        <v>25</v>
      </c>
      <c r="B34" s="19"/>
      <c r="C34" s="30">
        <f>C30/C32</f>
        <v>0.08180704812763422</v>
      </c>
      <c r="D34" s="19"/>
      <c r="E34" s="30">
        <f>E30/E32</f>
        <v>0.0867669214985091</v>
      </c>
      <c r="F34" s="19"/>
      <c r="G34" s="30">
        <f>G30/G32</f>
        <v>0.1057143859082045</v>
      </c>
      <c r="H34" s="20"/>
      <c r="I34" s="20"/>
      <c r="J34" s="20"/>
    </row>
    <row r="35" spans="1:10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  <c r="H35" s="20"/>
      <c r="I35" s="20"/>
      <c r="J35" s="20"/>
    </row>
    <row r="36" spans="1:10" ht="15.75">
      <c r="A36" s="19"/>
      <c r="B36" s="19"/>
      <c r="C36" s="28"/>
      <c r="D36" s="19"/>
      <c r="E36" s="28"/>
      <c r="F36" s="19"/>
      <c r="G36" s="28"/>
      <c r="H36" s="20"/>
      <c r="I36" s="20"/>
      <c r="J36" s="20"/>
    </row>
    <row r="37" spans="1:10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  <c r="H37" s="20"/>
      <c r="I37" s="20"/>
      <c r="J37" s="20"/>
    </row>
    <row r="38" spans="1:10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  <c r="H38" s="20"/>
      <c r="I38" s="20"/>
      <c r="J38" s="20"/>
    </row>
    <row r="39" spans="1:10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  <c r="H39" s="20"/>
      <c r="I39" s="20"/>
      <c r="J39" s="20"/>
    </row>
    <row r="40" spans="1:10" ht="15.75">
      <c r="A40" s="19"/>
      <c r="B40" s="19"/>
      <c r="C40" s="5"/>
      <c r="D40" s="5"/>
      <c r="E40" s="5"/>
      <c r="F40" s="5"/>
      <c r="G40" s="5"/>
      <c r="H40" s="20"/>
      <c r="I40" s="20"/>
      <c r="J40" s="20"/>
    </row>
    <row r="41" spans="1:10" ht="15.75">
      <c r="A41" s="19"/>
      <c r="B41" s="19"/>
      <c r="C41" s="19"/>
      <c r="D41" s="19"/>
      <c r="E41" s="19"/>
      <c r="F41" s="19"/>
      <c r="G41" s="19"/>
      <c r="H41" s="20"/>
      <c r="I41" s="20"/>
      <c r="J41" s="20"/>
    </row>
    <row r="42" spans="1:10" ht="15.75">
      <c r="A42" s="19"/>
      <c r="B42" s="19"/>
      <c r="C42" s="19"/>
      <c r="D42" s="19"/>
      <c r="E42" s="19"/>
      <c r="F42" s="19"/>
      <c r="G42" s="19"/>
      <c r="H42" s="20"/>
      <c r="I42" s="20"/>
      <c r="J42" s="20"/>
    </row>
    <row r="43" spans="1:10" ht="15.75">
      <c r="A43" s="19"/>
      <c r="B43" s="19"/>
      <c r="C43" s="19"/>
      <c r="D43" s="19"/>
      <c r="E43" s="19"/>
      <c r="F43" s="19"/>
      <c r="G43" s="19"/>
      <c r="H43" s="20"/>
      <c r="I43" s="20"/>
      <c r="J43" s="20"/>
    </row>
    <row r="44" spans="1:10" ht="15.75">
      <c r="A44" s="19"/>
      <c r="B44" s="19"/>
      <c r="C44" s="19"/>
      <c r="D44" s="19"/>
      <c r="E44" s="19"/>
      <c r="F44" s="19"/>
      <c r="G44" s="19"/>
      <c r="H44" s="20"/>
      <c r="I44" s="20"/>
      <c r="J44" s="20"/>
    </row>
    <row r="45" spans="1:10" ht="15.75">
      <c r="A45" s="19"/>
      <c r="B45" s="19"/>
      <c r="C45" s="31"/>
      <c r="D45" s="19"/>
      <c r="E45" s="31"/>
      <c r="F45" s="19"/>
      <c r="G45" s="31"/>
      <c r="H45" s="20"/>
      <c r="I45" s="20"/>
      <c r="J45" s="20"/>
    </row>
    <row r="46" spans="1:10" ht="15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5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75">
      <c r="A73" s="20"/>
      <c r="B73" s="20"/>
      <c r="C73" s="20"/>
      <c r="D73" s="20"/>
      <c r="E73" s="20"/>
      <c r="F73" s="20"/>
      <c r="G73" s="20"/>
      <c r="H73" s="20"/>
      <c r="I73" s="20"/>
      <c r="J73" s="20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45"/>
  <sheetViews>
    <sheetView defaultGridColor="0" zoomScale="75" zoomScaleNormal="75" colorId="22" workbookViewId="0" topLeftCell="A19">
      <selection activeCell="C39" sqref="C39"/>
    </sheetView>
  </sheetViews>
  <sheetFormatPr defaultColWidth="9.77734375" defaultRowHeight="15"/>
  <cols>
    <col min="1" max="1" width="30.77734375" style="0" customWidth="1"/>
    <col min="3" max="3" width="10.99609375" style="0" customWidth="1"/>
    <col min="4" max="4" width="6.5546875" style="0" customWidth="1"/>
    <col min="5" max="5" width="12.3359375" style="0" customWidth="1"/>
    <col min="6" max="6" width="6.6640625" style="0" customWidth="1"/>
    <col min="7" max="7" width="12.88671875" style="0" customWidth="1"/>
  </cols>
  <sheetData>
    <row r="1" spans="1:8" ht="15.75">
      <c r="A1" s="19"/>
      <c r="B1" s="19"/>
      <c r="C1" s="19" t="s">
        <v>31</v>
      </c>
      <c r="D1" s="19"/>
      <c r="E1" s="19"/>
      <c r="F1" s="19"/>
      <c r="G1" s="19"/>
      <c r="H1" s="20"/>
    </row>
    <row r="2" spans="1:8" ht="15.75">
      <c r="A2" s="19"/>
      <c r="B2" s="19" t="s">
        <v>32</v>
      </c>
      <c r="C2" s="19"/>
      <c r="D2" s="19"/>
      <c r="E2" s="19"/>
      <c r="F2" s="19"/>
      <c r="G2" s="19"/>
      <c r="H2" s="20"/>
    </row>
    <row r="3" spans="1:8" ht="15.75">
      <c r="A3" s="19"/>
      <c r="B3" s="19" t="s">
        <v>40</v>
      </c>
      <c r="C3" s="19"/>
      <c r="D3" s="19"/>
      <c r="E3" s="19"/>
      <c r="F3" s="19"/>
      <c r="G3" s="19"/>
      <c r="H3" s="20"/>
    </row>
    <row r="4" spans="1:8" ht="15.75">
      <c r="A4" s="19"/>
      <c r="B4" s="19"/>
      <c r="C4" s="19"/>
      <c r="D4" s="5" t="s">
        <v>34</v>
      </c>
      <c r="E4" s="19"/>
      <c r="F4" s="19"/>
      <c r="G4" s="19"/>
      <c r="H4" s="20"/>
    </row>
    <row r="5" spans="1:8" ht="15.75">
      <c r="A5" s="19"/>
      <c r="B5" s="19"/>
      <c r="C5" s="19"/>
      <c r="D5" s="19"/>
      <c r="E5" s="19"/>
      <c r="F5" s="19"/>
      <c r="G5" s="19"/>
      <c r="H5" s="20"/>
    </row>
    <row r="6" spans="1:8" ht="15.75">
      <c r="A6" s="19"/>
      <c r="B6" s="19"/>
      <c r="C6" s="19"/>
      <c r="D6" s="19"/>
      <c r="E6" s="19" t="s">
        <v>35</v>
      </c>
      <c r="F6" s="19"/>
      <c r="G6" s="19" t="s">
        <v>35</v>
      </c>
      <c r="H6" s="20"/>
    </row>
    <row r="7" spans="1:8" ht="15.75">
      <c r="A7" s="19"/>
      <c r="B7" s="19"/>
      <c r="C7" s="5" t="s">
        <v>4</v>
      </c>
      <c r="D7" s="19"/>
      <c r="E7" s="5" t="s">
        <v>5</v>
      </c>
      <c r="F7" s="19"/>
      <c r="G7" s="5" t="s">
        <v>36</v>
      </c>
      <c r="H7" s="20"/>
    </row>
    <row r="8" spans="1:8" ht="15.75">
      <c r="A8" s="19"/>
      <c r="B8" s="19"/>
      <c r="C8" s="5" t="s">
        <v>7</v>
      </c>
      <c r="D8" s="19"/>
      <c r="E8" s="5" t="s">
        <v>7</v>
      </c>
      <c r="F8" s="19"/>
      <c r="G8" s="5" t="s">
        <v>37</v>
      </c>
      <c r="H8" s="20"/>
    </row>
    <row r="9" spans="1:8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  <c r="H9" s="20"/>
    </row>
    <row r="10" spans="1:8" ht="15.75">
      <c r="A10" s="19" t="s">
        <v>10</v>
      </c>
      <c r="B10" s="19"/>
      <c r="C10" s="5" t="s">
        <v>41</v>
      </c>
      <c r="D10" s="19"/>
      <c r="E10" s="5" t="s">
        <v>42</v>
      </c>
      <c r="F10" s="19"/>
      <c r="G10" s="5" t="s">
        <v>43</v>
      </c>
      <c r="H10" s="20"/>
    </row>
    <row r="11" spans="1:8" ht="15.75">
      <c r="A11" s="19"/>
      <c r="B11" s="19"/>
      <c r="C11" s="19"/>
      <c r="D11" s="19"/>
      <c r="E11" s="19" t="s">
        <v>35</v>
      </c>
      <c r="F11" s="19"/>
      <c r="G11" s="19"/>
      <c r="H11" s="20"/>
    </row>
    <row r="12" spans="1:8" ht="15.75">
      <c r="A12" s="19" t="s">
        <v>14</v>
      </c>
      <c r="B12" s="19"/>
      <c r="C12" s="5"/>
      <c r="D12" s="19"/>
      <c r="E12" s="5"/>
      <c r="F12" s="19"/>
      <c r="G12" s="5"/>
      <c r="H12" s="20"/>
    </row>
    <row r="13" spans="1:8" ht="15.75">
      <c r="A13" s="19"/>
      <c r="B13" s="19"/>
      <c r="C13" s="19"/>
      <c r="D13" s="19"/>
      <c r="E13" s="19"/>
      <c r="F13" s="19"/>
      <c r="G13" s="19"/>
      <c r="H13" s="20"/>
    </row>
    <row r="14" spans="1:8" ht="15.75">
      <c r="A14" s="19" t="s">
        <v>15</v>
      </c>
      <c r="B14" s="19"/>
      <c r="C14" s="19"/>
      <c r="D14" s="19"/>
      <c r="E14" s="19"/>
      <c r="F14" s="19"/>
      <c r="G14" s="19"/>
      <c r="H14" s="20"/>
    </row>
    <row r="15" spans="1:8" ht="15.75">
      <c r="A15" s="19" t="s">
        <v>16</v>
      </c>
      <c r="B15" s="19"/>
      <c r="C15" s="19"/>
      <c r="D15" s="19"/>
      <c r="E15" s="19"/>
      <c r="F15" s="19"/>
      <c r="G15" s="19"/>
      <c r="H15" s="20"/>
    </row>
    <row r="16" spans="1:8" ht="15.75">
      <c r="A16" s="19" t="s">
        <v>17</v>
      </c>
      <c r="B16" s="19"/>
      <c r="C16" s="28">
        <v>1212788.782</v>
      </c>
      <c r="D16" s="19"/>
      <c r="E16" s="28">
        <v>234356.607</v>
      </c>
      <c r="F16" s="19"/>
      <c r="G16" s="28">
        <v>367984</v>
      </c>
      <c r="H16" s="20"/>
    </row>
    <row r="17" spans="1:8" ht="15.75">
      <c r="A17" s="19" t="s">
        <v>18</v>
      </c>
      <c r="B17" s="19"/>
      <c r="C17" s="29">
        <v>992882.763</v>
      </c>
      <c r="D17" s="19"/>
      <c r="E17" s="29">
        <v>179093.198</v>
      </c>
      <c r="F17" s="19"/>
      <c r="G17" s="29">
        <v>291100</v>
      </c>
      <c r="H17" s="20"/>
    </row>
    <row r="18" spans="1:8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  <c r="H18" s="20"/>
    </row>
    <row r="19" spans="1:8" ht="15.75">
      <c r="A19" s="19" t="s">
        <v>19</v>
      </c>
      <c r="B19" s="19"/>
      <c r="C19" s="28">
        <f>C16-C17</f>
        <v>219906.01899999985</v>
      </c>
      <c r="D19" s="19"/>
      <c r="E19" s="28">
        <f>E16-E17</f>
        <v>55263.408999999985</v>
      </c>
      <c r="F19" s="19"/>
      <c r="G19" s="28">
        <f>G16-G17</f>
        <v>76884</v>
      </c>
      <c r="H19" s="20"/>
    </row>
    <row r="20" spans="1:8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  <c r="H20" s="20"/>
    </row>
    <row r="21" spans="1:8" ht="15.75">
      <c r="A21" s="19" t="s">
        <v>21</v>
      </c>
      <c r="B21" s="19"/>
      <c r="C21" s="28">
        <v>2360470.364</v>
      </c>
      <c r="D21" s="19"/>
      <c r="E21" s="28">
        <v>563758.39</v>
      </c>
      <c r="F21" s="19"/>
      <c r="G21" s="28">
        <v>720520</v>
      </c>
      <c r="H21" s="20"/>
    </row>
    <row r="22" spans="1:8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  <c r="H22" s="20"/>
    </row>
    <row r="23" spans="1:8" ht="15.75">
      <c r="A23" s="19" t="s">
        <v>22</v>
      </c>
      <c r="B23" s="19"/>
      <c r="C23" s="30">
        <f>C19/C21</f>
        <v>0.09316194871743785</v>
      </c>
      <c r="D23" s="19"/>
      <c r="E23" s="30">
        <f>E19/E21</f>
        <v>0.09802676107401255</v>
      </c>
      <c r="F23" s="19"/>
      <c r="G23" s="30">
        <f>G19/G21</f>
        <v>0.1067062676955532</v>
      </c>
      <c r="H23" s="20"/>
    </row>
    <row r="24" spans="1:8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  <c r="H24" s="20"/>
    </row>
    <row r="25" spans="1:8" ht="15.75">
      <c r="A25" s="19" t="s">
        <v>23</v>
      </c>
      <c r="B25" s="19"/>
      <c r="C25" s="19"/>
      <c r="D25" s="19"/>
      <c r="E25" s="19"/>
      <c r="F25" s="19"/>
      <c r="G25" s="19"/>
      <c r="H25" s="20"/>
    </row>
    <row r="26" spans="1:8" ht="15.75">
      <c r="A26" s="19" t="s">
        <v>24</v>
      </c>
      <c r="B26" s="19"/>
      <c r="C26" s="19"/>
      <c r="D26" s="19"/>
      <c r="E26" s="19"/>
      <c r="F26" s="19"/>
      <c r="G26" s="19"/>
      <c r="H26" s="20"/>
    </row>
    <row r="27" spans="1:8" ht="15.75">
      <c r="A27" s="19" t="s">
        <v>17</v>
      </c>
      <c r="B27" s="19"/>
      <c r="C27" s="28">
        <v>1255732.214</v>
      </c>
      <c r="D27" s="19"/>
      <c r="E27" s="28">
        <v>230253.81</v>
      </c>
      <c r="F27" s="19"/>
      <c r="G27" s="28">
        <v>327243</v>
      </c>
      <c r="H27" s="20"/>
    </row>
    <row r="28" spans="1:8" ht="15.75">
      <c r="A28" s="19" t="s">
        <v>18</v>
      </c>
      <c r="B28" s="19"/>
      <c r="C28" s="29">
        <v>1056825.784</v>
      </c>
      <c r="D28" s="19"/>
      <c r="E28" s="29">
        <v>179960.072</v>
      </c>
      <c r="F28" s="19"/>
      <c r="G28" s="29">
        <v>260227</v>
      </c>
      <c r="H28" s="20"/>
    </row>
    <row r="29" spans="1:8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  <c r="H29" s="20"/>
    </row>
    <row r="30" spans="1:8" ht="15.75">
      <c r="A30" s="19" t="s">
        <v>19</v>
      </c>
      <c r="B30" s="19"/>
      <c r="C30" s="28">
        <f>C27-C28</f>
        <v>198906.42999999993</v>
      </c>
      <c r="D30" s="19"/>
      <c r="E30" s="28">
        <f>E27-E28</f>
        <v>50293.73800000001</v>
      </c>
      <c r="F30" s="19"/>
      <c r="G30" s="28">
        <f>G27-G28</f>
        <v>67016</v>
      </c>
      <c r="H30" s="20"/>
    </row>
    <row r="31" spans="1:8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  <c r="H31" s="20"/>
    </row>
    <row r="32" spans="1:8" ht="15.75">
      <c r="A32" s="19" t="s">
        <v>21</v>
      </c>
      <c r="B32" s="19"/>
      <c r="C32" s="28">
        <v>2346257.847</v>
      </c>
      <c r="D32" s="19"/>
      <c r="E32" s="28">
        <v>557609.24</v>
      </c>
      <c r="F32" s="19"/>
      <c r="G32" s="28">
        <v>655429</v>
      </c>
      <c r="H32" s="20"/>
    </row>
    <row r="33" spans="1:8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  <c r="H33" s="20"/>
    </row>
    <row r="34" spans="1:8" ht="15.75">
      <c r="A34" s="19" t="s">
        <v>25</v>
      </c>
      <c r="B34" s="19"/>
      <c r="C34" s="30">
        <f>C30/C32</f>
        <v>0.08477603186466826</v>
      </c>
      <c r="D34" s="19"/>
      <c r="E34" s="30">
        <f>E30/E32</f>
        <v>0.09019530953253216</v>
      </c>
      <c r="F34" s="19"/>
      <c r="G34" s="30">
        <f>G30/G32</f>
        <v>0.10224753558356435</v>
      </c>
      <c r="H34" s="20"/>
    </row>
    <row r="35" spans="1:8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  <c r="H35" s="20"/>
    </row>
    <row r="36" spans="1:8" ht="15.75">
      <c r="A36" s="19"/>
      <c r="B36" s="19"/>
      <c r="C36" s="28"/>
      <c r="D36" s="19"/>
      <c r="E36" s="28"/>
      <c r="F36" s="19"/>
      <c r="G36" s="28"/>
      <c r="H36" s="20"/>
    </row>
    <row r="37" spans="1:8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  <c r="H37" s="20"/>
    </row>
    <row r="38" spans="1:8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  <c r="H38" s="20"/>
    </row>
    <row r="39" spans="1:8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  <c r="H39" s="20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2"/>
      <c r="D45" s="1"/>
      <c r="E45" s="2"/>
      <c r="F45" s="1"/>
      <c r="G45" s="2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45"/>
  <sheetViews>
    <sheetView defaultGridColor="0" zoomScale="75" zoomScaleNormal="75" colorId="22" workbookViewId="0" topLeftCell="A22">
      <selection activeCell="C39" sqref="C39"/>
    </sheetView>
  </sheetViews>
  <sheetFormatPr defaultColWidth="9.77734375" defaultRowHeight="15"/>
  <cols>
    <col min="1" max="1" width="30.77734375" style="0" customWidth="1"/>
    <col min="2" max="3" width="12.77734375" style="0" customWidth="1"/>
    <col min="4" max="4" width="7.5546875" style="0" customWidth="1"/>
    <col min="5" max="5" width="12.77734375" style="0" customWidth="1"/>
    <col min="6" max="6" width="8.6640625" style="0" customWidth="1"/>
    <col min="7" max="7" width="12.77734375" style="0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44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19"/>
      <c r="D6" s="19"/>
      <c r="E6" s="19" t="s">
        <v>35</v>
      </c>
      <c r="F6" s="19"/>
      <c r="G6" s="19" t="s">
        <v>35</v>
      </c>
    </row>
    <row r="7" spans="1:7" ht="15.75">
      <c r="A7" s="19"/>
      <c r="B7" s="19"/>
      <c r="C7" s="5" t="s">
        <v>4</v>
      </c>
      <c r="D7" s="19"/>
      <c r="E7" s="5" t="s">
        <v>5</v>
      </c>
      <c r="F7" s="19"/>
      <c r="G7" s="5" t="s">
        <v>36</v>
      </c>
    </row>
    <row r="8" spans="1:7" ht="15.75">
      <c r="A8" s="19"/>
      <c r="B8" s="19"/>
      <c r="C8" s="5" t="s">
        <v>7</v>
      </c>
      <c r="D8" s="19"/>
      <c r="E8" s="5" t="s">
        <v>7</v>
      </c>
      <c r="F8" s="19"/>
      <c r="G8" s="5" t="s">
        <v>37</v>
      </c>
    </row>
    <row r="9" spans="1:7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</row>
    <row r="10" spans="1:7" ht="15.75">
      <c r="A10" s="19" t="s">
        <v>10</v>
      </c>
      <c r="B10" s="19"/>
      <c r="C10" s="5" t="s">
        <v>45</v>
      </c>
      <c r="D10" s="19"/>
      <c r="E10" s="5" t="s">
        <v>46</v>
      </c>
      <c r="F10" s="19"/>
      <c r="G10" s="5" t="s">
        <v>47</v>
      </c>
    </row>
    <row r="11" spans="1:7" ht="15.75">
      <c r="A11" s="19"/>
      <c r="B11" s="19"/>
      <c r="C11" s="19"/>
      <c r="D11" s="19"/>
      <c r="E11" s="19" t="s">
        <v>35</v>
      </c>
      <c r="F11" s="19"/>
      <c r="G11" s="19"/>
    </row>
    <row r="12" spans="1:7" ht="15.75">
      <c r="A12" s="19" t="s">
        <v>14</v>
      </c>
      <c r="B12" s="19"/>
      <c r="C12" s="5"/>
      <c r="D12" s="19"/>
      <c r="E12" s="5"/>
      <c r="F12" s="19"/>
      <c r="G12" s="5"/>
    </row>
    <row r="13" spans="1:7" ht="15.75">
      <c r="A13" s="19"/>
      <c r="B13" s="19"/>
      <c r="C13" s="19"/>
      <c r="D13" s="19"/>
      <c r="E13" s="19"/>
      <c r="F13" s="19"/>
      <c r="G13" s="19"/>
    </row>
    <row r="14" spans="1:7" ht="15.75">
      <c r="A14" s="19" t="s">
        <v>15</v>
      </c>
      <c r="B14" s="19"/>
      <c r="C14" s="19"/>
      <c r="D14" s="19"/>
      <c r="E14" s="19"/>
      <c r="F14" s="19"/>
      <c r="G14" s="19"/>
    </row>
    <row r="15" spans="1:7" ht="15.75">
      <c r="A15" s="19" t="s">
        <v>16</v>
      </c>
      <c r="B15" s="19"/>
      <c r="C15" s="19"/>
      <c r="D15" s="19"/>
      <c r="E15" s="19"/>
      <c r="F15" s="19"/>
      <c r="G15" s="19"/>
    </row>
    <row r="16" spans="1:7" ht="15.75">
      <c r="A16" s="19" t="s">
        <v>17</v>
      </c>
      <c r="B16" s="19"/>
      <c r="C16" s="28">
        <v>1239790</v>
      </c>
      <c r="D16" s="19"/>
      <c r="E16" s="28">
        <v>246072</v>
      </c>
      <c r="F16" s="19"/>
      <c r="G16" s="28">
        <v>419438</v>
      </c>
    </row>
    <row r="17" spans="1:7" ht="15.75">
      <c r="A17" s="19" t="s">
        <v>18</v>
      </c>
      <c r="B17" s="19"/>
      <c r="C17" s="29">
        <v>1027745</v>
      </c>
      <c r="D17" s="19"/>
      <c r="E17" s="29">
        <v>191469</v>
      </c>
      <c r="F17" s="19"/>
      <c r="G17" s="29">
        <v>344736</v>
      </c>
    </row>
    <row r="18" spans="1:7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</row>
    <row r="19" spans="1:7" ht="15.75">
      <c r="A19" s="19" t="s">
        <v>19</v>
      </c>
      <c r="B19" s="19"/>
      <c r="C19" s="28">
        <f>C16-C17</f>
        <v>212045</v>
      </c>
      <c r="D19" s="19"/>
      <c r="E19" s="28">
        <f>E16-E17</f>
        <v>54603</v>
      </c>
      <c r="F19" s="19"/>
      <c r="G19" s="28">
        <f>G16-G17</f>
        <v>74702</v>
      </c>
    </row>
    <row r="20" spans="1:7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</row>
    <row r="21" spans="1:7" ht="15.75">
      <c r="A21" s="19" t="s">
        <v>21</v>
      </c>
      <c r="B21" s="19"/>
      <c r="C21" s="28">
        <v>2321591</v>
      </c>
      <c r="D21" s="19"/>
      <c r="E21" s="28">
        <v>574255</v>
      </c>
      <c r="F21" s="19"/>
      <c r="G21" s="28">
        <v>717654</v>
      </c>
    </row>
    <row r="22" spans="1:7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</row>
    <row r="23" spans="1:7" ht="15.75">
      <c r="A23" s="19" t="s">
        <v>22</v>
      </c>
      <c r="B23" s="19"/>
      <c r="C23" s="30">
        <f>C19/C21</f>
        <v>0.09133607082384451</v>
      </c>
      <c r="D23" s="19"/>
      <c r="E23" s="30">
        <f>E19/E21</f>
        <v>0.09508493613464401</v>
      </c>
      <c r="F23" s="19"/>
      <c r="G23" s="30">
        <f>G19/G21</f>
        <v>0.10409194402873809</v>
      </c>
    </row>
    <row r="24" spans="1:7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</row>
    <row r="25" spans="1:7" ht="15.75">
      <c r="A25" s="19" t="s">
        <v>23</v>
      </c>
      <c r="B25" s="19"/>
      <c r="C25" s="19"/>
      <c r="D25" s="19"/>
      <c r="E25" s="19"/>
      <c r="F25" s="19"/>
      <c r="G25" s="19"/>
    </row>
    <row r="26" spans="1:7" ht="15.75">
      <c r="A26" s="19" t="s">
        <v>24</v>
      </c>
      <c r="B26" s="19"/>
      <c r="C26" s="19"/>
      <c r="D26" s="19"/>
      <c r="E26" s="19"/>
      <c r="F26" s="19"/>
      <c r="G26" s="19"/>
    </row>
    <row r="27" spans="1:7" ht="15.75">
      <c r="A27" s="19" t="s">
        <v>17</v>
      </c>
      <c r="B27" s="19"/>
      <c r="C27" s="28">
        <v>1287944</v>
      </c>
      <c r="D27" s="19"/>
      <c r="E27" s="28">
        <v>235705</v>
      </c>
      <c r="F27" s="19"/>
      <c r="G27" s="28">
        <v>340102</v>
      </c>
    </row>
    <row r="28" spans="1:7" ht="15.75">
      <c r="A28" s="19" t="s">
        <v>18</v>
      </c>
      <c r="B28" s="19"/>
      <c r="C28" s="29">
        <v>1078075</v>
      </c>
      <c r="D28" s="19"/>
      <c r="E28" s="29">
        <v>188226</v>
      </c>
      <c r="F28" s="19"/>
      <c r="G28" s="29">
        <v>275646</v>
      </c>
    </row>
    <row r="29" spans="1:7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</row>
    <row r="30" spans="1:7" ht="15.75">
      <c r="A30" s="19" t="s">
        <v>19</v>
      </c>
      <c r="B30" s="19"/>
      <c r="C30" s="28">
        <f>C27-C28</f>
        <v>209869</v>
      </c>
      <c r="D30" s="19"/>
      <c r="E30" s="28">
        <f>E27-E28</f>
        <v>47479</v>
      </c>
      <c r="F30" s="19"/>
      <c r="G30" s="28">
        <f>G27-G28</f>
        <v>64456</v>
      </c>
    </row>
    <row r="31" spans="1:7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</row>
    <row r="32" spans="1:7" ht="15.75">
      <c r="A32" s="19" t="s">
        <v>21</v>
      </c>
      <c r="B32" s="19"/>
      <c r="C32" s="28">
        <v>2306051</v>
      </c>
      <c r="D32" s="19"/>
      <c r="E32" s="28">
        <v>564338</v>
      </c>
      <c r="F32" s="19"/>
      <c r="G32" s="28">
        <v>650161</v>
      </c>
    </row>
    <row r="33" spans="1:7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</row>
    <row r="34" spans="1:7" ht="15.75">
      <c r="A34" s="19" t="s">
        <v>25</v>
      </c>
      <c r="B34" s="19"/>
      <c r="C34" s="30">
        <f>C30/C32</f>
        <v>0.09100796122895807</v>
      </c>
      <c r="D34" s="19"/>
      <c r="E34" s="30">
        <f>E30/E32</f>
        <v>0.08413220445902987</v>
      </c>
      <c r="F34" s="19"/>
      <c r="G34" s="30">
        <f>G30/G32</f>
        <v>0.0991385210740109</v>
      </c>
    </row>
    <row r="35" spans="1:7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</row>
    <row r="36" spans="1:7" ht="15.75">
      <c r="A36" s="19"/>
      <c r="B36" s="19"/>
      <c r="C36" s="28"/>
      <c r="D36" s="19"/>
      <c r="E36" s="28"/>
      <c r="F36" s="19"/>
      <c r="G36" s="28"/>
    </row>
    <row r="37" spans="1:7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</row>
    <row r="38" spans="1:7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</row>
    <row r="39" spans="1:7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2"/>
      <c r="D45" s="1"/>
      <c r="E45" s="2"/>
      <c r="F45" s="1"/>
      <c r="G45" s="2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45"/>
  <sheetViews>
    <sheetView defaultGridColor="0" zoomScale="75" zoomScaleNormal="75" colorId="22" workbookViewId="0" topLeftCell="A22">
      <selection activeCell="C39" sqref="C39"/>
    </sheetView>
  </sheetViews>
  <sheetFormatPr defaultColWidth="9.77734375" defaultRowHeight="15"/>
  <cols>
    <col min="1" max="1" width="30.77734375" style="0" customWidth="1"/>
    <col min="2" max="3" width="12.77734375" style="0" customWidth="1"/>
    <col min="4" max="4" width="6.10546875" style="0" customWidth="1"/>
    <col min="5" max="5" width="12.77734375" style="0" customWidth="1"/>
    <col min="6" max="6" width="6.5546875" style="0" customWidth="1"/>
    <col min="7" max="7" width="12.77734375" style="0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48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19"/>
      <c r="D6" s="19"/>
      <c r="E6" s="19" t="s">
        <v>35</v>
      </c>
      <c r="F6" s="19"/>
      <c r="G6" s="19" t="s">
        <v>35</v>
      </c>
    </row>
    <row r="7" spans="1:7" ht="15.75">
      <c r="A7" s="19"/>
      <c r="B7" s="19"/>
      <c r="C7" s="5" t="s">
        <v>4</v>
      </c>
      <c r="D7" s="19"/>
      <c r="E7" s="5" t="s">
        <v>5</v>
      </c>
      <c r="F7" s="19"/>
      <c r="G7" s="5" t="s">
        <v>36</v>
      </c>
    </row>
    <row r="8" spans="1:7" ht="15.75">
      <c r="A8" s="19"/>
      <c r="B8" s="19"/>
      <c r="C8" s="5" t="s">
        <v>7</v>
      </c>
      <c r="D8" s="19"/>
      <c r="E8" s="5" t="s">
        <v>7</v>
      </c>
      <c r="F8" s="19"/>
      <c r="G8" s="5" t="s">
        <v>37</v>
      </c>
    </row>
    <row r="9" spans="1:7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</row>
    <row r="10" spans="1:7" ht="15.75">
      <c r="A10" s="19" t="s">
        <v>10</v>
      </c>
      <c r="B10" s="19"/>
      <c r="C10" s="5" t="s">
        <v>49</v>
      </c>
      <c r="D10" s="19"/>
      <c r="E10" s="5" t="s">
        <v>50</v>
      </c>
      <c r="F10" s="19"/>
      <c r="G10" s="5" t="s">
        <v>51</v>
      </c>
    </row>
    <row r="11" spans="1:7" ht="15.75">
      <c r="A11" s="19"/>
      <c r="B11" s="19"/>
      <c r="C11" s="19"/>
      <c r="D11" s="19"/>
      <c r="E11" s="19" t="s">
        <v>35</v>
      </c>
      <c r="F11" s="19"/>
      <c r="G11" s="19"/>
    </row>
    <row r="12" spans="1:7" ht="15.75">
      <c r="A12" s="19" t="s">
        <v>14</v>
      </c>
      <c r="B12" s="19"/>
      <c r="C12" s="5"/>
      <c r="D12" s="19"/>
      <c r="E12" s="5"/>
      <c r="F12" s="19"/>
      <c r="G12" s="5"/>
    </row>
    <row r="13" spans="1:7" ht="15.75">
      <c r="A13" s="19"/>
      <c r="B13" s="19"/>
      <c r="C13" s="19"/>
      <c r="D13" s="19"/>
      <c r="E13" s="19"/>
      <c r="F13" s="19"/>
      <c r="G13" s="19"/>
    </row>
    <row r="14" spans="1:7" ht="15.75">
      <c r="A14" s="19" t="s">
        <v>15</v>
      </c>
      <c r="B14" s="19"/>
      <c r="C14" s="19"/>
      <c r="D14" s="19"/>
      <c r="E14" s="19"/>
      <c r="F14" s="19"/>
      <c r="G14" s="19"/>
    </row>
    <row r="15" spans="1:7" ht="15.75">
      <c r="A15" s="19" t="s">
        <v>16</v>
      </c>
      <c r="B15" s="19"/>
      <c r="C15" s="19"/>
      <c r="D15" s="19"/>
      <c r="E15" s="19"/>
      <c r="F15" s="19"/>
      <c r="G15" s="19"/>
    </row>
    <row r="16" spans="1:7" ht="15.75">
      <c r="A16" s="19" t="s">
        <v>17</v>
      </c>
      <c r="B16" s="19"/>
      <c r="C16" s="28">
        <f>1179988654/1000</f>
        <v>1179988.654</v>
      </c>
      <c r="D16" s="19"/>
      <c r="E16" s="28">
        <f>268432594/1000</f>
        <v>268432.594</v>
      </c>
      <c r="F16" s="19"/>
      <c r="G16" s="28">
        <v>464578</v>
      </c>
    </row>
    <row r="17" spans="1:7" ht="15.75">
      <c r="A17" s="19" t="s">
        <v>18</v>
      </c>
      <c r="B17" s="19"/>
      <c r="C17" s="29">
        <f>1028445102/1000</f>
        <v>1028445.102</v>
      </c>
      <c r="D17" s="19"/>
      <c r="E17" s="29">
        <f>213761136/1000</f>
        <v>213761.136</v>
      </c>
      <c r="F17" s="19"/>
      <c r="G17" s="29">
        <v>389636</v>
      </c>
    </row>
    <row r="18" spans="1:7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</row>
    <row r="19" spans="1:7" ht="15.75">
      <c r="A19" s="19" t="s">
        <v>19</v>
      </c>
      <c r="B19" s="19"/>
      <c r="C19" s="28">
        <f>C16-C17</f>
        <v>151543.55200000014</v>
      </c>
      <c r="D19" s="19"/>
      <c r="E19" s="28">
        <f>E16-E17</f>
        <v>54671.457999999984</v>
      </c>
      <c r="F19" s="19"/>
      <c r="G19" s="28">
        <f>G16-G17</f>
        <v>74942</v>
      </c>
    </row>
    <row r="20" spans="1:7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</row>
    <row r="21" spans="1:7" ht="15.75">
      <c r="A21" s="19" t="s">
        <v>21</v>
      </c>
      <c r="B21" s="19"/>
      <c r="C21" s="28">
        <f>2113041548/1000</f>
        <v>2113041.548</v>
      </c>
      <c r="D21" s="19"/>
      <c r="E21" s="28">
        <f>587995241/1000</f>
        <v>587995.241</v>
      </c>
      <c r="F21" s="19"/>
      <c r="G21" s="28">
        <v>720559</v>
      </c>
    </row>
    <row r="22" spans="1:7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</row>
    <row r="23" spans="1:7" ht="15.75">
      <c r="A23" s="19" t="s">
        <v>22</v>
      </c>
      <c r="B23" s="19"/>
      <c r="C23" s="30">
        <f>C19/C21</f>
        <v>0.07171820740743909</v>
      </c>
      <c r="D23" s="19"/>
      <c r="E23" s="30">
        <f>E19/E21</f>
        <v>0.09297942260046281</v>
      </c>
      <c r="F23" s="19"/>
      <c r="G23" s="30">
        <f>G19/G21</f>
        <v>0.1040053625032787</v>
      </c>
    </row>
    <row r="24" spans="1:7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</row>
    <row r="25" spans="1:7" ht="15.75">
      <c r="A25" s="19" t="s">
        <v>23</v>
      </c>
      <c r="B25" s="19"/>
      <c r="C25" s="19"/>
      <c r="D25" s="19"/>
      <c r="E25" s="19"/>
      <c r="F25" s="19"/>
      <c r="G25" s="19"/>
    </row>
    <row r="26" spans="1:7" ht="15.75">
      <c r="A26" s="19" t="s">
        <v>24</v>
      </c>
      <c r="B26" s="19"/>
      <c r="C26" s="19"/>
      <c r="D26" s="19"/>
      <c r="E26" s="19"/>
      <c r="F26" s="19"/>
      <c r="G26" s="19"/>
    </row>
    <row r="27" spans="1:7" ht="15.75">
      <c r="A27" s="19" t="s">
        <v>17</v>
      </c>
      <c r="B27" s="19"/>
      <c r="C27" s="28">
        <f>1232979805/1000</f>
        <v>1232979.805</v>
      </c>
      <c r="D27" s="19"/>
      <c r="E27" s="28">
        <f>254656982/1000</f>
        <v>254656.982</v>
      </c>
      <c r="F27" s="19"/>
      <c r="G27" s="28">
        <v>354186</v>
      </c>
    </row>
    <row r="28" spans="1:7" ht="15.75">
      <c r="A28" s="19" t="s">
        <v>18</v>
      </c>
      <c r="B28" s="19"/>
      <c r="C28" s="29">
        <f>1059980970/1000</f>
        <v>1059980.97</v>
      </c>
      <c r="D28" s="19"/>
      <c r="E28" s="29">
        <f>207897610/1000</f>
        <v>207897.61</v>
      </c>
      <c r="F28" s="19"/>
      <c r="G28" s="29">
        <v>291739</v>
      </c>
    </row>
    <row r="29" spans="1:7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</row>
    <row r="30" spans="1:7" ht="15.75">
      <c r="A30" s="19" t="s">
        <v>19</v>
      </c>
      <c r="B30" s="19"/>
      <c r="C30" s="28">
        <f>C27-C28</f>
        <v>172998.83499999996</v>
      </c>
      <c r="D30" s="19"/>
      <c r="E30" s="28">
        <f>E27-E28</f>
        <v>46759.372</v>
      </c>
      <c r="F30" s="19"/>
      <c r="G30" s="28">
        <f>G27-G28</f>
        <v>62447</v>
      </c>
    </row>
    <row r="31" spans="1:7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</row>
    <row r="32" spans="1:7" ht="15.75">
      <c r="A32" s="19" t="s">
        <v>21</v>
      </c>
      <c r="B32" s="19"/>
      <c r="C32" s="28">
        <f>2258040271/1000</f>
        <v>2258040.271</v>
      </c>
      <c r="D32" s="19"/>
      <c r="E32" s="28">
        <f>583491644/1000</f>
        <v>583491.644</v>
      </c>
      <c r="F32" s="19"/>
      <c r="G32" s="28">
        <v>648992</v>
      </c>
    </row>
    <row r="33" spans="1:7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</row>
    <row r="34" spans="1:7" ht="15.75">
      <c r="A34" s="19" t="s">
        <v>25</v>
      </c>
      <c r="B34" s="19"/>
      <c r="C34" s="30">
        <f>C30/C32</f>
        <v>0.07661459240644337</v>
      </c>
      <c r="D34" s="19"/>
      <c r="E34" s="30">
        <f>E30/E32</f>
        <v>0.08013717502353813</v>
      </c>
      <c r="F34" s="19"/>
      <c r="G34" s="30">
        <f>G30/G32</f>
        <v>0.09622152507272817</v>
      </c>
    </row>
    <row r="35" spans="1:7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</row>
    <row r="36" spans="1:7" ht="15.75">
      <c r="A36" s="19"/>
      <c r="B36" s="19"/>
      <c r="C36" s="28"/>
      <c r="D36" s="19"/>
      <c r="E36" s="28"/>
      <c r="F36" s="19"/>
      <c r="G36" s="28"/>
    </row>
    <row r="37" spans="1:7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</row>
    <row r="38" spans="1:7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</row>
    <row r="39" spans="1:7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2"/>
      <c r="D45" s="1"/>
      <c r="E45" s="2"/>
      <c r="F45" s="1"/>
      <c r="G45" s="2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45"/>
  <sheetViews>
    <sheetView defaultGridColor="0" zoomScale="75" zoomScaleNormal="75" colorId="22" workbookViewId="0" topLeftCell="A25">
      <selection activeCell="C39" sqref="C39"/>
    </sheetView>
  </sheetViews>
  <sheetFormatPr defaultColWidth="9.77734375" defaultRowHeight="15"/>
  <cols>
    <col min="1" max="1" width="30.77734375" style="0" customWidth="1"/>
    <col min="3" max="7" width="12.77734375" style="0" customWidth="1"/>
  </cols>
  <sheetData>
    <row r="1" spans="1:7" ht="15.75">
      <c r="A1" s="1"/>
      <c r="B1" s="1"/>
      <c r="C1" s="19" t="s">
        <v>31</v>
      </c>
      <c r="D1" s="19"/>
      <c r="E1" s="19"/>
      <c r="F1" s="19"/>
      <c r="G1" s="19"/>
    </row>
    <row r="2" spans="1:7" ht="15.75">
      <c r="A2" s="1"/>
      <c r="B2" s="1" t="s">
        <v>32</v>
      </c>
      <c r="C2" s="19"/>
      <c r="D2" s="19"/>
      <c r="E2" s="19"/>
      <c r="F2" s="19"/>
      <c r="G2" s="19"/>
    </row>
    <row r="3" spans="1:7" ht="15.75">
      <c r="A3" s="1"/>
      <c r="B3" s="1" t="s">
        <v>52</v>
      </c>
      <c r="C3" s="19"/>
      <c r="D3" s="19"/>
      <c r="E3" s="19"/>
      <c r="F3" s="19"/>
      <c r="G3" s="19"/>
    </row>
    <row r="4" spans="1:7" ht="15.75">
      <c r="A4" s="1"/>
      <c r="B4" s="1"/>
      <c r="C4" s="19"/>
      <c r="D4" s="5" t="s">
        <v>34</v>
      </c>
      <c r="E4" s="19"/>
      <c r="F4" s="19"/>
      <c r="G4" s="19"/>
    </row>
    <row r="5" spans="1:7" ht="15.75">
      <c r="A5" s="1"/>
      <c r="B5" s="1"/>
      <c r="C5" s="19"/>
      <c r="D5" s="19"/>
      <c r="E5" s="19"/>
      <c r="F5" s="19"/>
      <c r="G5" s="19"/>
    </row>
    <row r="6" spans="1:7" ht="15.75">
      <c r="A6" s="1"/>
      <c r="B6" s="1"/>
      <c r="C6" s="19"/>
      <c r="D6" s="19"/>
      <c r="E6" s="19" t="s">
        <v>35</v>
      </c>
      <c r="F6" s="19"/>
      <c r="G6" s="19" t="s">
        <v>35</v>
      </c>
    </row>
    <row r="7" spans="1:7" ht="15.75">
      <c r="A7" s="1"/>
      <c r="B7" s="1"/>
      <c r="C7" s="5" t="s">
        <v>4</v>
      </c>
      <c r="D7" s="19"/>
      <c r="E7" s="5" t="s">
        <v>5</v>
      </c>
      <c r="F7" s="19"/>
      <c r="G7" s="5" t="s">
        <v>36</v>
      </c>
    </row>
    <row r="8" spans="1:7" ht="15.75">
      <c r="A8" s="1"/>
      <c r="B8" s="1"/>
      <c r="C8" s="5" t="s">
        <v>7</v>
      </c>
      <c r="D8" s="19"/>
      <c r="E8" s="5" t="s">
        <v>7</v>
      </c>
      <c r="F8" s="19"/>
      <c r="G8" s="5" t="s">
        <v>37</v>
      </c>
    </row>
    <row r="9" spans="1:7" ht="15.75">
      <c r="A9" s="1"/>
      <c r="B9" s="1"/>
      <c r="C9" s="27" t="s">
        <v>9</v>
      </c>
      <c r="D9" s="19"/>
      <c r="E9" s="27" t="s">
        <v>9</v>
      </c>
      <c r="F9" s="19"/>
      <c r="G9" s="27" t="s">
        <v>9</v>
      </c>
    </row>
    <row r="10" spans="1:7" ht="15.75">
      <c r="A10" s="1" t="s">
        <v>10</v>
      </c>
      <c r="B10" s="1"/>
      <c r="C10" s="5" t="s">
        <v>49</v>
      </c>
      <c r="D10" s="19"/>
      <c r="E10" s="5" t="s">
        <v>53</v>
      </c>
      <c r="F10" s="19"/>
      <c r="G10" s="5" t="s">
        <v>54</v>
      </c>
    </row>
    <row r="11" spans="1:7" ht="15.75">
      <c r="A11" s="1"/>
      <c r="B11" s="1"/>
      <c r="C11" s="19"/>
      <c r="D11" s="19"/>
      <c r="E11" s="19" t="s">
        <v>35</v>
      </c>
      <c r="F11" s="19"/>
      <c r="G11" s="19"/>
    </row>
    <row r="12" spans="1:7" ht="15.75">
      <c r="A12" s="1" t="s">
        <v>14</v>
      </c>
      <c r="B12" s="1"/>
      <c r="C12" s="5"/>
      <c r="D12" s="19"/>
      <c r="E12" s="5"/>
      <c r="F12" s="19"/>
      <c r="G12" s="5"/>
    </row>
    <row r="13" spans="1:7" ht="15.75">
      <c r="A13" s="1"/>
      <c r="B13" s="1"/>
      <c r="C13" s="19"/>
      <c r="D13" s="19"/>
      <c r="E13" s="19"/>
      <c r="F13" s="19"/>
      <c r="G13" s="19"/>
    </row>
    <row r="14" spans="1:7" ht="15.75">
      <c r="A14" s="1" t="s">
        <v>15</v>
      </c>
      <c r="B14" s="1"/>
      <c r="C14" s="19"/>
      <c r="D14" s="19"/>
      <c r="E14" s="19"/>
      <c r="F14" s="19"/>
      <c r="G14" s="19"/>
    </row>
    <row r="15" spans="1:7" ht="15.75">
      <c r="A15" s="1" t="s">
        <v>16</v>
      </c>
      <c r="B15" s="1"/>
      <c r="C15" s="19"/>
      <c r="D15" s="19"/>
      <c r="E15" s="19"/>
      <c r="F15" s="19"/>
      <c r="G15" s="19"/>
    </row>
    <row r="16" spans="1:7" ht="15.75">
      <c r="A16" s="1" t="s">
        <v>17</v>
      </c>
      <c r="B16" s="1"/>
      <c r="C16" s="28">
        <f>1231423884/1000</f>
        <v>1231423.884</v>
      </c>
      <c r="D16" s="19"/>
      <c r="E16" s="28">
        <f>328977588/1000</f>
        <v>328977.588</v>
      </c>
      <c r="F16" s="19"/>
      <c r="G16" s="28">
        <v>488201</v>
      </c>
    </row>
    <row r="17" spans="1:7" ht="15.75">
      <c r="A17" s="1" t="s">
        <v>18</v>
      </c>
      <c r="B17" s="1"/>
      <c r="C17" s="29">
        <f>1110000231/1000</f>
        <v>1110000.231</v>
      </c>
      <c r="D17" s="19"/>
      <c r="E17" s="29">
        <f>280164007/1000</f>
        <v>280164.007</v>
      </c>
      <c r="F17" s="19"/>
      <c r="G17" s="29">
        <v>408754</v>
      </c>
    </row>
    <row r="18" spans="1:7" ht="15.75">
      <c r="A18" s="1"/>
      <c r="B18" s="1"/>
      <c r="C18" s="27" t="s">
        <v>9</v>
      </c>
      <c r="D18" s="19"/>
      <c r="E18" s="27" t="s">
        <v>9</v>
      </c>
      <c r="F18" s="19"/>
      <c r="G18" s="27" t="s">
        <v>9</v>
      </c>
    </row>
    <row r="19" spans="1:7" ht="15.75">
      <c r="A19" s="1" t="s">
        <v>19</v>
      </c>
      <c r="B19" s="1"/>
      <c r="C19" s="28">
        <f>C16-C17</f>
        <v>121423.65300000017</v>
      </c>
      <c r="D19" s="19"/>
      <c r="E19" s="28">
        <f>E16-E17</f>
        <v>48813.581000000006</v>
      </c>
      <c r="F19" s="19"/>
      <c r="G19" s="28">
        <f>G16-G17</f>
        <v>79447</v>
      </c>
    </row>
    <row r="20" spans="1:7" ht="15.75">
      <c r="A20" s="1"/>
      <c r="B20" s="1"/>
      <c r="C20" s="27" t="s">
        <v>20</v>
      </c>
      <c r="D20" s="19"/>
      <c r="E20" s="27" t="s">
        <v>20</v>
      </c>
      <c r="F20" s="19"/>
      <c r="G20" s="27" t="s">
        <v>20</v>
      </c>
    </row>
    <row r="21" spans="1:7" ht="15.75">
      <c r="A21" s="1" t="s">
        <v>21</v>
      </c>
      <c r="B21" s="1"/>
      <c r="C21" s="28">
        <f>2073930433/1000</f>
        <v>2073930.433</v>
      </c>
      <c r="D21" s="19"/>
      <c r="E21" s="28">
        <f>617649526/1000</f>
        <v>617649.526</v>
      </c>
      <c r="F21" s="19"/>
      <c r="G21" s="28">
        <v>723398</v>
      </c>
    </row>
    <row r="22" spans="1:7" ht="15.75">
      <c r="A22" s="1"/>
      <c r="B22" s="1"/>
      <c r="C22" s="27" t="s">
        <v>20</v>
      </c>
      <c r="D22" s="19"/>
      <c r="E22" s="27" t="s">
        <v>20</v>
      </c>
      <c r="F22" s="19"/>
      <c r="G22" s="27" t="s">
        <v>20</v>
      </c>
    </row>
    <row r="23" spans="1:7" ht="15.75">
      <c r="A23" s="1" t="s">
        <v>22</v>
      </c>
      <c r="B23" s="1"/>
      <c r="C23" s="30">
        <f>C19/C21</f>
        <v>0.05854760172661981</v>
      </c>
      <c r="D23" s="19"/>
      <c r="E23" s="30">
        <f>E19/E21</f>
        <v>0.07903119640700576</v>
      </c>
      <c r="F23" s="19"/>
      <c r="G23" s="30">
        <f>G19/G21</f>
        <v>0.10982474377866679</v>
      </c>
    </row>
    <row r="24" spans="1:7" ht="15.75">
      <c r="A24" s="1"/>
      <c r="B24" s="1"/>
      <c r="C24" s="27" t="s">
        <v>20</v>
      </c>
      <c r="D24" s="19"/>
      <c r="E24" s="27" t="s">
        <v>20</v>
      </c>
      <c r="F24" s="19"/>
      <c r="G24" s="27" t="s">
        <v>20</v>
      </c>
    </row>
    <row r="25" spans="1:7" ht="15.75">
      <c r="A25" s="1" t="s">
        <v>23</v>
      </c>
      <c r="B25" s="1"/>
      <c r="C25" s="19"/>
      <c r="D25" s="19"/>
      <c r="E25" s="19"/>
      <c r="F25" s="19"/>
      <c r="G25" s="19"/>
    </row>
    <row r="26" spans="1:7" ht="15.75">
      <c r="A26" s="1" t="s">
        <v>24</v>
      </c>
      <c r="B26" s="1"/>
      <c r="C26" s="19"/>
      <c r="D26" s="19"/>
      <c r="E26" s="19"/>
      <c r="F26" s="19"/>
      <c r="G26" s="19"/>
    </row>
    <row r="27" spans="1:7" ht="15.75">
      <c r="A27" s="1" t="s">
        <v>17</v>
      </c>
      <c r="B27" s="1"/>
      <c r="C27" s="28">
        <f>1253192473/1000</f>
        <v>1253192.473</v>
      </c>
      <c r="D27" s="19"/>
      <c r="E27" s="28">
        <f>338422701/1000</f>
        <v>338422.701</v>
      </c>
      <c r="F27" s="19"/>
      <c r="G27" s="28">
        <v>344264</v>
      </c>
    </row>
    <row r="28" spans="1:7" ht="15.75">
      <c r="A28" s="1" t="s">
        <v>18</v>
      </c>
      <c r="B28" s="1"/>
      <c r="C28" s="29">
        <f>1081764811/1000</f>
        <v>1081764.811</v>
      </c>
      <c r="D28" s="19"/>
      <c r="E28" s="29">
        <f>284645845/1000</f>
        <v>284645.845</v>
      </c>
      <c r="F28" s="19"/>
      <c r="G28" s="29">
        <f>255673+14956+7206-26+7465</f>
        <v>285274</v>
      </c>
    </row>
    <row r="29" spans="1:7" ht="15.75">
      <c r="A29" s="1"/>
      <c r="B29" s="1"/>
      <c r="C29" s="27" t="s">
        <v>9</v>
      </c>
      <c r="D29" s="19"/>
      <c r="E29" s="27" t="s">
        <v>9</v>
      </c>
      <c r="F29" s="19"/>
      <c r="G29" s="27" t="s">
        <v>9</v>
      </c>
    </row>
    <row r="30" spans="1:7" ht="15.75">
      <c r="A30" s="1" t="s">
        <v>19</v>
      </c>
      <c r="B30" s="1"/>
      <c r="C30" s="28">
        <f>C27-C28</f>
        <v>171427.662</v>
      </c>
      <c r="D30" s="19"/>
      <c r="E30" s="28">
        <f>E27-E28</f>
        <v>53776.85600000003</v>
      </c>
      <c r="F30" s="19"/>
      <c r="G30" s="28">
        <f>G27-G28</f>
        <v>58990</v>
      </c>
    </row>
    <row r="31" spans="1:7" ht="15.75">
      <c r="A31" s="1"/>
      <c r="B31" s="1"/>
      <c r="C31" s="27" t="s">
        <v>20</v>
      </c>
      <c r="D31" s="19"/>
      <c r="E31" s="27" t="s">
        <v>20</v>
      </c>
      <c r="F31" s="19"/>
      <c r="G31" s="27" t="s">
        <v>20</v>
      </c>
    </row>
    <row r="32" spans="1:7" ht="15.75">
      <c r="A32" s="1" t="s">
        <v>21</v>
      </c>
      <c r="B32" s="1"/>
      <c r="C32" s="28">
        <f>2227949408/1000</f>
        <v>2227949.408</v>
      </c>
      <c r="D32" s="19"/>
      <c r="E32" s="28">
        <f>632196042/1000</f>
        <v>632196.042</v>
      </c>
      <c r="F32" s="19"/>
      <c r="G32" s="28">
        <v>651743</v>
      </c>
    </row>
    <row r="33" spans="1:7" ht="15.75">
      <c r="A33" s="1"/>
      <c r="B33" s="1"/>
      <c r="C33" s="27" t="s">
        <v>20</v>
      </c>
      <c r="D33" s="19"/>
      <c r="E33" s="27" t="s">
        <v>20</v>
      </c>
      <c r="F33" s="19"/>
      <c r="G33" s="27" t="s">
        <v>20</v>
      </c>
    </row>
    <row r="34" spans="1:7" ht="15.75">
      <c r="A34" s="1" t="s">
        <v>25</v>
      </c>
      <c r="B34" s="1"/>
      <c r="C34" s="30">
        <f>C30/C32</f>
        <v>0.07694414486453187</v>
      </c>
      <c r="D34" s="19"/>
      <c r="E34" s="30">
        <f>E30/E32</f>
        <v>0.08506357589628824</v>
      </c>
      <c r="F34" s="19"/>
      <c r="G34" s="30">
        <f>G30/G32</f>
        <v>0.09051113705862587</v>
      </c>
    </row>
    <row r="35" spans="1:7" ht="15.75">
      <c r="A35" s="1"/>
      <c r="B35" s="1"/>
      <c r="C35" s="27" t="s">
        <v>20</v>
      </c>
      <c r="D35" s="19"/>
      <c r="E35" s="27" t="s">
        <v>20</v>
      </c>
      <c r="F35" s="19"/>
      <c r="G35" s="27" t="s">
        <v>20</v>
      </c>
    </row>
    <row r="36" spans="1:7" ht="15.75">
      <c r="A36" s="1"/>
      <c r="B36" s="1"/>
      <c r="C36" s="28"/>
      <c r="D36" s="19"/>
      <c r="E36" s="28"/>
      <c r="F36" s="19"/>
      <c r="G36" s="28"/>
    </row>
    <row r="37" spans="1:7" ht="15.75">
      <c r="A37" s="1" t="s">
        <v>26</v>
      </c>
      <c r="B37" s="1"/>
      <c r="C37" s="45">
        <v>0.0894</v>
      </c>
      <c r="D37" s="5"/>
      <c r="E37" s="45">
        <v>0.1042</v>
      </c>
      <c r="F37" s="5"/>
      <c r="G37" s="45">
        <v>0.1067</v>
      </c>
    </row>
    <row r="38" spans="1:7" ht="15.75">
      <c r="A38" s="1" t="s">
        <v>27</v>
      </c>
      <c r="B38" s="1"/>
      <c r="C38" s="5" t="s">
        <v>28</v>
      </c>
      <c r="D38" s="5"/>
      <c r="E38" s="5" t="s">
        <v>29</v>
      </c>
      <c r="F38" s="5"/>
      <c r="G38" s="5" t="s">
        <v>30</v>
      </c>
    </row>
    <row r="39" spans="1:7" ht="15.75">
      <c r="A39" s="20" t="s">
        <v>103</v>
      </c>
      <c r="B39" s="1"/>
      <c r="C39" s="39" t="s">
        <v>118</v>
      </c>
      <c r="D39" s="48"/>
      <c r="E39" s="39" t="s">
        <v>112</v>
      </c>
      <c r="F39" s="48"/>
      <c r="G39" s="47">
        <v>33046</v>
      </c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2"/>
      <c r="D45" s="1"/>
      <c r="E45" s="2"/>
      <c r="F45" s="1"/>
      <c r="G45" s="2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61"/>
  <sheetViews>
    <sheetView defaultGridColor="0" zoomScale="75" zoomScaleNormal="75" colorId="22" workbookViewId="0" topLeftCell="A28">
      <selection activeCell="C39" sqref="C39"/>
    </sheetView>
  </sheetViews>
  <sheetFormatPr defaultColWidth="9.77734375" defaultRowHeight="15"/>
  <cols>
    <col min="1" max="1" width="30.77734375" style="0" customWidth="1"/>
    <col min="2" max="7" width="12.77734375" style="0" customWidth="1"/>
  </cols>
  <sheetData>
    <row r="1" spans="1:7" ht="15.75">
      <c r="A1" s="19"/>
      <c r="B1" s="19"/>
      <c r="C1" s="19" t="s">
        <v>31</v>
      </c>
      <c r="D1" s="19"/>
      <c r="E1" s="19"/>
      <c r="F1" s="19"/>
      <c r="G1" s="19"/>
    </row>
    <row r="2" spans="1:7" ht="15.75">
      <c r="A2" s="19"/>
      <c r="B2" s="19" t="s">
        <v>32</v>
      </c>
      <c r="C2" s="19"/>
      <c r="D2" s="19"/>
      <c r="E2" s="19"/>
      <c r="F2" s="19"/>
      <c r="G2" s="19"/>
    </row>
    <row r="3" spans="1:7" ht="15.75">
      <c r="A3" s="19"/>
      <c r="B3" s="19" t="s">
        <v>55</v>
      </c>
      <c r="C3" s="19"/>
      <c r="D3" s="19"/>
      <c r="E3" s="19"/>
      <c r="F3" s="19"/>
      <c r="G3" s="19"/>
    </row>
    <row r="4" spans="1:7" ht="15.75">
      <c r="A4" s="19"/>
      <c r="B4" s="19"/>
      <c r="C4" s="19"/>
      <c r="D4" s="5" t="s">
        <v>34</v>
      </c>
      <c r="E4" s="19"/>
      <c r="F4" s="19"/>
      <c r="G4" s="19"/>
    </row>
    <row r="5" spans="1:7" ht="15.75">
      <c r="A5" s="19"/>
      <c r="B5" s="19"/>
      <c r="C5" s="19"/>
      <c r="D5" s="19"/>
      <c r="E5" s="19"/>
      <c r="F5" s="19"/>
      <c r="G5" s="19"/>
    </row>
    <row r="6" spans="1:7" ht="15.75">
      <c r="A6" s="19"/>
      <c r="B6" s="19"/>
      <c r="C6" s="19"/>
      <c r="D6" s="19"/>
      <c r="E6" s="19" t="s">
        <v>35</v>
      </c>
      <c r="F6" s="19"/>
      <c r="G6" s="19" t="s">
        <v>35</v>
      </c>
    </row>
    <row r="7" spans="1:7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</row>
    <row r="8" spans="1:7" ht="15.75">
      <c r="A8" s="19"/>
      <c r="B8" s="19"/>
      <c r="C8" s="5" t="s">
        <v>59</v>
      </c>
      <c r="D8" s="19"/>
      <c r="E8" s="5" t="s">
        <v>60</v>
      </c>
      <c r="F8" s="19"/>
      <c r="G8" s="5" t="s">
        <v>61</v>
      </c>
    </row>
    <row r="9" spans="1:7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</row>
    <row r="10" spans="1:7" ht="15.75">
      <c r="A10" s="19" t="s">
        <v>10</v>
      </c>
      <c r="B10" s="19"/>
      <c r="C10" s="5" t="s">
        <v>62</v>
      </c>
      <c r="D10" s="19"/>
      <c r="E10" s="5" t="s">
        <v>63</v>
      </c>
      <c r="F10" s="19"/>
      <c r="G10" s="5" t="s">
        <v>54</v>
      </c>
    </row>
    <row r="11" spans="1:7" ht="15.75">
      <c r="A11" s="19"/>
      <c r="B11" s="19"/>
      <c r="C11" s="19"/>
      <c r="D11" s="19"/>
      <c r="E11" s="19" t="s">
        <v>35</v>
      </c>
      <c r="F11" s="19"/>
      <c r="G11" s="19"/>
    </row>
    <row r="12" spans="1:7" ht="15.75">
      <c r="A12" s="19" t="s">
        <v>14</v>
      </c>
      <c r="B12" s="19"/>
      <c r="C12" s="5"/>
      <c r="D12" s="19"/>
      <c r="E12" s="5"/>
      <c r="F12" s="19"/>
      <c r="G12" s="5"/>
    </row>
    <row r="13" spans="1:7" ht="15.75">
      <c r="A13" s="19"/>
      <c r="B13" s="19"/>
      <c r="C13" s="19"/>
      <c r="D13" s="19"/>
      <c r="E13" s="19"/>
      <c r="F13" s="19"/>
      <c r="G13" s="19"/>
    </row>
    <row r="14" spans="1:7" ht="15.75">
      <c r="A14" s="19" t="s">
        <v>15</v>
      </c>
      <c r="B14" s="19"/>
      <c r="C14" s="19"/>
      <c r="D14" s="19"/>
      <c r="E14" s="19"/>
      <c r="F14" s="19"/>
      <c r="G14" s="19"/>
    </row>
    <row r="15" spans="1:7" ht="15.75">
      <c r="A15" s="19" t="s">
        <v>16</v>
      </c>
      <c r="B15" s="19"/>
      <c r="C15" s="19"/>
      <c r="D15" s="19"/>
      <c r="E15" s="19"/>
      <c r="F15" s="19"/>
      <c r="G15" s="19"/>
    </row>
    <row r="16" spans="1:7" ht="15.75">
      <c r="A16" s="19" t="s">
        <v>17</v>
      </c>
      <c r="B16" s="19"/>
      <c r="C16" s="28">
        <v>1317336</v>
      </c>
      <c r="D16" s="19"/>
      <c r="E16" s="28">
        <v>375378</v>
      </c>
      <c r="F16" s="19"/>
      <c r="G16" s="28">
        <v>488569</v>
      </c>
    </row>
    <row r="17" spans="1:7" ht="15.75">
      <c r="A17" s="19" t="s">
        <v>18</v>
      </c>
      <c r="B17" s="19"/>
      <c r="C17" s="29">
        <v>1161861</v>
      </c>
      <c r="D17" s="19"/>
      <c r="E17" s="29">
        <v>338534</v>
      </c>
      <c r="F17" s="19"/>
      <c r="G17" s="29">
        <f>G16-G19</f>
        <v>415216</v>
      </c>
    </row>
    <row r="18" spans="1:7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</row>
    <row r="19" spans="1:7" ht="15.75">
      <c r="A19" s="19" t="s">
        <v>19</v>
      </c>
      <c r="B19" s="19"/>
      <c r="C19" s="28">
        <f>C16-C17</f>
        <v>155475</v>
      </c>
      <c r="D19" s="19"/>
      <c r="E19" s="28">
        <f>E16-E17</f>
        <v>36844</v>
      </c>
      <c r="F19" s="19"/>
      <c r="G19" s="28">
        <v>73353</v>
      </c>
    </row>
    <row r="20" spans="1:7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</row>
    <row r="21" spans="1:7" ht="15.75">
      <c r="A21" s="19" t="s">
        <v>21</v>
      </c>
      <c r="B21" s="19"/>
      <c r="C21" s="28">
        <v>2070810</v>
      </c>
      <c r="D21" s="19"/>
      <c r="E21" s="28">
        <v>620206</v>
      </c>
      <c r="F21" s="19"/>
      <c r="G21" s="28">
        <v>728728</v>
      </c>
    </row>
    <row r="22" spans="1:7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</row>
    <row r="23" spans="1:7" ht="15.75">
      <c r="A23" s="19" t="s">
        <v>22</v>
      </c>
      <c r="B23" s="19"/>
      <c r="C23" s="30">
        <f>C19/C21</f>
        <v>0.07507931678908253</v>
      </c>
      <c r="D23" s="19"/>
      <c r="E23" s="30">
        <f>E19/E21</f>
        <v>0.05940606830633693</v>
      </c>
      <c r="F23" s="19"/>
      <c r="G23" s="30">
        <f>G19/G21</f>
        <v>0.1006589564281872</v>
      </c>
    </row>
    <row r="24" spans="1:7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</row>
    <row r="25" spans="1:7" ht="15.75">
      <c r="A25" s="19" t="s">
        <v>23</v>
      </c>
      <c r="B25" s="19"/>
      <c r="C25" s="19"/>
      <c r="D25" s="19"/>
      <c r="E25" s="19"/>
      <c r="F25" s="19"/>
      <c r="G25" s="19"/>
    </row>
    <row r="26" spans="1:7" ht="15.75">
      <c r="A26" s="19" t="s">
        <v>24</v>
      </c>
      <c r="B26" s="19"/>
      <c r="C26" s="19"/>
      <c r="D26" s="19"/>
      <c r="E26" s="19"/>
      <c r="F26" s="19"/>
      <c r="G26" s="19"/>
    </row>
    <row r="27" spans="1:7" ht="15.75">
      <c r="A27" s="19" t="s">
        <v>17</v>
      </c>
      <c r="B27" s="19"/>
      <c r="C27" s="28">
        <v>1273784</v>
      </c>
      <c r="D27" s="19"/>
      <c r="E27" s="28">
        <v>390055</v>
      </c>
      <c r="F27" s="19"/>
      <c r="G27" s="28">
        <v>342597</v>
      </c>
    </row>
    <row r="28" spans="1:7" ht="15.75">
      <c r="A28" s="19" t="s">
        <v>18</v>
      </c>
      <c r="B28" s="19"/>
      <c r="C28" s="29">
        <v>1067193</v>
      </c>
      <c r="D28" s="19"/>
      <c r="E28" s="29">
        <v>341005</v>
      </c>
      <c r="F28" s="19"/>
      <c r="G28" s="29">
        <f>G27-G30</f>
        <v>284876</v>
      </c>
    </row>
    <row r="29" spans="1:7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</row>
    <row r="30" spans="1:7" ht="15.75">
      <c r="A30" s="19" t="s">
        <v>19</v>
      </c>
      <c r="B30" s="19"/>
      <c r="C30" s="28">
        <f>C27-C28</f>
        <v>206591</v>
      </c>
      <c r="D30" s="19"/>
      <c r="E30" s="28">
        <f>E27-E28</f>
        <v>49050</v>
      </c>
      <c r="F30" s="19"/>
      <c r="G30" s="28">
        <v>57721</v>
      </c>
    </row>
    <row r="31" spans="1:7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</row>
    <row r="32" spans="1:7" ht="15.75">
      <c r="A32" s="19" t="s">
        <v>21</v>
      </c>
      <c r="B32" s="19"/>
      <c r="C32" s="28">
        <v>2228752</v>
      </c>
      <c r="D32" s="19"/>
      <c r="E32" s="28">
        <v>631824</v>
      </c>
      <c r="F32" s="19"/>
      <c r="G32" s="28">
        <v>655524</v>
      </c>
    </row>
    <row r="33" spans="1:7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</row>
    <row r="34" spans="1:7" ht="15.75">
      <c r="A34" s="19" t="s">
        <v>25</v>
      </c>
      <c r="B34" s="19"/>
      <c r="C34" s="30">
        <f>C30/C32</f>
        <v>0.09269357918691716</v>
      </c>
      <c r="D34" s="19"/>
      <c r="E34" s="30">
        <f>E30/E32</f>
        <v>0.07763237863708881</v>
      </c>
      <c r="F34" s="19"/>
      <c r="G34" s="30">
        <f>G30/G32</f>
        <v>0.08805322154490149</v>
      </c>
    </row>
    <row r="35" spans="1:7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</row>
    <row r="36" spans="1:7" ht="15.75">
      <c r="A36" s="19"/>
      <c r="B36" s="19"/>
      <c r="C36" s="28"/>
      <c r="D36" s="19"/>
      <c r="E36" s="28"/>
      <c r="F36" s="19"/>
      <c r="G36" s="28"/>
    </row>
    <row r="37" spans="1:7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</row>
    <row r="38" spans="1:7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</row>
    <row r="39" spans="1:7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</row>
    <row r="40" spans="1:7" ht="15.75">
      <c r="A40" s="19"/>
      <c r="B40" s="19"/>
      <c r="C40" s="19"/>
      <c r="D40" s="19"/>
      <c r="E40" s="19"/>
      <c r="F40" s="19"/>
      <c r="G40" s="19"/>
    </row>
    <row r="41" spans="1:7" ht="15.75">
      <c r="A41" s="19"/>
      <c r="B41" s="19"/>
      <c r="C41" s="19"/>
      <c r="D41" s="19"/>
      <c r="E41" s="19"/>
      <c r="F41" s="19"/>
      <c r="G41" s="19"/>
    </row>
    <row r="42" spans="1:7" ht="15.75">
      <c r="A42" s="19"/>
      <c r="B42" s="19"/>
      <c r="C42" s="19"/>
      <c r="D42" s="19"/>
      <c r="E42" s="19"/>
      <c r="F42" s="19"/>
      <c r="G42" s="19"/>
    </row>
    <row r="43" spans="1:7" ht="15.75">
      <c r="A43" s="19"/>
      <c r="B43" s="19"/>
      <c r="C43" s="19"/>
      <c r="D43" s="19"/>
      <c r="E43" s="19"/>
      <c r="F43" s="19"/>
      <c r="G43" s="19"/>
    </row>
    <row r="44" spans="1:7" ht="15.75">
      <c r="A44" s="19"/>
      <c r="B44" s="19"/>
      <c r="C44" s="19"/>
      <c r="D44" s="19"/>
      <c r="E44" s="19"/>
      <c r="F44" s="19"/>
      <c r="G44" s="19"/>
    </row>
    <row r="45" spans="1:7" ht="15.75">
      <c r="A45" s="19"/>
      <c r="B45" s="19"/>
      <c r="C45" s="31"/>
      <c r="D45" s="19"/>
      <c r="E45" s="31"/>
      <c r="F45" s="19"/>
      <c r="G45" s="31"/>
    </row>
    <row r="46" spans="1:7" ht="15.75">
      <c r="A46" s="20"/>
      <c r="B46" s="20"/>
      <c r="C46" s="20"/>
      <c r="D46" s="20"/>
      <c r="E46" s="20"/>
      <c r="F46" s="20"/>
      <c r="G46" s="20"/>
    </row>
    <row r="47" spans="1:7" ht="15.75">
      <c r="A47" s="20"/>
      <c r="B47" s="20"/>
      <c r="C47" s="20"/>
      <c r="D47" s="20"/>
      <c r="E47" s="20"/>
      <c r="F47" s="20"/>
      <c r="G47" s="20"/>
    </row>
    <row r="48" spans="1:7" ht="15.75">
      <c r="A48" s="20"/>
      <c r="B48" s="20"/>
      <c r="C48" s="20"/>
      <c r="D48" s="20"/>
      <c r="E48" s="20"/>
      <c r="F48" s="20"/>
      <c r="G48" s="20"/>
    </row>
    <row r="49" spans="1:7" ht="15.75">
      <c r="A49" s="20"/>
      <c r="B49" s="20"/>
      <c r="C49" s="20"/>
      <c r="D49" s="20"/>
      <c r="E49" s="20"/>
      <c r="F49" s="20"/>
      <c r="G49" s="20"/>
    </row>
    <row r="50" spans="1:7" ht="15.75">
      <c r="A50" s="20"/>
      <c r="B50" s="20"/>
      <c r="C50" s="20"/>
      <c r="D50" s="20"/>
      <c r="E50" s="20"/>
      <c r="F50" s="20"/>
      <c r="G50" s="20"/>
    </row>
    <row r="51" spans="1:7" ht="15.75">
      <c r="A51" s="20"/>
      <c r="B51" s="20"/>
      <c r="C51" s="20"/>
      <c r="D51" s="20"/>
      <c r="E51" s="20"/>
      <c r="F51" s="20"/>
      <c r="G51" s="20"/>
    </row>
    <row r="52" spans="1:7" ht="15.75">
      <c r="A52" s="20"/>
      <c r="B52" s="20"/>
      <c r="C52" s="20"/>
      <c r="D52" s="20"/>
      <c r="E52" s="20"/>
      <c r="F52" s="20"/>
      <c r="G52" s="20"/>
    </row>
    <row r="53" spans="1:7" ht="15.75">
      <c r="A53" s="20"/>
      <c r="B53" s="20"/>
      <c r="C53" s="20"/>
      <c r="D53" s="20"/>
      <c r="E53" s="20"/>
      <c r="F53" s="20"/>
      <c r="G53" s="20"/>
    </row>
    <row r="54" spans="1:7" ht="15.75">
      <c r="A54" s="20"/>
      <c r="B54" s="20"/>
      <c r="C54" s="20"/>
      <c r="D54" s="20"/>
      <c r="E54" s="20"/>
      <c r="F54" s="20"/>
      <c r="G54" s="20"/>
    </row>
    <row r="55" spans="1:7" ht="15.75">
      <c r="A55" s="20"/>
      <c r="B55" s="20"/>
      <c r="C55" s="20"/>
      <c r="D55" s="20"/>
      <c r="E55" s="20"/>
      <c r="F55" s="20"/>
      <c r="G55" s="20"/>
    </row>
    <row r="56" spans="1:7" ht="15.75">
      <c r="A56" s="20"/>
      <c r="B56" s="20"/>
      <c r="C56" s="20"/>
      <c r="D56" s="20"/>
      <c r="E56" s="20"/>
      <c r="F56" s="20"/>
      <c r="G56" s="20"/>
    </row>
    <row r="57" spans="1:7" ht="15.75">
      <c r="A57" s="20"/>
      <c r="B57" s="20"/>
      <c r="C57" s="20"/>
      <c r="D57" s="20"/>
      <c r="E57" s="20"/>
      <c r="F57" s="20"/>
      <c r="G57" s="20"/>
    </row>
    <row r="58" spans="1:7" ht="15.75">
      <c r="A58" s="20"/>
      <c r="B58" s="20"/>
      <c r="C58" s="20"/>
      <c r="D58" s="20"/>
      <c r="E58" s="20"/>
      <c r="F58" s="20"/>
      <c r="G58" s="20"/>
    </row>
    <row r="59" spans="1:7" ht="15.75">
      <c r="A59" s="20"/>
      <c r="B59" s="20"/>
      <c r="C59" s="20"/>
      <c r="D59" s="20"/>
      <c r="E59" s="20"/>
      <c r="F59" s="20"/>
      <c r="G59" s="20"/>
    </row>
    <row r="60" spans="1:7" ht="15.75">
      <c r="A60" s="20"/>
      <c r="B60" s="20"/>
      <c r="C60" s="20"/>
      <c r="D60" s="20"/>
      <c r="E60" s="20"/>
      <c r="F60" s="20"/>
      <c r="G60" s="20"/>
    </row>
    <row r="61" spans="1:7" ht="15.75">
      <c r="A61" s="20"/>
      <c r="B61" s="20"/>
      <c r="C61" s="20"/>
      <c r="D61" s="20"/>
      <c r="E61" s="20"/>
      <c r="F61" s="20"/>
      <c r="G61" s="20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48"/>
  <sheetViews>
    <sheetView defaultGridColor="0" zoomScale="75" zoomScaleNormal="75" colorId="22" workbookViewId="0" topLeftCell="A19">
      <selection activeCell="C39" sqref="C39"/>
    </sheetView>
  </sheetViews>
  <sheetFormatPr defaultColWidth="9.77734375" defaultRowHeight="15"/>
  <cols>
    <col min="1" max="1" width="30.77734375" style="0" customWidth="1"/>
    <col min="3" max="7" width="12.77734375" style="0" customWidth="1"/>
  </cols>
  <sheetData>
    <row r="1" spans="1:8" ht="15.75">
      <c r="A1" s="19"/>
      <c r="B1" s="19"/>
      <c r="C1" s="19" t="s">
        <v>31</v>
      </c>
      <c r="D1" s="19"/>
      <c r="E1" s="19"/>
      <c r="F1" s="19"/>
      <c r="G1" s="19"/>
      <c r="H1" s="20"/>
    </row>
    <row r="2" spans="1:8" ht="15.75">
      <c r="A2" s="19"/>
      <c r="B2" s="19" t="s">
        <v>32</v>
      </c>
      <c r="C2" s="19"/>
      <c r="D2" s="19"/>
      <c r="E2" s="19"/>
      <c r="F2" s="19"/>
      <c r="G2" s="19"/>
      <c r="H2" s="20"/>
    </row>
    <row r="3" spans="1:8" ht="15.75">
      <c r="A3" s="19"/>
      <c r="B3" s="19" t="s">
        <v>64</v>
      </c>
      <c r="C3" s="19"/>
      <c r="D3" s="19"/>
      <c r="E3" s="19"/>
      <c r="F3" s="19"/>
      <c r="G3" s="19"/>
      <c r="H3" s="20"/>
    </row>
    <row r="4" spans="1:8" ht="15.75">
      <c r="A4" s="19"/>
      <c r="B4" s="19"/>
      <c r="C4" s="19"/>
      <c r="D4" s="5" t="s">
        <v>34</v>
      </c>
      <c r="E4" s="19"/>
      <c r="F4" s="19"/>
      <c r="G4" s="19"/>
      <c r="H4" s="20"/>
    </row>
    <row r="5" spans="1:8" ht="15.75">
      <c r="A5" s="19"/>
      <c r="B5" s="19"/>
      <c r="C5" s="19"/>
      <c r="D5" s="19"/>
      <c r="E5" s="19"/>
      <c r="F5" s="19"/>
      <c r="G5" s="19"/>
      <c r="H5" s="20"/>
    </row>
    <row r="6" spans="1:8" ht="15.75">
      <c r="A6" s="19"/>
      <c r="B6" s="19"/>
      <c r="C6" s="19"/>
      <c r="D6" s="19"/>
      <c r="E6" s="19" t="s">
        <v>35</v>
      </c>
      <c r="F6" s="19"/>
      <c r="G6" s="19" t="s">
        <v>35</v>
      </c>
      <c r="H6" s="20"/>
    </row>
    <row r="7" spans="1:8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  <c r="H7" s="20"/>
    </row>
    <row r="8" spans="1:8" ht="15.75">
      <c r="A8" s="19"/>
      <c r="B8" s="19"/>
      <c r="C8" s="5" t="s">
        <v>59</v>
      </c>
      <c r="D8" s="19"/>
      <c r="E8" s="5" t="s">
        <v>60</v>
      </c>
      <c r="F8" s="19"/>
      <c r="G8" s="5" t="s">
        <v>61</v>
      </c>
      <c r="H8" s="20"/>
    </row>
    <row r="9" spans="1:8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  <c r="H9" s="20"/>
    </row>
    <row r="10" spans="1:8" ht="15.75">
      <c r="A10" s="19" t="s">
        <v>10</v>
      </c>
      <c r="B10" s="19"/>
      <c r="C10" s="5" t="s">
        <v>65</v>
      </c>
      <c r="D10" s="19"/>
      <c r="E10" s="5" t="s">
        <v>66</v>
      </c>
      <c r="F10" s="19"/>
      <c r="G10" s="5" t="s">
        <v>67</v>
      </c>
      <c r="H10" s="20"/>
    </row>
    <row r="11" spans="1:8" ht="15.75">
      <c r="A11" s="19"/>
      <c r="B11" s="19"/>
      <c r="C11" s="19"/>
      <c r="D11" s="19"/>
      <c r="E11" s="19" t="s">
        <v>35</v>
      </c>
      <c r="F11" s="19"/>
      <c r="G11" s="19"/>
      <c r="H11" s="20"/>
    </row>
    <row r="12" spans="1:8" ht="15.75">
      <c r="A12" s="19" t="s">
        <v>14</v>
      </c>
      <c r="B12" s="19"/>
      <c r="C12" s="5"/>
      <c r="D12" s="19"/>
      <c r="E12" s="5"/>
      <c r="F12" s="19"/>
      <c r="G12" s="5"/>
      <c r="H12" s="20"/>
    </row>
    <row r="13" spans="1:8" ht="15.75">
      <c r="A13" s="19"/>
      <c r="B13" s="19"/>
      <c r="C13" s="19"/>
      <c r="D13" s="19"/>
      <c r="E13" s="19"/>
      <c r="F13" s="19"/>
      <c r="G13" s="19"/>
      <c r="H13" s="20"/>
    </row>
    <row r="14" spans="1:8" ht="15.75">
      <c r="A14" s="19" t="s">
        <v>15</v>
      </c>
      <c r="B14" s="19"/>
      <c r="C14" s="19"/>
      <c r="D14" s="19"/>
      <c r="E14" s="19"/>
      <c r="F14" s="19"/>
      <c r="G14" s="19"/>
      <c r="H14" s="20"/>
    </row>
    <row r="15" spans="1:8" ht="15.75">
      <c r="A15" s="19" t="s">
        <v>16</v>
      </c>
      <c r="B15" s="19"/>
      <c r="C15" s="19"/>
      <c r="D15" s="19"/>
      <c r="E15" s="19"/>
      <c r="F15" s="19"/>
      <c r="G15" s="19"/>
      <c r="H15" s="20"/>
    </row>
    <row r="16" spans="1:8" ht="15.75">
      <c r="A16" s="19" t="s">
        <v>17</v>
      </c>
      <c r="B16" s="19"/>
      <c r="C16" s="28">
        <v>1475195</v>
      </c>
      <c r="D16" s="19"/>
      <c r="E16" s="28">
        <v>422295</v>
      </c>
      <c r="F16" s="19"/>
      <c r="G16" s="28">
        <v>576766</v>
      </c>
      <c r="H16" s="20"/>
    </row>
    <row r="17" spans="1:8" ht="15.75">
      <c r="A17" s="19" t="s">
        <v>18</v>
      </c>
      <c r="B17" s="19"/>
      <c r="C17" s="29">
        <v>1266741</v>
      </c>
      <c r="D17" s="19"/>
      <c r="E17" s="29">
        <v>380597</v>
      </c>
      <c r="F17" s="19"/>
      <c r="G17" s="29">
        <f>G16-G19</f>
        <v>515033</v>
      </c>
      <c r="H17" s="20"/>
    </row>
    <row r="18" spans="1:8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  <c r="H18" s="20"/>
    </row>
    <row r="19" spans="1:8" ht="15.75">
      <c r="A19" s="19" t="s">
        <v>19</v>
      </c>
      <c r="B19" s="19"/>
      <c r="C19" s="28">
        <f>C16-C17</f>
        <v>208454</v>
      </c>
      <c r="D19" s="19"/>
      <c r="E19" s="28">
        <f>E16-E17</f>
        <v>41698</v>
      </c>
      <c r="F19" s="19"/>
      <c r="G19" s="28">
        <v>61733</v>
      </c>
      <c r="H19" s="20"/>
    </row>
    <row r="20" spans="1:8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  <c r="H20" s="20"/>
    </row>
    <row r="21" spans="1:8" ht="15.75">
      <c r="A21" s="19" t="s">
        <v>21</v>
      </c>
      <c r="B21" s="19"/>
      <c r="C21" s="28">
        <v>2221338</v>
      </c>
      <c r="D21" s="19"/>
      <c r="E21" s="28">
        <v>621179</v>
      </c>
      <c r="F21" s="19"/>
      <c r="G21" s="28">
        <v>736129</v>
      </c>
      <c r="H21" s="20"/>
    </row>
    <row r="22" spans="1:8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  <c r="H22" s="20"/>
    </row>
    <row r="23" spans="1:8" ht="15.75">
      <c r="A23" s="19" t="s">
        <v>22</v>
      </c>
      <c r="B23" s="19"/>
      <c r="C23" s="30">
        <f>C19/C21</f>
        <v>0.09384163958839221</v>
      </c>
      <c r="D23" s="19"/>
      <c r="E23" s="30">
        <f>E19/E21</f>
        <v>0.06712718878133356</v>
      </c>
      <c r="F23" s="19"/>
      <c r="G23" s="30">
        <f>G19/G21</f>
        <v>0.08386166011663716</v>
      </c>
      <c r="H23" s="20"/>
    </row>
    <row r="24" spans="1:8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  <c r="H24" s="20"/>
    </row>
    <row r="25" spans="1:8" ht="15.75">
      <c r="A25" s="19" t="s">
        <v>23</v>
      </c>
      <c r="B25" s="19"/>
      <c r="C25" s="19"/>
      <c r="D25" s="19"/>
      <c r="E25" s="19"/>
      <c r="F25" s="19"/>
      <c r="G25" s="19"/>
      <c r="H25" s="20"/>
    </row>
    <row r="26" spans="1:8" ht="15.75">
      <c r="A26" s="19" t="s">
        <v>24</v>
      </c>
      <c r="B26" s="19"/>
      <c r="C26" s="19"/>
      <c r="D26" s="19"/>
      <c r="E26" s="19"/>
      <c r="F26" s="19"/>
      <c r="G26" s="19"/>
      <c r="H26" s="20"/>
    </row>
    <row r="27" spans="1:8" ht="15.75">
      <c r="A27" s="19" t="s">
        <v>17</v>
      </c>
      <c r="B27" s="19"/>
      <c r="C27" s="28">
        <v>1298518</v>
      </c>
      <c r="D27" s="19"/>
      <c r="E27" s="28">
        <v>445602</v>
      </c>
      <c r="F27" s="19"/>
      <c r="G27" s="28">
        <v>335186</v>
      </c>
      <c r="H27" s="20"/>
    </row>
    <row r="28" spans="1:8" ht="15.75">
      <c r="A28" s="19" t="s">
        <v>18</v>
      </c>
      <c r="B28" s="19"/>
      <c r="C28" s="29">
        <v>1086753</v>
      </c>
      <c r="D28" s="19"/>
      <c r="E28" s="29">
        <v>407087</v>
      </c>
      <c r="F28" s="19"/>
      <c r="G28" s="29">
        <f>G27-G30</f>
        <v>279720</v>
      </c>
      <c r="H28" s="20"/>
    </row>
    <row r="29" spans="1:8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  <c r="H29" s="20"/>
    </row>
    <row r="30" spans="1:8" ht="15.75">
      <c r="A30" s="19" t="s">
        <v>19</v>
      </c>
      <c r="B30" s="19"/>
      <c r="C30" s="28">
        <f>C27-C28</f>
        <v>211765</v>
      </c>
      <c r="D30" s="19"/>
      <c r="E30" s="28">
        <f>E27-E28</f>
        <v>38515</v>
      </c>
      <c r="F30" s="19"/>
      <c r="G30" s="28">
        <v>55466</v>
      </c>
      <c r="H30" s="20"/>
    </row>
    <row r="31" spans="1:8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  <c r="H31" s="20"/>
    </row>
    <row r="32" spans="1:8" ht="15.75">
      <c r="A32" s="19" t="s">
        <v>21</v>
      </c>
      <c r="B32" s="19"/>
      <c r="C32" s="28">
        <v>2222327</v>
      </c>
      <c r="D32" s="19"/>
      <c r="E32" s="28">
        <v>647931</v>
      </c>
      <c r="F32" s="19"/>
      <c r="G32" s="28">
        <v>654844</v>
      </c>
      <c r="H32" s="20"/>
    </row>
    <row r="33" spans="1:8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  <c r="H33" s="20"/>
    </row>
    <row r="34" spans="1:8" ht="15.75">
      <c r="A34" s="19" t="s">
        <v>25</v>
      </c>
      <c r="B34" s="19"/>
      <c r="C34" s="30">
        <f>C30/C32</f>
        <v>0.0952897570879533</v>
      </c>
      <c r="D34" s="19"/>
      <c r="E34" s="30">
        <f>E30/E32</f>
        <v>0.05944305797993922</v>
      </c>
      <c r="F34" s="19"/>
      <c r="G34" s="30">
        <f>G30/G32</f>
        <v>0.08470108911435395</v>
      </c>
      <c r="H34" s="20"/>
    </row>
    <row r="35" spans="1:8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  <c r="H35" s="20"/>
    </row>
    <row r="36" spans="1:8" ht="15.75">
      <c r="A36" s="19"/>
      <c r="B36" s="19"/>
      <c r="C36" s="28"/>
      <c r="D36" s="19"/>
      <c r="E36" s="28"/>
      <c r="F36" s="19"/>
      <c r="G36" s="28"/>
      <c r="H36" s="20"/>
    </row>
    <row r="37" spans="1:8" ht="15.75">
      <c r="A37" s="19" t="s">
        <v>26</v>
      </c>
      <c r="B37" s="19"/>
      <c r="C37" s="45">
        <v>0.0894</v>
      </c>
      <c r="D37" s="5"/>
      <c r="E37" s="45">
        <v>0.1042</v>
      </c>
      <c r="F37" s="5"/>
      <c r="G37" s="45">
        <v>0.1067</v>
      </c>
      <c r="H37" s="20"/>
    </row>
    <row r="38" spans="1:8" ht="15.75">
      <c r="A38" s="19" t="s">
        <v>27</v>
      </c>
      <c r="B38" s="19"/>
      <c r="C38" s="5" t="s">
        <v>28</v>
      </c>
      <c r="D38" s="5"/>
      <c r="E38" s="5" t="s">
        <v>29</v>
      </c>
      <c r="F38" s="5"/>
      <c r="G38" s="5" t="s">
        <v>30</v>
      </c>
      <c r="H38" s="20"/>
    </row>
    <row r="39" spans="1:8" ht="15.75">
      <c r="A39" s="20" t="s">
        <v>103</v>
      </c>
      <c r="B39" s="19"/>
      <c r="C39" s="39" t="s">
        <v>118</v>
      </c>
      <c r="D39" s="5"/>
      <c r="E39" s="39" t="s">
        <v>112</v>
      </c>
      <c r="F39" s="5"/>
      <c r="G39" s="47">
        <v>33046</v>
      </c>
      <c r="H39" s="20"/>
    </row>
    <row r="40" spans="1:8" ht="15.75">
      <c r="A40" s="19"/>
      <c r="B40" s="19"/>
      <c r="C40" s="19"/>
      <c r="D40" s="19"/>
      <c r="E40" s="19"/>
      <c r="F40" s="19"/>
      <c r="G40" s="19"/>
      <c r="H40" s="20"/>
    </row>
    <row r="41" spans="1:8" ht="15.75">
      <c r="A41" s="19"/>
      <c r="B41" s="19"/>
      <c r="C41" s="19"/>
      <c r="D41" s="19"/>
      <c r="E41" s="19"/>
      <c r="F41" s="19"/>
      <c r="G41" s="19"/>
      <c r="H41" s="20"/>
    </row>
    <row r="42" spans="1:8" ht="15.75">
      <c r="A42" s="19"/>
      <c r="B42" s="19"/>
      <c r="C42" s="19"/>
      <c r="D42" s="19"/>
      <c r="E42" s="19"/>
      <c r="F42" s="19"/>
      <c r="G42" s="19"/>
      <c r="H42" s="20"/>
    </row>
    <row r="43" spans="1:8" ht="15.75">
      <c r="A43" s="19"/>
      <c r="B43" s="19"/>
      <c r="C43" s="19"/>
      <c r="D43" s="19"/>
      <c r="E43" s="19"/>
      <c r="F43" s="19"/>
      <c r="G43" s="19"/>
      <c r="H43" s="20"/>
    </row>
    <row r="44" spans="1:8" ht="15.75">
      <c r="A44" s="19"/>
      <c r="B44" s="19"/>
      <c r="C44" s="19"/>
      <c r="D44" s="19"/>
      <c r="E44" s="19"/>
      <c r="F44" s="19"/>
      <c r="G44" s="19"/>
      <c r="H44" s="20"/>
    </row>
    <row r="45" spans="1:8" ht="15.75">
      <c r="A45" s="19"/>
      <c r="B45" s="19"/>
      <c r="C45" s="31"/>
      <c r="D45" s="19"/>
      <c r="E45" s="31"/>
      <c r="F45" s="19"/>
      <c r="G45" s="31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</sheetData>
  <printOptions/>
  <pageMargins left="1.25" right="0.3" top="0.25" bottom="0.218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defaultGridColor="0" zoomScale="75" zoomScaleNormal="75" colorId="22" workbookViewId="0" topLeftCell="A21">
      <selection activeCell="C39" sqref="C39"/>
    </sheetView>
  </sheetViews>
  <sheetFormatPr defaultColWidth="9.77734375" defaultRowHeight="15"/>
  <cols>
    <col min="1" max="1" width="27.77734375" style="0" customWidth="1"/>
    <col min="3" max="7" width="12.77734375" style="0" customWidth="1"/>
  </cols>
  <sheetData>
    <row r="1" spans="1:8" ht="15.75">
      <c r="A1" s="19"/>
      <c r="B1" s="19"/>
      <c r="C1" s="19" t="s">
        <v>31</v>
      </c>
      <c r="D1" s="19"/>
      <c r="E1" s="19"/>
      <c r="F1" s="19"/>
      <c r="G1" s="19"/>
      <c r="H1" s="20"/>
    </row>
    <row r="2" spans="1:8" ht="15.75">
      <c r="A2" s="19"/>
      <c r="B2" s="19" t="s">
        <v>32</v>
      </c>
      <c r="C2" s="19"/>
      <c r="D2" s="19"/>
      <c r="E2" s="19"/>
      <c r="F2" s="19"/>
      <c r="G2" s="19"/>
      <c r="H2" s="20"/>
    </row>
    <row r="3" spans="1:8" ht="15.75">
      <c r="A3" s="19"/>
      <c r="B3" s="19" t="s">
        <v>68</v>
      </c>
      <c r="C3" s="19"/>
      <c r="D3" s="19"/>
      <c r="E3" s="19"/>
      <c r="F3" s="19"/>
      <c r="G3" s="19"/>
      <c r="H3" s="20"/>
    </row>
    <row r="4" spans="1:8" ht="15.75">
      <c r="A4" s="19"/>
      <c r="B4" s="19"/>
      <c r="C4" s="19"/>
      <c r="D4" s="5" t="s">
        <v>34</v>
      </c>
      <c r="E4" s="19"/>
      <c r="F4" s="19"/>
      <c r="G4" s="19"/>
      <c r="H4" s="20"/>
    </row>
    <row r="5" spans="1:8" ht="15.75">
      <c r="A5" s="19"/>
      <c r="B5" s="19"/>
      <c r="C5" s="19"/>
      <c r="D5" s="19"/>
      <c r="E5" s="19"/>
      <c r="F5" s="19"/>
      <c r="G5" s="19"/>
      <c r="H5" s="20"/>
    </row>
    <row r="6" spans="1:8" ht="15.75">
      <c r="A6" s="19"/>
      <c r="B6" s="19"/>
      <c r="C6" s="19"/>
      <c r="D6" s="19"/>
      <c r="E6" s="19" t="s">
        <v>35</v>
      </c>
      <c r="F6" s="19"/>
      <c r="G6" s="19" t="s">
        <v>35</v>
      </c>
      <c r="H6" s="20"/>
    </row>
    <row r="7" spans="1:8" ht="15.75">
      <c r="A7" s="19"/>
      <c r="B7" s="19"/>
      <c r="C7" s="5" t="s">
        <v>56</v>
      </c>
      <c r="D7" s="19"/>
      <c r="E7" s="5" t="s">
        <v>57</v>
      </c>
      <c r="F7" s="19"/>
      <c r="G7" s="5" t="s">
        <v>58</v>
      </c>
      <c r="H7" s="20"/>
    </row>
    <row r="8" spans="1:8" ht="15.75">
      <c r="A8" s="19"/>
      <c r="B8" s="19"/>
      <c r="C8" s="5" t="s">
        <v>59</v>
      </c>
      <c r="D8" s="19"/>
      <c r="E8" s="5" t="s">
        <v>60</v>
      </c>
      <c r="F8" s="19"/>
      <c r="G8" s="5" t="s">
        <v>61</v>
      </c>
      <c r="H8" s="20"/>
    </row>
    <row r="9" spans="1:8" ht="15.75">
      <c r="A9" s="19"/>
      <c r="B9" s="19"/>
      <c r="C9" s="27" t="s">
        <v>9</v>
      </c>
      <c r="D9" s="19"/>
      <c r="E9" s="27" t="s">
        <v>9</v>
      </c>
      <c r="F9" s="19"/>
      <c r="G9" s="27" t="s">
        <v>9</v>
      </c>
      <c r="H9" s="20"/>
    </row>
    <row r="10" spans="1:8" ht="15.75">
      <c r="A10" s="19" t="s">
        <v>10</v>
      </c>
      <c r="B10" s="19"/>
      <c r="C10" s="5" t="s">
        <v>69</v>
      </c>
      <c r="D10" s="19"/>
      <c r="E10" s="5" t="s">
        <v>70</v>
      </c>
      <c r="F10" s="19"/>
      <c r="G10" s="5" t="s">
        <v>71</v>
      </c>
      <c r="H10" s="20"/>
    </row>
    <row r="11" spans="1:8" ht="15.75">
      <c r="A11" s="19"/>
      <c r="B11" s="19"/>
      <c r="C11" s="19"/>
      <c r="D11" s="19"/>
      <c r="E11" s="19" t="s">
        <v>35</v>
      </c>
      <c r="F11" s="19"/>
      <c r="G11" s="19"/>
      <c r="H11" s="20"/>
    </row>
    <row r="12" spans="1:8" ht="15.75">
      <c r="A12" s="19" t="s">
        <v>14</v>
      </c>
      <c r="B12" s="19"/>
      <c r="C12" s="5"/>
      <c r="D12" s="19"/>
      <c r="E12" s="5"/>
      <c r="F12" s="19"/>
      <c r="G12" s="5"/>
      <c r="H12" s="20"/>
    </row>
    <row r="13" spans="1:8" ht="15.75">
      <c r="A13" s="19"/>
      <c r="B13" s="19"/>
      <c r="C13" s="19"/>
      <c r="D13" s="19"/>
      <c r="E13" s="19"/>
      <c r="F13" s="19"/>
      <c r="G13" s="19"/>
      <c r="H13" s="20"/>
    </row>
    <row r="14" spans="1:8" ht="15.75">
      <c r="A14" s="19" t="s">
        <v>15</v>
      </c>
      <c r="B14" s="19"/>
      <c r="C14" s="19"/>
      <c r="D14" s="19"/>
      <c r="E14" s="19"/>
      <c r="F14" s="19"/>
      <c r="G14" s="19"/>
      <c r="H14" s="20"/>
    </row>
    <row r="15" spans="1:8" ht="15.75">
      <c r="A15" s="19" t="s">
        <v>16</v>
      </c>
      <c r="B15" s="19"/>
      <c r="C15" s="19"/>
      <c r="D15" s="19"/>
      <c r="E15" s="19"/>
      <c r="F15" s="19"/>
      <c r="G15" s="19"/>
      <c r="H15" s="20"/>
    </row>
    <row r="16" spans="1:8" ht="15.75">
      <c r="A16" s="19" t="s">
        <v>17</v>
      </c>
      <c r="B16" s="19"/>
      <c r="C16" s="28">
        <v>1557427.63</v>
      </c>
      <c r="D16" s="19"/>
      <c r="E16" s="28">
        <v>387779.207</v>
      </c>
      <c r="F16" s="19"/>
      <c r="G16" s="28">
        <v>596484</v>
      </c>
      <c r="H16" s="20"/>
    </row>
    <row r="17" spans="1:8" ht="15.75">
      <c r="A17" s="19" t="s">
        <v>18</v>
      </c>
      <c r="B17" s="19"/>
      <c r="C17" s="29">
        <v>1324802.343</v>
      </c>
      <c r="D17" s="19"/>
      <c r="E17" s="29">
        <v>341984.49</v>
      </c>
      <c r="F17" s="19"/>
      <c r="G17" s="29">
        <v>536022</v>
      </c>
      <c r="H17" s="20"/>
    </row>
    <row r="18" spans="1:8" ht="15.75">
      <c r="A18" s="19"/>
      <c r="B18" s="19"/>
      <c r="C18" s="27" t="s">
        <v>9</v>
      </c>
      <c r="D18" s="19"/>
      <c r="E18" s="27" t="s">
        <v>9</v>
      </c>
      <c r="F18" s="19"/>
      <c r="G18" s="27" t="s">
        <v>9</v>
      </c>
      <c r="H18" s="20"/>
    </row>
    <row r="19" spans="1:8" ht="15.75">
      <c r="A19" s="19" t="s">
        <v>19</v>
      </c>
      <c r="B19" s="19"/>
      <c r="C19" s="28">
        <f>C16-C17</f>
        <v>232625.28699999978</v>
      </c>
      <c r="D19" s="19"/>
      <c r="E19" s="28">
        <f>E16-E17</f>
        <v>45794.717000000004</v>
      </c>
      <c r="F19" s="19"/>
      <c r="G19" s="28">
        <f>G16-G17</f>
        <v>60462</v>
      </c>
      <c r="H19" s="20"/>
    </row>
    <row r="20" spans="1:8" ht="15.75">
      <c r="A20" s="19"/>
      <c r="B20" s="19"/>
      <c r="C20" s="27" t="s">
        <v>20</v>
      </c>
      <c r="D20" s="19"/>
      <c r="E20" s="27" t="s">
        <v>20</v>
      </c>
      <c r="F20" s="19"/>
      <c r="G20" s="27" t="s">
        <v>20</v>
      </c>
      <c r="H20" s="20"/>
    </row>
    <row r="21" spans="1:8" ht="15.75">
      <c r="A21" s="19" t="s">
        <v>21</v>
      </c>
      <c r="B21" s="19"/>
      <c r="C21" s="28">
        <v>2059485.376</v>
      </c>
      <c r="D21" s="19"/>
      <c r="E21" s="28">
        <v>640801.795</v>
      </c>
      <c r="F21" s="19"/>
      <c r="G21" s="28">
        <v>740687</v>
      </c>
      <c r="H21" s="20"/>
    </row>
    <row r="22" spans="1:8" ht="15.75">
      <c r="A22" s="19"/>
      <c r="B22" s="19"/>
      <c r="C22" s="27" t="s">
        <v>20</v>
      </c>
      <c r="D22" s="19"/>
      <c r="E22" s="27" t="s">
        <v>20</v>
      </c>
      <c r="F22" s="19"/>
      <c r="G22" s="27" t="s">
        <v>20</v>
      </c>
      <c r="H22" s="20"/>
    </row>
    <row r="23" spans="1:8" ht="15.75">
      <c r="A23" s="19" t="s">
        <v>22</v>
      </c>
      <c r="B23" s="19"/>
      <c r="C23" s="30">
        <f>C19/C21</f>
        <v>0.11295311426382267</v>
      </c>
      <c r="D23" s="19"/>
      <c r="E23" s="30">
        <f>E19/E21</f>
        <v>0.07146471398383021</v>
      </c>
      <c r="F23" s="19"/>
      <c r="G23" s="30">
        <f>G19/G21</f>
        <v>0.08162962222909272</v>
      </c>
      <c r="H23" s="20"/>
    </row>
    <row r="24" spans="1:8" ht="15.75">
      <c r="A24" s="19"/>
      <c r="B24" s="19"/>
      <c r="C24" s="27" t="s">
        <v>20</v>
      </c>
      <c r="D24" s="19"/>
      <c r="E24" s="27" t="s">
        <v>20</v>
      </c>
      <c r="F24" s="19"/>
      <c r="G24" s="27" t="s">
        <v>20</v>
      </c>
      <c r="H24" s="20"/>
    </row>
    <row r="25" spans="1:8" ht="15.75">
      <c r="A25" s="19" t="s">
        <v>23</v>
      </c>
      <c r="B25" s="19"/>
      <c r="C25" s="19"/>
      <c r="D25" s="19"/>
      <c r="E25" s="19"/>
      <c r="F25" s="19"/>
      <c r="G25" s="19"/>
      <c r="H25" s="20"/>
    </row>
    <row r="26" spans="1:8" ht="15.75">
      <c r="A26" s="19" t="s">
        <v>24</v>
      </c>
      <c r="B26" s="19"/>
      <c r="C26" s="19"/>
      <c r="D26" s="19"/>
      <c r="E26" s="19"/>
      <c r="F26" s="19"/>
      <c r="G26" s="19"/>
      <c r="H26" s="20"/>
    </row>
    <row r="27" spans="1:8" ht="15.75">
      <c r="A27" s="19" t="s">
        <v>17</v>
      </c>
      <c r="B27" s="19"/>
      <c r="C27" s="28">
        <v>1305760.591</v>
      </c>
      <c r="D27" s="19"/>
      <c r="E27" s="28">
        <v>332713.253</v>
      </c>
      <c r="F27" s="19"/>
      <c r="G27" s="28">
        <v>352839</v>
      </c>
      <c r="H27" s="20"/>
    </row>
    <row r="28" spans="1:8" ht="15.75">
      <c r="A28" s="19" t="s">
        <v>18</v>
      </c>
      <c r="B28" s="19"/>
      <c r="C28" s="29">
        <v>1108999.823</v>
      </c>
      <c r="D28" s="19"/>
      <c r="E28" s="29">
        <v>289726.356</v>
      </c>
      <c r="F28" s="19"/>
      <c r="G28" s="29">
        <v>294653</v>
      </c>
      <c r="H28" s="20"/>
    </row>
    <row r="29" spans="1:8" ht="15.75">
      <c r="A29" s="19"/>
      <c r="B29" s="19"/>
      <c r="C29" s="27" t="s">
        <v>9</v>
      </c>
      <c r="D29" s="19"/>
      <c r="E29" s="27" t="s">
        <v>9</v>
      </c>
      <c r="F29" s="19"/>
      <c r="G29" s="27" t="s">
        <v>9</v>
      </c>
      <c r="H29" s="20"/>
    </row>
    <row r="30" spans="1:8" ht="15.75">
      <c r="A30" s="19" t="s">
        <v>19</v>
      </c>
      <c r="B30" s="19"/>
      <c r="C30" s="28">
        <f>C27-C28</f>
        <v>196760.76799999992</v>
      </c>
      <c r="D30" s="19"/>
      <c r="E30" s="28">
        <f>E27-E28</f>
        <v>42986.897</v>
      </c>
      <c r="F30" s="19"/>
      <c r="G30" s="28">
        <f>G27-G28</f>
        <v>58186</v>
      </c>
      <c r="H30" s="20"/>
    </row>
    <row r="31" spans="1:8" ht="15.75">
      <c r="A31" s="19"/>
      <c r="B31" s="19"/>
      <c r="C31" s="27" t="s">
        <v>20</v>
      </c>
      <c r="D31" s="19"/>
      <c r="E31" s="27" t="s">
        <v>20</v>
      </c>
      <c r="F31" s="19"/>
      <c r="G31" s="27" t="s">
        <v>20</v>
      </c>
      <c r="H31" s="20"/>
    </row>
    <row r="32" spans="1:8" ht="15.75">
      <c r="A32" s="19" t="s">
        <v>21</v>
      </c>
      <c r="B32" s="19"/>
      <c r="C32" s="28">
        <v>2217854.992</v>
      </c>
      <c r="D32" s="19"/>
      <c r="E32" s="28">
        <v>671095.472</v>
      </c>
      <c r="F32" s="19"/>
      <c r="G32" s="28">
        <v>659402</v>
      </c>
      <c r="H32" s="20"/>
    </row>
    <row r="33" spans="1:8" ht="15.75">
      <c r="A33" s="19"/>
      <c r="B33" s="19"/>
      <c r="C33" s="27" t="s">
        <v>20</v>
      </c>
      <c r="D33" s="19"/>
      <c r="E33" s="27" t="s">
        <v>20</v>
      </c>
      <c r="F33" s="19"/>
      <c r="G33" s="27" t="s">
        <v>20</v>
      </c>
      <c r="H33" s="20"/>
    </row>
    <row r="34" spans="1:8" ht="15.75">
      <c r="A34" s="19" t="s">
        <v>25</v>
      </c>
      <c r="B34" s="19"/>
      <c r="C34" s="30">
        <f>C30/C32</f>
        <v>0.08871669640699391</v>
      </c>
      <c r="D34" s="19"/>
      <c r="E34" s="30">
        <f>E30/E32</f>
        <v>0.06405481603368648</v>
      </c>
      <c r="F34" s="19"/>
      <c r="G34" s="30">
        <f>G30/G32</f>
        <v>0.08824055735348088</v>
      </c>
      <c r="H34" s="20"/>
    </row>
    <row r="35" spans="1:8" ht="15.75">
      <c r="A35" s="19"/>
      <c r="B35" s="19"/>
      <c r="C35" s="27" t="s">
        <v>20</v>
      </c>
      <c r="D35" s="19"/>
      <c r="E35" s="27" t="s">
        <v>20</v>
      </c>
      <c r="F35" s="19"/>
      <c r="G35" s="27" t="s">
        <v>20</v>
      </c>
      <c r="H35" s="20"/>
    </row>
    <row r="36" spans="1:8" ht="15.75">
      <c r="A36" s="19"/>
      <c r="B36" s="19"/>
      <c r="C36" s="28"/>
      <c r="D36" s="19"/>
      <c r="E36" s="28"/>
      <c r="F36" s="19"/>
      <c r="G36" s="28"/>
      <c r="H36" s="20"/>
    </row>
    <row r="37" spans="1:8" ht="15.75">
      <c r="A37" s="19" t="s">
        <v>26</v>
      </c>
      <c r="B37" s="19"/>
      <c r="C37" s="30">
        <v>0.0894</v>
      </c>
      <c r="D37" s="19"/>
      <c r="E37" s="45">
        <v>0.1042</v>
      </c>
      <c r="F37" s="19"/>
      <c r="G37" s="45">
        <v>0.1067</v>
      </c>
      <c r="H37" s="20"/>
    </row>
    <row r="38" spans="1:8" ht="15.75">
      <c r="A38" s="19" t="s">
        <v>27</v>
      </c>
      <c r="B38" s="19"/>
      <c r="C38" s="31" t="s">
        <v>28</v>
      </c>
      <c r="D38" s="19"/>
      <c r="E38" s="5" t="s">
        <v>29</v>
      </c>
      <c r="F38" s="19"/>
      <c r="G38" s="5" t="s">
        <v>30</v>
      </c>
      <c r="H38" s="20"/>
    </row>
    <row r="39" spans="1:8" ht="15.75">
      <c r="A39" s="19" t="s">
        <v>103</v>
      </c>
      <c r="B39" s="19"/>
      <c r="C39" s="39" t="s">
        <v>118</v>
      </c>
      <c r="D39" s="19"/>
      <c r="E39" s="39" t="s">
        <v>112</v>
      </c>
      <c r="F39" s="19"/>
      <c r="G39" s="47">
        <v>33046</v>
      </c>
      <c r="H39" s="20"/>
    </row>
    <row r="40" spans="1:8" ht="15.75">
      <c r="A40" s="19"/>
      <c r="B40" s="19"/>
      <c r="C40" s="19"/>
      <c r="D40" s="19"/>
      <c r="E40" s="19"/>
      <c r="F40" s="19"/>
      <c r="G40" s="19"/>
      <c r="H40" s="20"/>
    </row>
  </sheetData>
  <printOptions/>
  <pageMargins left="1.25" right="0.3" top="0.25" bottom="0.21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JRussell</cp:lastModifiedBy>
  <cp:lastPrinted>2006-07-18T18:09:08Z</cp:lastPrinted>
  <dcterms:created xsi:type="dcterms:W3CDTF">2001-04-03T23:24:06Z</dcterms:created>
  <dcterms:modified xsi:type="dcterms:W3CDTF">2006-07-18T18:09:15Z</dcterms:modified>
  <cp:category/>
  <cp:version/>
  <cp:contentType/>
  <cp:contentStatus/>
</cp:coreProperties>
</file>