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2.xml" ContentType="application/vnd.openxmlformats-officedocument.drawing+xml"/>
  <Override PartName="/xl/worksheets/sheet22.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31.xml" ContentType="application/vnd.openxmlformats-officedocument.spreadsheetml.worksheet+xml"/>
  <Override PartName="/xl/worksheets/sheet30.xml" ContentType="application/vnd.openxmlformats-officedocument.spreadsheetml.worksheet+xml"/>
  <Override PartName="/xl/worksheets/sheet21.xml" ContentType="application/vnd.openxmlformats-officedocument.spreadsheetml.worksheet+xml"/>
  <Override PartName="/xl/drawings/drawing3.xml" ContentType="application/vnd.openxmlformats-officedocument.drawing+xml"/>
  <Override PartName="/xl/worksheets/sheet19.xml" ContentType="application/vnd.openxmlformats-officedocument.spreadsheetml.worksheet+xml"/>
  <Override PartName="/xl/worksheets/sheet9.xml" ContentType="application/vnd.openxmlformats-officedocument.spreadsheetml.worksheet+xml"/>
  <Override PartName="/xl/worksheets/sheet2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omments3.xml" ContentType="application/vnd.openxmlformats-officedocument.spreadsheetml.comments+xml"/>
  <Override PartName="/xl/comments20.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11.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5.xml" ContentType="application/vnd.openxmlformats-officedocument.spreadsheetml.comments+xml"/>
  <Override PartName="/xl/comments12.xml" ContentType="application/vnd.openxmlformats-officedocument.spreadsheetml.comments+xml"/>
  <Override PartName="/xl/comments1.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635" yWindow="-15" windowWidth="7680" windowHeight="7200"/>
  </bookViews>
  <sheets>
    <sheet name="Lead Sheet - 5.1" sheetId="17" r:id="rId1"/>
    <sheet name="Lead Sheet - 12.6" sheetId="5" r:id="rId2"/>
    <sheet name="NPC Summary 12.6.1 " sheetId="13" r:id="rId3"/>
    <sheet name="Proforma 3-2012 (Rebuttal)" sheetId="20" r:id="rId4"/>
    <sheet name="Variance Sum. from Init Forcast" sheetId="44" r:id="rId5"/>
    <sheet name="Summary WCA -  Duvall" sheetId="41" r:id="rId6"/>
    <sheet name="RevReq impact of Rebuttal Adj" sheetId="42" r:id="rId7"/>
    <sheet name="Adjustments to Initial Forecast" sheetId="21" r:id="rId8"/>
    <sheet name="Variables" sheetId="43" r:id="rId9"/>
    <sheet name="PrePost Reb 01" sheetId="22" r:id="rId10"/>
    <sheet name="PrePost Reb 02" sheetId="23" r:id="rId11"/>
    <sheet name="PrePost Reb 03" sheetId="24" r:id="rId12"/>
    <sheet name="PrePost Reb 04" sheetId="25" r:id="rId13"/>
    <sheet name="PrePost Reb 05" sheetId="26" r:id="rId14"/>
    <sheet name="PrePost Reb 06" sheetId="27" r:id="rId15"/>
    <sheet name="PrePost Reb 07" sheetId="28" r:id="rId16"/>
    <sheet name="PrePost Reb 08" sheetId="29" r:id="rId17"/>
    <sheet name="PrePost Reb 10" sheetId="30" r:id="rId18"/>
    <sheet name="PrePost Reb 11" sheetId="31" r:id="rId19"/>
    <sheet name="PrePost Reb 12" sheetId="32" r:id="rId20"/>
    <sheet name="PrePost Reb 13" sheetId="33" r:id="rId21"/>
    <sheet name="PrePost Reb 14" sheetId="34" r:id="rId22"/>
    <sheet name="PrePost Reb 15" sheetId="35" r:id="rId23"/>
    <sheet name="PrePost Reb 16" sheetId="36" r:id="rId24"/>
    <sheet name="PrePost Reb 17" sheetId="37" r:id="rId25"/>
    <sheet name="PrePost Reb 18" sheetId="38" r:id="rId26"/>
    <sheet name="PrePost Reb 19" sheetId="39" r:id="rId27"/>
    <sheet name="PrePost Reb 20" sheetId="40" r:id="rId28"/>
    <sheet name="2009 Unadjusted Results" sheetId="19" r:id="rId29"/>
    <sheet name="2009 Normalized Results" sheetId="15" r:id="rId30"/>
    <sheet name="Pro Forma 3 2012 - Initial Fili" sheetId="12" r:id="rId31"/>
  </sheets>
  <externalReferences>
    <externalReference r:id="rId32"/>
    <externalReference r:id="rId33"/>
    <externalReference r:id="rId34"/>
  </externalReferences>
  <definedNames>
    <definedName name="__123Graph_A" localSheetId="7" hidden="1">[1]Inputs!#REF!</definedName>
    <definedName name="__123Graph_A" localSheetId="0" hidden="1">[1]Inputs!#REF!</definedName>
    <definedName name="__123Graph_A" localSheetId="4" hidden="1">[1]Inputs!#REF!</definedName>
    <definedName name="__123Graph_A" hidden="1">[1]Inputs!#REF!</definedName>
    <definedName name="__123Graph_B" localSheetId="7" hidden="1">[1]Inputs!#REF!</definedName>
    <definedName name="__123Graph_B" localSheetId="0" hidden="1">[1]Inputs!#REF!</definedName>
    <definedName name="__123Graph_B" localSheetId="4" hidden="1">[1]Inputs!#REF!</definedName>
    <definedName name="__123Graph_B" hidden="1">[1]Inputs!#REF!</definedName>
    <definedName name="__123Graph_D" localSheetId="7" hidden="1">[1]Inputs!#REF!</definedName>
    <definedName name="__123Graph_D" localSheetId="0" hidden="1">[1]Inputs!#REF!</definedName>
    <definedName name="__123Graph_D" localSheetId="4" hidden="1">[1]Inputs!#REF!</definedName>
    <definedName name="__123Graph_D" hidden="1">[1]Inputs!#REF!</definedName>
    <definedName name="__123Graph_E" hidden="1">[2]Input!$E$22:$E$37</definedName>
    <definedName name="__123Graph_F" hidden="1">[2]Input!$D$22:$D$37</definedName>
    <definedName name="_Fill" localSheetId="7" hidden="1">#REF!</definedName>
    <definedName name="_Fill" localSheetId="0" hidden="1">#REF!</definedName>
    <definedName name="_Fill" localSheetId="2" hidden="1">#REF!</definedName>
    <definedName name="_Fill" localSheetId="4" hidden="1">#REF!</definedName>
    <definedName name="_Fill" hidden="1">#REF!</definedName>
    <definedName name="_j1" localSheetId="7"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localSheetId="3" hidden="1">{"PRINT",#N/A,TRUE,"APPA";"PRINT",#N/A,TRUE,"APS";"PRINT",#N/A,TRUE,"BHPL";"PRINT",#N/A,TRUE,"BHPL2";"PRINT",#N/A,TRUE,"CDWR";"PRINT",#N/A,TRUE,"EWEB";"PRINT",#N/A,TRUE,"LADWP";"PRINT",#N/A,TRUE,"NEVBASE"}</definedName>
    <definedName name="_j1" localSheetId="4"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localSheetId="4"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localSheetId="4"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localSheetId="4"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localSheetId="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7" hidden="1">#REF!</definedName>
    <definedName name="_Key1" localSheetId="0" hidden="1">#REF!</definedName>
    <definedName name="_Key1" localSheetId="2" hidden="1">#REF!</definedName>
    <definedName name="_Key1" localSheetId="4" hidden="1">#REF!</definedName>
    <definedName name="_Key1" hidden="1">#REF!</definedName>
    <definedName name="_Key2" localSheetId="7" hidden="1">#REF!</definedName>
    <definedName name="_Key2" localSheetId="0" hidden="1">#REF!</definedName>
    <definedName name="_Key2" localSheetId="4" hidden="1">#REF!</definedName>
    <definedName name="_Key2" hidden="1">#REF!</definedName>
    <definedName name="_Order1" hidden="1">255</definedName>
    <definedName name="_Order2" hidden="1">0</definedName>
    <definedName name="_Sort" localSheetId="7" hidden="1">#REF!</definedName>
    <definedName name="_Sort" localSheetId="0" hidden="1">#REF!</definedName>
    <definedName name="_Sort" localSheetId="2" hidden="1">#REF!</definedName>
    <definedName name="_Sort" localSheetId="4" hidden="1">#REF!</definedName>
    <definedName name="_Sort" hidden="1">#REF!</definedName>
    <definedName name="a" hidden="1">'[1]DSM Output'!$J$21:$J$23</definedName>
    <definedName name="cgf" localSheetId="7"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localSheetId="3" hidden="1">{"PRINT",#N/A,TRUE,"APPA";"PRINT",#N/A,TRUE,"APS";"PRINT",#N/A,TRUE,"BHPL";"PRINT",#N/A,TRUE,"BHPL2";"PRINT",#N/A,TRUE,"CDWR";"PRINT",#N/A,TRUE,"EWEB";"PRINT",#N/A,TRUE,"LADWP";"PRINT",#N/A,TRUE,"NEVBASE"}</definedName>
    <definedName name="cgf" localSheetId="4"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st_Debt">Variables!$D$8</definedName>
    <definedName name="Cost_equity">Variables!$D$10</definedName>
    <definedName name="Cost_pref">Variables!$D$9</definedName>
    <definedName name="friend" localSheetId="7"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localSheetId="3" hidden="1">{"PRINT",#N/A,TRUE,"APPA";"PRINT",#N/A,TRUE,"APS";"PRINT",#N/A,TRUE,"BHPL";"PRINT",#N/A,TRUE,"BHPL2";"PRINT",#N/A,TRUE,"CDWR";"PRINT",#N/A,TRUE,"EWEB";"PRINT",#N/A,TRUE,"LADWP";"PRINT",#N/A,TRUE,"NEVBASE"}</definedName>
    <definedName name="friend" localSheetId="4"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ross_up_factor">Variables!$D$34</definedName>
    <definedName name="junk" localSheetId="7"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localSheetId="3" hidden="1">{"PRINT",#N/A,TRUE,"APPA";"PRINT",#N/A,TRUE,"APS";"PRINT",#N/A,TRUE,"BHPL";"PRINT",#N/A,TRUE,"BHPL2";"PRINT",#N/A,TRUE,"CDWR";"PRINT",#N/A,TRUE,"EWEB";"PRINT",#N/A,TRUE,"LADWP";"PRINT",#N/A,TRUE,"NEVBASE"}</definedName>
    <definedName name="junk" localSheetId="4"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localSheetId="4"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localSheetId="4"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localSheetId="4"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others" localSheetId="7"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localSheetId="3" hidden="1">{"Factors Pages 1-2",#N/A,FALSE,"Factors";"Factors Page 3",#N/A,FALSE,"Factors";"Factors Page 4",#N/A,FALSE,"Factors";"Factors Page 5",#N/A,FALSE,"Factors";"Factors Pages 8-27",#N/A,FALSE,"Factors"}</definedName>
    <definedName name="others" localSheetId="4"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verall_ROR">Variables!$E$11</definedName>
    <definedName name="Percent_common">Variables!$C$10</definedName>
    <definedName name="Percent_debt">Variables!$C$8</definedName>
    <definedName name="Percent_pref">Variables!$C$9</definedName>
    <definedName name="_xlnm.Print_Area" localSheetId="9">'PrePost Reb 01'!$A$1:$I$130</definedName>
    <definedName name="_xlnm.Print_Area" localSheetId="10">'PrePost Reb 02'!$A$1:$I$130</definedName>
    <definedName name="_xlnm.Print_Area" localSheetId="11">'PrePost Reb 03'!$A$1:$I$130</definedName>
    <definedName name="_xlnm.Print_Area" localSheetId="12">'PrePost Reb 04'!$A$1:$I$130</definedName>
    <definedName name="_xlnm.Print_Area" localSheetId="13">'PrePost Reb 05'!$A$1:$I$130</definedName>
    <definedName name="_xlnm.Print_Area" localSheetId="14">'PrePost Reb 06'!$A$1:$I$130</definedName>
    <definedName name="_xlnm.Print_Area" localSheetId="15">'PrePost Reb 07'!$A$1:$I$130</definedName>
    <definedName name="_xlnm.Print_Area" localSheetId="16">'PrePost Reb 08'!$A$1:$I$130</definedName>
    <definedName name="_xlnm.Print_Area" localSheetId="17">'PrePost Reb 10'!$A$1:$I$130</definedName>
    <definedName name="_xlnm.Print_Area" localSheetId="18">'PrePost Reb 11'!$A$1:$I$130</definedName>
    <definedName name="_xlnm.Print_Area" localSheetId="19">'PrePost Reb 12'!$A$1:$I$130</definedName>
    <definedName name="_xlnm.Print_Area" localSheetId="20">'PrePost Reb 13'!$A$1:$I$130</definedName>
    <definedName name="_xlnm.Print_Area" localSheetId="21">'PrePost Reb 14'!$A$1:$I$130</definedName>
    <definedName name="_xlnm.Print_Area" localSheetId="22">'PrePost Reb 15'!$A$1:$I$130</definedName>
    <definedName name="_xlnm.Print_Area" localSheetId="23">'PrePost Reb 16'!$A$1:$I$130</definedName>
    <definedName name="_xlnm.Print_Area" localSheetId="24">'PrePost Reb 17'!$A$1:$I$130</definedName>
    <definedName name="_xlnm.Print_Area" localSheetId="25">'PrePost Reb 18'!$A$1:$I$130</definedName>
    <definedName name="_xlnm.Print_Area" localSheetId="26">'PrePost Reb 19'!$A$1:$I$130</definedName>
    <definedName name="_xlnm.Print_Area" localSheetId="27">'PrePost Reb 20'!$A$1:$I$130</definedName>
    <definedName name="_xlnm.Print_Area" localSheetId="3">'Proforma 3-2012 (Rebuttal)'!$A$1:$I$133</definedName>
    <definedName name="_xlnm.Print_Area" localSheetId="6">'RevReq impact of Rebuttal Adj'!$A$5:$AA$87</definedName>
    <definedName name="_xlnm.Print_Area" localSheetId="5">'Summary WCA -  Duvall'!$A$1:$J$52</definedName>
    <definedName name="_xlnm.Print_Titles" localSheetId="9">'PrePost Reb 01'!$A:$C,'PrePost Reb 01'!$1:$6</definedName>
    <definedName name="_xlnm.Print_Titles" localSheetId="10">'PrePost Reb 02'!$A:$C,'PrePost Reb 02'!$1:$6</definedName>
    <definedName name="_xlnm.Print_Titles" localSheetId="11">'PrePost Reb 03'!$A:$C,'PrePost Reb 03'!$1:$6</definedName>
    <definedName name="_xlnm.Print_Titles" localSheetId="12">'PrePost Reb 04'!$A:$C,'PrePost Reb 04'!$1:$6</definedName>
    <definedName name="_xlnm.Print_Titles" localSheetId="13">'PrePost Reb 05'!$A:$C,'PrePost Reb 05'!$1:$6</definedName>
    <definedName name="_xlnm.Print_Titles" localSheetId="14">'PrePost Reb 06'!$A:$C,'PrePost Reb 06'!$1:$6</definedName>
    <definedName name="_xlnm.Print_Titles" localSheetId="15">'PrePost Reb 07'!$A:$C,'PrePost Reb 07'!$1:$6</definedName>
    <definedName name="_xlnm.Print_Titles" localSheetId="16">'PrePost Reb 08'!$A:$C,'PrePost Reb 08'!$1:$6</definedName>
    <definedName name="_xlnm.Print_Titles" localSheetId="17">'PrePost Reb 10'!$A:$C,'PrePost Reb 10'!$1:$6</definedName>
    <definedName name="_xlnm.Print_Titles" localSheetId="18">'PrePost Reb 11'!$A:$C,'PrePost Reb 11'!$1:$6</definedName>
    <definedName name="_xlnm.Print_Titles" localSheetId="19">'PrePost Reb 12'!$A:$C,'PrePost Reb 12'!$1:$6</definedName>
    <definedName name="_xlnm.Print_Titles" localSheetId="20">'PrePost Reb 13'!$A:$C,'PrePost Reb 13'!$1:$6</definedName>
    <definedName name="_xlnm.Print_Titles" localSheetId="21">'PrePost Reb 14'!$A:$C,'PrePost Reb 14'!$1:$6</definedName>
    <definedName name="_xlnm.Print_Titles" localSheetId="22">'PrePost Reb 15'!$A:$C,'PrePost Reb 15'!$1:$6</definedName>
    <definedName name="_xlnm.Print_Titles" localSheetId="23">'PrePost Reb 16'!$A:$C,'PrePost Reb 16'!$1:$6</definedName>
    <definedName name="_xlnm.Print_Titles" localSheetId="24">'PrePost Reb 17'!$A:$C,'PrePost Reb 17'!$1:$6</definedName>
    <definedName name="_xlnm.Print_Titles" localSheetId="25">'PrePost Reb 18'!$A:$C,'PrePost Reb 18'!$1:$6</definedName>
    <definedName name="_xlnm.Print_Titles" localSheetId="26">'PrePost Reb 19'!$A:$C,'PrePost Reb 19'!$1:$6</definedName>
    <definedName name="_xlnm.Print_Titles" localSheetId="27">'PrePost Reb 20'!$A:$C,'PrePost Reb 20'!$1:$6</definedName>
    <definedName name="_xlnm.Print_Titles" localSheetId="6">'RevReq impact of Rebuttal Adj'!$A:$A</definedName>
    <definedName name="_xlnm.Print_Titles" localSheetId="5">'Summary WCA -  Duvall'!$3:$4</definedName>
    <definedName name="Restated_Op_revenue">[3]Summary!$F$37</definedName>
    <definedName name="Restated_rate_base">[3]Summary!$F$64</definedName>
    <definedName name="Restated_ROE">[3]Summary!$F$67</definedName>
    <definedName name="retail" localSheetId="7"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7"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localSheetId="3" hidden="1">{"PRINT",#N/A,TRUE,"APPA";"PRINT",#N/A,TRUE,"APS";"PRINT",#N/A,TRUE,"BHPL";"PRINT",#N/A,TRUE,"BHPL2";"PRINT",#N/A,TRUE,"CDWR";"PRINT",#N/A,TRUE,"EWEB";"PRINT",#N/A,TRUE,"LADWP";"PRINT",#N/A,TRUE,"NEVBASE"}</definedName>
    <definedName name="rrr" localSheetId="4"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"45FIHJWMI3GHFVKWLVCY66MTN"</definedName>
    <definedName name="shit" localSheetId="7"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uncollectible_perc">Variables!$D$20</definedName>
    <definedName name="WA_rev_tax_perc">Variables!$D$22</definedName>
    <definedName name="Weighted_cost_debt">Variables!$E$8</definedName>
    <definedName name="Weighted_cost_equity">Variables!$E$10</definedName>
    <definedName name="Weighted_cost_pref">Variables!$E$9</definedName>
    <definedName name="wrn.Adj._.Back_Up." localSheetId="7" hidden="1">{"Page 3.4.1",#N/A,FALSE,"Totals";"Page 3.4.2",#N/A,FALSE,"Totals"}</definedName>
    <definedName name="wrn.Adj._.Back_Up." localSheetId="2" hidden="1">{"Page 3.4.1",#N/A,FALSE,"Totals";"Page 3.4.2",#N/A,FALSE,"Totals"}</definedName>
    <definedName name="wrn.Adj._.Back_Up." localSheetId="3" hidden="1">{"Page 3.4.1",#N/A,FALSE,"Totals";"Page 3.4.2",#N/A,FALSE,"Totals"}</definedName>
    <definedName name="wrn.Adj._.Back_Up." localSheetId="4" hidden="1">{"Page 3.4.1",#N/A,FALSE,"Totals";"Page 3.4.2",#N/A,FALSE,"Totals"}</definedName>
    <definedName name="wrn.Adj._.Back_Up." hidden="1">{"Page 3.4.1",#N/A,FALSE,"Totals";"Page 3.4.2",#N/A,FALSE,"Totals"}</definedName>
    <definedName name="wrn.All._.Pages." localSheetId="7" hidden="1">{#N/A,#N/A,FALSE,"Cover";#N/A,#N/A,FALSE,"Lead Sheet";#N/A,#N/A,FALSE,"Interest Expense A ";#N/A,#N/A,FALSE,"Deposits 3 01";#N/A,#N/A,FALSE,"Deposits 3 02";#N/A,#N/A,FALSE,"T-Accounts";#N/A,#N/A,FALSE,"Interest Expense B";#N/A,#N/A,FALSE,"IntRate"}</definedName>
    <definedName name="wrn.All._.Pages." localSheetId="2" hidden="1">{#N/A,#N/A,FALSE,"Cover";#N/A,#N/A,FALSE,"Lead Sheet";#N/A,#N/A,FALSE,"Interest Expense A ";#N/A,#N/A,FALSE,"Deposits 3 01";#N/A,#N/A,FALSE,"Deposits 3 02";#N/A,#N/A,FALSE,"T-Accounts";#N/A,#N/A,FALSE,"Interest Expense B";#N/A,#N/A,FALSE,"IntRate"}</definedName>
    <definedName name="wrn.All._.Pages." localSheetId="3" hidden="1">{#N/A,#N/A,FALSE,"Cover";#N/A,#N/A,FALSE,"Lead Sheet";#N/A,#N/A,FALSE,"Interest Expense A ";#N/A,#N/A,FALSE,"Deposits 3 01";#N/A,#N/A,FALSE,"Deposits 3 02";#N/A,#N/A,FALSE,"T-Accounts";#N/A,#N/A,FALSE,"Interest Expense B";#N/A,#N/A,FALSE,"IntRate"}</definedName>
    <definedName name="wrn.All._.Pages." localSheetId="4"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Factors._.Tab._.10." localSheetId="7"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4"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7"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7"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7"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UTC_reg_fee_perc">Variables!$D$21</definedName>
    <definedName name="y" hidden="1">'[1]DSM Output'!$B$21:$B$23</definedName>
    <definedName name="z" hidden="1">'[1]DSM Output'!$G$21:$G$23</definedName>
  </definedNames>
  <calcPr calcId="125725" iterate="1"/>
</workbook>
</file>

<file path=xl/calcChain.xml><?xml version="1.0" encoding="utf-8"?>
<calcChain xmlns="http://schemas.openxmlformats.org/spreadsheetml/2006/main">
  <c r="Y70" i="42"/>
  <c r="X70"/>
  <c r="W70"/>
  <c r="V70"/>
  <c r="U70"/>
  <c r="T70"/>
  <c r="S70"/>
  <c r="R70"/>
  <c r="Q70"/>
  <c r="P70"/>
  <c r="O70"/>
  <c r="N70"/>
  <c r="M70"/>
  <c r="L70"/>
  <c r="K70"/>
  <c r="J70"/>
  <c r="I70"/>
  <c r="H70"/>
  <c r="G70"/>
  <c r="F70"/>
  <c r="E70"/>
  <c r="D70"/>
  <c r="J40" i="41"/>
  <c r="J38"/>
  <c r="J36"/>
  <c r="J33"/>
  <c r="G42"/>
  <c r="G40"/>
  <c r="G39"/>
  <c r="G38"/>
  <c r="G37"/>
  <c r="G36"/>
  <c r="G34"/>
  <c r="G33"/>
  <c r="G32"/>
  <c r="G30"/>
  <c r="G29"/>
  <c r="G20"/>
  <c r="G18"/>
  <c r="G17"/>
  <c r="G16"/>
  <c r="G15"/>
  <c r="G14"/>
  <c r="G11"/>
  <c r="G10"/>
  <c r="G9"/>
  <c r="H3"/>
  <c r="M17" i="44"/>
  <c r="L17"/>
  <c r="F36"/>
  <c r="F35"/>
  <c r="F37" s="1"/>
  <c r="F31"/>
  <c r="F30"/>
  <c r="G30" s="1"/>
  <c r="F29"/>
  <c r="F25"/>
  <c r="G25" s="1"/>
  <c r="F24"/>
  <c r="F23"/>
  <c r="G23" s="1"/>
  <c r="F22"/>
  <c r="F21"/>
  <c r="F26" s="1"/>
  <c r="F17"/>
  <c r="F16"/>
  <c r="F15"/>
  <c r="G36"/>
  <c r="G31"/>
  <c r="F32"/>
  <c r="G24"/>
  <c r="G22"/>
  <c r="F18"/>
  <c r="G17"/>
  <c r="G16"/>
  <c r="G15"/>
  <c r="I36"/>
  <c r="L36" s="1"/>
  <c r="M36" s="1"/>
  <c r="I35"/>
  <c r="L35" s="1"/>
  <c r="M35" s="1"/>
  <c r="I31"/>
  <c r="L31" s="1"/>
  <c r="M31" s="1"/>
  <c r="I30"/>
  <c r="L30" s="1"/>
  <c r="M30" s="1"/>
  <c r="I29"/>
  <c r="I32" s="1"/>
  <c r="I25"/>
  <c r="L25" s="1"/>
  <c r="M25" s="1"/>
  <c r="I24"/>
  <c r="L24" s="1"/>
  <c r="M24" s="1"/>
  <c r="I23"/>
  <c r="L23" s="1"/>
  <c r="M23" s="1"/>
  <c r="I22"/>
  <c r="L22" s="1"/>
  <c r="M22" s="1"/>
  <c r="I21"/>
  <c r="J17"/>
  <c r="I16"/>
  <c r="L16" s="1"/>
  <c r="M16" s="1"/>
  <c r="I15"/>
  <c r="W71" i="42"/>
  <c r="V71"/>
  <c r="J39" i="41" s="1"/>
  <c r="U71" i="42"/>
  <c r="T71"/>
  <c r="J37" i="41" s="1"/>
  <c r="S71" i="42"/>
  <c r="R71"/>
  <c r="J34" i="41" s="1"/>
  <c r="Q71" i="42"/>
  <c r="P71"/>
  <c r="J32" i="41" s="1"/>
  <c r="O71" i="42"/>
  <c r="J30" i="41" s="1"/>
  <c r="N71" i="42"/>
  <c r="J29" i="41" s="1"/>
  <c r="M71" i="42"/>
  <c r="J20" i="41" s="1"/>
  <c r="L71" i="42"/>
  <c r="K71"/>
  <c r="J18" i="41" s="1"/>
  <c r="J71" i="42"/>
  <c r="J17" i="41" s="1"/>
  <c r="I71" i="42"/>
  <c r="J16" i="41" s="1"/>
  <c r="H71" i="42"/>
  <c r="J15" i="41" s="1"/>
  <c r="G71" i="42"/>
  <c r="J14" i="41" s="1"/>
  <c r="F71" i="42"/>
  <c r="J11" i="41" s="1"/>
  <c r="E71" i="42"/>
  <c r="J10" i="41" s="1"/>
  <c r="D71" i="42"/>
  <c r="J9" i="41" s="1"/>
  <c r="AA64" i="42"/>
  <c r="AA63"/>
  <c r="AA62"/>
  <c r="AA61"/>
  <c r="AA60"/>
  <c r="AA59"/>
  <c r="AA58"/>
  <c r="AA57"/>
  <c r="AA53"/>
  <c r="AA52"/>
  <c r="AA51"/>
  <c r="AA50"/>
  <c r="AA49"/>
  <c r="AA48"/>
  <c r="AA47"/>
  <c r="AA46"/>
  <c r="AA45"/>
  <c r="AA44"/>
  <c r="AA43"/>
  <c r="AA37"/>
  <c r="AA36"/>
  <c r="AA35"/>
  <c r="AA34"/>
  <c r="AA32"/>
  <c r="AA31"/>
  <c r="AA30"/>
  <c r="AA28"/>
  <c r="AA27"/>
  <c r="AA26"/>
  <c r="AA25"/>
  <c r="AA24"/>
  <c r="AA21"/>
  <c r="AA20"/>
  <c r="AA15"/>
  <c r="AA13"/>
  <c r="AA12"/>
  <c r="AA67"/>
  <c r="AA65"/>
  <c r="AA54"/>
  <c r="B33"/>
  <c r="W33"/>
  <c r="V33"/>
  <c r="U33"/>
  <c r="T33"/>
  <c r="S33"/>
  <c r="R33"/>
  <c r="Q33"/>
  <c r="P33"/>
  <c r="O33"/>
  <c r="N33"/>
  <c r="M33"/>
  <c r="L33"/>
  <c r="K33"/>
  <c r="J33"/>
  <c r="I33"/>
  <c r="H33"/>
  <c r="G33"/>
  <c r="F33"/>
  <c r="E33"/>
  <c r="D33"/>
  <c r="Y64"/>
  <c r="Y63"/>
  <c r="Y62"/>
  <c r="Y61"/>
  <c r="Y60"/>
  <c r="Y59"/>
  <c r="Y58"/>
  <c r="Y57"/>
  <c r="Y53"/>
  <c r="Y52"/>
  <c r="Y51"/>
  <c r="Y50"/>
  <c r="Y49"/>
  <c r="Y48"/>
  <c r="Y47"/>
  <c r="Y46"/>
  <c r="Y45"/>
  <c r="Y44"/>
  <c r="Y43"/>
  <c r="Y37"/>
  <c r="Y36"/>
  <c r="Y35"/>
  <c r="Y34"/>
  <c r="Y32"/>
  <c r="Y31"/>
  <c r="Y30"/>
  <c r="Y28"/>
  <c r="Y27"/>
  <c r="Y26"/>
  <c r="Y25"/>
  <c r="Y24"/>
  <c r="Y21"/>
  <c r="Y20"/>
  <c r="Y15"/>
  <c r="Y13"/>
  <c r="Y12"/>
  <c r="Y67"/>
  <c r="Y65"/>
  <c r="Y54"/>
  <c r="X67"/>
  <c r="X65"/>
  <c r="X54"/>
  <c r="W23"/>
  <c r="W22"/>
  <c r="W19"/>
  <c r="W14"/>
  <c r="V23"/>
  <c r="V22"/>
  <c r="V29" s="1"/>
  <c r="V38" s="1"/>
  <c r="V19"/>
  <c r="V14"/>
  <c r="U23"/>
  <c r="U22"/>
  <c r="U19"/>
  <c r="U14"/>
  <c r="T23"/>
  <c r="T22"/>
  <c r="T29" s="1"/>
  <c r="T38" s="1"/>
  <c r="T19"/>
  <c r="T14"/>
  <c r="S23"/>
  <c r="S22"/>
  <c r="S19"/>
  <c r="S14"/>
  <c r="R23"/>
  <c r="R22"/>
  <c r="R19"/>
  <c r="R14"/>
  <c r="Q23"/>
  <c r="Q22"/>
  <c r="Q19"/>
  <c r="Q14"/>
  <c r="Q16" s="1"/>
  <c r="P23"/>
  <c r="P22"/>
  <c r="P19"/>
  <c r="P14"/>
  <c r="O23"/>
  <c r="O22"/>
  <c r="O19"/>
  <c r="O14"/>
  <c r="N23"/>
  <c r="N22"/>
  <c r="N19"/>
  <c r="N14"/>
  <c r="M23"/>
  <c r="M22"/>
  <c r="M19"/>
  <c r="M14"/>
  <c r="K23"/>
  <c r="K22"/>
  <c r="K19"/>
  <c r="K14"/>
  <c r="J23"/>
  <c r="J22"/>
  <c r="J29" s="1"/>
  <c r="J38" s="1"/>
  <c r="J19"/>
  <c r="J14"/>
  <c r="I23"/>
  <c r="I22"/>
  <c r="I19"/>
  <c r="I14"/>
  <c r="H23"/>
  <c r="G23"/>
  <c r="F23"/>
  <c r="E23"/>
  <c r="D23"/>
  <c r="B23"/>
  <c r="H22"/>
  <c r="H19"/>
  <c r="H14"/>
  <c r="G22"/>
  <c r="G19"/>
  <c r="G14"/>
  <c r="F22"/>
  <c r="F19"/>
  <c r="F14"/>
  <c r="E22"/>
  <c r="E19"/>
  <c r="E14"/>
  <c r="D22"/>
  <c r="D19"/>
  <c r="D14"/>
  <c r="W67"/>
  <c r="V67"/>
  <c r="U67"/>
  <c r="T67"/>
  <c r="S67"/>
  <c r="R67"/>
  <c r="Q67"/>
  <c r="P67"/>
  <c r="O67"/>
  <c r="N67"/>
  <c r="M67"/>
  <c r="L67"/>
  <c r="K67"/>
  <c r="J67"/>
  <c r="I67"/>
  <c r="H67"/>
  <c r="G67"/>
  <c r="F67"/>
  <c r="E67"/>
  <c r="D67"/>
  <c r="W65"/>
  <c r="V65"/>
  <c r="U65"/>
  <c r="T65"/>
  <c r="S65"/>
  <c r="R65"/>
  <c r="Q65"/>
  <c r="P65"/>
  <c r="O65"/>
  <c r="N65"/>
  <c r="M65"/>
  <c r="L65"/>
  <c r="K65"/>
  <c r="J65"/>
  <c r="I65"/>
  <c r="H65"/>
  <c r="G65"/>
  <c r="F65"/>
  <c r="E65"/>
  <c r="D65"/>
  <c r="W54"/>
  <c r="V54"/>
  <c r="U54"/>
  <c r="T54"/>
  <c r="S54"/>
  <c r="R54"/>
  <c r="Q54"/>
  <c r="P54"/>
  <c r="O54"/>
  <c r="N54"/>
  <c r="M54"/>
  <c r="L54"/>
  <c r="K54"/>
  <c r="J54"/>
  <c r="I54"/>
  <c r="H54"/>
  <c r="G54"/>
  <c r="F54"/>
  <c r="E54"/>
  <c r="D54"/>
  <c r="W29"/>
  <c r="W38" s="1"/>
  <c r="U29"/>
  <c r="U38" s="1"/>
  <c r="S29"/>
  <c r="S38" s="1"/>
  <c r="R29"/>
  <c r="R38" s="1"/>
  <c r="Q29"/>
  <c r="Q38" s="1"/>
  <c r="P29"/>
  <c r="P38" s="1"/>
  <c r="O29"/>
  <c r="O38" s="1"/>
  <c r="N29"/>
  <c r="N38" s="1"/>
  <c r="M29"/>
  <c r="M38" s="1"/>
  <c r="L29"/>
  <c r="L38" s="1"/>
  <c r="K29"/>
  <c r="K38" s="1"/>
  <c r="I29"/>
  <c r="I38" s="1"/>
  <c r="H29"/>
  <c r="H38" s="1"/>
  <c r="G29"/>
  <c r="G38" s="1"/>
  <c r="F29"/>
  <c r="F38" s="1"/>
  <c r="E29"/>
  <c r="E38" s="1"/>
  <c r="D29"/>
  <c r="D38" s="1"/>
  <c r="W16"/>
  <c r="V16"/>
  <c r="U16"/>
  <c r="T16"/>
  <c r="S16"/>
  <c r="R16"/>
  <c r="P16"/>
  <c r="O16"/>
  <c r="N16"/>
  <c r="M16"/>
  <c r="L16"/>
  <c r="K16"/>
  <c r="J16"/>
  <c r="I16"/>
  <c r="H16"/>
  <c r="G16"/>
  <c r="F16"/>
  <c r="E16"/>
  <c r="D16"/>
  <c r="B22"/>
  <c r="B19"/>
  <c r="B14"/>
  <c r="H9" i="41" l="1"/>
  <c r="H10" s="1"/>
  <c r="H11" s="1"/>
  <c r="H14" s="1"/>
  <c r="H15" s="1"/>
  <c r="H16" s="1"/>
  <c r="H17" s="1"/>
  <c r="H18" s="1"/>
  <c r="H24" s="1"/>
  <c r="H29" s="1"/>
  <c r="H30" s="1"/>
  <c r="H32" s="1"/>
  <c r="H33" s="1"/>
  <c r="H34" s="1"/>
  <c r="J22"/>
  <c r="G44"/>
  <c r="G22"/>
  <c r="G46"/>
  <c r="H36"/>
  <c r="H37"/>
  <c r="H38" s="1"/>
  <c r="H39" s="1"/>
  <c r="H40" s="1"/>
  <c r="H48" s="1"/>
  <c r="I26" i="44"/>
  <c r="J29"/>
  <c r="J30"/>
  <c r="J31"/>
  <c r="L21"/>
  <c r="M21" s="1"/>
  <c r="I18"/>
  <c r="I39" s="1"/>
  <c r="L15"/>
  <c r="M15" s="1"/>
  <c r="L29"/>
  <c r="M29" s="1"/>
  <c r="G18"/>
  <c r="F39"/>
  <c r="J15"/>
  <c r="J16"/>
  <c r="I37"/>
  <c r="G21"/>
  <c r="G26" s="1"/>
  <c r="G29"/>
  <c r="G32" s="1"/>
  <c r="G35"/>
  <c r="G37" s="1"/>
  <c r="J21"/>
  <c r="J22"/>
  <c r="J23"/>
  <c r="J24"/>
  <c r="J25"/>
  <c r="J35"/>
  <c r="J36"/>
  <c r="M18"/>
  <c r="L26"/>
  <c r="M32"/>
  <c r="L37"/>
  <c r="E74" i="42"/>
  <c r="E80" s="1"/>
  <c r="E83" s="1"/>
  <c r="E85" s="1"/>
  <c r="E87" s="1"/>
  <c r="E40"/>
  <c r="I74"/>
  <c r="I80" s="1"/>
  <c r="I83" s="1"/>
  <c r="I85" s="1"/>
  <c r="I87" s="1"/>
  <c r="I40"/>
  <c r="M74"/>
  <c r="M80" s="1"/>
  <c r="M83" s="1"/>
  <c r="M85" s="1"/>
  <c r="M87" s="1"/>
  <c r="M40"/>
  <c r="S74"/>
  <c r="S80" s="1"/>
  <c r="S83" s="1"/>
  <c r="S85" s="1"/>
  <c r="S87" s="1"/>
  <c r="S40"/>
  <c r="G74"/>
  <c r="G80" s="1"/>
  <c r="G83" s="1"/>
  <c r="G85" s="1"/>
  <c r="G87" s="1"/>
  <c r="G40"/>
  <c r="K74"/>
  <c r="K80" s="1"/>
  <c r="K83" s="1"/>
  <c r="K85" s="1"/>
  <c r="K87" s="1"/>
  <c r="K40"/>
  <c r="O74"/>
  <c r="O80" s="1"/>
  <c r="O83" s="1"/>
  <c r="O85" s="1"/>
  <c r="O87" s="1"/>
  <c r="O40"/>
  <c r="Q74"/>
  <c r="Q80" s="1"/>
  <c r="Q83" s="1"/>
  <c r="Q85" s="1"/>
  <c r="Q87" s="1"/>
  <c r="Q40"/>
  <c r="U74"/>
  <c r="U80" s="1"/>
  <c r="U83" s="1"/>
  <c r="U85" s="1"/>
  <c r="U87" s="1"/>
  <c r="U40"/>
  <c r="W74"/>
  <c r="W80" s="1"/>
  <c r="W83" s="1"/>
  <c r="W85" s="1"/>
  <c r="W87" s="1"/>
  <c r="W40"/>
  <c r="D74"/>
  <c r="D80" s="1"/>
  <c r="D83" s="1"/>
  <c r="D85" s="1"/>
  <c r="D87" s="1"/>
  <c r="D40"/>
  <c r="F74"/>
  <c r="F80" s="1"/>
  <c r="F83" s="1"/>
  <c r="F85" s="1"/>
  <c r="F87" s="1"/>
  <c r="F40"/>
  <c r="H74"/>
  <c r="H80" s="1"/>
  <c r="H83" s="1"/>
  <c r="H85" s="1"/>
  <c r="H87" s="1"/>
  <c r="H40"/>
  <c r="J74"/>
  <c r="J80" s="1"/>
  <c r="J83" s="1"/>
  <c r="J85" s="1"/>
  <c r="J87" s="1"/>
  <c r="J40"/>
  <c r="L74"/>
  <c r="L80" s="1"/>
  <c r="L83" s="1"/>
  <c r="L85" s="1"/>
  <c r="L87" s="1"/>
  <c r="L40"/>
  <c r="N74"/>
  <c r="N80" s="1"/>
  <c r="N83" s="1"/>
  <c r="N85" s="1"/>
  <c r="N87" s="1"/>
  <c r="N40"/>
  <c r="P74"/>
  <c r="P80" s="1"/>
  <c r="P83" s="1"/>
  <c r="P85" s="1"/>
  <c r="P87" s="1"/>
  <c r="P40"/>
  <c r="R74"/>
  <c r="R80" s="1"/>
  <c r="R83" s="1"/>
  <c r="R85" s="1"/>
  <c r="R87" s="1"/>
  <c r="R40"/>
  <c r="T74"/>
  <c r="T80" s="1"/>
  <c r="T83" s="1"/>
  <c r="T85" s="1"/>
  <c r="T87" s="1"/>
  <c r="T40"/>
  <c r="V74"/>
  <c r="V80" s="1"/>
  <c r="V83" s="1"/>
  <c r="V85" s="1"/>
  <c r="V87" s="1"/>
  <c r="V40"/>
  <c r="B54"/>
  <c r="B29"/>
  <c r="B38" s="1"/>
  <c r="B16"/>
  <c r="D26" i="43"/>
  <c r="D30" s="1"/>
  <c r="E10"/>
  <c r="E9"/>
  <c r="E8"/>
  <c r="E11" s="1"/>
  <c r="L32" i="44" l="1"/>
  <c r="J32"/>
  <c r="L18"/>
  <c r="L39"/>
  <c r="G39"/>
  <c r="J18"/>
  <c r="J37"/>
  <c r="M37"/>
  <c r="J26"/>
  <c r="M26"/>
  <c r="M39" s="1"/>
  <c r="B74" i="42"/>
  <c r="B80" s="1"/>
  <c r="B83" s="1"/>
  <c r="B85" s="1"/>
  <c r="B87" s="1"/>
  <c r="B40"/>
  <c r="D32" i="43"/>
  <c r="D34"/>
  <c r="B65" i="42"/>
  <c r="B67"/>
  <c r="J39" i="44" l="1"/>
  <c r="K69" i="36" l="1"/>
  <c r="K67"/>
  <c r="K66"/>
  <c r="K65"/>
  <c r="K64"/>
  <c r="K62"/>
  <c r="K61"/>
  <c r="K60"/>
  <c r="K59"/>
  <c r="K58"/>
  <c r="K57"/>
  <c r="K56"/>
  <c r="K55"/>
  <c r="K54"/>
  <c r="K53"/>
  <c r="K52"/>
  <c r="K50"/>
  <c r="K49"/>
  <c r="K48"/>
  <c r="K47"/>
  <c r="K46"/>
  <c r="K45"/>
  <c r="K44"/>
  <c r="K43"/>
  <c r="K42"/>
  <c r="K41"/>
  <c r="L30"/>
  <c r="N32"/>
  <c r="N27"/>
  <c r="L24"/>
  <c r="O21"/>
  <c r="O22" s="1"/>
  <c r="M81" l="1"/>
  <c r="M99"/>
  <c r="O20"/>
  <c r="M85" l="1"/>
  <c r="M122"/>
  <c r="M16"/>
  <c r="K99"/>
  <c r="M129" l="1"/>
  <c r="DV36" i="21" l="1"/>
  <c r="DV35"/>
  <c r="DV31"/>
  <c r="DV30"/>
  <c r="DV29"/>
  <c r="DV25"/>
  <c r="DW25" s="1"/>
  <c r="DV24"/>
  <c r="DV23"/>
  <c r="DW23" s="1"/>
  <c r="DV22"/>
  <c r="DV21"/>
  <c r="DV16"/>
  <c r="DV15"/>
  <c r="DW36"/>
  <c r="DW30"/>
  <c r="DW17"/>
  <c r="DM17"/>
  <c r="DN17" s="1"/>
  <c r="DG17"/>
  <c r="DH17" s="1"/>
  <c r="DA17"/>
  <c r="DB17" s="1"/>
  <c r="CU17"/>
  <c r="CV17" s="1"/>
  <c r="CO17"/>
  <c r="CP17" s="1"/>
  <c r="CI17"/>
  <c r="CJ17" s="1"/>
  <c r="CC17"/>
  <c r="CD17" s="1"/>
  <c r="BW17"/>
  <c r="BX17" s="1"/>
  <c r="BQ17"/>
  <c r="BR17" s="1"/>
  <c r="BK17"/>
  <c r="AY17"/>
  <c r="AZ17" s="1"/>
  <c r="AS17"/>
  <c r="AT17" s="1"/>
  <c r="AM17"/>
  <c r="AN17" s="1"/>
  <c r="AG17"/>
  <c r="AH17" s="1"/>
  <c r="AA17"/>
  <c r="AB17" s="1"/>
  <c r="U17"/>
  <c r="V17" s="1"/>
  <c r="O17"/>
  <c r="P17" s="1"/>
  <c r="I17"/>
  <c r="J17" s="1"/>
  <c r="DV18" l="1"/>
  <c r="DS17"/>
  <c r="DW15"/>
  <c r="DT17"/>
  <c r="DW16"/>
  <c r="DV32"/>
  <c r="BL17"/>
  <c r="DW24"/>
  <c r="DW31"/>
  <c r="DV37"/>
  <c r="BE17"/>
  <c r="BF17" s="1"/>
  <c r="DV26"/>
  <c r="DV39" s="1"/>
  <c r="DW22"/>
  <c r="DW18"/>
  <c r="DW21"/>
  <c r="DW29"/>
  <c r="DW35"/>
  <c r="DW32" l="1"/>
  <c r="DW37"/>
  <c r="DY17"/>
  <c r="DZ17" s="1"/>
  <c r="DW26"/>
  <c r="DW39" s="1"/>
  <c r="D46" i="41" l="1"/>
  <c r="D40"/>
  <c r="D39"/>
  <c r="D38"/>
  <c r="D37"/>
  <c r="D36"/>
  <c r="D34"/>
  <c r="D33"/>
  <c r="D32"/>
  <c r="E30"/>
  <c r="D29"/>
  <c r="D18"/>
  <c r="D17"/>
  <c r="D16"/>
  <c r="D15"/>
  <c r="D14"/>
  <c r="D11"/>
  <c r="D10"/>
  <c r="B10"/>
  <c r="D9"/>
  <c r="D42" l="1"/>
  <c r="D44"/>
  <c r="D20"/>
  <c r="D22" s="1"/>
  <c r="B11"/>
  <c r="B14" l="1"/>
  <c r="B15" l="1"/>
  <c r="B16" l="1"/>
  <c r="B17" l="1"/>
  <c r="B18"/>
  <c r="B19" l="1"/>
  <c r="B24" l="1"/>
  <c r="B29"/>
  <c r="B30" s="1"/>
  <c r="B32" l="1"/>
  <c r="B33" s="1"/>
  <c r="B34" s="1"/>
  <c r="B36" s="1"/>
  <c r="B37" s="1"/>
  <c r="B38" s="1"/>
  <c r="B39" s="1"/>
  <c r="B40" s="1"/>
  <c r="B48" s="1"/>
  <c r="F36" i="21" l="1"/>
  <c r="F35"/>
  <c r="F37" s="1"/>
  <c r="F30"/>
  <c r="F29"/>
  <c r="F32" s="1"/>
  <c r="F24"/>
  <c r="G24" s="1"/>
  <c r="F25"/>
  <c r="G25" s="1"/>
  <c r="F23"/>
  <c r="F22"/>
  <c r="F21"/>
  <c r="F16"/>
  <c r="G16" s="1"/>
  <c r="F15"/>
  <c r="G31"/>
  <c r="G23"/>
  <c r="G36"/>
  <c r="G30"/>
  <c r="G17"/>
  <c r="G15"/>
  <c r="DP36"/>
  <c r="DP35"/>
  <c r="DP31"/>
  <c r="DP30"/>
  <c r="DP29"/>
  <c r="DP25"/>
  <c r="DP24"/>
  <c r="DP23"/>
  <c r="DP22"/>
  <c r="DP21"/>
  <c r="DP16"/>
  <c r="DP15"/>
  <c r="F26" l="1"/>
  <c r="G22"/>
  <c r="F18"/>
  <c r="F39" s="1"/>
  <c r="G18"/>
  <c r="G21"/>
  <c r="G29"/>
  <c r="G32" s="1"/>
  <c r="G35"/>
  <c r="G37" s="1"/>
  <c r="DJ36"/>
  <c r="DJ35"/>
  <c r="DJ31"/>
  <c r="DJ30"/>
  <c r="DJ29"/>
  <c r="DJ25"/>
  <c r="DJ24"/>
  <c r="DJ23"/>
  <c r="DJ22"/>
  <c r="DJ21"/>
  <c r="DJ16"/>
  <c r="DJ15"/>
  <c r="G26" l="1"/>
  <c r="G39" s="1"/>
  <c r="DD36"/>
  <c r="DD35"/>
  <c r="DD31"/>
  <c r="DD30"/>
  <c r="DD29"/>
  <c r="DD25"/>
  <c r="DD24"/>
  <c r="DD23"/>
  <c r="DD22"/>
  <c r="DD21"/>
  <c r="DD16"/>
  <c r="DD15"/>
  <c r="CX36" l="1"/>
  <c r="CX35"/>
  <c r="CX31"/>
  <c r="CX30"/>
  <c r="CX29"/>
  <c r="CX25"/>
  <c r="CX24"/>
  <c r="CX23"/>
  <c r="CX22"/>
  <c r="CX21"/>
  <c r="CX16"/>
  <c r="CX15"/>
  <c r="DQ36" l="1"/>
  <c r="DP37"/>
  <c r="DQ31"/>
  <c r="DQ30"/>
  <c r="DP32"/>
  <c r="DQ25"/>
  <c r="DQ24"/>
  <c r="DQ23"/>
  <c r="DQ22"/>
  <c r="DP26"/>
  <c r="DP18"/>
  <c r="DQ17"/>
  <c r="DQ16"/>
  <c r="DQ15"/>
  <c r="DK36"/>
  <c r="DJ37"/>
  <c r="DK31"/>
  <c r="DK30"/>
  <c r="DJ32"/>
  <c r="DK25"/>
  <c r="DK24"/>
  <c r="DK23"/>
  <c r="DK22"/>
  <c r="DJ26"/>
  <c r="DJ18"/>
  <c r="DK17"/>
  <c r="DK16"/>
  <c r="DK15"/>
  <c r="DE36"/>
  <c r="DD37"/>
  <c r="DE31"/>
  <c r="DE30"/>
  <c r="DD32"/>
  <c r="DE25"/>
  <c r="DE24"/>
  <c r="DE23"/>
  <c r="DE22"/>
  <c r="DD26"/>
  <c r="DD18"/>
  <c r="DE17"/>
  <c r="DE16"/>
  <c r="DE15"/>
  <c r="CY36"/>
  <c r="CX37"/>
  <c r="CY31"/>
  <c r="CY30"/>
  <c r="CX32"/>
  <c r="CY25"/>
  <c r="CY24"/>
  <c r="CY23"/>
  <c r="CY22"/>
  <c r="CX26"/>
  <c r="CX18"/>
  <c r="CY17"/>
  <c r="CY16"/>
  <c r="CY15"/>
  <c r="CR36"/>
  <c r="CR35"/>
  <c r="CR31"/>
  <c r="CR30"/>
  <c r="CR29"/>
  <c r="CR25"/>
  <c r="CR24"/>
  <c r="CR23"/>
  <c r="CR22"/>
  <c r="CR21"/>
  <c r="CR16"/>
  <c r="CR15"/>
  <c r="DE18" l="1"/>
  <c r="DK18"/>
  <c r="DQ18"/>
  <c r="CY18"/>
  <c r="DP39"/>
  <c r="DQ21"/>
  <c r="DQ26" s="1"/>
  <c r="DQ29"/>
  <c r="DQ32" s="1"/>
  <c r="DQ35"/>
  <c r="DQ37" s="1"/>
  <c r="DJ39"/>
  <c r="DK21"/>
  <c r="DK26" s="1"/>
  <c r="DK29"/>
  <c r="DK32" s="1"/>
  <c r="DK35"/>
  <c r="DK37" s="1"/>
  <c r="DD39"/>
  <c r="DE21"/>
  <c r="DE26" s="1"/>
  <c r="DE29"/>
  <c r="DE32" s="1"/>
  <c r="DE35"/>
  <c r="DE37" s="1"/>
  <c r="CX39"/>
  <c r="CY21"/>
  <c r="CY26" s="1"/>
  <c r="CY29"/>
  <c r="CY32" s="1"/>
  <c r="CY35"/>
  <c r="CY37" s="1"/>
  <c r="DQ39" l="1"/>
  <c r="DK39"/>
  <c r="DE39"/>
  <c r="CY39"/>
  <c r="CS36"/>
  <c r="CR37"/>
  <c r="CS31"/>
  <c r="CS30"/>
  <c r="CR32"/>
  <c r="CS25"/>
  <c r="CS24"/>
  <c r="CS23"/>
  <c r="CS22"/>
  <c r="CS21"/>
  <c r="CR18"/>
  <c r="CS17"/>
  <c r="CS16"/>
  <c r="CS15"/>
  <c r="CL36"/>
  <c r="CL35"/>
  <c r="CL31"/>
  <c r="CL30"/>
  <c r="CL29"/>
  <c r="CL25"/>
  <c r="CL24"/>
  <c r="CL23"/>
  <c r="CL22"/>
  <c r="CL21"/>
  <c r="CL16"/>
  <c r="CL15"/>
  <c r="CS18" l="1"/>
  <c r="CS26"/>
  <c r="CR26"/>
  <c r="CR39" s="1"/>
  <c r="CS29"/>
  <c r="CS32" s="1"/>
  <c r="CS35"/>
  <c r="CS37" s="1"/>
  <c r="CS39" l="1"/>
  <c r="CM36"/>
  <c r="CM35"/>
  <c r="CM31"/>
  <c r="CM30"/>
  <c r="CM29"/>
  <c r="CM25"/>
  <c r="CM24"/>
  <c r="CM23"/>
  <c r="CM22"/>
  <c r="CM21"/>
  <c r="CL18"/>
  <c r="CM17"/>
  <c r="CM16"/>
  <c r="CM15"/>
  <c r="CF36"/>
  <c r="CF35"/>
  <c r="CF31"/>
  <c r="CF30"/>
  <c r="CF29"/>
  <c r="CF25"/>
  <c r="CF24"/>
  <c r="CF23"/>
  <c r="CF22"/>
  <c r="CF21"/>
  <c r="CF16"/>
  <c r="CF15"/>
  <c r="CM18" l="1"/>
  <c r="CM26"/>
  <c r="CM37"/>
  <c r="CM32"/>
  <c r="CL26"/>
  <c r="CL32"/>
  <c r="CL37"/>
  <c r="CM39" l="1"/>
  <c r="CL39"/>
  <c r="CG36"/>
  <c r="CG35"/>
  <c r="CG31"/>
  <c r="CG30"/>
  <c r="CG29"/>
  <c r="CG25"/>
  <c r="CG24"/>
  <c r="CG23"/>
  <c r="CG22"/>
  <c r="CF26"/>
  <c r="CF18"/>
  <c r="CG17"/>
  <c r="CG16"/>
  <c r="CG15"/>
  <c r="BZ36"/>
  <c r="BZ35"/>
  <c r="BZ31"/>
  <c r="BZ30"/>
  <c r="BZ29"/>
  <c r="BZ25"/>
  <c r="BZ24"/>
  <c r="BZ23"/>
  <c r="BZ22"/>
  <c r="BZ21"/>
  <c r="BZ16"/>
  <c r="BZ15"/>
  <c r="CA36"/>
  <c r="BZ37"/>
  <c r="CA31"/>
  <c r="CA30"/>
  <c r="CA24"/>
  <c r="CA22"/>
  <c r="CA17"/>
  <c r="CA16"/>
  <c r="CA15" l="1"/>
  <c r="CA23"/>
  <c r="CA25"/>
  <c r="BZ32"/>
  <c r="BZ26"/>
  <c r="BZ18"/>
  <c r="CA18"/>
  <c r="CG18"/>
  <c r="CG37"/>
  <c r="CG32"/>
  <c r="CF32"/>
  <c r="CF37"/>
  <c r="CG21"/>
  <c r="CG26" s="1"/>
  <c r="BZ39"/>
  <c r="CA21"/>
  <c r="CA29"/>
  <c r="CA32" s="1"/>
  <c r="CA35"/>
  <c r="CA37" s="1"/>
  <c r="BT36"/>
  <c r="BT35"/>
  <c r="BT31"/>
  <c r="BT30"/>
  <c r="BT29"/>
  <c r="BT25"/>
  <c r="BT24"/>
  <c r="BT23"/>
  <c r="BT22"/>
  <c r="BT21"/>
  <c r="BT16"/>
  <c r="BT15"/>
  <c r="CA26" l="1"/>
  <c r="CA39" s="1"/>
  <c r="CG39"/>
  <c r="CF39"/>
  <c r="BU36"/>
  <c r="BT37"/>
  <c r="BU31"/>
  <c r="BU30"/>
  <c r="BT32"/>
  <c r="BU25"/>
  <c r="BU24"/>
  <c r="BU23"/>
  <c r="BU22"/>
  <c r="BT26"/>
  <c r="BT18"/>
  <c r="BU17"/>
  <c r="BU16"/>
  <c r="BU15"/>
  <c r="BN36"/>
  <c r="BN35"/>
  <c r="BN31"/>
  <c r="BN30"/>
  <c r="BN29"/>
  <c r="BN25"/>
  <c r="BN24"/>
  <c r="BN23"/>
  <c r="BN22"/>
  <c r="BN21"/>
  <c r="BN16"/>
  <c r="BN15"/>
  <c r="BO17"/>
  <c r="BO15" l="1"/>
  <c r="BO23"/>
  <c r="BO25"/>
  <c r="BO30"/>
  <c r="BN18"/>
  <c r="BO24"/>
  <c r="BO31"/>
  <c r="BO36"/>
  <c r="BO16"/>
  <c r="BN32"/>
  <c r="BN26"/>
  <c r="BO22"/>
  <c r="BN37"/>
  <c r="BU18"/>
  <c r="BT39"/>
  <c r="BU21"/>
  <c r="BU26" s="1"/>
  <c r="BU29"/>
  <c r="BU32" s="1"/>
  <c r="BU35"/>
  <c r="BU37" s="1"/>
  <c r="BO18"/>
  <c r="BO21"/>
  <c r="BO29"/>
  <c r="BO35"/>
  <c r="BO37" s="1"/>
  <c r="BO32" l="1"/>
  <c r="BN39"/>
  <c r="BO26"/>
  <c r="BO39" s="1"/>
  <c r="BU39"/>
  <c r="BH36" l="1"/>
  <c r="BH35"/>
  <c r="BH31"/>
  <c r="BH30"/>
  <c r="BH29"/>
  <c r="BH25"/>
  <c r="BH24"/>
  <c r="BH23"/>
  <c r="BH22"/>
  <c r="BH21"/>
  <c r="BH16"/>
  <c r="BH15"/>
  <c r="DG15" l="1"/>
  <c r="DH15" s="1"/>
  <c r="DM15"/>
  <c r="DG21"/>
  <c r="DH21" s="1"/>
  <c r="DM21"/>
  <c r="DG23"/>
  <c r="DH23" s="1"/>
  <c r="DM23"/>
  <c r="DN23" s="1"/>
  <c r="DG25"/>
  <c r="DH25" s="1"/>
  <c r="DM25"/>
  <c r="DN25" s="1"/>
  <c r="DG30"/>
  <c r="DH30" s="1"/>
  <c r="DM30"/>
  <c r="DN30" s="1"/>
  <c r="DG35"/>
  <c r="DH35" s="1"/>
  <c r="DM35"/>
  <c r="DG16"/>
  <c r="DH16" s="1"/>
  <c r="DM16"/>
  <c r="DN16" s="1"/>
  <c r="DG22"/>
  <c r="DH22" s="1"/>
  <c r="DM22"/>
  <c r="DN22" s="1"/>
  <c r="DG24"/>
  <c r="DH24" s="1"/>
  <c r="DM24"/>
  <c r="DN24" s="1"/>
  <c r="DG29"/>
  <c r="DH29" s="1"/>
  <c r="DM29"/>
  <c r="DG31"/>
  <c r="DH31" s="1"/>
  <c r="DM31"/>
  <c r="DN31" s="1"/>
  <c r="DG36"/>
  <c r="DH36" s="1"/>
  <c r="DM36"/>
  <c r="DN36" s="1"/>
  <c r="DG18"/>
  <c r="DG26"/>
  <c r="DG37"/>
  <c r="DG32"/>
  <c r="CU15"/>
  <c r="CV15" s="1"/>
  <c r="DA15"/>
  <c r="CU21"/>
  <c r="CV21" s="1"/>
  <c r="DA21"/>
  <c r="CU23"/>
  <c r="CV23" s="1"/>
  <c r="DA23"/>
  <c r="DB23" s="1"/>
  <c r="CU25"/>
  <c r="CV25" s="1"/>
  <c r="DA25"/>
  <c r="DB25" s="1"/>
  <c r="CU30"/>
  <c r="CV30" s="1"/>
  <c r="DA30"/>
  <c r="DB30" s="1"/>
  <c r="CU35"/>
  <c r="CV35" s="1"/>
  <c r="DA35"/>
  <c r="CU16"/>
  <c r="CV16" s="1"/>
  <c r="DA16"/>
  <c r="DB16" s="1"/>
  <c r="CU22"/>
  <c r="CV22" s="1"/>
  <c r="DA22"/>
  <c r="DB22" s="1"/>
  <c r="CU24"/>
  <c r="CV24" s="1"/>
  <c r="DA24"/>
  <c r="DB24" s="1"/>
  <c r="CU29"/>
  <c r="CV29" s="1"/>
  <c r="DA29"/>
  <c r="CU31"/>
  <c r="CV31" s="1"/>
  <c r="DA31"/>
  <c r="DB31" s="1"/>
  <c r="CU36"/>
  <c r="CV36" s="1"/>
  <c r="DA36"/>
  <c r="DB36" s="1"/>
  <c r="CU18"/>
  <c r="CU37"/>
  <c r="CI15"/>
  <c r="CJ15" s="1"/>
  <c r="CO15"/>
  <c r="CI21"/>
  <c r="CJ21" s="1"/>
  <c r="CO21"/>
  <c r="CI23"/>
  <c r="CJ23" s="1"/>
  <c r="CO23"/>
  <c r="CI25"/>
  <c r="CJ25" s="1"/>
  <c r="CO25"/>
  <c r="CI30"/>
  <c r="CJ30" s="1"/>
  <c r="CO30"/>
  <c r="CI35"/>
  <c r="CJ35" s="1"/>
  <c r="CO35"/>
  <c r="CI16"/>
  <c r="CJ16" s="1"/>
  <c r="CO16"/>
  <c r="CI22"/>
  <c r="CJ22" s="1"/>
  <c r="CO22"/>
  <c r="CI24"/>
  <c r="CJ24" s="1"/>
  <c r="CO24"/>
  <c r="CI29"/>
  <c r="CJ29" s="1"/>
  <c r="CO29"/>
  <c r="CI31"/>
  <c r="CJ31" s="1"/>
  <c r="CO31"/>
  <c r="CI36"/>
  <c r="CJ36" s="1"/>
  <c r="CO36"/>
  <c r="CI18"/>
  <c r="BW21"/>
  <c r="BX21" s="1"/>
  <c r="CC21"/>
  <c r="BW23"/>
  <c r="BX23" s="1"/>
  <c r="CC23"/>
  <c r="CD23" s="1"/>
  <c r="BW25"/>
  <c r="BX25" s="1"/>
  <c r="CC25"/>
  <c r="CD25" s="1"/>
  <c r="BW30"/>
  <c r="BX30" s="1"/>
  <c r="CC30"/>
  <c r="CD30" s="1"/>
  <c r="BW16"/>
  <c r="BX16" s="1"/>
  <c r="CC16"/>
  <c r="CD16" s="1"/>
  <c r="BW22"/>
  <c r="BX22" s="1"/>
  <c r="CC22"/>
  <c r="CD22" s="1"/>
  <c r="BW24"/>
  <c r="BX24" s="1"/>
  <c r="CC24"/>
  <c r="CD24" s="1"/>
  <c r="BW29"/>
  <c r="BX29" s="1"/>
  <c r="CC29"/>
  <c r="BW31"/>
  <c r="BX31" s="1"/>
  <c r="CC31"/>
  <c r="CD31" s="1"/>
  <c r="BW36"/>
  <c r="BX36" s="1"/>
  <c r="CC36"/>
  <c r="CD36" s="1"/>
  <c r="BW15"/>
  <c r="BX15" s="1"/>
  <c r="BX18" s="1"/>
  <c r="CC15"/>
  <c r="BW35"/>
  <c r="BX35" s="1"/>
  <c r="BX37" s="1"/>
  <c r="CC35"/>
  <c r="BW32"/>
  <c r="BQ16"/>
  <c r="BK16"/>
  <c r="BQ22"/>
  <c r="BK22"/>
  <c r="BQ24"/>
  <c r="BK24"/>
  <c r="BQ29"/>
  <c r="BK29"/>
  <c r="BQ31"/>
  <c r="BK31"/>
  <c r="BQ36"/>
  <c r="BK36"/>
  <c r="BQ15"/>
  <c r="BK15"/>
  <c r="BQ21"/>
  <c r="BK21"/>
  <c r="BQ23"/>
  <c r="BK23"/>
  <c r="BQ25"/>
  <c r="BK25"/>
  <c r="BQ30"/>
  <c r="BK30"/>
  <c r="BQ35"/>
  <c r="BK35"/>
  <c r="BI36"/>
  <c r="BH37"/>
  <c r="BI31"/>
  <c r="BI30"/>
  <c r="BH32"/>
  <c r="BI25"/>
  <c r="BI24"/>
  <c r="BI23"/>
  <c r="BI22"/>
  <c r="BH26"/>
  <c r="BH18"/>
  <c r="BI17"/>
  <c r="BI16"/>
  <c r="BI15"/>
  <c r="BB36"/>
  <c r="BB35"/>
  <c r="BB31"/>
  <c r="BB30"/>
  <c r="BB29"/>
  <c r="BB25"/>
  <c r="BB24"/>
  <c r="BB23"/>
  <c r="BB22"/>
  <c r="BB21"/>
  <c r="BB16"/>
  <c r="BB15"/>
  <c r="CV32" l="1"/>
  <c r="CV26"/>
  <c r="DH32"/>
  <c r="DH37"/>
  <c r="DH26"/>
  <c r="DH18"/>
  <c r="BW26"/>
  <c r="CI37"/>
  <c r="BW18"/>
  <c r="CI32"/>
  <c r="CI39" s="1"/>
  <c r="CI26"/>
  <c r="BW37"/>
  <c r="BR30"/>
  <c r="BR25"/>
  <c r="BR23"/>
  <c r="BR36"/>
  <c r="BR31"/>
  <c r="BR24"/>
  <c r="BR22"/>
  <c r="BR16"/>
  <c r="DS29"/>
  <c r="DS35"/>
  <c r="DS21"/>
  <c r="DS15"/>
  <c r="CP24"/>
  <c r="DS24"/>
  <c r="CP22"/>
  <c r="DS22"/>
  <c r="CP16"/>
  <c r="DS16"/>
  <c r="CP23"/>
  <c r="DS23"/>
  <c r="CP36"/>
  <c r="DS36"/>
  <c r="CP31"/>
  <c r="DS31"/>
  <c r="CP30"/>
  <c r="DS30"/>
  <c r="CP25"/>
  <c r="DS25"/>
  <c r="BX32"/>
  <c r="BX26"/>
  <c r="BX39" s="1"/>
  <c r="CJ32"/>
  <c r="CJ37"/>
  <c r="CJ26"/>
  <c r="CJ18"/>
  <c r="CJ39" s="1"/>
  <c r="CU32"/>
  <c r="CV37"/>
  <c r="CU26"/>
  <c r="CV18"/>
  <c r="DM32"/>
  <c r="DN29"/>
  <c r="DN32" s="1"/>
  <c r="DM37"/>
  <c r="DN35"/>
  <c r="DN37" s="1"/>
  <c r="DM26"/>
  <c r="DN21"/>
  <c r="DN26" s="1"/>
  <c r="DM18"/>
  <c r="DM39" s="1"/>
  <c r="DN15"/>
  <c r="DN18" s="1"/>
  <c r="DN39" s="1"/>
  <c r="DG39"/>
  <c r="DH39"/>
  <c r="DB29"/>
  <c r="DB32" s="1"/>
  <c r="DA32"/>
  <c r="DB35"/>
  <c r="DB37" s="1"/>
  <c r="DA37"/>
  <c r="DA26"/>
  <c r="DB21"/>
  <c r="DB26" s="1"/>
  <c r="DA18"/>
  <c r="DB15"/>
  <c r="DB18" s="1"/>
  <c r="CU39"/>
  <c r="CV39"/>
  <c r="CO32"/>
  <c r="CP29"/>
  <c r="CP32" s="1"/>
  <c r="CO37"/>
  <c r="CP35"/>
  <c r="CP37" s="1"/>
  <c r="CO26"/>
  <c r="CP21"/>
  <c r="CP26" s="1"/>
  <c r="CO18"/>
  <c r="CO39" s="1"/>
  <c r="CP15"/>
  <c r="CP18" s="1"/>
  <c r="CP39" s="1"/>
  <c r="CD35"/>
  <c r="CD37" s="1"/>
  <c r="CC37"/>
  <c r="CC18"/>
  <c r="CD15"/>
  <c r="CD18" s="1"/>
  <c r="CC32"/>
  <c r="CD29"/>
  <c r="CD32" s="1"/>
  <c r="CD21"/>
  <c r="CD26" s="1"/>
  <c r="CC26"/>
  <c r="BW39"/>
  <c r="BQ37"/>
  <c r="BR35"/>
  <c r="BR37" s="1"/>
  <c r="BQ26"/>
  <c r="BR21"/>
  <c r="BR26" s="1"/>
  <c r="BQ18"/>
  <c r="BR15"/>
  <c r="BR18" s="1"/>
  <c r="BQ32"/>
  <c r="BR29"/>
  <c r="BR32" s="1"/>
  <c r="BI18"/>
  <c r="BH39"/>
  <c r="BI21"/>
  <c r="BI26" s="1"/>
  <c r="BI29"/>
  <c r="BI32" s="1"/>
  <c r="BI35"/>
  <c r="BI37" s="1"/>
  <c r="DT30" l="1"/>
  <c r="DT36"/>
  <c r="DT16"/>
  <c r="DT24"/>
  <c r="DT21"/>
  <c r="DT29"/>
  <c r="DT25"/>
  <c r="DT31"/>
  <c r="DT23"/>
  <c r="DT22"/>
  <c r="DT15"/>
  <c r="DT35"/>
  <c r="X19" i="42" s="1"/>
  <c r="DB39" i="21"/>
  <c r="DT37"/>
  <c r="DS18"/>
  <c r="DS26"/>
  <c r="DS32"/>
  <c r="DS37"/>
  <c r="DA39"/>
  <c r="CC39"/>
  <c r="CD39"/>
  <c r="BQ39"/>
  <c r="BR39"/>
  <c r="BI39"/>
  <c r="BC36"/>
  <c r="BC35"/>
  <c r="BB37"/>
  <c r="BC31"/>
  <c r="BC30"/>
  <c r="BC29"/>
  <c r="BB32"/>
  <c r="BC25"/>
  <c r="BC24"/>
  <c r="BC23"/>
  <c r="BC22"/>
  <c r="BC21"/>
  <c r="BB26"/>
  <c r="BC17"/>
  <c r="BC16"/>
  <c r="BB18"/>
  <c r="AV36"/>
  <c r="AV35"/>
  <c r="AV31"/>
  <c r="AV30"/>
  <c r="AV29"/>
  <c r="AV25"/>
  <c r="AV24"/>
  <c r="AV23"/>
  <c r="AV22"/>
  <c r="AV21"/>
  <c r="AV16"/>
  <c r="AV15"/>
  <c r="DT26" l="1"/>
  <c r="Y19" i="42"/>
  <c r="X22"/>
  <c r="Y22" s="1"/>
  <c r="AA22" s="1"/>
  <c r="DT18" i="21"/>
  <c r="X14" i="42" s="1"/>
  <c r="DT32" i="21"/>
  <c r="X23" i="42" s="1"/>
  <c r="Y23" s="1"/>
  <c r="AA23" s="1"/>
  <c r="DS39" i="21"/>
  <c r="BB39"/>
  <c r="BC26"/>
  <c r="BC32"/>
  <c r="BC37"/>
  <c r="BC15"/>
  <c r="BC18" s="1"/>
  <c r="X29" i="42" l="1"/>
  <c r="Y14"/>
  <c r="X16"/>
  <c r="AA19"/>
  <c r="AA29" s="1"/>
  <c r="Y29"/>
  <c r="DT39" i="21"/>
  <c r="BC39"/>
  <c r="AW36"/>
  <c r="AV37"/>
  <c r="AW31"/>
  <c r="AW30"/>
  <c r="AV32"/>
  <c r="AW25"/>
  <c r="AW24"/>
  <c r="AW23"/>
  <c r="AW22"/>
  <c r="AV26"/>
  <c r="AV18"/>
  <c r="AW17"/>
  <c r="AW16"/>
  <c r="AW15"/>
  <c r="AP36"/>
  <c r="AP35"/>
  <c r="AP31"/>
  <c r="AP30"/>
  <c r="AP29"/>
  <c r="AP25"/>
  <c r="AP24"/>
  <c r="AP23"/>
  <c r="AP22"/>
  <c r="AP21"/>
  <c r="AP16"/>
  <c r="AP15"/>
  <c r="X74" i="42" l="1"/>
  <c r="X80" s="1"/>
  <c r="X83" s="1"/>
  <c r="X85" s="1"/>
  <c r="X87" s="1"/>
  <c r="X33" s="1"/>
  <c r="AA14"/>
  <c r="AA16" s="1"/>
  <c r="AA74" s="1"/>
  <c r="AA80" s="1"/>
  <c r="AA83" s="1"/>
  <c r="AA85" s="1"/>
  <c r="AA87" s="1"/>
  <c r="Y16"/>
  <c r="AW18" i="21"/>
  <c r="AV39"/>
  <c r="AW21"/>
  <c r="AW26" s="1"/>
  <c r="AW29"/>
  <c r="AW32" s="1"/>
  <c r="AW35"/>
  <c r="AW37" s="1"/>
  <c r="Y74" i="42" l="1"/>
  <c r="Y80" s="1"/>
  <c r="Y83" s="1"/>
  <c r="Y85" s="1"/>
  <c r="Y87" s="1"/>
  <c r="Y33"/>
  <c r="X38"/>
  <c r="X40" s="1"/>
  <c r="AW39" i="21"/>
  <c r="AQ36"/>
  <c r="AP37"/>
  <c r="AQ31"/>
  <c r="AQ30"/>
  <c r="AP32"/>
  <c r="AQ25"/>
  <c r="AQ24"/>
  <c r="AQ23"/>
  <c r="AQ22"/>
  <c r="AQ21"/>
  <c r="AP18"/>
  <c r="AQ17"/>
  <c r="AQ16"/>
  <c r="AQ15"/>
  <c r="AJ36"/>
  <c r="AJ35"/>
  <c r="AJ31"/>
  <c r="AJ30"/>
  <c r="AJ29"/>
  <c r="AJ25"/>
  <c r="AJ24"/>
  <c r="AJ23"/>
  <c r="AJ22"/>
  <c r="AJ21"/>
  <c r="AJ16"/>
  <c r="AJ15"/>
  <c r="Y38" i="42" l="1"/>
  <c r="AA33"/>
  <c r="X71"/>
  <c r="J42" i="41" s="1"/>
  <c r="J44" s="1"/>
  <c r="J46" s="1"/>
  <c r="AQ18" i="21"/>
  <c r="AQ26"/>
  <c r="AP26"/>
  <c r="AP39" s="1"/>
  <c r="AQ29"/>
  <c r="AQ32" s="1"/>
  <c r="AQ35"/>
  <c r="AQ37" s="1"/>
  <c r="AA38" i="42" l="1"/>
  <c r="AA40" s="1"/>
  <c r="Y40"/>
  <c r="AQ39" i="21"/>
  <c r="AK36"/>
  <c r="AJ37"/>
  <c r="AK31"/>
  <c r="AK30"/>
  <c r="AJ32"/>
  <c r="AK25"/>
  <c r="AK24"/>
  <c r="AK23"/>
  <c r="AK22"/>
  <c r="AK21"/>
  <c r="AJ18"/>
  <c r="AK17"/>
  <c r="AK16"/>
  <c r="AK15"/>
  <c r="AD36"/>
  <c r="AD35"/>
  <c r="AD31"/>
  <c r="AD30"/>
  <c r="AD29"/>
  <c r="AD25"/>
  <c r="AD24"/>
  <c r="AD23"/>
  <c r="AD22"/>
  <c r="AD21"/>
  <c r="AD16"/>
  <c r="AD15"/>
  <c r="Y71" i="42" l="1"/>
  <c r="AK18" i="21"/>
  <c r="AK26"/>
  <c r="AJ26"/>
  <c r="AJ39" s="1"/>
  <c r="AK29"/>
  <c r="AK32" s="1"/>
  <c r="AK35"/>
  <c r="AK37" s="1"/>
  <c r="AK39" l="1"/>
  <c r="AE36"/>
  <c r="AD37"/>
  <c r="AE31"/>
  <c r="AE30"/>
  <c r="AE29"/>
  <c r="AE25"/>
  <c r="AE24"/>
  <c r="AE23"/>
  <c r="AE22"/>
  <c r="AE21"/>
  <c r="AD18"/>
  <c r="AE17"/>
  <c r="AE16"/>
  <c r="AE15"/>
  <c r="X36"/>
  <c r="X35"/>
  <c r="X31"/>
  <c r="X30"/>
  <c r="X29"/>
  <c r="X25"/>
  <c r="X24"/>
  <c r="X23"/>
  <c r="X22"/>
  <c r="X21"/>
  <c r="X16"/>
  <c r="X15"/>
  <c r="Y36"/>
  <c r="Y17"/>
  <c r="AS16" l="1"/>
  <c r="AT16" s="1"/>
  <c r="AY16"/>
  <c r="AZ16" s="1"/>
  <c r="AS22"/>
  <c r="AT22" s="1"/>
  <c r="AY22"/>
  <c r="AZ22" s="1"/>
  <c r="AS24"/>
  <c r="AT24" s="1"/>
  <c r="AY24"/>
  <c r="AZ24" s="1"/>
  <c r="AS29"/>
  <c r="AT29" s="1"/>
  <c r="AY29"/>
  <c r="AS31"/>
  <c r="AT31" s="1"/>
  <c r="AY31"/>
  <c r="AZ31" s="1"/>
  <c r="AS36"/>
  <c r="AT36" s="1"/>
  <c r="AY36"/>
  <c r="AZ36" s="1"/>
  <c r="AS15"/>
  <c r="AT15" s="1"/>
  <c r="AT18" s="1"/>
  <c r="AY15"/>
  <c r="AS21"/>
  <c r="AT21" s="1"/>
  <c r="AY21"/>
  <c r="AS23"/>
  <c r="AT23" s="1"/>
  <c r="AY23"/>
  <c r="AZ23" s="1"/>
  <c r="AS25"/>
  <c r="AT25" s="1"/>
  <c r="AY25"/>
  <c r="AZ25" s="1"/>
  <c r="AS30"/>
  <c r="AT30" s="1"/>
  <c r="AY30"/>
  <c r="AZ30" s="1"/>
  <c r="AS35"/>
  <c r="AT35" s="1"/>
  <c r="AT37" s="1"/>
  <c r="AY35"/>
  <c r="AS18"/>
  <c r="AS26"/>
  <c r="AS37"/>
  <c r="AS32"/>
  <c r="AA16"/>
  <c r="AB16" s="1"/>
  <c r="AM16"/>
  <c r="AN16" s="1"/>
  <c r="AG16"/>
  <c r="AH16" s="1"/>
  <c r="AA22"/>
  <c r="AB22" s="1"/>
  <c r="AM22"/>
  <c r="AN22" s="1"/>
  <c r="AG22"/>
  <c r="AH22" s="1"/>
  <c r="AA24"/>
  <c r="AB24" s="1"/>
  <c r="AM24"/>
  <c r="AN24" s="1"/>
  <c r="AG24"/>
  <c r="AH24" s="1"/>
  <c r="AA29"/>
  <c r="AB29" s="1"/>
  <c r="AM29"/>
  <c r="AG29"/>
  <c r="AA36"/>
  <c r="AB36" s="1"/>
  <c r="AM36"/>
  <c r="AN36" s="1"/>
  <c r="AG36"/>
  <c r="AH36" s="1"/>
  <c r="AA15"/>
  <c r="AB15" s="1"/>
  <c r="AM15"/>
  <c r="AG15"/>
  <c r="AA21"/>
  <c r="AM21"/>
  <c r="AG21"/>
  <c r="AA23"/>
  <c r="AB23" s="1"/>
  <c r="AM23"/>
  <c r="AN23" s="1"/>
  <c r="AG23"/>
  <c r="AH23" s="1"/>
  <c r="AA25"/>
  <c r="AB25" s="1"/>
  <c r="AM25"/>
  <c r="AN25" s="1"/>
  <c r="AG25"/>
  <c r="AH25" s="1"/>
  <c r="AA30"/>
  <c r="AB30" s="1"/>
  <c r="AM30"/>
  <c r="AN30" s="1"/>
  <c r="AG30"/>
  <c r="AH30" s="1"/>
  <c r="AA35"/>
  <c r="AA37" s="1"/>
  <c r="AM35"/>
  <c r="AG35"/>
  <c r="AA31"/>
  <c r="AB31" s="1"/>
  <c r="AM31"/>
  <c r="AN31" s="1"/>
  <c r="AG31"/>
  <c r="AH31" s="1"/>
  <c r="Y15"/>
  <c r="AA32"/>
  <c r="AB21"/>
  <c r="AB35"/>
  <c r="AB37" s="1"/>
  <c r="Y24"/>
  <c r="Y31"/>
  <c r="Y30"/>
  <c r="X18"/>
  <c r="X26"/>
  <c r="Y23"/>
  <c r="Y25"/>
  <c r="Y16"/>
  <c r="Y18" s="1"/>
  <c r="Y22"/>
  <c r="X37"/>
  <c r="X32"/>
  <c r="AE18"/>
  <c r="AE26"/>
  <c r="AE32"/>
  <c r="AD26"/>
  <c r="AD32"/>
  <c r="AE35"/>
  <c r="AE37" s="1"/>
  <c r="Y21"/>
  <c r="Y29"/>
  <c r="Y35"/>
  <c r="Y37" s="1"/>
  <c r="AT26" l="1"/>
  <c r="AT32"/>
  <c r="AB18"/>
  <c r="AA26"/>
  <c r="AY37"/>
  <c r="AZ35"/>
  <c r="AZ37" s="1"/>
  <c r="AA18"/>
  <c r="AY26"/>
  <c r="AZ21"/>
  <c r="AZ26" s="1"/>
  <c r="AY18"/>
  <c r="AZ15"/>
  <c r="AZ18" s="1"/>
  <c r="AY32"/>
  <c r="AZ29"/>
  <c r="AZ32" s="1"/>
  <c r="AS39"/>
  <c r="AB32"/>
  <c r="AT39"/>
  <c r="AG18"/>
  <c r="AH15"/>
  <c r="AH18" s="1"/>
  <c r="AG32"/>
  <c r="AH29"/>
  <c r="AH32" s="1"/>
  <c r="AG37"/>
  <c r="AH35"/>
  <c r="AH37" s="1"/>
  <c r="AG26"/>
  <c r="AH21"/>
  <c r="AH26" s="1"/>
  <c r="AN15"/>
  <c r="AN18" s="1"/>
  <c r="AM18"/>
  <c r="AN29"/>
  <c r="AN32" s="1"/>
  <c r="AM32"/>
  <c r="AB26"/>
  <c r="AM37"/>
  <c r="AN35"/>
  <c r="AN37" s="1"/>
  <c r="AM26"/>
  <c r="AN21"/>
  <c r="AN26" s="1"/>
  <c r="Y32"/>
  <c r="AB39"/>
  <c r="Y26"/>
  <c r="X39"/>
  <c r="AD39"/>
  <c r="AE39"/>
  <c r="AA39" l="1"/>
  <c r="AZ39"/>
  <c r="AY39"/>
  <c r="AH39"/>
  <c r="AM39"/>
  <c r="Y39"/>
  <c r="AN39"/>
  <c r="AG39"/>
  <c r="R36"/>
  <c r="U36" s="1"/>
  <c r="V36" s="1"/>
  <c r="R35"/>
  <c r="U35" s="1"/>
  <c r="R31"/>
  <c r="U31" s="1"/>
  <c r="V31" s="1"/>
  <c r="R30"/>
  <c r="U30" s="1"/>
  <c r="V30" s="1"/>
  <c r="R29"/>
  <c r="U29" s="1"/>
  <c r="R25"/>
  <c r="U25" s="1"/>
  <c r="V25" s="1"/>
  <c r="R24"/>
  <c r="U24" s="1"/>
  <c r="V24" s="1"/>
  <c r="R23"/>
  <c r="U23" s="1"/>
  <c r="V23" s="1"/>
  <c r="R22"/>
  <c r="U22" s="1"/>
  <c r="V22" s="1"/>
  <c r="R21"/>
  <c r="U21" s="1"/>
  <c r="R16"/>
  <c r="U16" s="1"/>
  <c r="V16" s="1"/>
  <c r="R15"/>
  <c r="U15" s="1"/>
  <c r="U18" l="1"/>
  <c r="V15"/>
  <c r="V18" s="1"/>
  <c r="U26"/>
  <c r="V21"/>
  <c r="V26" s="1"/>
  <c r="U37"/>
  <c r="V35"/>
  <c r="V37" s="1"/>
  <c r="U32"/>
  <c r="V29"/>
  <c r="V32" s="1"/>
  <c r="S36"/>
  <c r="S31"/>
  <c r="S30"/>
  <c r="R32"/>
  <c r="S25"/>
  <c r="S24"/>
  <c r="S23"/>
  <c r="S22"/>
  <c r="R18"/>
  <c r="S17"/>
  <c r="S16"/>
  <c r="S15"/>
  <c r="L36"/>
  <c r="L35"/>
  <c r="L31"/>
  <c r="L30"/>
  <c r="L29"/>
  <c r="L25"/>
  <c r="L24"/>
  <c r="L23"/>
  <c r="L22"/>
  <c r="L21"/>
  <c r="L16"/>
  <c r="L15"/>
  <c r="O25" l="1"/>
  <c r="P25" s="1"/>
  <c r="I24"/>
  <c r="I31"/>
  <c r="I36"/>
  <c r="O21"/>
  <c r="O35"/>
  <c r="U39"/>
  <c r="V39"/>
  <c r="I16"/>
  <c r="I22"/>
  <c r="I29"/>
  <c r="P35"/>
  <c r="I15"/>
  <c r="I21"/>
  <c r="I23"/>
  <c r="I25"/>
  <c r="I30"/>
  <c r="I35"/>
  <c r="BE35" s="1"/>
  <c r="DY35" s="1"/>
  <c r="O36"/>
  <c r="P36" s="1"/>
  <c r="O29"/>
  <c r="O31"/>
  <c r="P31" s="1"/>
  <c r="O24"/>
  <c r="P24" s="1"/>
  <c r="O16"/>
  <c r="P16" s="1"/>
  <c r="O30"/>
  <c r="P30" s="1"/>
  <c r="O23"/>
  <c r="P23" s="1"/>
  <c r="O15"/>
  <c r="P21"/>
  <c r="O22"/>
  <c r="P22" s="1"/>
  <c r="S18"/>
  <c r="R26"/>
  <c r="R37"/>
  <c r="S21"/>
  <c r="S26" s="1"/>
  <c r="S29"/>
  <c r="S32" s="1"/>
  <c r="S35"/>
  <c r="S37" s="1"/>
  <c r="DZ35" l="1"/>
  <c r="BE21"/>
  <c r="DY21" s="1"/>
  <c r="BL21"/>
  <c r="BL35"/>
  <c r="J30"/>
  <c r="BE30"/>
  <c r="J23"/>
  <c r="BE23"/>
  <c r="J16"/>
  <c r="BE16"/>
  <c r="J36"/>
  <c r="BE36"/>
  <c r="J31"/>
  <c r="BE31"/>
  <c r="J24"/>
  <c r="BE24"/>
  <c r="BE15"/>
  <c r="DY15" s="1"/>
  <c r="BE29"/>
  <c r="BL30"/>
  <c r="J25"/>
  <c r="BE25"/>
  <c r="J22"/>
  <c r="BE22"/>
  <c r="DY22" s="1"/>
  <c r="BL16"/>
  <c r="BL23"/>
  <c r="BL36"/>
  <c r="BL31"/>
  <c r="BL24"/>
  <c r="O18"/>
  <c r="P15"/>
  <c r="P18" s="1"/>
  <c r="O32"/>
  <c r="P29"/>
  <c r="P32" s="1"/>
  <c r="P26"/>
  <c r="O37"/>
  <c r="J35"/>
  <c r="J37" s="1"/>
  <c r="I37"/>
  <c r="J21"/>
  <c r="I26"/>
  <c r="I18"/>
  <c r="J15"/>
  <c r="J29"/>
  <c r="J32" s="1"/>
  <c r="I32"/>
  <c r="O26"/>
  <c r="P37"/>
  <c r="R39"/>
  <c r="S39"/>
  <c r="L37"/>
  <c r="L26"/>
  <c r="M17"/>
  <c r="N36" i="13"/>
  <c r="N35"/>
  <c r="N31"/>
  <c r="N30"/>
  <c r="N29"/>
  <c r="N25"/>
  <c r="N24"/>
  <c r="N23"/>
  <c r="N22"/>
  <c r="N21"/>
  <c r="N16"/>
  <c r="N15"/>
  <c r="O31"/>
  <c r="O17"/>
  <c r="L17"/>
  <c r="F31"/>
  <c r="F17"/>
  <c r="E36"/>
  <c r="F36" s="1"/>
  <c r="E35"/>
  <c r="F35" s="1"/>
  <c r="E30"/>
  <c r="F30" s="1"/>
  <c r="E29"/>
  <c r="F29" s="1"/>
  <c r="E25"/>
  <c r="F25" s="1"/>
  <c r="E24"/>
  <c r="F24" s="1"/>
  <c r="E22"/>
  <c r="F22" s="1"/>
  <c r="E21"/>
  <c r="F21" s="1"/>
  <c r="E23"/>
  <c r="F23" s="1"/>
  <c r="E16"/>
  <c r="F16" s="1"/>
  <c r="E15"/>
  <c r="F15" s="1"/>
  <c r="J26" i="21" l="1"/>
  <c r="BF29"/>
  <c r="DY29"/>
  <c r="BF24"/>
  <c r="DY24"/>
  <c r="BF36"/>
  <c r="DY36"/>
  <c r="BF23"/>
  <c r="DY23"/>
  <c r="DZ22"/>
  <c r="BL25"/>
  <c r="DY25"/>
  <c r="DZ15"/>
  <c r="BF31"/>
  <c r="DY31"/>
  <c r="BF16"/>
  <c r="DY16"/>
  <c r="DY18" s="1"/>
  <c r="BF30"/>
  <c r="BF32" s="1"/>
  <c r="DY30"/>
  <c r="DZ21"/>
  <c r="J18"/>
  <c r="J39" s="1"/>
  <c r="BL22"/>
  <c r="BK26"/>
  <c r="BK18"/>
  <c r="BL15"/>
  <c r="BL18" s="1"/>
  <c r="BK32"/>
  <c r="BL29"/>
  <c r="BL32" s="1"/>
  <c r="BF25"/>
  <c r="BF22"/>
  <c r="BL37"/>
  <c r="BK37"/>
  <c r="BE18"/>
  <c r="BF15"/>
  <c r="BF18" s="1"/>
  <c r="BF21"/>
  <c r="BE26"/>
  <c r="BE37"/>
  <c r="BF35"/>
  <c r="BF37" s="1"/>
  <c r="BE32"/>
  <c r="P39"/>
  <c r="I39"/>
  <c r="O39"/>
  <c r="L18"/>
  <c r="L32"/>
  <c r="M15"/>
  <c r="M16"/>
  <c r="M21"/>
  <c r="M22"/>
  <c r="M23"/>
  <c r="M24"/>
  <c r="M25"/>
  <c r="M29"/>
  <c r="M30"/>
  <c r="M31"/>
  <c r="M35"/>
  <c r="M36"/>
  <c r="F18" i="13"/>
  <c r="F37"/>
  <c r="F26"/>
  <c r="F32"/>
  <c r="O25"/>
  <c r="BL26" i="21" l="1"/>
  <c r="DY26"/>
  <c r="DZ36"/>
  <c r="DY37"/>
  <c r="DZ29"/>
  <c r="DY32"/>
  <c r="DZ30"/>
  <c r="DZ16"/>
  <c r="DZ31"/>
  <c r="DZ25"/>
  <c r="DZ23"/>
  <c r="DZ24"/>
  <c r="BF26"/>
  <c r="BK39"/>
  <c r="BL39"/>
  <c r="BE39"/>
  <c r="BF39"/>
  <c r="L39"/>
  <c r="M26"/>
  <c r="M18"/>
  <c r="M37"/>
  <c r="M32"/>
  <c r="F39" i="13"/>
  <c r="F12" i="17"/>
  <c r="I12" s="1"/>
  <c r="B32"/>
  <c r="G31"/>
  <c r="D31"/>
  <c r="B31"/>
  <c r="G30"/>
  <c r="D30"/>
  <c r="B30"/>
  <c r="B29"/>
  <c r="B27"/>
  <c r="G26"/>
  <c r="B26"/>
  <c r="G25"/>
  <c r="D25"/>
  <c r="B25"/>
  <c r="G24"/>
  <c r="D24"/>
  <c r="B24"/>
  <c r="B23"/>
  <c r="B21"/>
  <c r="G20"/>
  <c r="D20"/>
  <c r="B20"/>
  <c r="G19"/>
  <c r="D19"/>
  <c r="B19"/>
  <c r="G18"/>
  <c r="D18"/>
  <c r="B18"/>
  <c r="G17"/>
  <c r="D17"/>
  <c r="B17"/>
  <c r="G16"/>
  <c r="D16"/>
  <c r="B16"/>
  <c r="B15"/>
  <c r="B13"/>
  <c r="G12"/>
  <c r="D12"/>
  <c r="B12"/>
  <c r="G11"/>
  <c r="D11"/>
  <c r="B11"/>
  <c r="G10"/>
  <c r="D10"/>
  <c r="B10"/>
  <c r="B9"/>
  <c r="DZ18" i="21" l="1"/>
  <c r="DY39"/>
  <c r="DZ32"/>
  <c r="DZ37"/>
  <c r="DZ26"/>
  <c r="M39"/>
  <c r="A2" i="5"/>
  <c r="A1"/>
  <c r="H36" i="13"/>
  <c r="I36" s="1"/>
  <c r="H35"/>
  <c r="I35" s="1"/>
  <c r="DZ39" i="21" l="1"/>
  <c r="I37" i="13"/>
  <c r="H29"/>
  <c r="I29" s="1"/>
  <c r="H16"/>
  <c r="H15"/>
  <c r="H24"/>
  <c r="I24" s="1"/>
  <c r="I15" l="1"/>
  <c r="K15"/>
  <c r="L15" s="1"/>
  <c r="K16"/>
  <c r="I16"/>
  <c r="H25"/>
  <c r="I25" s="1"/>
  <c r="R25" s="1"/>
  <c r="H30"/>
  <c r="I30" s="1"/>
  <c r="H23"/>
  <c r="I23" s="1"/>
  <c r="F11" i="17" l="1"/>
  <c r="I11" s="1"/>
  <c r="L16" i="13"/>
  <c r="L18" s="1"/>
  <c r="H22"/>
  <c r="I22" s="1"/>
  <c r="H21"/>
  <c r="K21" l="1"/>
  <c r="I21"/>
  <c r="G31" i="5"/>
  <c r="G30"/>
  <c r="G26"/>
  <c r="G25"/>
  <c r="G24"/>
  <c r="G20"/>
  <c r="G19"/>
  <c r="G18"/>
  <c r="G17"/>
  <c r="G16"/>
  <c r="G12"/>
  <c r="G11"/>
  <c r="G10"/>
  <c r="D31"/>
  <c r="D30"/>
  <c r="D25"/>
  <c r="D24"/>
  <c r="D20"/>
  <c r="D19"/>
  <c r="D18"/>
  <c r="D17"/>
  <c r="D16"/>
  <c r="F12"/>
  <c r="I12" s="1"/>
  <c r="D12"/>
  <c r="D11"/>
  <c r="D10"/>
  <c r="B32"/>
  <c r="B31"/>
  <c r="B30"/>
  <c r="B29"/>
  <c r="B27"/>
  <c r="B26"/>
  <c r="B25"/>
  <c r="B24"/>
  <c r="B23"/>
  <c r="B21"/>
  <c r="B20"/>
  <c r="B19"/>
  <c r="B18"/>
  <c r="B17"/>
  <c r="B16"/>
  <c r="B15"/>
  <c r="B13"/>
  <c r="B12"/>
  <c r="B11"/>
  <c r="B10"/>
  <c r="B9"/>
  <c r="O36" i="13"/>
  <c r="R36" s="1"/>
  <c r="O35"/>
  <c r="O30"/>
  <c r="R30" s="1"/>
  <c r="O29"/>
  <c r="O32" l="1"/>
  <c r="R29"/>
  <c r="O37"/>
  <c r="R35"/>
  <c r="R37" s="1"/>
  <c r="F16" i="17"/>
  <c r="I16" s="1"/>
  <c r="L21" i="13"/>
  <c r="I26"/>
  <c r="H31"/>
  <c r="I31" s="1"/>
  <c r="R31" s="1"/>
  <c r="H17"/>
  <c r="I17" s="1"/>
  <c r="K25"/>
  <c r="K24"/>
  <c r="K23"/>
  <c r="K22"/>
  <c r="F10" i="17"/>
  <c r="I10" s="1"/>
  <c r="I13" s="1"/>
  <c r="N37" i="13"/>
  <c r="H37"/>
  <c r="E37"/>
  <c r="Q36"/>
  <c r="F31" i="5" s="1"/>
  <c r="I31" s="1"/>
  <c r="K36" i="13"/>
  <c r="Q35"/>
  <c r="F30" i="5" s="1"/>
  <c r="I30" s="1"/>
  <c r="K35" i="13"/>
  <c r="N32"/>
  <c r="E32"/>
  <c r="Q31"/>
  <c r="F26" i="5" s="1"/>
  <c r="I26" s="1"/>
  <c r="Q30" i="13"/>
  <c r="F25" i="5" s="1"/>
  <c r="I25" s="1"/>
  <c r="K30" i="13"/>
  <c r="Q29"/>
  <c r="F24" i="5" s="1"/>
  <c r="I24" s="1"/>
  <c r="K29" i="13"/>
  <c r="L29" s="1"/>
  <c r="H26"/>
  <c r="E26"/>
  <c r="E18"/>
  <c r="R32" l="1"/>
  <c r="F18" i="17"/>
  <c r="I18" s="1"/>
  <c r="L23" i="13"/>
  <c r="F20" i="17"/>
  <c r="I20" s="1"/>
  <c r="L25" i="13"/>
  <c r="F30" i="17"/>
  <c r="I30" s="1"/>
  <c r="L35" i="13"/>
  <c r="F31" i="17"/>
  <c r="I31" s="1"/>
  <c r="L36" i="13"/>
  <c r="F17" i="17"/>
  <c r="I17" s="1"/>
  <c r="I21" s="1"/>
  <c r="L22" i="13"/>
  <c r="F19" i="17"/>
  <c r="I19" s="1"/>
  <c r="L24" i="13"/>
  <c r="I18"/>
  <c r="R17"/>
  <c r="F25" i="17"/>
  <c r="I25" s="1"/>
  <c r="L30" i="13"/>
  <c r="L26"/>
  <c r="K31"/>
  <c r="H32"/>
  <c r="I32"/>
  <c r="H18"/>
  <c r="H39" s="1"/>
  <c r="K26"/>
  <c r="F21" i="17" s="1"/>
  <c r="I27" i="5"/>
  <c r="I32"/>
  <c r="E39" i="13"/>
  <c r="K32"/>
  <c r="F27" i="17" s="1"/>
  <c r="F24"/>
  <c r="I24" s="1"/>
  <c r="Q37" i="13"/>
  <c r="F32" i="5" s="1"/>
  <c r="K37" i="13"/>
  <c r="F32" i="17" s="1"/>
  <c r="Q32" i="13"/>
  <c r="F27" i="5" s="1"/>
  <c r="K18" i="13"/>
  <c r="O16"/>
  <c r="R16" s="1"/>
  <c r="I32" i="17" l="1"/>
  <c r="I39" i="13"/>
  <c r="F26" i="17"/>
  <c r="I26" s="1"/>
  <c r="I27" s="1"/>
  <c r="I34" s="1"/>
  <c r="L31" i="13"/>
  <c r="L32" s="1"/>
  <c r="L37"/>
  <c r="K39"/>
  <c r="F34" i="17" s="1"/>
  <c r="F13"/>
  <c r="Q16" i="13"/>
  <c r="F11" i="5" s="1"/>
  <c r="I11" s="1"/>
  <c r="O24" i="13"/>
  <c r="R24" s="1"/>
  <c r="O23"/>
  <c r="R23" s="1"/>
  <c r="L39" l="1"/>
  <c r="Q23"/>
  <c r="F18" i="5" s="1"/>
  <c r="I18" s="1"/>
  <c r="Q24" i="13"/>
  <c r="O15"/>
  <c r="Q25"/>
  <c r="F20" i="5" s="1"/>
  <c r="I20" s="1"/>
  <c r="O22" i="13"/>
  <c r="R22" s="1"/>
  <c r="O21"/>
  <c r="O26" l="1"/>
  <c r="R21"/>
  <c r="R26" s="1"/>
  <c r="O18"/>
  <c r="O39" s="1"/>
  <c r="R15"/>
  <c r="R18" s="1"/>
  <c r="R39" s="1"/>
  <c r="F19" i="5"/>
  <c r="I19" s="1"/>
  <c r="N26" i="13"/>
  <c r="Q21"/>
  <c r="F16" i="5" s="1"/>
  <c r="I16" s="1"/>
  <c r="N18" i="13"/>
  <c r="Q15"/>
  <c r="Q18" l="1"/>
  <c r="F13" i="5" s="1"/>
  <c r="F10"/>
  <c r="I10" s="1"/>
  <c r="I13" s="1"/>
  <c r="N39" i="13"/>
  <c r="Q22"/>
  <c r="F17" i="5" s="1"/>
  <c r="I17" s="1"/>
  <c r="I21" s="1"/>
  <c r="I34" s="1"/>
  <c r="Q26" i="13" l="1"/>
  <c r="F21" i="5" l="1"/>
  <c r="Q39" i="13"/>
  <c r="F34" i="5" l="1"/>
</calcChain>
</file>

<file path=xl/comments1.xml><?xml version="1.0" encoding="utf-8"?>
<comments xmlns="http://schemas.openxmlformats.org/spreadsheetml/2006/main">
  <authors>
    <author>p22455</author>
    <author>Eric Wittine</author>
  </authors>
  <commentList>
    <comment ref="O22" authorId="0">
      <text>
        <r>
          <rPr>
            <b/>
            <sz val="8"/>
            <color indexed="81"/>
            <rFont val="Tahoma"/>
            <family val="2"/>
          </rPr>
          <t>p22455:</t>
        </r>
        <r>
          <rPr>
            <sz val="8"/>
            <color indexed="81"/>
            <rFont val="Tahoma"/>
            <family val="2"/>
          </rPr>
          <t xml:space="preserve">
WA QFs are all post merger, for WCA runs, pre-merger should set to zero</t>
        </r>
      </text>
    </comment>
    <comment ref="O92" authorId="1">
      <text>
        <r>
          <rPr>
            <b/>
            <sz val="8"/>
            <color indexed="81"/>
            <rFont val="Tahoma"/>
            <family val="2"/>
          </rPr>
          <t>Set to zero for WCA Study.</t>
        </r>
      </text>
    </comment>
  </commentList>
</comments>
</file>

<file path=xl/comments10.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1.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2.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3.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4.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5.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6.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7.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8.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19.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2.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20.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3.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4.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5.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6.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7.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8.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comments9.xml><?xml version="1.0" encoding="utf-8"?>
<comments xmlns="http://schemas.openxmlformats.org/spreadsheetml/2006/main">
  <authors>
    <author>p22455</author>
    <author>Eric Wittine</author>
  </authors>
  <commentList>
    <comment ref="O19" authorId="0">
      <text>
        <r>
          <rPr>
            <b/>
            <sz val="8"/>
            <color indexed="81"/>
            <rFont val="Tahoma"/>
            <family val="2"/>
          </rPr>
          <t>p22455:</t>
        </r>
        <r>
          <rPr>
            <sz val="8"/>
            <color indexed="81"/>
            <rFont val="Tahoma"/>
            <family val="2"/>
          </rPr>
          <t xml:space="preserve">
WA QFs are all post merger, for WCA runs, pre-merger should set to zero</t>
        </r>
      </text>
    </comment>
    <comment ref="O89" authorId="1">
      <text>
        <r>
          <rPr>
            <b/>
            <sz val="8"/>
            <color indexed="81"/>
            <rFont val="Tahoma"/>
            <family val="2"/>
          </rPr>
          <t>Set to zero for WCA Study.</t>
        </r>
      </text>
    </comment>
  </commentList>
</comments>
</file>

<file path=xl/sharedStrings.xml><?xml version="1.0" encoding="utf-8"?>
<sst xmlns="http://schemas.openxmlformats.org/spreadsheetml/2006/main" count="6064" uniqueCount="454">
  <si>
    <t>PacifiCorp</t>
  </si>
  <si>
    <t>Page</t>
  </si>
  <si>
    <t>TOTAL</t>
  </si>
  <si>
    <t>ACCOUNT</t>
  </si>
  <si>
    <t>TYPE</t>
  </si>
  <si>
    <t>COMPANY</t>
  </si>
  <si>
    <t>FACTOR</t>
  </si>
  <si>
    <t>REF #</t>
  </si>
  <si>
    <t>Normalizing Adjustment:</t>
  </si>
  <si>
    <t>Sales for Resale  (Account 447)</t>
  </si>
  <si>
    <t>CAGW</t>
  </si>
  <si>
    <t>Purchased Power (Account 555)</t>
  </si>
  <si>
    <t>Energy</t>
  </si>
  <si>
    <t>CAEW</t>
  </si>
  <si>
    <t>WA Qualifying Facilities</t>
  </si>
  <si>
    <t>WA</t>
  </si>
  <si>
    <t>Wheeling (Account 565)</t>
  </si>
  <si>
    <t>Fuel Expense (Accounts 501 and 547)</t>
  </si>
  <si>
    <t>Fuel Consumed - Coal</t>
  </si>
  <si>
    <t>Fuel Consumed - Natural Gas</t>
  </si>
  <si>
    <t>Description of Adjustment</t>
  </si>
  <si>
    <t>Net Power Costs - West Control Area</t>
  </si>
  <si>
    <t>WCA</t>
  </si>
  <si>
    <t>Washington</t>
  </si>
  <si>
    <t>FERC</t>
  </si>
  <si>
    <t>Allocated</t>
  </si>
  <si>
    <t>Description</t>
  </si>
  <si>
    <t>Factor</t>
  </si>
  <si>
    <t>Existing Firm Sales - Pacific</t>
  </si>
  <si>
    <t>Post-Merger Firm Sales</t>
  </si>
  <si>
    <t>Non-Firm Sales</t>
  </si>
  <si>
    <t>Total Sales for Resale</t>
  </si>
  <si>
    <t>Existing Firm Demand - Pacific</t>
  </si>
  <si>
    <t>Existing Firm Energy</t>
  </si>
  <si>
    <t>Post-Merger Firm Energy</t>
  </si>
  <si>
    <t>Other Generation Expenses</t>
  </si>
  <si>
    <t>Total Purchased Power</t>
  </si>
  <si>
    <t>Existing Firm - Pacific</t>
  </si>
  <si>
    <t>Post Merger Firm</t>
  </si>
  <si>
    <t>Non Firm</t>
  </si>
  <si>
    <t>Total Wheeling Expense</t>
  </si>
  <si>
    <t>Total Fuel and Other Expense</t>
  </si>
  <si>
    <t>Total Net Power Cost</t>
  </si>
  <si>
    <t>Study Results</t>
  </si>
  <si>
    <t>MERGED PEAK/ENERGY SPLIT</t>
  </si>
  <si>
    <t>Period Ending</t>
  </si>
  <si>
    <t>($)</t>
  </si>
  <si>
    <t>Merged</t>
  </si>
  <si>
    <t xml:space="preserve">Pre-Merger </t>
  </si>
  <si>
    <t>Demand</t>
  </si>
  <si>
    <t>Non-Firm</t>
  </si>
  <si>
    <t>Post-Merger</t>
  </si>
  <si>
    <t>SPECIAL SALES FOR RESALE</t>
  </si>
  <si>
    <t>Pacific Pre Merger</t>
  </si>
  <si>
    <t>Post Merger</t>
  </si>
  <si>
    <t>Utah Pre Merger</t>
  </si>
  <si>
    <t>NonFirm Sub Total</t>
  </si>
  <si>
    <t>--------------------</t>
  </si>
  <si>
    <t xml:space="preserve"> </t>
  </si>
  <si>
    <t>TOTAL SPECIAL SALES</t>
  </si>
  <si>
    <t>PURCHASED POWER &amp; NET INTERCHANGE</t>
  </si>
  <si>
    <t>BPA Peak Purchase</t>
  </si>
  <si>
    <t>Pacific Capacity</t>
  </si>
  <si>
    <t>Mid Columbia</t>
  </si>
  <si>
    <t>Misc/Pacific</t>
  </si>
  <si>
    <t>Q.F. Contracts/PPL</t>
  </si>
  <si>
    <t>---------------------------------------------------------</t>
  </si>
  <si>
    <t>Pacific Sub Total</t>
  </si>
  <si>
    <t>Gemstate</t>
  </si>
  <si>
    <t>GSLM</t>
  </si>
  <si>
    <t>QF Contracts/UPL</t>
  </si>
  <si>
    <t>IPP Layoff</t>
  </si>
  <si>
    <t>UP&amp;L to PP&amp;L</t>
  </si>
  <si>
    <t>Utah Sub Total</t>
  </si>
  <si>
    <t>Constellation p257677</t>
  </si>
  <si>
    <t>Constellation p257678</t>
  </si>
  <si>
    <t>Constellation p268849</t>
  </si>
  <si>
    <t>Georgia-Pacific Camas</t>
  </si>
  <si>
    <t>Kennecott Generation Incentive</t>
  </si>
  <si>
    <t>Morgan Stanley p189046</t>
  </si>
  <si>
    <t>Morgan Stanley p244840</t>
  </si>
  <si>
    <t>Morgan Stanley p244841</t>
  </si>
  <si>
    <t>Morgan Stanley p272153-6-8</t>
  </si>
  <si>
    <t>Morgan Stanley p272154-7</t>
  </si>
  <si>
    <t>UBS p268848</t>
  </si>
  <si>
    <t>UBS p268850</t>
  </si>
  <si>
    <t>Place Holder</t>
  </si>
  <si>
    <t>DSM (Irrigation)</t>
  </si>
  <si>
    <t>TransAlta p371343/s371344</t>
  </si>
  <si>
    <t>New Firm Sub Total</t>
  </si>
  <si>
    <t>Non Firm Sub Total</t>
  </si>
  <si>
    <t>TOTAL PURCHASED PW &amp; NET INT.</t>
  </si>
  <si>
    <t>WHEELING &amp; U. OF F. EXPENSE</t>
  </si>
  <si>
    <t>Pacific Firm Wheeling and Use of Facilities</t>
  </si>
  <si>
    <t>Utah Firm Wheeling and Use of Facilities</t>
  </si>
  <si>
    <t>Nonfirm Wheeling</t>
  </si>
  <si>
    <t>TOTAL WHEELING &amp; U. OF F. EXPENSE</t>
  </si>
  <si>
    <t>THERMAL FUEL BURN EXPENSE</t>
  </si>
  <si>
    <t>Chehalis</t>
  </si>
  <si>
    <t>Currant Creek</t>
  </si>
  <si>
    <t>TOTAL FUEL BURN EXPENSE</t>
  </si>
  <si>
    <t>OTHER GENERATION EXPENSE</t>
  </si>
  <si>
    <t>TOTAL OTHER GEN. EXPENSE</t>
  </si>
  <si>
    <t>=</t>
  </si>
  <si>
    <t>NET POWER COST</t>
  </si>
  <si>
    <t>Avoided Cost Resource</t>
  </si>
  <si>
    <t>APS Supplemental p27875</t>
  </si>
  <si>
    <t>Blanding Purchase p379174</t>
  </si>
  <si>
    <t>BPA Reserve Purchase</t>
  </si>
  <si>
    <t>Chehalis Station Service</t>
  </si>
  <si>
    <t xml:space="preserve">Combine Hills Wind p160595 </t>
  </si>
  <si>
    <t>Deseret Purchase p194277</t>
  </si>
  <si>
    <t>Hermiston Purchase p99563</t>
  </si>
  <si>
    <t>Hurricane Purchase p393045</t>
  </si>
  <si>
    <t>Idaho Power p278538</t>
  </si>
  <si>
    <t>LADWP p491303-4</t>
  </si>
  <si>
    <t>MagCorp p229846</t>
  </si>
  <si>
    <t>MagCorp Reserves p510378</t>
  </si>
  <si>
    <t>Nebo Heat Rate Option p360539</t>
  </si>
  <si>
    <t>Nucor p346856</t>
  </si>
  <si>
    <t>P4 Production p137215/p145258</t>
  </si>
  <si>
    <t>Rock River Wind p100371</t>
  </si>
  <si>
    <t>Roseburg Forest Products p312292</t>
  </si>
  <si>
    <t>Three Buttes Wind p460457</t>
  </si>
  <si>
    <t>Top of the World Wind p575862</t>
  </si>
  <si>
    <t>Tri-State Purchase p27057</t>
  </si>
  <si>
    <t>Weyerhaeuser Reserve p356685</t>
  </si>
  <si>
    <t>Wolverine Creek Wind p244520</t>
  </si>
  <si>
    <t>BPA So. Idaho p64885/p83975/p64705</t>
  </si>
  <si>
    <t>PSCo Exchange p340325</t>
  </si>
  <si>
    <t>Seasonal Purchased Power</t>
  </si>
  <si>
    <t>Ref. 5.1</t>
  </si>
  <si>
    <t>Washington General Rate Case - December 2009</t>
  </si>
  <si>
    <t>01/09-12/09</t>
  </si>
  <si>
    <t>Short Term Firm Purchases</t>
  </si>
  <si>
    <t>Wind Integration Charge</t>
  </si>
  <si>
    <t>Carbon</t>
  </si>
  <si>
    <t>Cholla</t>
  </si>
  <si>
    <t>Colstrip</t>
  </si>
  <si>
    <t>Craig</t>
  </si>
  <si>
    <t>Dave Johnston</t>
  </si>
  <si>
    <t>Gadsby</t>
  </si>
  <si>
    <t>Gadsby CT</t>
  </si>
  <si>
    <t>Hayden</t>
  </si>
  <si>
    <t>Hermiston</t>
  </si>
  <si>
    <t>Hunter</t>
  </si>
  <si>
    <t>Huntington</t>
  </si>
  <si>
    <t>Jim Bridger</t>
  </si>
  <si>
    <t>Lake Side</t>
  </si>
  <si>
    <t>Little Mountain</t>
  </si>
  <si>
    <t>Naughton</t>
  </si>
  <si>
    <t>West Valley</t>
  </si>
  <si>
    <t>Wyodak</t>
  </si>
  <si>
    <t>Blundell</t>
  </si>
  <si>
    <t>Blanding Purchase</t>
  </si>
  <si>
    <t>Combine Hills</t>
  </si>
  <si>
    <t>Deseret Purchase</t>
  </si>
  <si>
    <t>Hermiston Purchase</t>
  </si>
  <si>
    <t>Hurricane Purchase</t>
  </si>
  <si>
    <t>Idaho Power RTSA Purchase</t>
  </si>
  <si>
    <t>P4 Production</t>
  </si>
  <si>
    <t>Roseburg Forest Products</t>
  </si>
  <si>
    <t>Tri-State Purchase</t>
  </si>
  <si>
    <t>Weyerhaeuser Reserve</t>
  </si>
  <si>
    <t>Wolverine Creek</t>
  </si>
  <si>
    <t>5.2.1</t>
  </si>
  <si>
    <t>447NPC</t>
  </si>
  <si>
    <t>555NPC</t>
  </si>
  <si>
    <t>565NPC</t>
  </si>
  <si>
    <t>501NPC</t>
  </si>
  <si>
    <t>547NPC</t>
  </si>
  <si>
    <t>04/11-03/12</t>
  </si>
  <si>
    <t>APS Supplemental</t>
  </si>
  <si>
    <t>Clark S&amp;I Agreement (Net)</t>
  </si>
  <si>
    <t>Chehalis Tolling</t>
  </si>
  <si>
    <t>MagCorp</t>
  </si>
  <si>
    <t>MagCorp Reserves</t>
  </si>
  <si>
    <t>Nebo Heat Rate Option</t>
  </si>
  <si>
    <t>NuCor</t>
  </si>
  <si>
    <t>Rock River</t>
  </si>
  <si>
    <t>BPA So. Idaho Exchange</t>
  </si>
  <si>
    <t>PSCO Exchange</t>
  </si>
  <si>
    <t>12 months ended December 2009</t>
  </si>
  <si>
    <t>RES</t>
  </si>
  <si>
    <t>Ref. 5.2.2</t>
  </si>
  <si>
    <t>Ref. 5.2.3</t>
  </si>
  <si>
    <t>NORMALIZED DECEMBER 2009</t>
  </si>
  <si>
    <t>PROFORMA MARCH 2012</t>
  </si>
  <si>
    <t>Ref.  5.2.1</t>
  </si>
  <si>
    <t>UNADJUSTED* DECEMBER 2009</t>
  </si>
  <si>
    <t>*Unadjusted as modeled by GRID.</t>
  </si>
  <si>
    <t>Net Power Costs - Restating</t>
  </si>
  <si>
    <t>Total Net Power Cost Adjustment - Restating</t>
  </si>
  <si>
    <r>
      <t xml:space="preserve">Total Net Power Cost Adjustment - </t>
    </r>
    <r>
      <rPr>
        <b/>
        <sz val="9"/>
        <color rgb="FFFF0000"/>
        <rFont val="Arial"/>
        <family val="2"/>
      </rPr>
      <t>Proforma</t>
    </r>
  </si>
  <si>
    <t>Net Power Costs - Proforma</t>
  </si>
  <si>
    <t>FACTOR %</t>
  </si>
  <si>
    <t>WASHINGTON</t>
  </si>
  <si>
    <t>ALLOCATED</t>
  </si>
  <si>
    <t>Situs</t>
  </si>
  <si>
    <t>12 Months Ended Dec. 2009</t>
  </si>
  <si>
    <t>Total West</t>
  </si>
  <si>
    <t>Control Area</t>
  </si>
  <si>
    <t>Note 1 - As Modeled by GRID</t>
  </si>
  <si>
    <t>(1)</t>
  </si>
  <si>
    <t>(2)</t>
  </si>
  <si>
    <t>(3)</t>
  </si>
  <si>
    <t>(4)</t>
  </si>
  <si>
    <t>(5)</t>
  </si>
  <si>
    <t>(6)</t>
  </si>
  <si>
    <t>(7)</t>
  </si>
  <si>
    <t>(8)</t>
  </si>
  <si>
    <t>(9)</t>
  </si>
  <si>
    <t>(3) * (4)</t>
  </si>
  <si>
    <t>(3) * (6)</t>
  </si>
  <si>
    <t>(6) - (4)</t>
  </si>
  <si>
    <t>(7) - (5)</t>
  </si>
  <si>
    <t>Restating Adjustment</t>
  </si>
  <si>
    <t>Page 5.1</t>
  </si>
  <si>
    <t>(10)</t>
  </si>
  <si>
    <t>(11)</t>
  </si>
  <si>
    <t>(3) * (10)</t>
  </si>
  <si>
    <t>(12)</t>
  </si>
  <si>
    <t>(13)</t>
  </si>
  <si>
    <t>(10) - (6)</t>
  </si>
  <si>
    <t>(11) - (7)</t>
  </si>
  <si>
    <t>Ref. 2.2</t>
  </si>
  <si>
    <t>Line 66</t>
  </si>
  <si>
    <t>RESTATED NPC</t>
  </si>
  <si>
    <t>Proforma Adjustment</t>
  </si>
  <si>
    <t>12 Months Ending Mar. 2012</t>
  </si>
  <si>
    <t>Alloc.</t>
  </si>
  <si>
    <t>%</t>
  </si>
  <si>
    <t>Acct.</t>
  </si>
  <si>
    <t>NPC (1)</t>
  </si>
  <si>
    <t>UNADJUSTED / PER BOOKS</t>
  </si>
  <si>
    <t>PRO</t>
  </si>
  <si>
    <t>PROFORMA REBUTTAL NPC</t>
  </si>
  <si>
    <t>check</t>
  </si>
  <si>
    <t>Test Year</t>
  </si>
  <si>
    <t>FYMar2012</t>
  </si>
  <si>
    <t>Pre-Merger PPL</t>
  </si>
  <si>
    <t>Post-Merger PPL</t>
  </si>
  <si>
    <t>Pre-Merger UPL</t>
  </si>
  <si>
    <t>Post-Merger UPL</t>
  </si>
  <si>
    <t>QF by State PPL</t>
  </si>
  <si>
    <t>QF PPL Pre Merger</t>
  </si>
  <si>
    <t>QF PPL Post Merger</t>
  </si>
  <si>
    <t>QF by State UPL</t>
  </si>
  <si>
    <t>QF UPL Pre Merger</t>
  </si>
  <si>
    <t>QF UPL Post Merger</t>
  </si>
  <si>
    <t>Pre Mgr PPL</t>
  </si>
  <si>
    <t>Pre Mgr UPL</t>
  </si>
  <si>
    <t>Post Mgr Whl</t>
  </si>
  <si>
    <t>NF Wheeling</t>
  </si>
  <si>
    <t>STF</t>
  </si>
  <si>
    <t>Ref. 12.6.1</t>
  </si>
  <si>
    <t>12.6.1</t>
  </si>
  <si>
    <t>Ref. 12.6.2</t>
  </si>
  <si>
    <t>Rebuttal 01</t>
  </si>
  <si>
    <t>Rebuttal 02</t>
  </si>
  <si>
    <t>Rebuttal 03</t>
  </si>
  <si>
    <t>Rebuttal 04</t>
  </si>
  <si>
    <t>Rebuttal 05</t>
  </si>
  <si>
    <t>Rebuttal 06</t>
  </si>
  <si>
    <t>Rebuttal 07</t>
  </si>
  <si>
    <t>Rebuttal 08</t>
  </si>
  <si>
    <t>Rebuttal 10</t>
  </si>
  <si>
    <t>Rebuttal 11</t>
  </si>
  <si>
    <t>Rebuttal 12</t>
  </si>
  <si>
    <t>Rebuttal 13</t>
  </si>
  <si>
    <t>Rebuttal 14</t>
  </si>
  <si>
    <t>Rebuttal 15</t>
  </si>
  <si>
    <t>Rebuttal 16</t>
  </si>
  <si>
    <t>Rebuttal 17</t>
  </si>
  <si>
    <t>Rebuttal 18</t>
  </si>
  <si>
    <t>Rebuttal 19</t>
  </si>
  <si>
    <t>Rebuttal 20</t>
  </si>
  <si>
    <t>PROFORMA NPC in Initial Filing</t>
  </si>
  <si>
    <t>5.2.1 Revised 11/23/10</t>
  </si>
  <si>
    <t>2010 Washington GRC Filing</t>
  </si>
  <si>
    <t>NPC ($) =</t>
  </si>
  <si>
    <t>$/MWh =</t>
  </si>
  <si>
    <t>2010 Washington GRC, WUTC 143</t>
  </si>
  <si>
    <t>Corrections, Cumulative</t>
  </si>
  <si>
    <t>Impact ($)</t>
  </si>
  <si>
    <t>NPC ($)</t>
  </si>
  <si>
    <t>Correct Jim Bridger Ownership Share</t>
  </si>
  <si>
    <t>Correct Grant 10aMW Energy Charge</t>
  </si>
  <si>
    <t>Correct Tieton Non-Owned Reserve Contributor</t>
  </si>
  <si>
    <t>Updates, One-off from corrected</t>
  </si>
  <si>
    <t>Update Official Forward Price Curve (0610)</t>
  </si>
  <si>
    <t>Update Mid Columbia Purchases</t>
  </si>
  <si>
    <t>Update Chehalis Spinning Reserve Capability</t>
  </si>
  <si>
    <t>Update Idaho Point to Point Transmission Rate</t>
  </si>
  <si>
    <t>Update Chehalis Lateral Pipeline Expense</t>
  </si>
  <si>
    <t>Update Coal Contracts</t>
  </si>
  <si>
    <t>System balancing impact of all adjustments</t>
  </si>
  <si>
    <t xml:space="preserve">Total Updates and Corrections from Original Filing = </t>
  </si>
  <si>
    <t>Washington GRC WUTC 143 =</t>
  </si>
  <si>
    <t>2010 Washington GRC, Rebuttal</t>
  </si>
  <si>
    <t>Updates, One-off from WUTC 143</t>
  </si>
  <si>
    <t>Update Official Forward Price Curve (0910)</t>
  </si>
  <si>
    <t>Update Coal Costs</t>
  </si>
  <si>
    <t>Update Screens</t>
  </si>
  <si>
    <t>Limit SMUD to 350,400 MWh</t>
  </si>
  <si>
    <t>Remove Inter-hour Wind Integration for Non-Owned</t>
  </si>
  <si>
    <t xml:space="preserve">Remove Energy Return in First Two Months for SCL Stateline </t>
  </si>
  <si>
    <t>Remove Wheeling Expenses Serving PACE Load</t>
  </si>
  <si>
    <t>Include Non-Firm Transmission</t>
  </si>
  <si>
    <t>Adjust Intra-hour Wind Integration per ICNU Adj. E-11</t>
  </si>
  <si>
    <t>Shift Colstrip Planned Outage to Spring</t>
  </si>
  <si>
    <t xml:space="preserve">Total Updates and Corrections from WUTC 143 = </t>
  </si>
  <si>
    <t>Total Update and Corrections from Orignal Filing</t>
  </si>
  <si>
    <t>Washington GRC Rebuttal =</t>
  </si>
  <si>
    <t>Cumulative</t>
  </si>
  <si>
    <t>Impact of Rebuttal 01</t>
  </si>
  <si>
    <t>Impact of Rebuttal 02</t>
  </si>
  <si>
    <t>Impact of Rebuttal 03</t>
  </si>
  <si>
    <t>Impact of Rebuttal 04</t>
  </si>
  <si>
    <t>Impact of Rebuttal 05</t>
  </si>
  <si>
    <t>Impact of Rebuttal 06</t>
  </si>
  <si>
    <t>Impact of Rebuttal 07</t>
  </si>
  <si>
    <t>Impact of Rebuttal 08</t>
  </si>
  <si>
    <t>Impact of Rebuttal 10</t>
  </si>
  <si>
    <t>System Balancing</t>
  </si>
  <si>
    <t>Impact of Rebuttal 11</t>
  </si>
  <si>
    <t>Impact of Rebuttal 12</t>
  </si>
  <si>
    <t>Impact of Rebuttal 20</t>
  </si>
  <si>
    <t>Impact of Rebuttal 19</t>
  </si>
  <si>
    <t>Impact of Rebuttal 18</t>
  </si>
  <si>
    <t>Impact of Rebuttal 17</t>
  </si>
  <si>
    <t>Impact of Rebuttal 16</t>
  </si>
  <si>
    <t>Impact of Rebuttal 15</t>
  </si>
  <si>
    <t>Impact of Rebuttal 14</t>
  </si>
  <si>
    <t>Impact of Rebuttal 13</t>
  </si>
  <si>
    <t>Final Rebuttal Net Power Costs</t>
  </si>
  <si>
    <t>Ref. 12.6</t>
  </si>
  <si>
    <t>Incremental to Rebuttal 03</t>
  </si>
  <si>
    <t>Incremental to Rebuttal 10</t>
  </si>
  <si>
    <t xml:space="preserve">Impact of All Adjustments </t>
  </si>
  <si>
    <t>From Initial Filing Forecast NPC</t>
  </si>
  <si>
    <t>12.6.1 Revised 12/10/10</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</si>
  <si>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</si>
  <si>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</si>
  <si>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</si>
  <si>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</si>
  <si>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</si>
  <si>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</si>
  <si>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</si>
  <si>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</si>
  <si>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</si>
  <si>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</si>
  <si>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</si>
  <si>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</si>
  <si>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</si>
  <si>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</si>
  <si>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</si>
  <si>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</si>
  <si>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</si>
  <si>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</si>
  <si>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</si>
  <si>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</si>
  <si>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</si>
  <si>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</si>
  <si>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</si>
  <si>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</si>
  <si>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</si>
  <si>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</si>
  <si>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</si>
  <si>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</si>
  <si>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</si>
  <si>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</si>
  <si>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</si>
  <si>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</si>
  <si>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</si>
  <si>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</si>
  <si>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</si>
  <si>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</si>
  <si>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</si>
  <si>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</si>
  <si>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Weatherization</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</si>
  <si>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</si>
  <si>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</si>
  <si>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</si>
  <si>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</si>
  <si>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</si>
  <si>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</si>
  <si>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</si>
  <si>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</si>
  <si>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</si>
  <si>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</si>
  <si>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</si>
  <si>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</si>
  <si>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Estimated Return on Equity Impact</t>
  </si>
  <si>
    <t>Estimated 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</si>
  <si>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</si>
  <si>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</si>
  <si>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</si>
  <si>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</si>
  <si>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</si>
  <si>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</si>
  <si>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</si>
  <si>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</si>
  <si>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</si>
  <si>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</si>
  <si>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Before Credits</t>
  </si>
  <si>
    <t>Energy Tax Credits</t>
  </si>
  <si>
    <t>Federal Income Taxes</t>
  </si>
  <si>
    <t>Variables</t>
  </si>
  <si>
    <t>Capital Structure and Cost</t>
  </si>
  <si>
    <t xml:space="preserve">Capital Structure </t>
  </si>
  <si>
    <t>Embedded Cost</t>
  </si>
  <si>
    <t>Weighted Cost</t>
  </si>
  <si>
    <t>DEBT%</t>
  </si>
  <si>
    <t>PREFERRED %</t>
  </si>
  <si>
    <t>COMMON %</t>
  </si>
  <si>
    <t>Net to Gross Bump-up Factor</t>
  </si>
  <si>
    <t>Operating Deductions</t>
  </si>
  <si>
    <t>Uncollectable Accounts</t>
  </si>
  <si>
    <t>WUTC Regulatory Fee</t>
  </si>
  <si>
    <t>Taxes Other - Revenue Tax</t>
  </si>
  <si>
    <t>Taxes Other - Resource Supplier</t>
  </si>
  <si>
    <t>Taxes Other - Gross Receipts</t>
  </si>
  <si>
    <t>Sub-Total</t>
  </si>
  <si>
    <t>State Taxes</t>
  </si>
  <si>
    <t>Federal Income Tax @ 35.00%</t>
  </si>
  <si>
    <t>Net Operating Income</t>
  </si>
  <si>
    <t>Summary of Net Power Cost Adjustments</t>
  </si>
  <si>
    <t>12 ME March 2012 NPC Forecast Included in Company's Initial Filing</t>
  </si>
  <si>
    <t>Rebuttal 1</t>
  </si>
  <si>
    <t>Rebuttal 2</t>
  </si>
  <si>
    <t>Rebuttal 3</t>
  </si>
  <si>
    <t>Rebuttal 4</t>
  </si>
  <si>
    <t>Rebuttal 5</t>
  </si>
  <si>
    <t>Rebuttal 6</t>
  </si>
  <si>
    <t>Rebuttal 7</t>
  </si>
  <si>
    <t>Rebuttal 8</t>
  </si>
  <si>
    <t>Rebuttal 9</t>
  </si>
  <si>
    <t>Rebuttal 3-10</t>
  </si>
  <si>
    <t>Rebuttal 11 - 20</t>
  </si>
  <si>
    <t>12 ME March 2012
Rebuttal NPC</t>
  </si>
  <si>
    <t>Subtotal of All Rebuttal Adjustments</t>
  </si>
  <si>
    <t>INITIAL PROFORMA NPC</t>
  </si>
  <si>
    <t>Rebuttal Adjustments to NPC</t>
  </si>
  <si>
    <t>Ref. 5.2.1 - Revised 11/23/10</t>
  </si>
  <si>
    <t>NPC Variance From Initial Pro Forma NPC</t>
  </si>
  <si>
    <t>REBUTTAL PRO FORMA NPC</t>
  </si>
  <si>
    <t>West Control Area</t>
  </si>
  <si>
    <t>Washington Allocated</t>
  </si>
  <si>
    <t>Rev. Req. Impact</t>
  </si>
  <si>
    <t>WA Allocated</t>
  </si>
  <si>
    <t>Operating Revenue (Cost)</t>
  </si>
  <si>
    <t>From Gregory N. Duvall's Rebuttal Exhibit No.___(GND-7)</t>
  </si>
  <si>
    <t>Exhibit No.___(RBD-6) - Revised 12/10/10</t>
  </si>
</sst>
</file>

<file path=xl/styles.xml><?xml version="1.0" encoding="utf-8"?>
<styleSheet xmlns="http://schemas.openxmlformats.org/spreadsheetml/2006/main">
  <numFmts count="24">
    <numFmt numFmtId="41" formatCode="_(* #,##0_);_(* \(#,##0\);_(* &quot;-&quot;_);_(@_)"/>
    <numFmt numFmtId="44" formatCode="_(&quot;$&quot;* #,##0.00_);_(&quot;$&quot;* \(#,##0.00\);_(&quot;$&quot;* &quot;-&quot;??_);_(@_)"/>
    <numFmt numFmtId="43" formatCode="_(* #,##0.00_);_(* \(#,##0.00\);_(* &quot;-&quot;??_);_(@_)"/>
    <numFmt numFmtId="164" formatCode="0\ \ ;@\ \ "/>
    <numFmt numFmtId="165" formatCode="_(* #,##0_);_(* \(#,##0\);_(* &quot;-&quot;??_);_(@_)"/>
    <numFmt numFmtId="166" formatCode="0.0"/>
    <numFmt numFmtId="167" formatCode="&quot;$&quot;###0;[Red]\(&quot;$&quot;###0\)"/>
    <numFmt numFmtId="168" formatCode="0.000%"/>
    <numFmt numFmtId="169" formatCode="#,##0\ ;[Red]\(#,##0\);0\ "/>
    <numFmt numFmtId="170" formatCode="#,##0\ ;[Red]\(#,##0\)"/>
    <numFmt numFmtId="171" formatCode="[$-409]mmm\-yy;@"/>
    <numFmt numFmtId="172" formatCode="General_)"/>
    <numFmt numFmtId="173" formatCode="&quot;$&quot;#,##0\ ;\(&quot;$&quot;#,##0\)"/>
    <numFmt numFmtId="174" formatCode="_-* #,##0\ &quot;F&quot;_-;\-* #,##0\ &quot;F&quot;_-;_-* &quot;-&quot;\ &quot;F&quot;_-;_-@_-"/>
    <numFmt numFmtId="175" formatCode="#,##0.000;[Red]\-#,##0.000"/>
    <numFmt numFmtId="176" formatCode="_(* #,##0.0_);_(* \(#,##0.0\);_(* &quot;-&quot;_);_(@_)"/>
    <numFmt numFmtId="177" formatCode="0.0000%"/>
    <numFmt numFmtId="178" formatCode="#,##0.000000\ ;[Red]\(#,##0.000000\);0.000000\ "/>
    <numFmt numFmtId="179" formatCode="_(* #,##0.00_);[Red]_(* \(#,##0.00\);_(* &quot;-&quot;??_);_(@_)"/>
    <numFmt numFmtId="180" formatCode="_(* #,##0_);[Red]_(* \(#,##0\);_(* &quot;-&quot;_);_(@_)"/>
    <numFmt numFmtId="181" formatCode="0_);\(0\)"/>
    <numFmt numFmtId="182" formatCode="#,##0.00\ ;[Red]\(#,##0.00\)"/>
    <numFmt numFmtId="183" formatCode="0.0%"/>
    <numFmt numFmtId="184" formatCode="#,##0.000000000_);[Red]\(#,##0.000000000\)"/>
  </numFmts>
  <fonts count="62">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family val="2"/>
    </font>
    <font>
      <sz val="10"/>
      <color indexed="24"/>
      <name val="Courier New"/>
      <family val="3"/>
    </font>
    <font>
      <sz val="8"/>
      <name val="Helv"/>
    </font>
    <font>
      <i/>
      <sz val="11"/>
      <color indexed="23"/>
      <name val="Calibri"/>
      <family val="2"/>
    </font>
    <font>
      <sz val="7"/>
      <name val="Arial"/>
      <family val="2"/>
    </font>
    <font>
      <sz val="11"/>
      <color indexed="17"/>
      <name val="Calibri"/>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b/>
      <sz val="8"/>
      <name val="Arial"/>
      <family val="2"/>
    </font>
    <font>
      <sz val="11"/>
      <color indexed="60"/>
      <name val="Calibri"/>
      <family val="2"/>
    </font>
    <font>
      <sz val="11"/>
      <color indexed="8"/>
      <name val="TimesNewRomanPS"/>
    </font>
    <font>
      <sz val="12"/>
      <name val="Times New Roman"/>
      <family val="1"/>
    </font>
    <font>
      <sz val="9"/>
      <name val="Helv"/>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b/>
      <sz val="18"/>
      <color indexed="56"/>
      <name val="Cambria"/>
      <family val="2"/>
    </font>
    <font>
      <sz val="10"/>
      <name val="LinePrinter"/>
    </font>
    <font>
      <sz val="8"/>
      <name val="Arial"/>
      <family val="2"/>
    </font>
    <font>
      <sz val="8"/>
      <color indexed="12"/>
      <name val="Arial"/>
      <family val="2"/>
    </font>
    <font>
      <sz val="11"/>
      <color indexed="10"/>
      <name val="Calibri"/>
      <family val="2"/>
    </font>
    <font>
      <b/>
      <sz val="10"/>
      <name val="Arial"/>
      <family val="2"/>
    </font>
    <font>
      <u val="singleAccounting"/>
      <sz val="10"/>
      <name val="Arial"/>
      <family val="2"/>
    </font>
    <font>
      <b/>
      <sz val="9"/>
      <name val="Arial"/>
      <family val="2"/>
    </font>
    <font>
      <sz val="9"/>
      <name val="Arial"/>
      <family val="2"/>
    </font>
    <font>
      <sz val="10"/>
      <name val="Geneva"/>
    </font>
    <font>
      <b/>
      <i/>
      <sz val="9"/>
      <name val="Helv"/>
    </font>
    <font>
      <b/>
      <sz val="9"/>
      <name val="Helv"/>
    </font>
    <font>
      <i/>
      <sz val="9"/>
      <name val="Helv"/>
    </font>
    <font>
      <u/>
      <sz val="9"/>
      <name val="Helv"/>
    </font>
    <font>
      <sz val="10"/>
      <name val="Geneva"/>
      <family val="2"/>
    </font>
    <font>
      <sz val="10"/>
      <name val="Arial"/>
      <family val="2"/>
    </font>
    <font>
      <sz val="11"/>
      <name val="Helv"/>
    </font>
    <font>
      <b/>
      <sz val="9"/>
      <color rgb="FFFF0000"/>
      <name val="Arial"/>
      <family val="2"/>
    </font>
    <font>
      <b/>
      <sz val="9"/>
      <color indexed="10"/>
      <name val="Helv"/>
    </font>
    <font>
      <b/>
      <sz val="8"/>
      <name val="Helv"/>
    </font>
    <font>
      <b/>
      <sz val="8"/>
      <color indexed="81"/>
      <name val="Tahoma"/>
      <family val="2"/>
    </font>
    <font>
      <sz val="8"/>
      <color indexed="81"/>
      <name val="Tahoma"/>
      <family val="2"/>
    </font>
    <font>
      <b/>
      <sz val="10"/>
      <color rgb="FFFF0000"/>
      <name val="Arial"/>
      <family val="2"/>
    </font>
    <font>
      <b/>
      <sz val="8"/>
      <color rgb="FFFF0000"/>
      <name val="Arial"/>
      <family val="2"/>
    </font>
    <font>
      <b/>
      <sz val="16"/>
      <color rgb="FFFF0000"/>
      <name val="Times New Roman"/>
      <family val="1"/>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
      <patternFill patternType="solid">
        <fgColor indexed="14"/>
        <bgColor indexed="64"/>
      </patternFill>
    </fill>
    <fill>
      <patternFill patternType="solid">
        <fgColor indexed="13"/>
        <bgColor indexed="64"/>
      </patternFill>
    </fill>
    <fill>
      <patternFill patternType="solid">
        <fgColor theme="8" tint="0.79998168889431442"/>
        <bgColor indexed="64"/>
      </patternFill>
    </fill>
    <fill>
      <patternFill patternType="solid">
        <fgColor theme="9" tint="0.59999389629810485"/>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3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3" fontId="8" fillId="0" borderId="0" applyFont="0" applyFill="0" applyBorder="0" applyAlignment="0" applyProtection="0"/>
    <xf numFmtId="167" fontId="9" fillId="0" borderId="0" applyFont="0" applyFill="0" applyBorder="0" applyProtection="0">
      <alignment horizontal="right"/>
    </xf>
    <xf numFmtId="173" fontId="8" fillId="0" borderId="0" applyFont="0" applyFill="0" applyBorder="0" applyAlignment="0" applyProtection="0"/>
    <xf numFmtId="0" fontId="8" fillId="0" borderId="0" applyFont="0" applyFill="0" applyBorder="0" applyAlignment="0" applyProtection="0"/>
    <xf numFmtId="0" fontId="10" fillId="0" borderId="0" applyNumberFormat="0" applyFill="0" applyBorder="0" applyAlignment="0" applyProtection="0"/>
    <xf numFmtId="2" fontId="8" fillId="0" borderId="0" applyFont="0" applyFill="0" applyBorder="0" applyAlignment="0" applyProtection="0"/>
    <xf numFmtId="0" fontId="11" fillId="0" borderId="0" applyFont="0" applyFill="0" applyBorder="0" applyAlignment="0" applyProtection="0">
      <alignment horizontal="left"/>
    </xf>
    <xf numFmtId="0" fontId="12" fillId="4" borderId="0" applyNumberFormat="0" applyBorder="0" applyAlignment="0" applyProtection="0"/>
    <xf numFmtId="38" fontId="13" fillId="22" borderId="0" applyNumberFormat="0" applyBorder="0" applyAlignment="0" applyProtection="0"/>
    <xf numFmtId="0" fontId="14" fillId="0" borderId="0"/>
    <xf numFmtId="0" fontId="15" fillId="0" borderId="3" applyNumberFormat="0" applyAlignment="0" applyProtection="0">
      <alignment horizontal="left" vertical="center"/>
    </xf>
    <xf numFmtId="0" fontId="15" fillId="0" borderId="4">
      <alignment horizontal="left" vertical="center"/>
    </xf>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0" applyNumberFormat="0" applyFill="0" applyBorder="0" applyAlignment="0">
      <protection locked="0"/>
    </xf>
    <xf numFmtId="10" fontId="13" fillId="23" borderId="6" applyNumberFormat="0" applyBorder="0" applyAlignment="0" applyProtection="0"/>
    <xf numFmtId="0" fontId="20" fillId="0" borderId="7" applyNumberFormat="0" applyFill="0" applyAlignment="0" applyProtection="0"/>
    <xf numFmtId="166" fontId="21" fillId="0" borderId="0" applyNumberFormat="0" applyFill="0" applyBorder="0" applyAlignment="0" applyProtection="0"/>
    <xf numFmtId="0" fontId="22" fillId="24" borderId="0" applyNumberFormat="0" applyBorder="0" applyAlignment="0" applyProtection="0"/>
    <xf numFmtId="37" fontId="23" fillId="0" borderId="0" applyNumberFormat="0" applyFill="0" applyBorder="0"/>
    <xf numFmtId="0" fontId="13" fillId="0" borderId="8" applyNumberFormat="0" applyBorder="0" applyAlignment="0"/>
    <xf numFmtId="175" fontId="1" fillId="0" borderId="0"/>
    <xf numFmtId="41" fontId="1" fillId="0" borderId="0"/>
    <xf numFmtId="0" fontId="24" fillId="0" borderId="0"/>
    <xf numFmtId="0" fontId="25" fillId="25" borderId="9" applyNumberFormat="0" applyFont="0" applyAlignment="0" applyProtection="0"/>
    <xf numFmtId="0" fontId="26" fillId="20" borderId="10" applyNumberFormat="0" applyAlignment="0" applyProtection="0"/>
    <xf numFmtId="12" fontId="15" fillId="26" borderId="11">
      <alignment horizontal="left"/>
    </xf>
    <xf numFmtId="9" fontId="1" fillId="0" borderId="0" applyFont="0" applyFill="0" applyBorder="0" applyAlignment="0" applyProtection="0"/>
    <xf numFmtId="10" fontId="1" fillId="0" borderId="0" applyFont="0" applyFill="0" applyBorder="0" applyAlignment="0" applyProtection="0"/>
    <xf numFmtId="4" fontId="27" fillId="24" borderId="12" applyNumberFormat="0" applyProtection="0">
      <alignment vertical="center"/>
    </xf>
    <xf numFmtId="4" fontId="28" fillId="27" borderId="12" applyNumberFormat="0" applyProtection="0">
      <alignment vertical="center"/>
    </xf>
    <xf numFmtId="4" fontId="27" fillId="27" borderId="12" applyNumberFormat="0" applyProtection="0">
      <alignment horizontal="left" vertical="center" indent="1"/>
    </xf>
    <xf numFmtId="0" fontId="27" fillId="27" borderId="12" applyNumberFormat="0" applyProtection="0">
      <alignment horizontal="left" vertical="top" indent="1"/>
    </xf>
    <xf numFmtId="4" fontId="27" fillId="28" borderId="12" applyNumberFormat="0" applyProtection="0"/>
    <xf numFmtId="4" fontId="29" fillId="3" borderId="12" applyNumberFormat="0" applyProtection="0">
      <alignment horizontal="right" vertical="center"/>
    </xf>
    <xf numFmtId="4" fontId="29" fillId="9" borderId="12" applyNumberFormat="0" applyProtection="0">
      <alignment horizontal="right" vertical="center"/>
    </xf>
    <xf numFmtId="4" fontId="29" fillId="17" borderId="12" applyNumberFormat="0" applyProtection="0">
      <alignment horizontal="right" vertical="center"/>
    </xf>
    <xf numFmtId="4" fontId="29" fillId="11" borderId="12" applyNumberFormat="0" applyProtection="0">
      <alignment horizontal="right" vertical="center"/>
    </xf>
    <xf numFmtId="4" fontId="29" fillId="15" borderId="12" applyNumberFormat="0" applyProtection="0">
      <alignment horizontal="right" vertical="center"/>
    </xf>
    <xf numFmtId="4" fontId="29" fillId="19" borderId="12" applyNumberFormat="0" applyProtection="0">
      <alignment horizontal="right" vertical="center"/>
    </xf>
    <xf numFmtId="4" fontId="29" fillId="18" borderId="12" applyNumberFormat="0" applyProtection="0">
      <alignment horizontal="right" vertical="center"/>
    </xf>
    <xf numFmtId="4" fontId="29" fillId="29" borderId="12" applyNumberFormat="0" applyProtection="0">
      <alignment horizontal="right" vertical="center"/>
    </xf>
    <xf numFmtId="4" fontId="29" fillId="10" borderId="12" applyNumberFormat="0" applyProtection="0">
      <alignment horizontal="right" vertical="center"/>
    </xf>
    <xf numFmtId="4" fontId="27" fillId="30" borderId="13" applyNumberFormat="0" applyProtection="0">
      <alignment horizontal="left" vertical="center" indent="1"/>
    </xf>
    <xf numFmtId="4" fontId="29" fillId="31" borderId="0" applyNumberFormat="0" applyProtection="0">
      <alignment horizontal="left" indent="1"/>
    </xf>
    <xf numFmtId="4" fontId="30" fillId="32" borderId="0" applyNumberFormat="0" applyProtection="0">
      <alignment horizontal="left" vertical="center" indent="1"/>
    </xf>
    <xf numFmtId="4" fontId="29" fillId="33" borderId="12" applyNumberFormat="0" applyProtection="0">
      <alignment horizontal="right" vertical="center"/>
    </xf>
    <xf numFmtId="4" fontId="31" fillId="34" borderId="0" applyNumberFormat="0" applyProtection="0">
      <alignment horizontal="left" indent="1"/>
    </xf>
    <xf numFmtId="4" fontId="32" fillId="35" borderId="0" applyNumberFormat="0" applyProtection="0"/>
    <xf numFmtId="0" fontId="1" fillId="32" borderId="12" applyNumberFormat="0" applyProtection="0">
      <alignment horizontal="left" vertical="center" indent="1"/>
    </xf>
    <xf numFmtId="0" fontId="1" fillId="32" borderId="12" applyNumberFormat="0" applyProtection="0">
      <alignment horizontal="left" vertical="top" indent="1"/>
    </xf>
    <xf numFmtId="0" fontId="1" fillId="28" borderId="12" applyNumberFormat="0" applyProtection="0">
      <alignment horizontal="left" vertical="center" indent="1"/>
    </xf>
    <xf numFmtId="0" fontId="1" fillId="28" borderId="12" applyNumberFormat="0" applyProtection="0">
      <alignment horizontal="left" vertical="top" indent="1"/>
    </xf>
    <xf numFmtId="0" fontId="1" fillId="36" borderId="12" applyNumberFormat="0" applyProtection="0">
      <alignment horizontal="left" vertical="center" indent="1"/>
    </xf>
    <xf numFmtId="0" fontId="1" fillId="36" borderId="12" applyNumberFormat="0" applyProtection="0">
      <alignment horizontal="left" vertical="top" indent="1"/>
    </xf>
    <xf numFmtId="0" fontId="1" fillId="37" borderId="12" applyNumberFormat="0" applyProtection="0">
      <alignment horizontal="left" vertical="center" indent="1"/>
    </xf>
    <xf numFmtId="0" fontId="1" fillId="37" borderId="12" applyNumberFormat="0" applyProtection="0">
      <alignment horizontal="left" vertical="top" indent="1"/>
    </xf>
    <xf numFmtId="4" fontId="29" fillId="23" borderId="12" applyNumberFormat="0" applyProtection="0">
      <alignment vertical="center"/>
    </xf>
    <xf numFmtId="4" fontId="33" fillId="23" borderId="12" applyNumberFormat="0" applyProtection="0">
      <alignment vertical="center"/>
    </xf>
    <xf numFmtId="4" fontId="29" fillId="23" borderId="12" applyNumberFormat="0" applyProtection="0">
      <alignment horizontal="left" vertical="center" indent="1"/>
    </xf>
    <xf numFmtId="0" fontId="29" fillId="23" borderId="12" applyNumberFormat="0" applyProtection="0">
      <alignment horizontal="left" vertical="top" indent="1"/>
    </xf>
    <xf numFmtId="4" fontId="29" fillId="0" borderId="12" applyNumberFormat="0" applyProtection="0">
      <alignment horizontal="right" vertical="center"/>
    </xf>
    <xf numFmtId="4" fontId="33" fillId="31" borderId="12" applyNumberFormat="0" applyProtection="0">
      <alignment horizontal="right" vertical="center"/>
    </xf>
    <xf numFmtId="4" fontId="29" fillId="0" borderId="12" applyNumberFormat="0" applyProtection="0">
      <alignment horizontal="left" vertical="center" indent="1"/>
    </xf>
    <xf numFmtId="0" fontId="29" fillId="28" borderId="12" applyNumberFormat="0" applyProtection="0">
      <alignment horizontal="left" vertical="top"/>
    </xf>
    <xf numFmtId="4" fontId="34" fillId="38" borderId="0" applyNumberFormat="0" applyProtection="0">
      <alignment horizontal="left"/>
    </xf>
    <xf numFmtId="4" fontId="35" fillId="31" borderId="12" applyNumberFormat="0" applyProtection="0">
      <alignment horizontal="right" vertical="center"/>
    </xf>
    <xf numFmtId="2" fontId="1" fillId="0" borderId="0" applyFill="0" applyBorder="0" applyProtection="0">
      <alignment horizontal="right"/>
    </xf>
    <xf numFmtId="14" fontId="36" fillId="39" borderId="14" applyProtection="0">
      <alignment horizontal="right"/>
    </xf>
    <xf numFmtId="0" fontId="36" fillId="0" borderId="0" applyNumberFormat="0" applyFill="0" applyBorder="0" applyProtection="0">
      <alignment horizontal="left"/>
    </xf>
    <xf numFmtId="0" fontId="37" fillId="0" borderId="0" applyNumberFormat="0" applyFill="0" applyBorder="0" applyAlignment="0" applyProtection="0"/>
    <xf numFmtId="0" fontId="7" fillId="0" borderId="6">
      <alignment horizontal="center" vertical="center" wrapText="1"/>
    </xf>
    <xf numFmtId="0" fontId="8" fillId="0" borderId="15" applyNumberFormat="0" applyFont="0" applyFill="0" applyAlignment="0" applyProtection="0"/>
    <xf numFmtId="172" fontId="38" fillId="0" borderId="0">
      <alignment horizontal="left"/>
    </xf>
    <xf numFmtId="37" fontId="13" fillId="27" borderId="0" applyNumberFormat="0" applyBorder="0" applyAlignment="0" applyProtection="0"/>
    <xf numFmtId="37" fontId="39" fillId="0" borderId="0"/>
    <xf numFmtId="3" fontId="40" fillId="40" borderId="16" applyProtection="0"/>
    <xf numFmtId="0" fontId="41" fillId="0" borderId="0" applyNumberFormat="0" applyFill="0" applyBorder="0" applyAlignment="0" applyProtection="0"/>
    <xf numFmtId="41" fontId="25" fillId="0" borderId="0"/>
    <xf numFmtId="9" fontId="46" fillId="0" borderId="0" applyFont="0" applyFill="0" applyBorder="0" applyAlignment="0" applyProtection="0"/>
    <xf numFmtId="4" fontId="46" fillId="0" borderId="0" applyFont="0" applyFill="0" applyBorder="0" applyAlignment="0" applyProtection="0"/>
    <xf numFmtId="9" fontId="51" fillId="0" borderId="0" applyFont="0" applyFill="0" applyBorder="0" applyAlignment="0" applyProtection="0"/>
    <xf numFmtId="4" fontId="51" fillId="0" borderId="0" applyFont="0" applyFill="0" applyBorder="0" applyAlignment="0" applyProtection="0"/>
    <xf numFmtId="41" fontId="1" fillId="0" borderId="0"/>
    <xf numFmtId="41" fontId="1" fillId="0" borderId="0"/>
    <xf numFmtId="9" fontId="1" fillId="0" borderId="0" applyFont="0" applyFill="0" applyBorder="0" applyAlignment="0" applyProtection="0"/>
    <xf numFmtId="179" fontId="1" fillId="0" borderId="0" applyFont="0" applyFill="0" applyBorder="0" applyAlignment="0" applyProtection="0"/>
    <xf numFmtId="4" fontId="46" fillId="0" borderId="0" applyFont="0" applyFill="0" applyBorder="0" applyAlignment="0" applyProtection="0"/>
    <xf numFmtId="41" fontId="25" fillId="0" borderId="0"/>
    <xf numFmtId="9" fontId="46" fillId="0" borderId="0" applyFont="0" applyFill="0" applyBorder="0" applyAlignment="0" applyProtection="0"/>
    <xf numFmtId="180" fontId="52"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399">
    <xf numFmtId="0" fontId="0" fillId="0" borderId="0" xfId="0"/>
    <xf numFmtId="41" fontId="42" fillId="0" borderId="0" xfId="61" applyFont="1"/>
    <xf numFmtId="41" fontId="1" fillId="0" borderId="0" xfId="61"/>
    <xf numFmtId="165" fontId="1" fillId="0" borderId="0" xfId="28" applyNumberFormat="1"/>
    <xf numFmtId="41" fontId="1" fillId="0" borderId="0" xfId="61" applyAlignment="1">
      <alignment horizontal="center"/>
    </xf>
    <xf numFmtId="165" fontId="1" fillId="0" borderId="0" xfId="28" applyNumberFormat="1" applyAlignment="1">
      <alignment horizontal="center"/>
    </xf>
    <xf numFmtId="41" fontId="43" fillId="0" borderId="0" xfId="61" applyFont="1" applyAlignment="1">
      <alignment horizontal="center"/>
    </xf>
    <xf numFmtId="165" fontId="43" fillId="0" borderId="0" xfId="28" applyNumberFormat="1" applyFont="1" applyAlignment="1">
      <alignment horizontal="center"/>
    </xf>
    <xf numFmtId="41" fontId="44" fillId="0" borderId="0" xfId="61" applyFont="1"/>
    <xf numFmtId="41" fontId="1" fillId="0" borderId="0" xfId="61" quotePrefix="1" applyAlignment="1">
      <alignment horizontal="center"/>
    </xf>
    <xf numFmtId="165" fontId="1" fillId="0" borderId="17" xfId="28" applyNumberFormat="1" applyBorder="1"/>
    <xf numFmtId="41" fontId="45" fillId="0" borderId="0" xfId="61" applyFont="1" applyAlignment="1">
      <alignment horizontal="left" indent="1"/>
    </xf>
    <xf numFmtId="41" fontId="44" fillId="0" borderId="0" xfId="61" applyFont="1" applyBorder="1" applyProtection="1">
      <protection locked="0"/>
    </xf>
    <xf numFmtId="41" fontId="1" fillId="0" borderId="19" xfId="61" applyBorder="1"/>
    <xf numFmtId="41" fontId="1" fillId="0" borderId="17" xfId="61" applyBorder="1"/>
    <xf numFmtId="41" fontId="1" fillId="0" borderId="17" xfId="61" applyBorder="1" applyAlignment="1">
      <alignment horizontal="center"/>
    </xf>
    <xf numFmtId="41" fontId="1" fillId="0" borderId="20" xfId="61" applyBorder="1"/>
    <xf numFmtId="41" fontId="1" fillId="0" borderId="21" xfId="61" applyBorder="1"/>
    <xf numFmtId="41" fontId="1" fillId="0" borderId="0" xfId="61" applyBorder="1"/>
    <xf numFmtId="165" fontId="1" fillId="0" borderId="0" xfId="28" applyNumberFormat="1" applyBorder="1"/>
    <xf numFmtId="41" fontId="1" fillId="0" borderId="0" xfId="61" applyBorder="1" applyAlignment="1">
      <alignment horizontal="center"/>
    </xf>
    <xf numFmtId="41" fontId="1" fillId="0" borderId="22" xfId="61" applyBorder="1"/>
    <xf numFmtId="41" fontId="1" fillId="0" borderId="23" xfId="61" applyBorder="1"/>
    <xf numFmtId="41" fontId="1" fillId="0" borderId="24" xfId="61" applyBorder="1"/>
    <xf numFmtId="165" fontId="1" fillId="0" borderId="24" xfId="28" applyNumberFormat="1" applyBorder="1"/>
    <xf numFmtId="41" fontId="1" fillId="0" borderId="24" xfId="61" applyBorder="1" applyAlignment="1">
      <alignment horizontal="center"/>
    </xf>
    <xf numFmtId="41" fontId="1" fillId="0" borderId="25" xfId="61" applyBorder="1"/>
    <xf numFmtId="41" fontId="1" fillId="0" borderId="0" xfId="61" applyFont="1"/>
    <xf numFmtId="165" fontId="1" fillId="0" borderId="4" xfId="28" applyNumberFormat="1" applyBorder="1"/>
    <xf numFmtId="41" fontId="1" fillId="0" borderId="0" xfId="61" quotePrefix="1" applyFont="1" applyAlignment="1">
      <alignment horizontal="center"/>
    </xf>
    <xf numFmtId="41" fontId="47" fillId="0" borderId="0" xfId="117" applyFont="1"/>
    <xf numFmtId="41" fontId="25" fillId="0" borderId="0" xfId="117" applyFont="1"/>
    <xf numFmtId="41" fontId="25" fillId="0" borderId="0" xfId="117"/>
    <xf numFmtId="41" fontId="25" fillId="0" borderId="0" xfId="117" applyFont="1" applyAlignment="1">
      <alignment horizontal="center"/>
    </xf>
    <xf numFmtId="41" fontId="48" fillId="0" borderId="0" xfId="117" applyFont="1" applyAlignment="1">
      <alignment horizontal="center"/>
    </xf>
    <xf numFmtId="41" fontId="9" fillId="0" borderId="0" xfId="117" applyFont="1"/>
    <xf numFmtId="1" fontId="49" fillId="0" borderId="0" xfId="117" applyNumberFormat="1" applyFont="1"/>
    <xf numFmtId="41" fontId="49" fillId="0" borderId="0" xfId="117" applyFont="1"/>
    <xf numFmtId="41" fontId="25" fillId="0" borderId="0" xfId="117" applyAlignment="1">
      <alignment horizontal="right"/>
    </xf>
    <xf numFmtId="41" fontId="25" fillId="0" borderId="0" xfId="117" applyFont="1" applyAlignment="1">
      <alignment horizontal="right"/>
    </xf>
    <xf numFmtId="169" fontId="25" fillId="0" borderId="0" xfId="117" applyNumberFormat="1" applyFont="1" applyAlignment="1">
      <alignment horizontal="center"/>
    </xf>
    <xf numFmtId="0" fontId="50" fillId="0" borderId="0" xfId="117" applyNumberFormat="1" applyFont="1" applyAlignment="1">
      <alignment horizontal="right"/>
    </xf>
    <xf numFmtId="164" fontId="50" fillId="0" borderId="0" xfId="117" applyNumberFormat="1" applyFont="1" applyAlignment="1">
      <alignment horizontal="right"/>
    </xf>
    <xf numFmtId="169" fontId="50" fillId="0" borderId="0" xfId="117" applyNumberFormat="1" applyFont="1" applyAlignment="1">
      <alignment horizontal="center"/>
    </xf>
    <xf numFmtId="169" fontId="25" fillId="0" borderId="0" xfId="117" applyNumberFormat="1" applyFont="1"/>
    <xf numFmtId="41" fontId="25" fillId="0" borderId="0" xfId="117" applyNumberFormat="1" applyFont="1"/>
    <xf numFmtId="170" fontId="25" fillId="0" borderId="0" xfId="117" applyNumberFormat="1" applyFont="1"/>
    <xf numFmtId="3" fontId="25" fillId="0" borderId="0" xfId="117" applyNumberFormat="1"/>
    <xf numFmtId="41" fontId="25" fillId="0" borderId="0" xfId="117" applyFont="1" applyAlignment="1">
      <alignment horizontal="fill"/>
    </xf>
    <xf numFmtId="41" fontId="25" fillId="0" borderId="0" xfId="117" quotePrefix="1" applyNumberFormat="1" applyFont="1"/>
    <xf numFmtId="41" fontId="25" fillId="0" borderId="0" xfId="117" quotePrefix="1" applyFont="1" applyAlignment="1">
      <alignment horizontal="left"/>
    </xf>
    <xf numFmtId="4" fontId="25" fillId="0" borderId="0" xfId="117" applyNumberFormat="1" applyFont="1"/>
    <xf numFmtId="3" fontId="25" fillId="0" borderId="0" xfId="117" applyNumberFormat="1" applyFont="1"/>
    <xf numFmtId="170" fontId="25" fillId="0" borderId="0" xfId="117" applyNumberFormat="1"/>
    <xf numFmtId="38" fontId="25" fillId="0" borderId="0" xfId="117" applyNumberFormat="1" applyFont="1" applyAlignment="1">
      <alignment horizontal="fill"/>
    </xf>
    <xf numFmtId="41" fontId="25" fillId="0" borderId="0" xfId="117" applyFill="1"/>
    <xf numFmtId="178" fontId="25" fillId="0" borderId="0" xfId="117" applyNumberFormat="1" applyFont="1"/>
    <xf numFmtId="41" fontId="7" fillId="0" borderId="0" xfId="122" applyFont="1" applyAlignment="1">
      <alignment horizontal="left"/>
    </xf>
    <xf numFmtId="41" fontId="1" fillId="0" borderId="0" xfId="122" applyAlignment="1">
      <alignment horizontal="center"/>
    </xf>
    <xf numFmtId="41" fontId="1" fillId="0" borderId="0" xfId="122"/>
    <xf numFmtId="41" fontId="7" fillId="0" borderId="0" xfId="122" applyFont="1"/>
    <xf numFmtId="0" fontId="7" fillId="0" borderId="0" xfId="62" applyFont="1"/>
    <xf numFmtId="41" fontId="7" fillId="0" borderId="0" xfId="122" applyFont="1" applyAlignment="1">
      <alignment horizontal="center"/>
    </xf>
    <xf numFmtId="41" fontId="7" fillId="0" borderId="24" xfId="122" applyFont="1" applyBorder="1" applyAlignment="1">
      <alignment horizontal="center"/>
    </xf>
    <xf numFmtId="41" fontId="1" fillId="0" borderId="0" xfId="122" applyAlignment="1">
      <alignment horizontal="left" indent="1"/>
    </xf>
    <xf numFmtId="41" fontId="1" fillId="0" borderId="0" xfId="122" quotePrefix="1" applyAlignment="1">
      <alignment horizontal="center"/>
    </xf>
    <xf numFmtId="177" fontId="1" fillId="0" borderId="0" xfId="66" applyNumberFormat="1" applyAlignment="1">
      <alignment horizontal="center"/>
    </xf>
    <xf numFmtId="168" fontId="1" fillId="0" borderId="0" xfId="66" applyNumberFormat="1" applyAlignment="1">
      <alignment horizontal="center"/>
    </xf>
    <xf numFmtId="37" fontId="1" fillId="0" borderId="4" xfId="122" applyNumberFormat="1" applyBorder="1"/>
    <xf numFmtId="37" fontId="1" fillId="0" borderId="0" xfId="122" applyNumberFormat="1" applyBorder="1"/>
    <xf numFmtId="41" fontId="1" fillId="0" borderId="0" xfId="122" applyBorder="1" applyAlignment="1">
      <alignment horizontal="center"/>
    </xf>
    <xf numFmtId="41" fontId="1" fillId="0" borderId="0" xfId="122" quotePrefix="1" applyBorder="1" applyAlignment="1">
      <alignment horizontal="center"/>
    </xf>
    <xf numFmtId="41" fontId="1" fillId="0" borderId="0" xfId="122" applyAlignment="1">
      <alignment horizontal="left"/>
    </xf>
    <xf numFmtId="37" fontId="7" fillId="0" borderId="18" xfId="122" applyNumberFormat="1" applyFont="1" applyBorder="1"/>
    <xf numFmtId="37" fontId="7" fillId="0" borderId="0" xfId="122" applyNumberFormat="1" applyFont="1" applyBorder="1"/>
    <xf numFmtId="41" fontId="45" fillId="0" borderId="0" xfId="61" applyFont="1"/>
    <xf numFmtId="41" fontId="1" fillId="0" borderId="0" xfId="61" applyFont="1" applyAlignment="1">
      <alignment horizontal="left" indent="1"/>
    </xf>
    <xf numFmtId="41" fontId="47" fillId="0" borderId="0" xfId="0" applyNumberFormat="1" applyFont="1"/>
    <xf numFmtId="41" fontId="25" fillId="0" borderId="0" xfId="0" applyNumberFormat="1" applyFont="1"/>
    <xf numFmtId="41" fontId="0" fillId="0" borderId="0" xfId="0" applyNumberFormat="1"/>
    <xf numFmtId="41" fontId="25" fillId="0" borderId="0" xfId="0" applyNumberFormat="1" applyFont="1" applyAlignment="1">
      <alignment horizontal="center"/>
    </xf>
    <xf numFmtId="41" fontId="48" fillId="0" borderId="0" xfId="0" applyNumberFormat="1" applyFont="1" applyAlignment="1">
      <alignment horizontal="center"/>
    </xf>
    <xf numFmtId="41" fontId="9" fillId="0" borderId="0" xfId="0" applyNumberFormat="1" applyFont="1"/>
    <xf numFmtId="1" fontId="49" fillId="0" borderId="0" xfId="0" applyNumberFormat="1" applyFont="1"/>
    <xf numFmtId="41" fontId="49" fillId="0" borderId="0" xfId="0" applyNumberFormat="1" applyFont="1"/>
    <xf numFmtId="41" fontId="0" fillId="0" borderId="0" xfId="0" applyNumberFormat="1" applyAlignment="1">
      <alignment horizontal="right"/>
    </xf>
    <xf numFmtId="41" fontId="25" fillId="0" borderId="0" xfId="0" applyNumberFormat="1" applyFont="1" applyAlignment="1">
      <alignment horizontal="right"/>
    </xf>
    <xf numFmtId="169" fontId="25" fillId="0" borderId="0" xfId="0" applyNumberFormat="1" applyFont="1" applyAlignment="1">
      <alignment horizontal="center"/>
    </xf>
    <xf numFmtId="0" fontId="50" fillId="0" borderId="0" xfId="0" applyNumberFormat="1" applyFont="1" applyAlignment="1">
      <alignment horizontal="right"/>
    </xf>
    <xf numFmtId="164" fontId="50" fillId="0" borderId="0" xfId="0" applyNumberFormat="1" applyFont="1" applyAlignment="1">
      <alignment horizontal="right"/>
    </xf>
    <xf numFmtId="169" fontId="50" fillId="0" borderId="0" xfId="0" applyNumberFormat="1" applyFont="1" applyAlignment="1">
      <alignment horizontal="center"/>
    </xf>
    <xf numFmtId="169" fontId="25" fillId="0" borderId="0" xfId="0" applyNumberFormat="1" applyFont="1"/>
    <xf numFmtId="170" fontId="25" fillId="0" borderId="0" xfId="0" applyNumberFormat="1" applyFont="1"/>
    <xf numFmtId="3" fontId="0" fillId="0" borderId="0" xfId="0" applyNumberFormat="1"/>
    <xf numFmtId="41" fontId="25" fillId="0" borderId="0" xfId="0" applyNumberFormat="1" applyFont="1" applyAlignment="1">
      <alignment horizontal="fill"/>
    </xf>
    <xf numFmtId="178" fontId="25" fillId="0" borderId="0" xfId="0" applyNumberFormat="1" applyFont="1"/>
    <xf numFmtId="41" fontId="25" fillId="0" borderId="0" xfId="0" quotePrefix="1" applyNumberFormat="1" applyFont="1"/>
    <xf numFmtId="41" fontId="25" fillId="0" borderId="0" xfId="0" quotePrefix="1" applyNumberFormat="1" applyFont="1" applyAlignment="1">
      <alignment horizontal="left"/>
    </xf>
    <xf numFmtId="41" fontId="0" fillId="0" borderId="0" xfId="0" applyNumberFormat="1" applyFill="1"/>
    <xf numFmtId="3" fontId="25" fillId="0" borderId="0" xfId="0" applyNumberFormat="1" applyFont="1"/>
    <xf numFmtId="4" fontId="25" fillId="0" borderId="0" xfId="0" applyNumberFormat="1" applyFont="1"/>
    <xf numFmtId="170" fontId="0" fillId="0" borderId="0" xfId="0" applyNumberFormat="1"/>
    <xf numFmtId="38" fontId="25" fillId="0" borderId="0" xfId="0" applyNumberFormat="1" applyFont="1" applyAlignment="1">
      <alignment horizontal="fill"/>
    </xf>
    <xf numFmtId="41" fontId="21" fillId="0" borderId="0" xfId="122" applyFont="1" applyAlignment="1">
      <alignment horizontal="center"/>
    </xf>
    <xf numFmtId="41" fontId="53" fillId="0" borderId="0" xfId="0" applyNumberFormat="1" applyFont="1" applyAlignment="1"/>
    <xf numFmtId="41" fontId="53" fillId="0" borderId="0" xfId="0" applyNumberFormat="1" applyFont="1" applyAlignment="1">
      <alignment horizontal="center"/>
    </xf>
    <xf numFmtId="41" fontId="25" fillId="0" borderId="0" xfId="117" applyAlignment="1">
      <alignment horizontal="center"/>
    </xf>
    <xf numFmtId="41" fontId="7" fillId="0" borderId="0" xfId="61" applyFont="1"/>
    <xf numFmtId="41" fontId="1" fillId="0" borderId="0" xfId="61" applyAlignment="1">
      <alignment horizontal="right"/>
    </xf>
    <xf numFmtId="176" fontId="1" fillId="0" borderId="0" xfId="61" applyNumberFormat="1" applyAlignment="1"/>
    <xf numFmtId="41" fontId="1" fillId="0" borderId="0" xfId="122" applyFont="1" applyBorder="1" applyAlignment="1">
      <alignment horizontal="center"/>
    </xf>
    <xf numFmtId="41" fontId="7" fillId="0" borderId="0" xfId="122" applyFont="1" applyBorder="1" applyAlignment="1">
      <alignment horizontal="center"/>
    </xf>
    <xf numFmtId="41" fontId="7" fillId="0" borderId="26" xfId="122" applyFont="1" applyBorder="1" applyAlignment="1">
      <alignment horizontal="centerContinuous"/>
    </xf>
    <xf numFmtId="41" fontId="7" fillId="0" borderId="27" xfId="122" applyFont="1" applyBorder="1" applyAlignment="1">
      <alignment horizontal="centerContinuous"/>
    </xf>
    <xf numFmtId="41" fontId="7" fillId="0" borderId="28" xfId="122" applyFont="1" applyBorder="1" applyAlignment="1">
      <alignment horizontal="centerContinuous"/>
    </xf>
    <xf numFmtId="41" fontId="7" fillId="0" borderId="29" xfId="122" applyFont="1" applyBorder="1" applyAlignment="1">
      <alignment horizontal="centerContinuous"/>
    </xf>
    <xf numFmtId="41" fontId="7" fillId="0" borderId="28" xfId="122" applyFont="1" applyBorder="1" applyAlignment="1">
      <alignment horizontal="center"/>
    </xf>
    <xf numFmtId="41" fontId="7" fillId="0" borderId="29" xfId="122" applyFont="1" applyBorder="1" applyAlignment="1">
      <alignment horizontal="center"/>
    </xf>
    <xf numFmtId="41" fontId="1" fillId="0" borderId="28" xfId="122" applyFont="1" applyBorder="1" applyAlignment="1">
      <alignment horizontal="center"/>
    </xf>
    <xf numFmtId="41" fontId="1" fillId="0" borderId="29" xfId="122" applyFont="1" applyBorder="1" applyAlignment="1">
      <alignment horizontal="center"/>
    </xf>
    <xf numFmtId="41" fontId="7" fillId="0" borderId="30" xfId="122" applyFont="1" applyBorder="1" applyAlignment="1">
      <alignment horizontal="center"/>
    </xf>
    <xf numFmtId="41" fontId="7" fillId="0" borderId="31" xfId="122" applyFont="1" applyBorder="1" applyAlignment="1">
      <alignment horizontal="center"/>
    </xf>
    <xf numFmtId="41" fontId="1" fillId="0" borderId="28" xfId="122" applyBorder="1" applyAlignment="1">
      <alignment horizontal="center"/>
    </xf>
    <xf numFmtId="41" fontId="1" fillId="0" borderId="29" xfId="122" applyBorder="1" applyAlignment="1">
      <alignment horizontal="center"/>
    </xf>
    <xf numFmtId="41" fontId="1" fillId="0" borderId="28" xfId="122" quotePrefix="1" applyBorder="1" applyAlignment="1">
      <alignment horizontal="center"/>
    </xf>
    <xf numFmtId="41" fontId="1" fillId="0" borderId="29" xfId="122" quotePrefix="1" applyBorder="1" applyAlignment="1">
      <alignment horizontal="center"/>
    </xf>
    <xf numFmtId="37" fontId="1" fillId="0" borderId="32" xfId="122" applyNumberFormat="1" applyBorder="1"/>
    <xf numFmtId="37" fontId="1" fillId="0" borderId="33" xfId="122" applyNumberFormat="1" applyBorder="1"/>
    <xf numFmtId="37" fontId="1" fillId="0" borderId="28" xfId="122" applyNumberFormat="1" applyBorder="1"/>
    <xf numFmtId="37" fontId="1" fillId="0" borderId="29" xfId="122" applyNumberFormat="1" applyBorder="1"/>
    <xf numFmtId="37" fontId="7" fillId="0" borderId="34" xfId="122" applyNumberFormat="1" applyFont="1" applyBorder="1"/>
    <xf numFmtId="37" fontId="7" fillId="0" borderId="35" xfId="122" applyNumberFormat="1" applyFont="1" applyBorder="1"/>
    <xf numFmtId="41" fontId="21" fillId="0" borderId="28" xfId="122" applyFont="1" applyBorder="1" applyAlignment="1">
      <alignment horizontal="center"/>
    </xf>
    <xf numFmtId="41" fontId="21" fillId="0" borderId="29" xfId="122" applyFont="1" applyBorder="1" applyAlignment="1">
      <alignment horizontal="center"/>
    </xf>
    <xf numFmtId="41" fontId="1" fillId="0" borderId="36" xfId="122" applyBorder="1" applyAlignment="1">
      <alignment horizontal="center"/>
    </xf>
    <xf numFmtId="41" fontId="1" fillId="0" borderId="37" xfId="122" applyBorder="1" applyAlignment="1">
      <alignment horizontal="center"/>
    </xf>
    <xf numFmtId="41" fontId="21" fillId="0" borderId="0" xfId="122" applyFont="1" applyBorder="1" applyAlignment="1">
      <alignment horizontal="center"/>
    </xf>
    <xf numFmtId="41" fontId="7" fillId="0" borderId="0" xfId="122" quotePrefix="1" applyFont="1" applyBorder="1" applyAlignment="1">
      <alignment horizontal="center"/>
    </xf>
    <xf numFmtId="41" fontId="44" fillId="0" borderId="0" xfId="122" applyFont="1" applyAlignment="1">
      <alignment horizontal="left"/>
    </xf>
    <xf numFmtId="41" fontId="45" fillId="0" borderId="0" xfId="122" applyFont="1"/>
    <xf numFmtId="41" fontId="21" fillId="0" borderId="0" xfId="122" applyFont="1" applyAlignment="1">
      <alignment horizontal="left"/>
    </xf>
    <xf numFmtId="41" fontId="13" fillId="0" borderId="0" xfId="122" applyFont="1"/>
    <xf numFmtId="41" fontId="13" fillId="0" borderId="0" xfId="122" applyFont="1" applyAlignment="1">
      <alignment horizontal="center"/>
    </xf>
    <xf numFmtId="41" fontId="13" fillId="0" borderId="0" xfId="122" quotePrefix="1" applyFont="1" applyAlignment="1">
      <alignment horizontal="center"/>
    </xf>
    <xf numFmtId="41" fontId="13" fillId="0" borderId="0" xfId="122" applyFont="1" applyBorder="1" applyAlignment="1">
      <alignment horizontal="center"/>
    </xf>
    <xf numFmtId="41" fontId="44" fillId="0" borderId="0" xfId="122" applyFont="1" applyAlignment="1">
      <alignment horizontal="center"/>
    </xf>
    <xf numFmtId="41" fontId="44" fillId="0" borderId="0" xfId="122" quotePrefix="1" applyFont="1" applyAlignment="1">
      <alignment horizontal="center"/>
    </xf>
    <xf numFmtId="41" fontId="44" fillId="0" borderId="0" xfId="122" applyFont="1" applyBorder="1" applyAlignment="1">
      <alignment horizontal="center"/>
    </xf>
    <xf numFmtId="41" fontId="1" fillId="0" borderId="28" xfId="122" applyFont="1" applyBorder="1" applyAlignment="1">
      <alignment horizontal="centerContinuous"/>
    </xf>
    <xf numFmtId="41" fontId="1" fillId="0" borderId="29" xfId="122" applyFont="1" applyBorder="1" applyAlignment="1">
      <alignment horizontal="centerContinuous"/>
    </xf>
    <xf numFmtId="41" fontId="1" fillId="0" borderId="0" xfId="122" applyFont="1" applyBorder="1" applyAlignment="1">
      <alignment horizontal="centerContinuous"/>
    </xf>
    <xf numFmtId="41" fontId="47" fillId="0" borderId="0" xfId="130" applyNumberFormat="1" applyFont="1"/>
    <xf numFmtId="41" fontId="25" fillId="0" borderId="0" xfId="130" applyNumberFormat="1" applyFont="1"/>
    <xf numFmtId="41" fontId="1" fillId="0" borderId="0" xfId="130" applyNumberFormat="1"/>
    <xf numFmtId="41" fontId="25" fillId="0" borderId="0" xfId="130" applyNumberFormat="1" applyFont="1" applyAlignment="1">
      <alignment horizontal="center"/>
    </xf>
    <xf numFmtId="41" fontId="48" fillId="0" borderId="0" xfId="130" applyNumberFormat="1" applyFont="1" applyAlignment="1">
      <alignment horizontal="center"/>
    </xf>
    <xf numFmtId="41" fontId="9" fillId="0" borderId="0" xfId="130" applyNumberFormat="1" applyFont="1"/>
    <xf numFmtId="1" fontId="49" fillId="0" borderId="0" xfId="130" applyNumberFormat="1" applyFont="1"/>
    <xf numFmtId="41" fontId="49" fillId="0" borderId="0" xfId="130" applyNumberFormat="1" applyFont="1"/>
    <xf numFmtId="41" fontId="1" fillId="0" borderId="0" xfId="130" applyNumberFormat="1" applyAlignment="1">
      <alignment horizontal="right"/>
    </xf>
    <xf numFmtId="41" fontId="25" fillId="0" borderId="0" xfId="130" applyNumberFormat="1" applyFont="1" applyAlignment="1">
      <alignment horizontal="right"/>
    </xf>
    <xf numFmtId="169" fontId="25" fillId="0" borderId="0" xfId="130" applyNumberFormat="1" applyFont="1" applyAlignment="1">
      <alignment horizontal="center"/>
    </xf>
    <xf numFmtId="0" fontId="50" fillId="0" borderId="0" xfId="130" applyNumberFormat="1" applyFont="1" applyAlignment="1">
      <alignment horizontal="right"/>
    </xf>
    <xf numFmtId="164" fontId="50" fillId="0" borderId="0" xfId="130" applyNumberFormat="1" applyFont="1" applyAlignment="1">
      <alignment horizontal="right"/>
    </xf>
    <xf numFmtId="169" fontId="50" fillId="0" borderId="0" xfId="130" applyNumberFormat="1" applyFont="1" applyAlignment="1">
      <alignment horizontal="center"/>
    </xf>
    <xf numFmtId="41" fontId="9" fillId="0" borderId="0" xfId="130" applyNumberFormat="1" applyFont="1" applyAlignment="1">
      <alignment horizontal="right"/>
    </xf>
    <xf numFmtId="169" fontId="25" fillId="0" borderId="0" xfId="130" applyNumberFormat="1" applyFont="1"/>
    <xf numFmtId="170" fontId="25" fillId="0" borderId="0" xfId="130" applyNumberFormat="1" applyFont="1"/>
    <xf numFmtId="3" fontId="1" fillId="0" borderId="0" xfId="130" applyNumberFormat="1"/>
    <xf numFmtId="41" fontId="25" fillId="0" borderId="0" xfId="130" applyNumberFormat="1" applyFont="1" applyAlignment="1">
      <alignment horizontal="fill"/>
    </xf>
    <xf numFmtId="170" fontId="48" fillId="27" borderId="38" xfId="130" applyNumberFormat="1" applyFont="1" applyFill="1" applyBorder="1"/>
    <xf numFmtId="41" fontId="55" fillId="27" borderId="3" xfId="130" applyNumberFormat="1" applyFont="1" applyFill="1" applyBorder="1" applyAlignment="1">
      <alignment horizontal="center"/>
    </xf>
    <xf numFmtId="170" fontId="48" fillId="27" borderId="39" xfId="130" applyNumberFormat="1" applyFont="1" applyFill="1" applyBorder="1"/>
    <xf numFmtId="41" fontId="56" fillId="41" borderId="0" xfId="130" applyNumberFormat="1" applyFont="1" applyFill="1"/>
    <xf numFmtId="41" fontId="25" fillId="41" borderId="0" xfId="130" applyNumberFormat="1" applyFont="1" applyFill="1"/>
    <xf numFmtId="181" fontId="48" fillId="41" borderId="0" xfId="130" applyNumberFormat="1" applyFont="1" applyFill="1" applyAlignment="1">
      <alignment horizontal="center"/>
    </xf>
    <xf numFmtId="178" fontId="25" fillId="0" borderId="0" xfId="130" applyNumberFormat="1" applyFont="1"/>
    <xf numFmtId="41" fontId="21" fillId="22" borderId="0" xfId="130" applyNumberFormat="1" applyFont="1" applyFill="1"/>
    <xf numFmtId="10" fontId="25" fillId="0" borderId="0" xfId="120" applyNumberFormat="1" applyFont="1"/>
    <xf numFmtId="182" fontId="25" fillId="0" borderId="0" xfId="130" applyNumberFormat="1" applyFont="1"/>
    <xf numFmtId="183" fontId="25" fillId="0" borderId="0" xfId="120" applyNumberFormat="1" applyFont="1"/>
    <xf numFmtId="41" fontId="25" fillId="0" borderId="0" xfId="130" quotePrefix="1" applyNumberFormat="1" applyFont="1"/>
    <xf numFmtId="10" fontId="25" fillId="0" borderId="0" xfId="130" applyNumberFormat="1" applyFont="1"/>
    <xf numFmtId="41" fontId="25" fillId="0" borderId="0" xfId="130" quotePrefix="1" applyNumberFormat="1" applyFont="1" applyAlignment="1">
      <alignment horizontal="left"/>
    </xf>
    <xf numFmtId="41" fontId="50" fillId="0" borderId="0" xfId="130" applyNumberFormat="1" applyFont="1"/>
    <xf numFmtId="41" fontId="7" fillId="0" borderId="0" xfId="130" applyNumberFormat="1" applyFont="1" applyFill="1"/>
    <xf numFmtId="3" fontId="25" fillId="0" borderId="0" xfId="121" applyNumberFormat="1" applyFont="1"/>
    <xf numFmtId="165" fontId="25" fillId="0" borderId="0" xfId="130" applyNumberFormat="1" applyFont="1"/>
    <xf numFmtId="41" fontId="1" fillId="0" borderId="0" xfId="130" applyNumberFormat="1" applyFill="1"/>
    <xf numFmtId="3" fontId="25" fillId="0" borderId="0" xfId="121" applyNumberFormat="1" applyFont="1" applyFill="1"/>
    <xf numFmtId="38" fontId="25" fillId="0" borderId="0" xfId="130" applyNumberFormat="1" applyFont="1"/>
    <xf numFmtId="41" fontId="25" fillId="0" borderId="0" xfId="130" applyNumberFormat="1" applyFont="1" applyFill="1"/>
    <xf numFmtId="38" fontId="1" fillId="0" borderId="0" xfId="130" applyNumberFormat="1"/>
    <xf numFmtId="4" fontId="25" fillId="0" borderId="0" xfId="130" applyNumberFormat="1" applyFont="1"/>
    <xf numFmtId="41" fontId="55" fillId="27" borderId="38" xfId="130" applyNumberFormat="1" applyFont="1" applyFill="1" applyBorder="1"/>
    <xf numFmtId="3" fontId="25" fillId="0" borderId="0" xfId="130" applyNumberFormat="1" applyFont="1"/>
    <xf numFmtId="170" fontId="1" fillId="0" borderId="0" xfId="130" applyNumberFormat="1"/>
    <xf numFmtId="38" fontId="25" fillId="0" borderId="0" xfId="130" applyNumberFormat="1" applyFont="1" applyAlignment="1">
      <alignment horizontal="fill"/>
    </xf>
    <xf numFmtId="41" fontId="59" fillId="0" borderId="0" xfId="122" applyFont="1" applyBorder="1" applyAlignment="1">
      <alignment horizontal="centerContinuous"/>
    </xf>
    <xf numFmtId="41" fontId="59" fillId="0" borderId="26" xfId="122" applyFont="1" applyBorder="1" applyAlignment="1">
      <alignment horizontal="centerContinuous"/>
    </xf>
    <xf numFmtId="41" fontId="59" fillId="0" borderId="27" xfId="122" applyFont="1" applyBorder="1" applyAlignment="1">
      <alignment horizontal="centerContinuous"/>
    </xf>
    <xf numFmtId="41" fontId="60" fillId="0" borderId="0" xfId="122" applyFont="1" applyBorder="1" applyAlignment="1">
      <alignment horizontal="center"/>
    </xf>
    <xf numFmtId="41" fontId="60" fillId="0" borderId="28" xfId="122" applyFont="1" applyBorder="1" applyAlignment="1">
      <alignment horizontal="center"/>
    </xf>
    <xf numFmtId="41" fontId="9" fillId="0" borderId="0" xfId="117" applyFont="1" applyAlignment="1">
      <alignment horizontal="right"/>
    </xf>
    <xf numFmtId="170" fontId="48" fillId="27" borderId="38" xfId="117" applyNumberFormat="1" applyFont="1" applyFill="1" applyBorder="1"/>
    <xf numFmtId="41" fontId="55" fillId="27" borderId="3" xfId="117" applyFont="1" applyFill="1" applyBorder="1" applyAlignment="1">
      <alignment horizontal="center"/>
    </xf>
    <xf numFmtId="170" fontId="48" fillId="27" borderId="39" xfId="117" applyNumberFormat="1" applyFont="1" applyFill="1" applyBorder="1"/>
    <xf numFmtId="41" fontId="56" fillId="41" borderId="0" xfId="117" applyFont="1" applyFill="1"/>
    <xf numFmtId="41" fontId="25" fillId="41" borderId="0" xfId="117" applyFont="1" applyFill="1"/>
    <xf numFmtId="181" fontId="48" fillId="41" borderId="0" xfId="117" applyNumberFormat="1" applyFont="1" applyFill="1" applyAlignment="1">
      <alignment horizontal="center"/>
    </xf>
    <xf numFmtId="41" fontId="21" fillId="22" borderId="0" xfId="117" applyFont="1" applyFill="1"/>
    <xf numFmtId="182" fontId="25" fillId="0" borderId="0" xfId="117" applyNumberFormat="1" applyFont="1"/>
    <xf numFmtId="10" fontId="25" fillId="0" borderId="0" xfId="117" applyNumberFormat="1" applyFont="1"/>
    <xf numFmtId="41" fontId="50" fillId="0" borderId="0" xfId="117" applyNumberFormat="1" applyFont="1"/>
    <xf numFmtId="41" fontId="7" fillId="0" borderId="0" xfId="117" applyFont="1" applyFill="1"/>
    <xf numFmtId="165" fontId="25" fillId="0" borderId="0" xfId="117" applyNumberFormat="1" applyFont="1"/>
    <xf numFmtId="41" fontId="25" fillId="0" borderId="0" xfId="117" applyNumberFormat="1"/>
    <xf numFmtId="41" fontId="25" fillId="0" borderId="0" xfId="117" applyNumberFormat="1" applyFont="1" applyFill="1"/>
    <xf numFmtId="38" fontId="25" fillId="0" borderId="0" xfId="117" applyNumberFormat="1" applyFont="1"/>
    <xf numFmtId="38" fontId="25" fillId="0" borderId="0" xfId="117" applyNumberFormat="1"/>
    <xf numFmtId="41" fontId="25" fillId="0" borderId="0" xfId="117" applyFont="1" applyFill="1"/>
    <xf numFmtId="41" fontId="55" fillId="27" borderId="38" xfId="117" applyFont="1" applyFill="1" applyBorder="1"/>
    <xf numFmtId="41" fontId="7" fillId="0" borderId="0" xfId="122" applyFont="1" applyAlignment="1">
      <alignment horizontal="centerContinuous"/>
    </xf>
    <xf numFmtId="41" fontId="7" fillId="0" borderId="0" xfId="122" quotePrefix="1" applyFont="1" applyAlignment="1">
      <alignment horizontal="centerContinuous"/>
    </xf>
    <xf numFmtId="41" fontId="60" fillId="0" borderId="28" xfId="122" applyFont="1" applyBorder="1" applyAlignment="1">
      <alignment horizontal="centerContinuous"/>
    </xf>
    <xf numFmtId="41" fontId="21" fillId="0" borderId="29" xfId="122" applyFont="1" applyBorder="1" applyAlignment="1">
      <alignment horizontal="centerContinuous"/>
    </xf>
    <xf numFmtId="0" fontId="15" fillId="0" borderId="19" xfId="131" applyFont="1" applyFill="1" applyBorder="1" applyAlignment="1">
      <alignment horizontal="left"/>
    </xf>
    <xf numFmtId="0" fontId="1" fillId="0" borderId="17" xfId="131" applyFill="1" applyBorder="1"/>
    <xf numFmtId="0" fontId="1" fillId="0" borderId="17" xfId="131" applyFill="1" applyBorder="1" applyAlignment="1">
      <alignment horizontal="right"/>
    </xf>
    <xf numFmtId="38" fontId="7" fillId="0" borderId="20" xfId="131" applyNumberFormat="1" applyFont="1" applyFill="1" applyBorder="1"/>
    <xf numFmtId="0" fontId="1" fillId="0" borderId="0" xfId="131" applyFill="1"/>
    <xf numFmtId="0" fontId="1" fillId="0" borderId="23" xfId="131" applyFill="1" applyBorder="1" applyAlignment="1">
      <alignment horizontal="left"/>
    </xf>
    <xf numFmtId="0" fontId="1" fillId="0" borderId="24" xfId="131" applyFill="1" applyBorder="1"/>
    <xf numFmtId="0" fontId="1" fillId="0" borderId="24" xfId="131" applyFill="1" applyBorder="1" applyAlignment="1">
      <alignment horizontal="right"/>
    </xf>
    <xf numFmtId="44" fontId="7" fillId="0" borderId="25" xfId="132" applyFont="1" applyFill="1" applyBorder="1"/>
    <xf numFmtId="0" fontId="1" fillId="0" borderId="0" xfId="131" applyFill="1" applyAlignment="1">
      <alignment horizontal="left"/>
    </xf>
    <xf numFmtId="0" fontId="1" fillId="0" borderId="0" xfId="131" applyFill="1" applyAlignment="1">
      <alignment horizontal="right"/>
    </xf>
    <xf numFmtId="44" fontId="7" fillId="0" borderId="0" xfId="132" applyFont="1" applyFill="1" applyAlignment="1">
      <alignment horizontal="right"/>
    </xf>
    <xf numFmtId="0" fontId="1" fillId="0" borderId="20" xfId="131" applyFill="1" applyBorder="1"/>
    <xf numFmtId="0" fontId="15" fillId="0" borderId="21" xfId="131" applyFont="1" applyFill="1" applyBorder="1" applyAlignment="1">
      <alignment horizontal="left"/>
    </xf>
    <xf numFmtId="0" fontId="1" fillId="0" borderId="0" xfId="131" applyFill="1" applyBorder="1"/>
    <xf numFmtId="0" fontId="1" fillId="0" borderId="22" xfId="131" applyFill="1" applyBorder="1"/>
    <xf numFmtId="0" fontId="7" fillId="0" borderId="21" xfId="131" applyFont="1" applyFill="1" applyBorder="1" applyAlignment="1">
      <alignment horizontal="left"/>
    </xf>
    <xf numFmtId="0" fontId="7" fillId="0" borderId="0" xfId="131" applyFont="1" applyFill="1" applyBorder="1" applyAlignment="1">
      <alignment horizontal="center"/>
    </xf>
    <xf numFmtId="0" fontId="7" fillId="0" borderId="22" xfId="131" applyFont="1" applyFill="1" applyBorder="1" applyAlignment="1">
      <alignment horizontal="center" wrapText="1"/>
    </xf>
    <xf numFmtId="0" fontId="7" fillId="0" borderId="21" xfId="131" applyFont="1" applyFill="1" applyBorder="1" applyAlignment="1">
      <alignment horizontal="center"/>
    </xf>
    <xf numFmtId="0" fontId="1" fillId="0" borderId="0" xfId="131" applyFont="1" applyFill="1" applyBorder="1" applyAlignment="1">
      <alignment wrapText="1"/>
    </xf>
    <xf numFmtId="38" fontId="1" fillId="0" borderId="0" xfId="131" applyNumberFormat="1" applyFill="1" applyBorder="1"/>
    <xf numFmtId="38" fontId="1" fillId="0" borderId="22" xfId="131" applyNumberFormat="1" applyFill="1" applyBorder="1"/>
    <xf numFmtId="165" fontId="1" fillId="0" borderId="22" xfId="131" applyNumberFormat="1" applyFill="1" applyBorder="1"/>
    <xf numFmtId="41" fontId="1" fillId="0" borderId="0" xfId="131" applyNumberFormat="1" applyFont="1" applyFill="1" applyBorder="1" applyAlignment="1">
      <alignment wrapText="1"/>
    </xf>
    <xf numFmtId="0" fontId="1" fillId="0" borderId="0" xfId="131" applyFont="1" applyFill="1" applyBorder="1" applyAlignment="1">
      <alignment horizontal="right" wrapText="1"/>
    </xf>
    <xf numFmtId="165" fontId="1" fillId="0" borderId="22" xfId="133" applyNumberFormat="1" applyFill="1" applyBorder="1"/>
    <xf numFmtId="0" fontId="7" fillId="0" borderId="0" xfId="131" applyFont="1" applyFill="1" applyBorder="1" applyAlignment="1">
      <alignment horizontal="right"/>
    </xf>
    <xf numFmtId="38" fontId="1" fillId="0" borderId="24" xfId="131" applyNumberFormat="1" applyFill="1" applyBorder="1"/>
    <xf numFmtId="0" fontId="7" fillId="0" borderId="23" xfId="131" applyFont="1" applyFill="1" applyBorder="1" applyAlignment="1">
      <alignment horizontal="center"/>
    </xf>
    <xf numFmtId="0" fontId="7" fillId="0" borderId="24" xfId="131" applyFont="1" applyFill="1" applyBorder="1" applyAlignment="1">
      <alignment horizontal="right"/>
    </xf>
    <xf numFmtId="165" fontId="7" fillId="0" borderId="25" xfId="133" applyNumberFormat="1" applyFont="1" applyFill="1" applyBorder="1"/>
    <xf numFmtId="38" fontId="1" fillId="0" borderId="22" xfId="131" applyNumberFormat="1" applyFont="1" applyFill="1" applyBorder="1"/>
    <xf numFmtId="0" fontId="1" fillId="0" borderId="0" xfId="131" applyFill="1" applyAlignment="1">
      <alignment horizontal="center"/>
    </xf>
    <xf numFmtId="41" fontId="7" fillId="43" borderId="0" xfId="122" applyFont="1" applyFill="1" applyBorder="1" applyAlignment="1">
      <alignment horizontal="centerContinuous"/>
    </xf>
    <xf numFmtId="184" fontId="1" fillId="0" borderId="0" xfId="131" applyNumberFormat="1" applyFill="1"/>
    <xf numFmtId="41" fontId="7" fillId="0" borderId="0" xfId="122" applyFont="1" applyBorder="1" applyAlignment="1">
      <alignment horizontal="centerContinuous"/>
    </xf>
    <xf numFmtId="41" fontId="21" fillId="0" borderId="0" xfId="122" applyFont="1" applyBorder="1" applyAlignment="1">
      <alignment horizontal="centerContinuous"/>
    </xf>
    <xf numFmtId="41" fontId="1" fillId="0" borderId="28" xfId="122" applyFill="1" applyBorder="1" applyAlignment="1">
      <alignment horizontal="center"/>
    </xf>
    <xf numFmtId="41" fontId="1" fillId="0" borderId="29" xfId="122" applyFill="1" applyBorder="1" applyAlignment="1">
      <alignment horizontal="center"/>
    </xf>
    <xf numFmtId="41" fontId="1" fillId="0" borderId="36" xfId="122" applyFill="1" applyBorder="1" applyAlignment="1">
      <alignment horizontal="center"/>
    </xf>
    <xf numFmtId="41" fontId="1" fillId="0" borderId="37" xfId="122" applyFill="1" applyBorder="1" applyAlignment="1">
      <alignment horizontal="center"/>
    </xf>
    <xf numFmtId="41" fontId="7" fillId="0" borderId="0" xfId="122" applyFont="1" applyFill="1" applyAlignment="1">
      <alignment horizontal="left"/>
    </xf>
    <xf numFmtId="41" fontId="1" fillId="0" borderId="0" xfId="122" applyFill="1" applyAlignment="1">
      <alignment horizontal="center"/>
    </xf>
    <xf numFmtId="41" fontId="1" fillId="0" borderId="0" xfId="122" applyFill="1" applyBorder="1" applyAlignment="1">
      <alignment horizontal="center"/>
    </xf>
    <xf numFmtId="41" fontId="7" fillId="0" borderId="0" xfId="122" applyFont="1" applyFill="1" applyAlignment="1">
      <alignment horizontal="centerContinuous"/>
    </xf>
    <xf numFmtId="41" fontId="1" fillId="0" borderId="0" xfId="122" applyFill="1" applyAlignment="1">
      <alignment horizontal="centerContinuous"/>
    </xf>
    <xf numFmtId="41" fontId="1" fillId="0" borderId="0" xfId="122" applyFill="1" applyBorder="1" applyAlignment="1">
      <alignment horizontal="centerContinuous"/>
    </xf>
    <xf numFmtId="41" fontId="7" fillId="0" borderId="0" xfId="122" applyFont="1" applyFill="1" applyBorder="1" applyAlignment="1">
      <alignment horizontal="centerContinuous"/>
    </xf>
    <xf numFmtId="41" fontId="1" fillId="0" borderId="0" xfId="122" applyFill="1"/>
    <xf numFmtId="41" fontId="60" fillId="0" borderId="28" xfId="122" applyFont="1" applyFill="1" applyBorder="1" applyAlignment="1">
      <alignment horizontal="center"/>
    </xf>
    <xf numFmtId="41" fontId="21" fillId="0" borderId="29" xfId="122" applyFont="1" applyFill="1" applyBorder="1" applyAlignment="1">
      <alignment horizontal="center"/>
    </xf>
    <xf numFmtId="41" fontId="59" fillId="43" borderId="0" xfId="122" applyFont="1" applyFill="1" applyBorder="1" applyAlignment="1">
      <alignment horizontal="centerContinuous"/>
    </xf>
    <xf numFmtId="41" fontId="7" fillId="43" borderId="0" xfId="122" applyFont="1" applyFill="1" applyBorder="1" applyAlignment="1">
      <alignment horizontal="center"/>
    </xf>
    <xf numFmtId="41" fontId="1" fillId="43" borderId="0" xfId="122" applyFont="1" applyFill="1" applyBorder="1" applyAlignment="1">
      <alignment horizontal="center"/>
    </xf>
    <xf numFmtId="41" fontId="1" fillId="43" borderId="0" xfId="122" applyFill="1" applyBorder="1" applyAlignment="1">
      <alignment horizontal="center"/>
    </xf>
    <xf numFmtId="41" fontId="1" fillId="43" borderId="0" xfId="122" quotePrefix="1" applyFill="1" applyBorder="1" applyAlignment="1">
      <alignment horizontal="center"/>
    </xf>
    <xf numFmtId="37" fontId="1" fillId="43" borderId="4" xfId="122" applyNumberFormat="1" applyFill="1" applyBorder="1"/>
    <xf numFmtId="37" fontId="1" fillId="43" borderId="0" xfId="122" applyNumberFormat="1" applyFill="1" applyBorder="1"/>
    <xf numFmtId="37" fontId="7" fillId="43" borderId="18" xfId="122" applyNumberFormat="1" applyFont="1" applyFill="1" applyBorder="1"/>
    <xf numFmtId="41" fontId="59" fillId="42" borderId="0" xfId="122" applyFont="1" applyFill="1" applyBorder="1" applyAlignment="1">
      <alignment horizontal="centerContinuous"/>
    </xf>
    <xf numFmtId="41" fontId="7" fillId="42" borderId="0" xfId="122" applyFont="1" applyFill="1" applyBorder="1" applyAlignment="1">
      <alignment horizontal="centerContinuous"/>
    </xf>
    <xf numFmtId="41" fontId="7" fillId="42" borderId="0" xfId="122" applyFont="1" applyFill="1" applyBorder="1" applyAlignment="1">
      <alignment horizontal="center"/>
    </xf>
    <xf numFmtId="41" fontId="1" fillId="42" borderId="0" xfId="122" applyFont="1" applyFill="1" applyBorder="1" applyAlignment="1">
      <alignment horizontal="center"/>
    </xf>
    <xf numFmtId="41" fontId="1" fillId="42" borderId="0" xfId="122" applyFill="1" applyBorder="1" applyAlignment="1">
      <alignment horizontal="center"/>
    </xf>
    <xf numFmtId="41" fontId="1" fillId="42" borderId="0" xfId="122" quotePrefix="1" applyFill="1" applyBorder="1" applyAlignment="1">
      <alignment horizontal="center"/>
    </xf>
    <xf numFmtId="37" fontId="1" fillId="42" borderId="4" xfId="122" applyNumberFormat="1" applyFill="1" applyBorder="1"/>
    <xf numFmtId="37" fontId="1" fillId="42" borderId="0" xfId="122" applyNumberFormat="1" applyFill="1" applyBorder="1"/>
    <xf numFmtId="37" fontId="7" fillId="42" borderId="18" xfId="122" applyNumberFormat="1" applyFont="1" applyFill="1" applyBorder="1"/>
    <xf numFmtId="37" fontId="59" fillId="42" borderId="18" xfId="122" applyNumberFormat="1" applyFont="1" applyFill="1" applyBorder="1"/>
    <xf numFmtId="41" fontId="9" fillId="0" borderId="0" xfId="0" applyNumberFormat="1" applyFont="1" applyAlignment="1">
      <alignment horizontal="right"/>
    </xf>
    <xf numFmtId="170" fontId="48" fillId="27" borderId="38" xfId="0" applyNumberFormat="1" applyFont="1" applyFill="1" applyBorder="1"/>
    <xf numFmtId="41" fontId="55" fillId="27" borderId="3" xfId="0" applyNumberFormat="1" applyFont="1" applyFill="1" applyBorder="1" applyAlignment="1">
      <alignment horizontal="center"/>
    </xf>
    <xf numFmtId="170" fontId="48" fillId="27" borderId="39" xfId="0" applyNumberFormat="1" applyFont="1" applyFill="1" applyBorder="1"/>
    <xf numFmtId="41" fontId="56" fillId="41" borderId="0" xfId="0" applyNumberFormat="1" applyFont="1" applyFill="1"/>
    <xf numFmtId="41" fontId="25" fillId="41" borderId="0" xfId="0" applyNumberFormat="1" applyFont="1" applyFill="1"/>
    <xf numFmtId="181" fontId="48" fillId="41" borderId="0" xfId="0" applyNumberFormat="1" applyFont="1" applyFill="1" applyAlignment="1">
      <alignment horizontal="center"/>
    </xf>
    <xf numFmtId="41" fontId="21" fillId="22" borderId="0" xfId="0" applyNumberFormat="1" applyFont="1" applyFill="1"/>
    <xf numFmtId="182" fontId="25" fillId="0" borderId="0" xfId="0" applyNumberFormat="1" applyFont="1"/>
    <xf numFmtId="10" fontId="25" fillId="0" borderId="0" xfId="0" applyNumberFormat="1" applyFont="1"/>
    <xf numFmtId="41" fontId="50" fillId="0" borderId="0" xfId="0" applyNumberFormat="1" applyFont="1"/>
    <xf numFmtId="41" fontId="7" fillId="0" borderId="0" xfId="0" applyNumberFormat="1" applyFont="1" applyFill="1"/>
    <xf numFmtId="165" fontId="25" fillId="0" borderId="0" xfId="0" applyNumberFormat="1" applyFont="1"/>
    <xf numFmtId="41" fontId="25" fillId="0" borderId="0" xfId="0" applyNumberFormat="1" applyFont="1" applyFill="1"/>
    <xf numFmtId="38" fontId="25" fillId="0" borderId="0" xfId="0" applyNumberFormat="1" applyFont="1"/>
    <xf numFmtId="38" fontId="0" fillId="0" borderId="0" xfId="0" applyNumberFormat="1"/>
    <xf numFmtId="41" fontId="55" fillId="27" borderId="38" xfId="0" applyNumberFormat="1" applyFont="1" applyFill="1" applyBorder="1"/>
    <xf numFmtId="37" fontId="59" fillId="43" borderId="18" xfId="122" applyNumberFormat="1" applyFont="1" applyFill="1" applyBorder="1"/>
    <xf numFmtId="165" fontId="7" fillId="0" borderId="0" xfId="28" applyNumberFormat="1" applyFont="1"/>
    <xf numFmtId="165" fontId="1" fillId="0" borderId="0" xfId="28" applyNumberFormat="1" applyFont="1"/>
    <xf numFmtId="165" fontId="7" fillId="0" borderId="0" xfId="28" applyNumberFormat="1" applyFont="1" applyAlignment="1">
      <alignment horizontal="left"/>
    </xf>
    <xf numFmtId="165" fontId="7" fillId="0" borderId="0" xfId="28" applyNumberFormat="1" applyFont="1" applyBorder="1" applyAlignment="1">
      <alignment horizontal="left"/>
    </xf>
    <xf numFmtId="165" fontId="59" fillId="0" borderId="0" xfId="28" applyNumberFormat="1" applyFont="1" applyBorder="1" applyAlignment="1">
      <alignment horizontal="left"/>
    </xf>
    <xf numFmtId="165" fontId="1" fillId="0" borderId="0" xfId="28" applyNumberFormat="1" applyFont="1" applyBorder="1"/>
    <xf numFmtId="165" fontId="1" fillId="0" borderId="0" xfId="28" quotePrefix="1" applyNumberFormat="1" applyFont="1" applyBorder="1" applyAlignment="1" applyProtection="1">
      <alignment horizontal="center"/>
      <protection locked="0"/>
    </xf>
    <xf numFmtId="165" fontId="7" fillId="0" borderId="0" xfId="28" applyNumberFormat="1" applyFont="1" applyBorder="1" applyAlignment="1" applyProtection="1">
      <alignment horizontal="center" wrapText="1"/>
      <protection locked="0"/>
    </xf>
    <xf numFmtId="165" fontId="1" fillId="0" borderId="0" xfId="28" applyNumberFormat="1" applyFont="1" applyBorder="1" applyProtection="1">
      <protection locked="0"/>
    </xf>
    <xf numFmtId="165" fontId="1" fillId="0" borderId="0" xfId="28" applyNumberFormat="1" applyFont="1" applyBorder="1" applyAlignment="1" applyProtection="1">
      <alignment horizontal="center"/>
      <protection locked="0"/>
    </xf>
    <xf numFmtId="165" fontId="7" fillId="0" borderId="0" xfId="28" applyNumberFormat="1" applyFont="1" applyBorder="1" applyAlignment="1">
      <alignment vertical="center"/>
    </xf>
    <xf numFmtId="165" fontId="1" fillId="0" borderId="0" xfId="28" quotePrefix="1" applyNumberFormat="1" applyFont="1" applyBorder="1" applyAlignment="1" applyProtection="1">
      <alignment horizontal="left"/>
      <protection locked="0"/>
    </xf>
    <xf numFmtId="165" fontId="1" fillId="0" borderId="0" xfId="28" applyNumberFormat="1" applyFont="1" applyBorder="1" applyAlignment="1" applyProtection="1">
      <alignment horizontal="left"/>
      <protection locked="0"/>
    </xf>
    <xf numFmtId="165" fontId="1" fillId="0" borderId="4" xfId="28" applyNumberFormat="1" applyFont="1" applyBorder="1" applyProtection="1">
      <protection locked="0"/>
    </xf>
    <xf numFmtId="10" fontId="1" fillId="0" borderId="0" xfId="66" applyNumberFormat="1" applyFont="1" applyFill="1" applyBorder="1" applyAlignment="1">
      <alignment vertical="center"/>
    </xf>
    <xf numFmtId="168" fontId="1" fillId="0" borderId="0" xfId="66" applyNumberFormat="1" applyFont="1" applyBorder="1" applyAlignment="1">
      <alignment vertical="center"/>
    </xf>
    <xf numFmtId="0" fontId="1" fillId="0" borderId="0" xfId="130" applyFont="1" applyBorder="1"/>
    <xf numFmtId="165" fontId="7" fillId="0" borderId="0" xfId="28" quotePrefix="1" applyNumberFormat="1" applyFont="1" applyBorder="1" applyAlignment="1">
      <alignment horizontal="left" vertical="center"/>
    </xf>
    <xf numFmtId="0" fontId="7" fillId="0" borderId="0" xfId="130" applyFont="1"/>
    <xf numFmtId="0" fontId="1" fillId="0" borderId="0" xfId="130" applyFont="1"/>
    <xf numFmtId="0" fontId="7" fillId="0" borderId="0" xfId="130" applyFont="1" applyBorder="1"/>
    <xf numFmtId="0" fontId="1" fillId="0" borderId="0" xfId="130" applyFont="1" applyBorder="1" applyAlignment="1">
      <alignment horizontal="centerContinuous"/>
    </xf>
    <xf numFmtId="0" fontId="1" fillId="0" borderId="6" xfId="130" applyFont="1" applyBorder="1" applyAlignment="1">
      <alignment horizontal="center"/>
    </xf>
    <xf numFmtId="0" fontId="1" fillId="0" borderId="41" xfId="130" applyFont="1" applyBorder="1" applyAlignment="1">
      <alignment horizontal="center"/>
    </xf>
    <xf numFmtId="0" fontId="1" fillId="0" borderId="0" xfId="130" applyFont="1" applyAlignment="1">
      <alignment horizontal="center"/>
    </xf>
    <xf numFmtId="0" fontId="1" fillId="0" borderId="42" xfId="130" applyFont="1" applyBorder="1"/>
    <xf numFmtId="168" fontId="1" fillId="0" borderId="42" xfId="66" applyNumberFormat="1" applyFont="1" applyBorder="1"/>
    <xf numFmtId="168" fontId="1" fillId="0" borderId="0" xfId="66" applyNumberFormat="1" applyFont="1" applyBorder="1"/>
    <xf numFmtId="0" fontId="1" fillId="0" borderId="43" xfId="130" applyFont="1" applyBorder="1"/>
    <xf numFmtId="168" fontId="1" fillId="0" borderId="43" xfId="66" applyNumberFormat="1" applyFont="1" applyBorder="1"/>
    <xf numFmtId="168" fontId="1" fillId="0" borderId="24" xfId="66" applyNumberFormat="1" applyFont="1" applyBorder="1"/>
    <xf numFmtId="168" fontId="1" fillId="0" borderId="6" xfId="130" applyNumberFormat="1" applyFont="1" applyBorder="1"/>
    <xf numFmtId="0" fontId="7" fillId="0" borderId="24" xfId="130" applyFont="1" applyBorder="1"/>
    <xf numFmtId="0" fontId="1" fillId="0" borderId="24" xfId="130" applyFont="1" applyBorder="1"/>
    <xf numFmtId="168" fontId="1" fillId="0" borderId="0" xfId="66" applyNumberFormat="1" applyFont="1"/>
    <xf numFmtId="0" fontId="1" fillId="0" borderId="0" xfId="130" quotePrefix="1" applyFont="1" applyAlignment="1">
      <alignment horizontal="left"/>
    </xf>
    <xf numFmtId="168" fontId="1" fillId="0" borderId="0" xfId="66" quotePrefix="1" applyNumberFormat="1" applyFont="1"/>
    <xf numFmtId="10" fontId="1" fillId="0" borderId="0" xfId="66" applyNumberFormat="1" applyFont="1"/>
    <xf numFmtId="168" fontId="1" fillId="0" borderId="40" xfId="66" quotePrefix="1" applyNumberFormat="1" applyFont="1" applyBorder="1"/>
    <xf numFmtId="168" fontId="1" fillId="0" borderId="0" xfId="66" quotePrefix="1" applyNumberFormat="1" applyFont="1" applyBorder="1"/>
    <xf numFmtId="165" fontId="1" fillId="0" borderId="0" xfId="28" applyNumberFormat="1" applyFont="1" applyBorder="1" applyAlignment="1">
      <alignment horizontal="centerContinuous"/>
    </xf>
    <xf numFmtId="165" fontId="7" fillId="0" borderId="0" xfId="28" applyNumberFormat="1" applyFont="1" applyBorder="1" applyAlignment="1">
      <alignment horizontal="centerContinuous"/>
    </xf>
    <xf numFmtId="165" fontId="1" fillId="0" borderId="0" xfId="28" applyNumberFormat="1" applyFont="1" applyBorder="1" applyAlignment="1" applyProtection="1">
      <alignment horizontal="center" wrapText="1"/>
      <protection locked="0"/>
    </xf>
    <xf numFmtId="165" fontId="7" fillId="0" borderId="0" xfId="28" applyNumberFormat="1" applyFont="1" applyBorder="1" applyAlignment="1" applyProtection="1">
      <alignment horizontal="center"/>
      <protection locked="0"/>
    </xf>
    <xf numFmtId="165" fontId="7" fillId="0" borderId="0" xfId="28" applyNumberFormat="1" applyFont="1" applyBorder="1" applyProtection="1">
      <protection locked="0"/>
    </xf>
    <xf numFmtId="165" fontId="7" fillId="0" borderId="0" xfId="28" quotePrefix="1" applyNumberFormat="1" applyFont="1" applyBorder="1" applyAlignment="1" applyProtection="1">
      <alignment horizontal="left"/>
      <protection locked="0"/>
    </xf>
    <xf numFmtId="165" fontId="7" fillId="0" borderId="4" xfId="28" applyNumberFormat="1" applyFont="1" applyBorder="1" applyProtection="1">
      <protection locked="0"/>
    </xf>
    <xf numFmtId="10" fontId="7" fillId="0" borderId="0" xfId="66" applyNumberFormat="1" applyFont="1" applyFill="1" applyBorder="1" applyAlignment="1">
      <alignment vertical="center"/>
    </xf>
    <xf numFmtId="168" fontId="7" fillId="0" borderId="0" xfId="66" applyNumberFormat="1" applyFont="1" applyBorder="1" applyAlignment="1">
      <alignment vertical="center"/>
    </xf>
    <xf numFmtId="165" fontId="59" fillId="0" borderId="0" xfId="28" applyNumberFormat="1" applyFont="1" applyBorder="1" applyProtection="1">
      <protection locked="0"/>
    </xf>
    <xf numFmtId="165" fontId="7" fillId="0" borderId="0" xfId="28" applyNumberFormat="1" applyFont="1" applyBorder="1" applyAlignment="1" applyProtection="1">
      <alignment horizontal="left"/>
      <protection locked="0"/>
    </xf>
    <xf numFmtId="41" fontId="59" fillId="0" borderId="0" xfId="122" applyFont="1" applyAlignment="1">
      <alignment horizontal="left"/>
    </xf>
    <xf numFmtId="41" fontId="61" fillId="0" borderId="0" xfId="130" applyNumberFormat="1" applyFont="1" applyAlignment="1">
      <alignment horizontal="centerContinuous"/>
    </xf>
    <xf numFmtId="0" fontId="7" fillId="0" borderId="0" xfId="131" applyFont="1" applyFill="1" applyAlignment="1">
      <alignment horizontal="centerContinuous"/>
    </xf>
    <xf numFmtId="0" fontId="7" fillId="0" borderId="4" xfId="131" applyFont="1" applyFill="1" applyBorder="1" applyAlignment="1">
      <alignment horizontal="centerContinuous"/>
    </xf>
    <xf numFmtId="0" fontId="7" fillId="0" borderId="24" xfId="131" applyFont="1" applyFill="1" applyBorder="1" applyAlignment="1">
      <alignment horizontal="center"/>
    </xf>
    <xf numFmtId="0" fontId="7" fillId="0" borderId="25" xfId="131" applyFont="1" applyFill="1" applyBorder="1" applyAlignment="1">
      <alignment horizontal="center" wrapText="1"/>
    </xf>
    <xf numFmtId="0" fontId="1" fillId="0" borderId="19" xfId="131" applyFill="1" applyBorder="1"/>
    <xf numFmtId="0" fontId="1" fillId="0" borderId="21" xfId="131" applyFill="1" applyBorder="1"/>
    <xf numFmtId="0" fontId="7" fillId="0" borderId="25" xfId="131" applyFont="1" applyFill="1" applyBorder="1" applyAlignment="1">
      <alignment horizontal="center"/>
    </xf>
    <xf numFmtId="38" fontId="1" fillId="0" borderId="21" xfId="131" applyNumberFormat="1" applyFill="1" applyBorder="1"/>
    <xf numFmtId="37" fontId="1" fillId="0" borderId="22" xfId="131" applyNumberFormat="1" applyFill="1" applyBorder="1"/>
    <xf numFmtId="165" fontId="1" fillId="0" borderId="22" xfId="28" applyNumberFormat="1" applyFill="1" applyBorder="1"/>
    <xf numFmtId="38" fontId="1" fillId="0" borderId="23" xfId="131" applyNumberFormat="1" applyFill="1" applyBorder="1"/>
    <xf numFmtId="165" fontId="7" fillId="0" borderId="22" xfId="131" applyNumberFormat="1" applyFont="1" applyFill="1" applyBorder="1"/>
    <xf numFmtId="0" fontId="1" fillId="0" borderId="23" xfId="131" applyFill="1" applyBorder="1"/>
    <xf numFmtId="165" fontId="7" fillId="0" borderId="25" xfId="131" applyNumberFormat="1" applyFont="1" applyFill="1" applyBorder="1"/>
    <xf numFmtId="0" fontId="1" fillId="0" borderId="44" xfId="131" applyFill="1" applyBorder="1"/>
    <xf numFmtId="0" fontId="7" fillId="0" borderId="42" xfId="131" applyFont="1" applyFill="1" applyBorder="1" applyAlignment="1">
      <alignment horizontal="center"/>
    </xf>
    <xf numFmtId="0" fontId="7" fillId="0" borderId="43" xfId="131" applyFont="1" applyFill="1" applyBorder="1" applyAlignment="1">
      <alignment horizontal="center"/>
    </xf>
    <xf numFmtId="0" fontId="1" fillId="0" borderId="42" xfId="131" applyFill="1" applyBorder="1"/>
    <xf numFmtId="37" fontId="1" fillId="0" borderId="42" xfId="131" applyNumberFormat="1" applyFill="1" applyBorder="1"/>
    <xf numFmtId="38" fontId="1" fillId="0" borderId="43" xfId="131" applyNumberFormat="1" applyFill="1" applyBorder="1"/>
    <xf numFmtId="0" fontId="1" fillId="0" borderId="43" xfId="131" applyFill="1" applyBorder="1"/>
    <xf numFmtId="38" fontId="1" fillId="0" borderId="43" xfId="131" applyNumberFormat="1" applyFont="1" applyFill="1" applyBorder="1"/>
    <xf numFmtId="38" fontId="1" fillId="0" borderId="44" xfId="131" applyNumberFormat="1" applyFill="1" applyBorder="1"/>
    <xf numFmtId="38" fontId="1" fillId="0" borderId="42" xfId="131" applyNumberFormat="1" applyFill="1" applyBorder="1"/>
    <xf numFmtId="0" fontId="7" fillId="0" borderId="41" xfId="131" applyFont="1" applyFill="1" applyBorder="1" applyAlignment="1">
      <alignment horizontal="centerContinuous"/>
    </xf>
    <xf numFmtId="0" fontId="7" fillId="0" borderId="45" xfId="131" applyFont="1" applyFill="1" applyBorder="1" applyAlignment="1">
      <alignment horizontal="centerContinuous"/>
    </xf>
    <xf numFmtId="37" fontId="7" fillId="0" borderId="22" xfId="131" applyNumberFormat="1" applyFont="1" applyFill="1" applyBorder="1"/>
    <xf numFmtId="0" fontId="1" fillId="0" borderId="21" xfId="131" applyFill="1" applyBorder="1" applyAlignment="1">
      <alignment horizontal="right"/>
    </xf>
    <xf numFmtId="176" fontId="1" fillId="0" borderId="0" xfId="61" applyNumberFormat="1" applyAlignment="1">
      <alignment horizontal="left"/>
    </xf>
    <xf numFmtId="171" fontId="49" fillId="0" borderId="0" xfId="130" applyNumberFormat="1" applyFont="1" applyAlignment="1">
      <alignment horizontal="left"/>
    </xf>
    <xf numFmtId="171" fontId="49" fillId="0" borderId="0" xfId="117" applyNumberFormat="1" applyFont="1" applyAlignment="1">
      <alignment horizontal="left"/>
    </xf>
    <xf numFmtId="171" fontId="49" fillId="0" borderId="0" xfId="0" applyNumberFormat="1" applyFont="1" applyAlignment="1">
      <alignment horizontal="left"/>
    </xf>
  </cellXfs>
  <cellStyles count="13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cellStyle name="Comma  - Style2" xfId="30"/>
    <cellStyle name="Comma  - Style3" xfId="31"/>
    <cellStyle name="Comma  - Style4" xfId="32"/>
    <cellStyle name="Comma  - Style5" xfId="33"/>
    <cellStyle name="Comma  - Style6" xfId="34"/>
    <cellStyle name="Comma  - Style7" xfId="35"/>
    <cellStyle name="Comma  - Style8" xfId="36"/>
    <cellStyle name="Comma 2" xfId="119"/>
    <cellStyle name="Comma 2 2" xfId="125"/>
    <cellStyle name="Comma 2 3" xfId="133"/>
    <cellStyle name="Comma 3" xfId="121"/>
    <cellStyle name="Comma 4" xfId="126"/>
    <cellStyle name="Comma0" xfId="37"/>
    <cellStyle name="Currency 2" xfId="132"/>
    <cellStyle name="Currency No Comma" xfId="38"/>
    <cellStyle name="Currency0" xfId="39"/>
    <cellStyle name="Date" xfId="40"/>
    <cellStyle name="Explanatory Text" xfId="41" builtinId="53" customBuiltin="1"/>
    <cellStyle name="Fixed" xfId="42"/>
    <cellStyle name="General" xfId="43"/>
    <cellStyle name="Good" xfId="44" builtinId="26" customBuiltin="1"/>
    <cellStyle name="Grey" xfId="45"/>
    <cellStyle name="header" xfId="46"/>
    <cellStyle name="Header1" xfId="47"/>
    <cellStyle name="Header2" xfId="48"/>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Input [yellow]" xfId="54"/>
    <cellStyle name="Linked Cell" xfId="55" builtinId="24" customBuiltin="1"/>
    <cellStyle name="MCP" xfId="56"/>
    <cellStyle name="Neutral" xfId="57" builtinId="28" customBuiltin="1"/>
    <cellStyle name="nONE" xfId="58"/>
    <cellStyle name="noninput" xfId="59"/>
    <cellStyle name="Normal" xfId="0" builtinId="0"/>
    <cellStyle name="Normal - Style1" xfId="60"/>
    <cellStyle name="Normal 2" xfId="117"/>
    <cellStyle name="Normal 2 2" xfId="123"/>
    <cellStyle name="Normal 3" xfId="122"/>
    <cellStyle name="Normal 4" xfId="127"/>
    <cellStyle name="Normal 5" xfId="129"/>
    <cellStyle name="Normal 6" xfId="130"/>
    <cellStyle name="Normal_5.1 NPC Adj WA " xfId="61"/>
    <cellStyle name="Normal_Adjustment Template" xfId="62"/>
    <cellStyle name="Normal_Washington GRC Impact Analysis" xfId="131"/>
    <cellStyle name="Note" xfId="63" builtinId="10" customBuiltin="1"/>
    <cellStyle name="Output" xfId="64" builtinId="21" customBuiltin="1"/>
    <cellStyle name="Password" xfId="65"/>
    <cellStyle name="Percent" xfId="66" builtinId="5"/>
    <cellStyle name="Percent [2]" xfId="67"/>
    <cellStyle name="Percent 2" xfId="118"/>
    <cellStyle name="Percent 2 2" xfId="124"/>
    <cellStyle name="Percent 3" xfId="120"/>
    <cellStyle name="Percent 4" xfId="128"/>
    <cellStyle name="SAPBEXaggData" xfId="68"/>
    <cellStyle name="SAPBEXaggDataEmph" xfId="69"/>
    <cellStyle name="SAPBEXaggItem" xfId="70"/>
    <cellStyle name="SAPBEXaggItemX" xfId="71"/>
    <cellStyle name="SAPBEXchaText" xfId="72"/>
    <cellStyle name="SAPBEXexcBad7" xfId="73"/>
    <cellStyle name="SAPBEXexcBad8" xfId="74"/>
    <cellStyle name="SAPBEXexcBad9" xfId="75"/>
    <cellStyle name="SAPBEXexcCritical4" xfId="76"/>
    <cellStyle name="SAPBEXexcCritical5" xfId="77"/>
    <cellStyle name="SAPBEXexcCritical6" xfId="78"/>
    <cellStyle name="SAPBEXexcGood1" xfId="79"/>
    <cellStyle name="SAPBEXexcGood2" xfId="80"/>
    <cellStyle name="SAPBEXexcGood3" xfId="81"/>
    <cellStyle name="SAPBEXfilterDrill" xfId="82"/>
    <cellStyle name="SAPBEXfilterItem" xfId="83"/>
    <cellStyle name="SAPBEXfilterText" xfId="84"/>
    <cellStyle name="SAPBEXformats" xfId="85"/>
    <cellStyle name="SAPBEXheaderItem" xfId="86"/>
    <cellStyle name="SAPBEXheaderText" xfId="87"/>
    <cellStyle name="SAPBEXHLevel0" xfId="88"/>
    <cellStyle name="SAPBEXHLevel0X" xfId="89"/>
    <cellStyle name="SAPBEXHLevel1" xfId="90"/>
    <cellStyle name="SAPBEXHLevel1X" xfId="91"/>
    <cellStyle name="SAPBEXHLevel2" xfId="92"/>
    <cellStyle name="SAPBEXHLevel2X" xfId="93"/>
    <cellStyle name="SAPBEXHLevel3" xfId="94"/>
    <cellStyle name="SAPBEXHLevel3X" xfId="95"/>
    <cellStyle name="SAPBEXresData" xfId="96"/>
    <cellStyle name="SAPBEXresDataEmph" xfId="97"/>
    <cellStyle name="SAPBEXresItem" xfId="98"/>
    <cellStyle name="SAPBEXresItemX" xfId="99"/>
    <cellStyle name="SAPBEXstdData" xfId="100"/>
    <cellStyle name="SAPBEXstdDataEmph" xfId="101"/>
    <cellStyle name="SAPBEXstdItem" xfId="102"/>
    <cellStyle name="SAPBEXstdItemX" xfId="103"/>
    <cellStyle name="SAPBEXtitle" xfId="104"/>
    <cellStyle name="SAPBEXundefined" xfId="105"/>
    <cellStyle name="Style 21" xfId="106"/>
    <cellStyle name="Style 22" xfId="107"/>
    <cellStyle name="Style 24" xfId="108"/>
    <cellStyle name="Title" xfId="109" builtinId="15" customBuiltin="1"/>
    <cellStyle name="Titles" xfId="110"/>
    <cellStyle name="Total" xfId="111" builtinId="25" customBuiltin="1"/>
    <cellStyle name="TRANSMISSION RELIABILITY PORTION OF PROJECT" xfId="112"/>
    <cellStyle name="Unprot" xfId="113"/>
    <cellStyle name="Unprot$" xfId="114"/>
    <cellStyle name="Unprotect" xfId="115"/>
    <cellStyle name="Warning Text" xfId="116" builtinId="11" customBuiltin="1"/>
  </cellStyles>
  <dxfs count="6">
    <dxf>
      <fill>
        <patternFill>
          <bgColor indexed="43"/>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42</xdr:row>
      <xdr:rowOff>85725</xdr:rowOff>
    </xdr:from>
    <xdr:to>
      <xdr:col>10</xdr:col>
      <xdr:colOff>381000</xdr:colOff>
      <xdr:row>50</xdr:row>
      <xdr:rowOff>0</xdr:rowOff>
    </xdr:to>
    <xdr:sp macro="" textlink="">
      <xdr:nvSpPr>
        <xdr:cNvPr id="2" name="Text 3"/>
        <xdr:cNvSpPr txBox="1">
          <a:spLocks noChangeArrowheads="1"/>
        </xdr:cNvSpPr>
      </xdr:nvSpPr>
      <xdr:spPr bwMode="auto">
        <a:xfrm>
          <a:off x="219075" y="6972300"/>
          <a:ext cx="6276975" cy="120967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latin typeface="+mn-lt"/>
              <a:ea typeface="+mn-ea"/>
              <a:cs typeface="+mn-cs"/>
            </a:rPr>
            <a:t>The net power cost adjustment normalizes power costs by adjusting sales for resale, purchase power, wheeling and fuel in a manner consistent with the contractual terms of sales and purchase agreements, and normal hydro and weather conditions on a West Control Area (WCA) basis. This portion of the adjustment reflects normalized power costs for the 12 months ended December 2009.</a:t>
          </a:r>
          <a:endParaRPr lang="en-US" sz="900"/>
        </a:p>
        <a:p>
          <a:pPr algn="l" rtl="0">
            <a:defRPr sz="1000"/>
          </a:pPr>
          <a:endParaRPr lang="en-US" sz="9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225425</xdr:colOff>
      <xdr:row>42</xdr:row>
      <xdr:rowOff>15874</xdr:rowOff>
    </xdr:from>
    <xdr:to>
      <xdr:col>10</xdr:col>
      <xdr:colOff>387350</xdr:colOff>
      <xdr:row>49</xdr:row>
      <xdr:rowOff>123824</xdr:rowOff>
    </xdr:to>
    <xdr:sp macro="" textlink="">
      <xdr:nvSpPr>
        <xdr:cNvPr id="2049" name="Text 3"/>
        <xdr:cNvSpPr txBox="1">
          <a:spLocks noChangeArrowheads="1"/>
        </xdr:cNvSpPr>
      </xdr:nvSpPr>
      <xdr:spPr bwMode="auto">
        <a:xfrm>
          <a:off x="225425" y="6902449"/>
          <a:ext cx="8086725" cy="124142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000" b="0" i="0" baseline="0">
              <a:latin typeface="Arial" pitchFamily="34" charset="0"/>
              <a:ea typeface="+mn-ea"/>
              <a:cs typeface="Arial" pitchFamily="34" charset="0"/>
            </a:rPr>
            <a:t>The  pro forma net power cost adjustment normalizes power costs by adjusting sales for resale, purchase power, wheeling and fuel in a manner consistent with the contractual terms of sales and purchase agreements, and normal hydro and weather conditions on a West Control Area (WCA) basis. This adjustment reflects  the necessary change to net power costs from the calendar year 2009 restated level to the pro forma  level for the twelve months ended March 2012, based on the Rebuttal testimony of Gregory N. Duvall. The total pro forma net power costs have been adjusted back to the Test Period using the production factor as outlined on adjustment Page 12.7 of Exhibit No.___(RBD-6) - Revised 12/10/10.</a:t>
          </a:r>
        </a:p>
        <a:p>
          <a:pPr rtl="0" eaLnBrk="1" fontAlgn="auto" latinLnBrk="0" hangingPunct="1"/>
          <a:endParaRPr lang="en-US" sz="1000" b="0" i="0" baseline="0">
            <a:latin typeface="Arial" pitchFamily="34" charset="0"/>
            <a:ea typeface="+mn-ea"/>
            <a:cs typeface="Arial" pitchFamily="34" charset="0"/>
          </a:endParaRPr>
        </a:p>
        <a:p>
          <a:pPr rtl="0" eaLnBrk="1" fontAlgn="auto" latinLnBrk="0" hangingPunct="1"/>
          <a:r>
            <a:rPr lang="en-US" sz="1000" b="0" i="0" baseline="0">
              <a:latin typeface="Arial" pitchFamily="34" charset="0"/>
              <a:ea typeface="+mn-ea"/>
              <a:cs typeface="Arial" pitchFamily="34" charset="0"/>
            </a:rPr>
            <a:t>This adjustment replaces the Company's original pro forma net power cost adjustment, Page 5.2 of Exhibit No.___(RBD-3).</a:t>
          </a:r>
          <a:endParaRPr lang="en-US" sz="100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22408</xdr:colOff>
      <xdr:row>48</xdr:row>
      <xdr:rowOff>78440</xdr:rowOff>
    </xdr:from>
    <xdr:to>
      <xdr:col>5</xdr:col>
      <xdr:colOff>11205</xdr:colOff>
      <xdr:row>50</xdr:row>
      <xdr:rowOff>134471</xdr:rowOff>
    </xdr:to>
    <xdr:sp macro="" textlink="">
      <xdr:nvSpPr>
        <xdr:cNvPr id="2" name="Right Brace 1"/>
        <xdr:cNvSpPr/>
      </xdr:nvSpPr>
      <xdr:spPr>
        <a:xfrm rot="5400000">
          <a:off x="3692335" y="4387102"/>
          <a:ext cx="369795" cy="7261414"/>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S/REGULATN/ER/WA%20GRC%20CY%202009/Supplemental/R.%20Bryce%20Dalley%20Supplemental%20Workpapers%20(Rebuttal)/Supplemental%20Revenue%20Requirement%20Summary%20(Rebuttal)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ummary"/>
      <sheetName val="Total Adj"/>
      <sheetName val="Restating Adj"/>
      <sheetName val="Pro Forma Adj"/>
      <sheetName val="CWC Calc"/>
      <sheetName val="Interest Calc"/>
      <sheetName val="Variables"/>
      <sheetName val="Check Sheet"/>
      <sheetName val="Page 1.4"/>
      <sheetName val="Page 1.5"/>
      <sheetName val="Page 1.6"/>
    </sheetNames>
    <sheetDataSet>
      <sheetData sheetId="0">
        <row r="37">
          <cell r="F37">
            <v>40184285.381358862</v>
          </cell>
        </row>
        <row r="64">
          <cell r="F64">
            <v>766131032.52991462</v>
          </cell>
        </row>
        <row r="67">
          <cell r="F67">
            <v>4.6549386355989431E-2</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K50"/>
  <sheetViews>
    <sheetView tabSelected="1" zoomScaleNormal="100" workbookViewId="0">
      <selection activeCell="K11" sqref="K11"/>
    </sheetView>
  </sheetViews>
  <sheetFormatPr defaultRowHeight="12.75"/>
  <cols>
    <col min="1" max="1" width="4.140625" style="2" customWidth="1"/>
    <col min="2" max="2" width="6.85546875" style="2" customWidth="1"/>
    <col min="3" max="3" width="28.140625" style="2" customWidth="1"/>
    <col min="4" max="4" width="10.5703125" style="2" customWidth="1"/>
    <col min="5" max="5" width="9.140625" style="2"/>
    <col min="6" max="6" width="14.5703125" style="3" customWidth="1"/>
    <col min="7" max="7" width="9.140625" style="4"/>
    <col min="8" max="8" width="11.7109375" style="4" customWidth="1"/>
    <col min="9" max="9" width="15.42578125" style="4" customWidth="1"/>
    <col min="10" max="16384" width="9.140625" style="2"/>
  </cols>
  <sheetData>
    <row r="1" spans="1:10">
      <c r="A1" s="1" t="s">
        <v>0</v>
      </c>
      <c r="B1" s="1"/>
      <c r="I1" s="108" t="s">
        <v>1</v>
      </c>
      <c r="J1" s="109">
        <v>5.0999999999999996</v>
      </c>
    </row>
    <row r="2" spans="1:10">
      <c r="A2" s="1" t="s">
        <v>132</v>
      </c>
      <c r="B2" s="1"/>
    </row>
    <row r="3" spans="1:10">
      <c r="A3" s="107" t="s">
        <v>191</v>
      </c>
      <c r="B3" s="1"/>
    </row>
    <row r="5" spans="1:10">
      <c r="F5" s="5" t="s">
        <v>2</v>
      </c>
      <c r="I5" s="5" t="s">
        <v>196</v>
      </c>
    </row>
    <row r="6" spans="1:10" ht="15">
      <c r="D6" s="6" t="s">
        <v>3</v>
      </c>
      <c r="E6" s="6" t="s">
        <v>4</v>
      </c>
      <c r="F6" s="7" t="s">
        <v>5</v>
      </c>
      <c r="G6" s="6" t="s">
        <v>6</v>
      </c>
      <c r="H6" s="6" t="s">
        <v>195</v>
      </c>
      <c r="I6" s="7" t="s">
        <v>197</v>
      </c>
      <c r="J6" s="6" t="s">
        <v>7</v>
      </c>
    </row>
    <row r="7" spans="1:10" ht="15">
      <c r="B7" s="1" t="s">
        <v>8</v>
      </c>
      <c r="D7" s="6"/>
      <c r="E7" s="6"/>
      <c r="F7" s="7"/>
      <c r="G7" s="6"/>
      <c r="H7" s="6"/>
      <c r="I7" s="6"/>
      <c r="J7" s="6"/>
    </row>
    <row r="8" spans="1:10" ht="15">
      <c r="B8" s="1"/>
      <c r="D8" s="6"/>
      <c r="E8" s="6"/>
      <c r="F8" s="7"/>
      <c r="G8" s="6"/>
      <c r="H8" s="6"/>
      <c r="I8" s="6"/>
      <c r="J8" s="6"/>
    </row>
    <row r="9" spans="1:10">
      <c r="B9" s="8" t="str">
        <f>'NPC Summary 12.6.1 '!A14</f>
        <v>Sales for Resale  (Account 447)</v>
      </c>
      <c r="C9" s="27"/>
    </row>
    <row r="10" spans="1:10">
      <c r="B10" s="75" t="str">
        <f>'NPC Summary 12.6.1 '!A15</f>
        <v>Existing Firm Sales - Pacific</v>
      </c>
      <c r="C10" s="27"/>
      <c r="D10" s="9" t="str">
        <f>'NPC Summary 12.6.1 '!B15</f>
        <v>447NPC</v>
      </c>
      <c r="E10" s="4" t="s">
        <v>183</v>
      </c>
      <c r="F10" s="3">
        <f>'NPC Summary 12.6.1 '!K15</f>
        <v>0</v>
      </c>
      <c r="G10" s="4" t="str">
        <f>'NPC Summary 12.6.1 '!C15</f>
        <v>CAGW</v>
      </c>
      <c r="H10" s="67">
        <v>0.220870814871235</v>
      </c>
      <c r="I10" s="4">
        <f>+F10*H10</f>
        <v>0</v>
      </c>
      <c r="J10" s="4" t="s">
        <v>165</v>
      </c>
    </row>
    <row r="11" spans="1:10">
      <c r="B11" s="75" t="str">
        <f>'NPC Summary 12.6.1 '!A16</f>
        <v>Post-Merger Firm Sales</v>
      </c>
      <c r="C11" s="27"/>
      <c r="D11" s="9" t="str">
        <f>'NPC Summary 12.6.1 '!B16</f>
        <v>447NPC</v>
      </c>
      <c r="E11" s="4" t="s">
        <v>183</v>
      </c>
      <c r="F11" s="3">
        <f>'NPC Summary 12.6.1 '!K16</f>
        <v>17221126.319999993</v>
      </c>
      <c r="G11" s="4" t="str">
        <f>'NPC Summary 12.6.1 '!C16</f>
        <v>CAGW</v>
      </c>
      <c r="H11" s="67">
        <v>0.220870814871235</v>
      </c>
      <c r="I11" s="4">
        <f t="shared" ref="I11:I12" si="0">+F11*H11</f>
        <v>3803644.2032988709</v>
      </c>
      <c r="J11" s="4" t="s">
        <v>165</v>
      </c>
    </row>
    <row r="12" spans="1:10">
      <c r="B12" s="75" t="str">
        <f>'NPC Summary 12.6.1 '!A17</f>
        <v>Non-Firm Sales</v>
      </c>
      <c r="C12" s="27"/>
      <c r="D12" s="9" t="str">
        <f>'NPC Summary 12.6.1 '!B17</f>
        <v>447NPC</v>
      </c>
      <c r="E12" s="4" t="s">
        <v>183</v>
      </c>
      <c r="F12" s="3">
        <f>'NPC Summary 12.6.1 '!K17</f>
        <v>0</v>
      </c>
      <c r="G12" s="4" t="str">
        <f>'NPC Summary 12.6.1 '!C17</f>
        <v>CAEW</v>
      </c>
      <c r="H12" s="67">
        <v>0.22270549443887661</v>
      </c>
      <c r="I12" s="4">
        <f t="shared" si="0"/>
        <v>0</v>
      </c>
      <c r="J12" s="4" t="s">
        <v>165</v>
      </c>
    </row>
    <row r="13" spans="1:10">
      <c r="B13" s="75" t="str">
        <f>'NPC Summary 12.6.1 '!A18</f>
        <v>Total Sales for Resale</v>
      </c>
      <c r="C13" s="27"/>
      <c r="D13" s="9"/>
      <c r="E13" s="29"/>
      <c r="F13" s="28">
        <f>'NPC Summary 12.6.1 '!K18</f>
        <v>17221126.319999993</v>
      </c>
      <c r="H13" s="67"/>
      <c r="I13" s="28">
        <f>SUM(I10:I12)</f>
        <v>3803644.2032988709</v>
      </c>
    </row>
    <row r="14" spans="1:10">
      <c r="B14" s="75"/>
      <c r="C14" s="76"/>
      <c r="D14" s="9"/>
      <c r="E14" s="29"/>
      <c r="H14" s="67"/>
    </row>
    <row r="15" spans="1:10">
      <c r="B15" s="8" t="str">
        <f>'NPC Summary 12.6.1 '!A20</f>
        <v>Purchased Power (Account 555)</v>
      </c>
      <c r="C15" s="76"/>
      <c r="D15" s="9"/>
      <c r="E15" s="29"/>
      <c r="H15" s="67"/>
    </row>
    <row r="16" spans="1:10">
      <c r="B16" s="75" t="str">
        <f>'NPC Summary 12.6.1 '!A21</f>
        <v>Existing Firm Demand - Pacific</v>
      </c>
      <c r="C16" s="76"/>
      <c r="D16" s="9" t="str">
        <f>'NPC Summary 12.6.1 '!B21</f>
        <v>555NPC</v>
      </c>
      <c r="E16" s="4" t="s">
        <v>183</v>
      </c>
      <c r="F16" s="3">
        <f>'NPC Summary 12.6.1 '!K21</f>
        <v>0</v>
      </c>
      <c r="G16" s="4" t="str">
        <f>'NPC Summary 12.6.1 '!C21</f>
        <v>CAGW</v>
      </c>
      <c r="H16" s="67">
        <v>0.220870814871235</v>
      </c>
      <c r="I16" s="4">
        <f t="shared" ref="I16:I17" si="1">+F16*H16</f>
        <v>0</v>
      </c>
      <c r="J16" s="4" t="s">
        <v>165</v>
      </c>
    </row>
    <row r="17" spans="2:10">
      <c r="B17" s="75" t="str">
        <f>'NPC Summary 12.6.1 '!A22</f>
        <v>Existing Firm Energy</v>
      </c>
      <c r="C17" s="76"/>
      <c r="D17" s="9" t="str">
        <f>'NPC Summary 12.6.1 '!B22</f>
        <v>555NPC</v>
      </c>
      <c r="E17" s="4" t="s">
        <v>183</v>
      </c>
      <c r="F17" s="3">
        <f>'NPC Summary 12.6.1 '!K22</f>
        <v>0</v>
      </c>
      <c r="G17" s="4" t="str">
        <f>'NPC Summary 12.6.1 '!C22</f>
        <v>CAEW</v>
      </c>
      <c r="H17" s="67">
        <v>0.22270549443887661</v>
      </c>
      <c r="I17" s="4">
        <f t="shared" si="1"/>
        <v>0</v>
      </c>
      <c r="J17" s="4" t="s">
        <v>165</v>
      </c>
    </row>
    <row r="18" spans="2:10">
      <c r="B18" s="75" t="str">
        <f>'NPC Summary 12.6.1 '!A23</f>
        <v>WA Qualifying Facilities</v>
      </c>
      <c r="C18" s="76"/>
      <c r="D18" s="9" t="str">
        <f>'NPC Summary 12.6.1 '!B23</f>
        <v>555NPC</v>
      </c>
      <c r="E18" s="4" t="s">
        <v>183</v>
      </c>
      <c r="F18" s="3">
        <f>'NPC Summary 12.6.1 '!K23</f>
        <v>0</v>
      </c>
      <c r="G18" s="4" t="str">
        <f>'NPC Summary 12.6.1 '!C23</f>
        <v>WA</v>
      </c>
      <c r="H18" s="67" t="s">
        <v>198</v>
      </c>
      <c r="I18" s="4">
        <f>+F18</f>
        <v>0</v>
      </c>
      <c r="J18" s="4" t="s">
        <v>165</v>
      </c>
    </row>
    <row r="19" spans="2:10">
      <c r="B19" s="75" t="str">
        <f>'NPC Summary 12.6.1 '!A24</f>
        <v>Post-Merger Firm Energy</v>
      </c>
      <c r="C19" s="76"/>
      <c r="D19" s="9" t="str">
        <f>'NPC Summary 12.6.1 '!B24</f>
        <v>555NPC</v>
      </c>
      <c r="E19" s="4" t="s">
        <v>183</v>
      </c>
      <c r="F19" s="3">
        <f>'NPC Summary 12.6.1 '!K24</f>
        <v>-21587717.539999992</v>
      </c>
      <c r="G19" s="4" t="str">
        <f>'NPC Summary 12.6.1 '!C24</f>
        <v>CAGW</v>
      </c>
      <c r="H19" s="67">
        <v>0.220870814871235</v>
      </c>
      <c r="I19" s="4">
        <f t="shared" ref="I19:I20" si="2">+F19*H19</f>
        <v>-4768096.7642698511</v>
      </c>
      <c r="J19" s="4" t="s">
        <v>165</v>
      </c>
    </row>
    <row r="20" spans="2:10">
      <c r="B20" s="75" t="str">
        <f>'NPC Summary 12.6.1 '!A25</f>
        <v>Other Generation Expenses</v>
      </c>
      <c r="C20" s="27"/>
      <c r="D20" s="9" t="str">
        <f>'NPC Summary 12.6.1 '!B25</f>
        <v>555NPC</v>
      </c>
      <c r="E20" s="4" t="s">
        <v>183</v>
      </c>
      <c r="F20" s="3">
        <f>'NPC Summary 12.6.1 '!K25</f>
        <v>2412047.3999999994</v>
      </c>
      <c r="G20" s="4" t="str">
        <f>'NPC Summary 12.6.1 '!C25</f>
        <v>CAGW</v>
      </c>
      <c r="H20" s="67">
        <v>0.220870814871235</v>
      </c>
      <c r="I20" s="4">
        <f t="shared" si="2"/>
        <v>532750.87474604358</v>
      </c>
      <c r="J20" s="4" t="s">
        <v>165</v>
      </c>
    </row>
    <row r="21" spans="2:10">
      <c r="B21" s="75" t="str">
        <f>'NPC Summary 12.6.1 '!A26</f>
        <v>Total Purchased Power</v>
      </c>
      <c r="C21" s="27"/>
      <c r="D21" s="9"/>
      <c r="E21" s="29"/>
      <c r="F21" s="28">
        <f>'NPC Summary 12.6.1 '!K26</f>
        <v>-19175670.139999993</v>
      </c>
      <c r="H21" s="67"/>
      <c r="I21" s="28">
        <f>SUM(I16:I20)</f>
        <v>-4235345.8895238079</v>
      </c>
    </row>
    <row r="22" spans="2:10">
      <c r="B22" s="75"/>
      <c r="C22" s="27"/>
      <c r="D22" s="9"/>
      <c r="E22" s="29"/>
      <c r="H22" s="67"/>
    </row>
    <row r="23" spans="2:10">
      <c r="B23" s="8" t="str">
        <f>'NPC Summary 12.6.1 '!A28</f>
        <v>Wheeling (Account 565)</v>
      </c>
      <c r="C23" s="27"/>
      <c r="D23" s="9"/>
      <c r="E23" s="29"/>
      <c r="H23" s="67"/>
      <c r="J23" s="4"/>
    </row>
    <row r="24" spans="2:10">
      <c r="B24" s="75" t="str">
        <f>'NPC Summary 12.6.1 '!A29</f>
        <v>Existing Firm - Pacific</v>
      </c>
      <c r="C24" s="27"/>
      <c r="D24" s="9" t="str">
        <f>'NPC Summary 12.6.1 '!B29</f>
        <v>565NPC</v>
      </c>
      <c r="E24" s="4" t="s">
        <v>183</v>
      </c>
      <c r="F24" s="3">
        <f>'NPC Summary 12.6.1 '!K29</f>
        <v>0</v>
      </c>
      <c r="G24" s="4" t="str">
        <f>'NPC Summary 12.6.1 '!C29</f>
        <v>CAGW</v>
      </c>
      <c r="H24" s="67">
        <v>0.220870814871235</v>
      </c>
      <c r="I24" s="4">
        <f t="shared" ref="I24:I26" si="3">+F24*H24</f>
        <v>0</v>
      </c>
      <c r="J24" s="4" t="s">
        <v>165</v>
      </c>
    </row>
    <row r="25" spans="2:10">
      <c r="B25" s="75" t="str">
        <f>'NPC Summary 12.6.1 '!A30</f>
        <v>Post Merger Firm</v>
      </c>
      <c r="C25" s="11"/>
      <c r="D25" s="9" t="str">
        <f>'NPC Summary 12.6.1 '!B30</f>
        <v>565NPC</v>
      </c>
      <c r="E25" s="4" t="s">
        <v>183</v>
      </c>
      <c r="F25" s="3">
        <f>'NPC Summary 12.6.1 '!K30</f>
        <v>0</v>
      </c>
      <c r="G25" s="4" t="str">
        <f>'NPC Summary 12.6.1 '!C30</f>
        <v>CAGW</v>
      </c>
      <c r="H25" s="67">
        <v>0.220870814871235</v>
      </c>
      <c r="I25" s="4">
        <f t="shared" si="3"/>
        <v>0</v>
      </c>
      <c r="J25" s="4" t="s">
        <v>165</v>
      </c>
    </row>
    <row r="26" spans="2:10">
      <c r="B26" s="75" t="str">
        <f>'NPC Summary 12.6.1 '!A31</f>
        <v>Non Firm</v>
      </c>
      <c r="C26" s="11"/>
      <c r="D26" s="9" t="s">
        <v>168</v>
      </c>
      <c r="E26" s="4" t="s">
        <v>183</v>
      </c>
      <c r="F26" s="3">
        <f>'NPC Summary 12.6.1 '!K31</f>
        <v>0</v>
      </c>
      <c r="G26" s="4" t="str">
        <f>'NPC Summary 12.6.1 '!C31</f>
        <v>CAEW</v>
      </c>
      <c r="H26" s="67">
        <v>0.220870814871235</v>
      </c>
      <c r="I26" s="4">
        <f t="shared" si="3"/>
        <v>0</v>
      </c>
      <c r="J26" s="4" t="s">
        <v>165</v>
      </c>
    </row>
    <row r="27" spans="2:10">
      <c r="B27" s="75" t="str">
        <f>'NPC Summary 12.6.1 '!A32</f>
        <v>Total Wheeling Expense</v>
      </c>
      <c r="D27" s="9"/>
      <c r="E27" s="29"/>
      <c r="F27" s="28">
        <f>'NPC Summary 12.6.1 '!K32</f>
        <v>0</v>
      </c>
      <c r="H27" s="67"/>
      <c r="I27" s="28">
        <f>SUM(I24:I26)</f>
        <v>0</v>
      </c>
      <c r="J27" s="4"/>
    </row>
    <row r="28" spans="2:10">
      <c r="B28" s="75"/>
      <c r="D28" s="9"/>
      <c r="E28" s="29"/>
      <c r="H28" s="67"/>
    </row>
    <row r="29" spans="2:10">
      <c r="B29" s="8" t="str">
        <f>'NPC Summary 12.6.1 '!A34</f>
        <v>Fuel Expense (Accounts 501 and 547)</v>
      </c>
      <c r="C29" s="1"/>
      <c r="D29" s="9"/>
      <c r="E29" s="29"/>
      <c r="H29" s="67"/>
      <c r="J29" s="4"/>
    </row>
    <row r="30" spans="2:10">
      <c r="B30" s="75" t="str">
        <f>'NPC Summary 12.6.1 '!A35</f>
        <v>Fuel Consumed - Coal</v>
      </c>
      <c r="C30" s="1"/>
      <c r="D30" s="9" t="str">
        <f>'NPC Summary 12.6.1 '!B35</f>
        <v>501NPC</v>
      </c>
      <c r="E30" s="4" t="s">
        <v>183</v>
      </c>
      <c r="F30" s="3">
        <f>'NPC Summary 12.6.1 '!K35</f>
        <v>-5866565.2299999893</v>
      </c>
      <c r="G30" s="4" t="str">
        <f>'NPC Summary 12.6.1 '!C35</f>
        <v>CAEW</v>
      </c>
      <c r="H30" s="67">
        <v>0.22270549443887661</v>
      </c>
      <c r="I30" s="4">
        <f t="shared" ref="I30:I31" si="4">+F30*H30</f>
        <v>-1306516.3102050694</v>
      </c>
      <c r="J30" s="4" t="s">
        <v>165</v>
      </c>
    </row>
    <row r="31" spans="2:10">
      <c r="B31" s="75" t="str">
        <f>'NPC Summary 12.6.1 '!A36</f>
        <v>Fuel Consumed - Natural Gas</v>
      </c>
      <c r="C31" s="1"/>
      <c r="D31" s="9" t="str">
        <f>'NPC Summary 12.6.1 '!B36</f>
        <v>547NPC</v>
      </c>
      <c r="E31" s="4" t="s">
        <v>183</v>
      </c>
      <c r="F31" s="3">
        <f>'NPC Summary 12.6.1 '!K36</f>
        <v>-7429427.9200000167</v>
      </c>
      <c r="G31" s="4" t="str">
        <f>'NPC Summary 12.6.1 '!C36</f>
        <v>CAEW</v>
      </c>
      <c r="H31" s="67">
        <v>0.22270549443887661</v>
      </c>
      <c r="I31" s="4">
        <f t="shared" si="4"/>
        <v>-1654574.4183215983</v>
      </c>
      <c r="J31" s="4" t="s">
        <v>165</v>
      </c>
    </row>
    <row r="32" spans="2:10">
      <c r="B32" s="75" t="str">
        <f>'NPC Summary 12.6.1 '!A37</f>
        <v>Total Fuel and Other Expense</v>
      </c>
      <c r="C32" s="1"/>
      <c r="D32" s="9"/>
      <c r="E32" s="29"/>
      <c r="F32" s="28">
        <f>'NPC Summary 12.6.1 '!K37</f>
        <v>-13295993.150000006</v>
      </c>
      <c r="I32" s="28">
        <f>SUM(I30:I31)</f>
        <v>-2961090.7285266677</v>
      </c>
      <c r="J32" s="4"/>
    </row>
    <row r="33" spans="1:11">
      <c r="B33" s="75"/>
      <c r="C33" s="1"/>
      <c r="D33" s="9"/>
      <c r="E33" s="29"/>
      <c r="I33" s="3"/>
      <c r="J33" s="4"/>
    </row>
    <row r="34" spans="1:11">
      <c r="B34" s="8" t="s">
        <v>192</v>
      </c>
      <c r="C34" s="1"/>
      <c r="D34" s="9"/>
      <c r="E34" s="29"/>
      <c r="F34" s="28">
        <f>'NPC Summary 12.6.1 '!K39</f>
        <v>-49692789.609999992</v>
      </c>
      <c r="I34" s="28">
        <f>+I32+I27+I21-I13</f>
        <v>-11000080.821349347</v>
      </c>
      <c r="J34" s="4"/>
    </row>
    <row r="35" spans="1:11">
      <c r="C35" s="1"/>
      <c r="F35" s="19"/>
      <c r="J35" s="4"/>
    </row>
    <row r="36" spans="1:11">
      <c r="C36" s="1"/>
      <c r="F36" s="19"/>
      <c r="J36" s="4"/>
    </row>
    <row r="37" spans="1:11">
      <c r="C37" s="1"/>
      <c r="F37" s="19"/>
      <c r="J37" s="4"/>
    </row>
    <row r="42" spans="1:11">
      <c r="B42" s="12" t="s">
        <v>20</v>
      </c>
    </row>
    <row r="43" spans="1:11">
      <c r="A43" s="13"/>
      <c r="B43" s="14"/>
      <c r="C43" s="14"/>
      <c r="D43" s="14"/>
      <c r="E43" s="14"/>
      <c r="F43" s="10"/>
      <c r="G43" s="15"/>
      <c r="H43" s="15"/>
      <c r="I43" s="15"/>
      <c r="J43" s="14"/>
      <c r="K43" s="16"/>
    </row>
    <row r="44" spans="1:11">
      <c r="A44" s="17"/>
      <c r="B44" s="18"/>
      <c r="C44" s="18"/>
      <c r="D44" s="18"/>
      <c r="E44" s="18"/>
      <c r="F44" s="19"/>
      <c r="G44" s="20"/>
      <c r="H44" s="20"/>
      <c r="I44" s="20"/>
      <c r="J44" s="18"/>
      <c r="K44" s="21"/>
    </row>
    <row r="45" spans="1:11">
      <c r="A45" s="17"/>
      <c r="B45" s="18"/>
      <c r="C45" s="18"/>
      <c r="D45" s="18"/>
      <c r="E45" s="18"/>
      <c r="F45" s="19"/>
      <c r="G45" s="20"/>
      <c r="H45" s="20"/>
      <c r="I45" s="20"/>
      <c r="J45" s="18"/>
      <c r="K45" s="21"/>
    </row>
    <row r="46" spans="1:11">
      <c r="A46" s="17"/>
      <c r="B46" s="18"/>
      <c r="C46" s="18"/>
      <c r="D46" s="18"/>
      <c r="E46" s="18"/>
      <c r="F46" s="19"/>
      <c r="G46" s="20"/>
      <c r="H46" s="20"/>
      <c r="I46" s="20"/>
      <c r="J46" s="18"/>
      <c r="K46" s="21"/>
    </row>
    <row r="47" spans="1:11">
      <c r="A47" s="17"/>
      <c r="B47" s="18"/>
      <c r="C47" s="18"/>
      <c r="D47" s="18"/>
      <c r="E47" s="18"/>
      <c r="F47" s="19"/>
      <c r="G47" s="20"/>
      <c r="H47" s="20"/>
      <c r="I47" s="20"/>
      <c r="J47" s="18"/>
      <c r="K47" s="21"/>
    </row>
    <row r="48" spans="1:11">
      <c r="A48" s="17"/>
      <c r="B48" s="18"/>
      <c r="C48" s="18"/>
      <c r="D48" s="18"/>
      <c r="E48" s="18"/>
      <c r="F48" s="19"/>
      <c r="G48" s="20"/>
      <c r="H48" s="20"/>
      <c r="I48" s="20"/>
      <c r="J48" s="18"/>
      <c r="K48" s="21"/>
    </row>
    <row r="49" spans="1:11">
      <c r="A49" s="17"/>
      <c r="B49" s="18"/>
      <c r="C49" s="18"/>
      <c r="D49" s="18"/>
      <c r="E49" s="18"/>
      <c r="F49" s="19"/>
      <c r="G49" s="20"/>
      <c r="H49" s="20"/>
      <c r="I49" s="20"/>
      <c r="J49" s="18"/>
      <c r="K49" s="21"/>
    </row>
    <row r="50" spans="1:11">
      <c r="A50" s="22"/>
      <c r="B50" s="23"/>
      <c r="C50" s="23"/>
      <c r="D50" s="23"/>
      <c r="E50" s="23"/>
      <c r="F50" s="24"/>
      <c r="G50" s="25"/>
      <c r="H50" s="25"/>
      <c r="I50" s="25"/>
      <c r="J50" s="23"/>
      <c r="K50" s="26"/>
    </row>
  </sheetData>
  <conditionalFormatting sqref="B9:B26">
    <cfRule type="cellIs" dxfId="5" priority="3" stopIfTrue="1" operator="equal">
      <formula>"Adjustment to Income/Expense/Rate Base:"</formula>
    </cfRule>
  </conditionalFormatting>
  <conditionalFormatting sqref="B20:B22">
    <cfRule type="cellIs" dxfId="4" priority="2" stopIfTrue="1" operator="equal">
      <formula>"Title"</formula>
    </cfRule>
  </conditionalFormatting>
  <conditionalFormatting sqref="B27:B34">
    <cfRule type="cellIs" dxfId="3" priority="1" stopIfTrue="1" operator="equal">
      <formula>"Adjustment to Income/Expense/Rate Base:"</formula>
    </cfRule>
  </conditionalFormatting>
  <pageMargins left="0.75" right="0.75" top="1" bottom="1" header="0.5" footer="0.5"/>
  <pageSetup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4"/>
  <dimension ref="A1:S130"/>
  <sheetViews>
    <sheetView zoomScale="85" zoomScaleNormal="85" workbookViewId="0">
      <pane xSplit="3" ySplit="6" topLeftCell="D7" activePane="bottomRight" state="frozen"/>
      <selection pane="topRight" activeCell="D1" sqref="D1"/>
      <selection pane="bottomLeft" activeCell="A7" sqref="A7"/>
      <selection pane="bottomRight" activeCell="G50" sqref="G50"/>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163438640.15000001</v>
      </c>
      <c r="E10" s="46"/>
      <c r="F10" s="47"/>
      <c r="G10" s="44"/>
      <c r="H10" s="44"/>
      <c r="I10" s="45">
        <v>163438640.15000001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176754940.15000001</v>
      </c>
      <c r="E16" s="46"/>
      <c r="F16" s="45">
        <v>13316300</v>
      </c>
      <c r="G16" s="45">
        <v>0</v>
      </c>
      <c r="H16" s="45">
        <v>0</v>
      </c>
      <c r="I16" s="45">
        <v>163438640.15000001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6326799.7800000003</v>
      </c>
      <c r="E23" s="46"/>
      <c r="F23" s="45">
        <v>1311942.9174201842</v>
      </c>
      <c r="G23" s="45">
        <v>5014856.862579816</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37579240.979999997</v>
      </c>
      <c r="E26" s="46"/>
      <c r="F26" s="45">
        <v>26575729.524420187</v>
      </c>
      <c r="G26" s="45">
        <v>7949108.9455798157</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94202856.370000005</v>
      </c>
      <c r="E47" s="46"/>
      <c r="F47" s="44"/>
      <c r="G47" s="44"/>
      <c r="H47" s="44"/>
      <c r="I47" s="45">
        <v>94202856.370000005</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152553955.74000001</v>
      </c>
      <c r="E79" s="46"/>
      <c r="F79" s="44"/>
      <c r="G79" s="44"/>
      <c r="H79" s="44"/>
      <c r="I79" s="45">
        <v>152553955.74000001</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263762264.76000002</v>
      </c>
      <c r="E81" s="46"/>
      <c r="F81" s="45">
        <v>0</v>
      </c>
      <c r="G81" s="45">
        <v>0</v>
      </c>
      <c r="H81" s="45">
        <v>0</v>
      </c>
      <c r="I81" s="45">
        <v>263762264.76000002</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312721109.17000002</v>
      </c>
      <c r="E85" s="46"/>
      <c r="F85" s="45">
        <v>26575729.524420187</v>
      </c>
      <c r="G85" s="45">
        <v>7949108.9455798157</v>
      </c>
      <c r="H85" s="45">
        <v>0</v>
      </c>
      <c r="I85" s="45">
        <v>278196270.69999999</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79960709.337342098</v>
      </c>
      <c r="E106" s="46"/>
      <c r="G106" s="31"/>
      <c r="H106" s="45">
        <v>79960709.337342098</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72500936.25112085</v>
      </c>
      <c r="E112" s="46"/>
      <c r="F112" s="48"/>
      <c r="G112" s="31"/>
      <c r="H112" s="45">
        <v>72500936.25112085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167058592.34</v>
      </c>
      <c r="E115" s="46"/>
      <c r="F115" s="48"/>
      <c r="G115" s="31"/>
      <c r="H115" s="45">
        <v>167058592.34</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326035350.64846295</v>
      </c>
      <c r="E122" s="46"/>
      <c r="F122" s="45">
        <v>0</v>
      </c>
      <c r="G122" s="45">
        <v>0</v>
      </c>
      <c r="H122" s="45">
        <v>326035350.64846295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569572458.66846299</v>
      </c>
      <c r="E129" s="46" t="s">
        <v>58</v>
      </c>
      <c r="F129" s="45">
        <v>40751753.814420193</v>
      </c>
      <c r="G129" s="45">
        <v>7949108.9455798157</v>
      </c>
      <c r="H129" s="45">
        <v>326035350.64846295</v>
      </c>
      <c r="I129" s="45">
        <v>194836245.25999996</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1.xml><?xml version="1.0" encoding="utf-8"?>
<worksheet xmlns="http://schemas.openxmlformats.org/spreadsheetml/2006/main" xmlns:r="http://schemas.openxmlformats.org/officeDocument/2006/relationships">
  <sheetPr codeName="Sheet5"/>
  <dimension ref="A1:S130"/>
  <sheetViews>
    <sheetView zoomScale="85" zoomScaleNormal="85" workbookViewId="0">
      <pane xSplit="3" ySplit="6" topLeftCell="D7" activePane="bottomRight" state="frozen"/>
      <selection pane="topRight" activeCell="D1" sqref="D1"/>
      <selection pane="bottomLeft" activeCell="A7" sqref="A7"/>
      <selection pane="bottomRight" activeCell="H60" sqref="H60"/>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163438640.15000001</v>
      </c>
      <c r="E10" s="46"/>
      <c r="F10" s="47"/>
      <c r="G10" s="44"/>
      <c r="H10" s="44"/>
      <c r="I10" s="45">
        <v>163438640.15000001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176754940.15000001</v>
      </c>
      <c r="E16" s="46"/>
      <c r="F16" s="45">
        <v>13316300</v>
      </c>
      <c r="G16" s="45">
        <v>0</v>
      </c>
      <c r="H16" s="45">
        <v>0</v>
      </c>
      <c r="I16" s="45">
        <v>163438640.15000001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37568515.469999991</v>
      </c>
      <c r="E26" s="46"/>
      <c r="F26" s="45">
        <v>26573505.452635158</v>
      </c>
      <c r="G26" s="45">
        <v>7940607.507364843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94202856.370000005</v>
      </c>
      <c r="E47" s="46"/>
      <c r="F47" s="44"/>
      <c r="G47" s="44"/>
      <c r="H47" s="44"/>
      <c r="I47" s="45">
        <v>94202856.370000005</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152553955.74000001</v>
      </c>
      <c r="E79" s="46"/>
      <c r="F79" s="44"/>
      <c r="G79" s="44"/>
      <c r="H79" s="44"/>
      <c r="I79" s="45">
        <v>152553955.74000001</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263762264.76000002</v>
      </c>
      <c r="E81" s="46"/>
      <c r="F81" s="45">
        <v>0</v>
      </c>
      <c r="G81" s="45">
        <v>0</v>
      </c>
      <c r="H81" s="45">
        <v>0</v>
      </c>
      <c r="I81" s="45">
        <v>263762264.76000002</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312710383.65999997</v>
      </c>
      <c r="E85" s="46"/>
      <c r="F85" s="45">
        <v>26573505.452635158</v>
      </c>
      <c r="G85" s="45">
        <v>7940607.507364843</v>
      </c>
      <c r="H85" s="45">
        <v>0</v>
      </c>
      <c r="I85" s="45">
        <v>278196270.69999999</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79960709.337342098</v>
      </c>
      <c r="E106" s="46"/>
      <c r="G106" s="31"/>
      <c r="H106" s="45">
        <v>79960709.337342098</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72500936.25112085</v>
      </c>
      <c r="E112" s="46"/>
      <c r="F112" s="48"/>
      <c r="G112" s="31"/>
      <c r="H112" s="45">
        <v>72500936.25112085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167058592.34</v>
      </c>
      <c r="E115" s="46"/>
      <c r="F115" s="48"/>
      <c r="G115" s="31"/>
      <c r="H115" s="45">
        <v>167058592.34</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326035350.64846295</v>
      </c>
      <c r="E122" s="46"/>
      <c r="F122" s="45">
        <v>0</v>
      </c>
      <c r="G122" s="45">
        <v>0</v>
      </c>
      <c r="H122" s="45">
        <v>326035350.64846295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569561733.15846288</v>
      </c>
      <c r="E129" s="46" t="s">
        <v>58</v>
      </c>
      <c r="F129" s="45">
        <v>40749529.742635161</v>
      </c>
      <c r="G129" s="45">
        <v>7940607.507364843</v>
      </c>
      <c r="H129" s="45">
        <v>326035350.64846295</v>
      </c>
      <c r="I129" s="45">
        <v>194836245.25999996</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2.xml><?xml version="1.0" encoding="utf-8"?>
<worksheet xmlns="http://schemas.openxmlformats.org/spreadsheetml/2006/main" xmlns:r="http://schemas.openxmlformats.org/officeDocument/2006/relationships">
  <sheetPr codeName="Sheet6"/>
  <dimension ref="A1:S130"/>
  <sheetViews>
    <sheetView zoomScale="85" zoomScaleNormal="85" workbookViewId="0">
      <pane xSplit="3" ySplit="6" topLeftCell="D98" activePane="bottomRight" state="frozen"/>
      <selection pane="topRight" activeCell="D1" sqref="D1"/>
      <selection pane="bottomLeft" activeCell="A7" sqref="A7"/>
      <selection pane="bottomRight" sqref="A1:XFD1048576"/>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163430979.96000001</v>
      </c>
      <c r="E10" s="46"/>
      <c r="F10" s="47"/>
      <c r="G10" s="44"/>
      <c r="H10" s="44"/>
      <c r="I10" s="45">
        <v>163430979.96000001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176747279.96000001</v>
      </c>
      <c r="E16" s="46"/>
      <c r="F16" s="45">
        <v>13316300</v>
      </c>
      <c r="G16" s="45">
        <v>0</v>
      </c>
      <c r="H16" s="45">
        <v>0</v>
      </c>
      <c r="I16" s="45">
        <v>163430979.96000001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37568515.469999991</v>
      </c>
      <c r="E26" s="46"/>
      <c r="F26" s="45">
        <v>26573505.452635158</v>
      </c>
      <c r="G26" s="45">
        <v>7940607.507364843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94199998.450000003</v>
      </c>
      <c r="E47" s="46"/>
      <c r="F47" s="44"/>
      <c r="G47" s="44"/>
      <c r="H47" s="44"/>
      <c r="I47" s="45">
        <v>94199998.450000003</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152565545.76000002</v>
      </c>
      <c r="E79" s="46"/>
      <c r="F79" s="44"/>
      <c r="G79" s="44"/>
      <c r="H79" s="44"/>
      <c r="I79" s="45">
        <v>152565545.76000002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263770996.86000001</v>
      </c>
      <c r="E81" s="46"/>
      <c r="F81" s="45">
        <v>0</v>
      </c>
      <c r="G81" s="45">
        <v>0</v>
      </c>
      <c r="H81" s="45">
        <v>0</v>
      </c>
      <c r="I81" s="45">
        <v>263770996.86000001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312719115.75999999</v>
      </c>
      <c r="E85" s="46"/>
      <c r="F85" s="45">
        <v>26573505.452635158</v>
      </c>
      <c r="G85" s="45">
        <v>7940607.507364843</v>
      </c>
      <c r="H85" s="45">
        <v>0</v>
      </c>
      <c r="I85" s="45">
        <v>278205002.80000001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79957722.934338897</v>
      </c>
      <c r="E106" s="46"/>
      <c r="G106" s="31"/>
      <c r="H106" s="45">
        <v>79957722.934338897</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72498126.134124041</v>
      </c>
      <c r="E112" s="46"/>
      <c r="F112" s="48"/>
      <c r="G112" s="31"/>
      <c r="H112" s="45">
        <v>72498126.134124041</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167056552.99000001</v>
      </c>
      <c r="E115" s="46"/>
      <c r="F115" s="48"/>
      <c r="G115" s="31"/>
      <c r="H115" s="45">
        <v>167056552.99000001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326027514.77846295</v>
      </c>
      <c r="E122" s="46"/>
      <c r="F122" s="45">
        <v>0</v>
      </c>
      <c r="G122" s="45">
        <v>0</v>
      </c>
      <c r="H122" s="45">
        <v>326027514.77846295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569570289.57846284</v>
      </c>
      <c r="E129" s="46" t="s">
        <v>58</v>
      </c>
      <c r="F129" s="45">
        <v>40749529.742635161</v>
      </c>
      <c r="G129" s="45">
        <v>7940607.507364843</v>
      </c>
      <c r="H129" s="45">
        <v>326027514.77846295</v>
      </c>
      <c r="I129" s="45">
        <v>194852637.54999998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3.xml><?xml version="1.0" encoding="utf-8"?>
<worksheet xmlns="http://schemas.openxmlformats.org/spreadsheetml/2006/main" xmlns:r="http://schemas.openxmlformats.org/officeDocument/2006/relationships">
  <sheetPr codeName="Sheet7"/>
  <dimension ref="A1:S130"/>
  <sheetViews>
    <sheetView zoomScale="85" zoomScaleNormal="85" workbookViewId="0">
      <pane xSplit="3" ySplit="6" topLeftCell="D86" activePane="bottomRight" state="frozen"/>
      <selection pane="topRight" activeCell="D1" sqref="D1"/>
      <selection pane="bottomLeft" activeCell="A7" sqref="A7"/>
      <selection pane="bottomRight" sqref="A1:XFD1048576"/>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163257536.22</v>
      </c>
      <c r="E10" s="46"/>
      <c r="F10" s="47"/>
      <c r="G10" s="44"/>
      <c r="H10" s="44"/>
      <c r="I10" s="45">
        <v>163257536.22</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176533136.22</v>
      </c>
      <c r="E16" s="46"/>
      <c r="F16" s="45">
        <v>13275600</v>
      </c>
      <c r="G16" s="45">
        <v>0</v>
      </c>
      <c r="H16" s="45">
        <v>0</v>
      </c>
      <c r="I16" s="45">
        <v>163257536.22</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4512398.2500000019</v>
      </c>
      <c r="E22" s="46"/>
      <c r="F22" s="45">
        <v>1353719.4750000006</v>
      </c>
      <c r="G22" s="45">
        <v>3158678.7750000013</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37889125</v>
      </c>
      <c r="E26" s="46"/>
      <c r="F26" s="45">
        <v>26669688.314414274</v>
      </c>
      <c r="G26" s="45">
        <v>8165034.1755857291</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100415283.66</v>
      </c>
      <c r="E47" s="46"/>
      <c r="F47" s="44"/>
      <c r="G47" s="44"/>
      <c r="H47" s="44"/>
      <c r="I47" s="45">
        <v>100415283.66</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112246070.02</v>
      </c>
      <c r="E79" s="46"/>
      <c r="F79" s="44"/>
      <c r="G79" s="44"/>
      <c r="H79" s="44"/>
      <c r="I79" s="45">
        <v>112246070.02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229666806.32999998</v>
      </c>
      <c r="E81" s="46"/>
      <c r="F81" s="45">
        <v>0</v>
      </c>
      <c r="G81" s="45">
        <v>0</v>
      </c>
      <c r="H81" s="45">
        <v>0</v>
      </c>
      <c r="I81" s="45">
        <v>229666806.32999998</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278935534.75999999</v>
      </c>
      <c r="E85" s="46"/>
      <c r="F85" s="45">
        <v>26669688.314414274</v>
      </c>
      <c r="G85" s="45">
        <v>8165034.1755857291</v>
      </c>
      <c r="H85" s="45">
        <v>0</v>
      </c>
      <c r="I85" s="45">
        <v>244100812.26999998</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6514698.6500000004</v>
      </c>
      <c r="E104" s="46"/>
      <c r="G104" s="31"/>
      <c r="H104" s="45">
        <v>6514698.6500000004</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104729340.66034448</v>
      </c>
      <c r="E106" s="46"/>
      <c r="G106" s="31"/>
      <c r="H106" s="45">
        <v>104729340.66034448</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79005614.524353921</v>
      </c>
      <c r="E112" s="46"/>
      <c r="F112" s="48"/>
      <c r="G112" s="31"/>
      <c r="H112" s="45">
        <v>79005614.524353921</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166283216.80000001</v>
      </c>
      <c r="E115" s="46"/>
      <c r="F115" s="48"/>
      <c r="G115" s="31"/>
      <c r="H115" s="45">
        <v>166283216.80000001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356532870.63469839</v>
      </c>
      <c r="E122" s="46"/>
      <c r="F122" s="45">
        <v>0</v>
      </c>
      <c r="G122" s="45">
        <v>0</v>
      </c>
      <c r="H122" s="45">
        <v>356532870.63469839</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566506208.17469835</v>
      </c>
      <c r="E129" s="46" t="s">
        <v>58</v>
      </c>
      <c r="F129" s="45">
        <v>40886412.604414284</v>
      </c>
      <c r="G129" s="45">
        <v>8165034.1755857291</v>
      </c>
      <c r="H129" s="45">
        <v>356532870.63469839</v>
      </c>
      <c r="I129" s="45">
        <v>160921890.75999996</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4.xml><?xml version="1.0" encoding="utf-8"?>
<worksheet xmlns="http://schemas.openxmlformats.org/spreadsheetml/2006/main" xmlns:r="http://schemas.openxmlformats.org/officeDocument/2006/relationships">
  <sheetPr codeName="Sheet8"/>
  <dimension ref="A1:S130"/>
  <sheetViews>
    <sheetView zoomScale="85" zoomScaleNormal="85" workbookViewId="0">
      <pane xSplit="3" ySplit="6" topLeftCell="D86" activePane="bottomRight" state="frozen"/>
      <selection pane="topRight" activeCell="D1" sqref="D1"/>
      <selection pane="bottomLeft" activeCell="A7" sqref="A7"/>
      <selection pane="bottomRight" activeCell="K113" sqref="K113"/>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163430979.96000001</v>
      </c>
      <c r="E10" s="46"/>
      <c r="F10" s="47"/>
      <c r="G10" s="44"/>
      <c r="H10" s="44"/>
      <c r="I10" s="45">
        <v>163430979.96000001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176747279.96000001</v>
      </c>
      <c r="E16" s="46"/>
      <c r="F16" s="45">
        <v>13316300</v>
      </c>
      <c r="G16" s="45">
        <v>0</v>
      </c>
      <c r="H16" s="45">
        <v>0</v>
      </c>
      <c r="I16" s="45">
        <v>163430979.96000001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2510461.2100000004</v>
      </c>
      <c r="E22" s="46"/>
      <c r="F22" s="45">
        <v>753138.36300000013</v>
      </c>
      <c r="G22" s="45">
        <v>1757322.8470000003</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35887187.990000002</v>
      </c>
      <c r="E26" s="46"/>
      <c r="F26" s="45">
        <v>26069107.208635159</v>
      </c>
      <c r="G26" s="45">
        <v>6763678.2713648435</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94199998.450000003</v>
      </c>
      <c r="E47" s="46"/>
      <c r="F47" s="44"/>
      <c r="G47" s="44"/>
      <c r="H47" s="44"/>
      <c r="I47" s="45">
        <v>94199998.450000003</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152565545.76000002</v>
      </c>
      <c r="E79" s="46"/>
      <c r="F79" s="44"/>
      <c r="G79" s="44"/>
      <c r="H79" s="44"/>
      <c r="I79" s="45">
        <v>152565545.76000002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263770996.86000001</v>
      </c>
      <c r="E81" s="46"/>
      <c r="F81" s="45">
        <v>0</v>
      </c>
      <c r="G81" s="45">
        <v>0</v>
      </c>
      <c r="H81" s="45">
        <v>0</v>
      </c>
      <c r="I81" s="45">
        <v>263770996.86000001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311037788.28000003</v>
      </c>
      <c r="E85" s="46"/>
      <c r="F85" s="45">
        <v>26069107.208635159</v>
      </c>
      <c r="G85" s="45">
        <v>6763678.2713648435</v>
      </c>
      <c r="H85" s="45">
        <v>0</v>
      </c>
      <c r="I85" s="45">
        <v>278205002.80000001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79957722.934338897</v>
      </c>
      <c r="E106" s="46"/>
      <c r="G106" s="31"/>
      <c r="H106" s="45">
        <v>79957722.934338897</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72498126.134124041</v>
      </c>
      <c r="E112" s="46"/>
      <c r="F112" s="48"/>
      <c r="G112" s="31"/>
      <c r="H112" s="45">
        <v>72498126.134124041</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167056552.99000001</v>
      </c>
      <c r="E115" s="46"/>
      <c r="F115" s="48"/>
      <c r="G115" s="31"/>
      <c r="H115" s="45">
        <v>167056552.99000001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326027514.77846295</v>
      </c>
      <c r="E122" s="46"/>
      <c r="F122" s="45">
        <v>0</v>
      </c>
      <c r="G122" s="45">
        <v>0</v>
      </c>
      <c r="H122" s="45">
        <v>326027514.77846295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567888962.09846294</v>
      </c>
      <c r="E129" s="46" t="s">
        <v>58</v>
      </c>
      <c r="F129" s="45">
        <v>40245131.498635165</v>
      </c>
      <c r="G129" s="45">
        <v>6763678.2713648435</v>
      </c>
      <c r="H129" s="45">
        <v>326027514.77846295</v>
      </c>
      <c r="I129" s="45">
        <v>194852637.54999998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5.xml><?xml version="1.0" encoding="utf-8"?>
<worksheet xmlns="http://schemas.openxmlformats.org/spreadsheetml/2006/main" xmlns:r="http://schemas.openxmlformats.org/officeDocument/2006/relationships">
  <sheetPr codeName="Sheet9"/>
  <dimension ref="A1:S130"/>
  <sheetViews>
    <sheetView zoomScale="85" zoomScaleNormal="85" workbookViewId="0">
      <pane xSplit="3" ySplit="6" topLeftCell="D61" activePane="bottomRight" state="frozen"/>
      <selection pane="topRight" activeCell="D1" sqref="D1"/>
      <selection pane="bottomLeft" activeCell="A7" sqref="A7"/>
      <selection pane="bottomRight" activeCell="J108" sqref="J108"/>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163556439.00999999</v>
      </c>
      <c r="E10" s="46"/>
      <c r="F10" s="47"/>
      <c r="G10" s="44"/>
      <c r="H10" s="44"/>
      <c r="I10" s="45">
        <v>163556439.00999999</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176872739.00999999</v>
      </c>
      <c r="E16" s="46"/>
      <c r="F16" s="45">
        <v>13316300</v>
      </c>
      <c r="G16" s="45">
        <v>0</v>
      </c>
      <c r="H16" s="45">
        <v>0</v>
      </c>
      <c r="I16" s="45">
        <v>163556439.00999999</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37568515.469999991</v>
      </c>
      <c r="E26" s="46"/>
      <c r="F26" s="45">
        <v>26573505.452635158</v>
      </c>
      <c r="G26" s="45">
        <v>7940607.507364843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93478532.290000007</v>
      </c>
      <c r="E47" s="46"/>
      <c r="F47" s="44"/>
      <c r="G47" s="44"/>
      <c r="H47" s="44"/>
      <c r="I47" s="45">
        <v>93478532.290000007</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152520165.76000002</v>
      </c>
      <c r="E79" s="46"/>
      <c r="F79" s="44"/>
      <c r="G79" s="44"/>
      <c r="H79" s="44"/>
      <c r="I79" s="45">
        <v>152520165.76000002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263004150.70000005</v>
      </c>
      <c r="E81" s="46"/>
      <c r="F81" s="45">
        <v>0</v>
      </c>
      <c r="G81" s="45">
        <v>0</v>
      </c>
      <c r="H81" s="45">
        <v>0</v>
      </c>
      <c r="I81" s="45">
        <v>263004150.70000005</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311952269.60000002</v>
      </c>
      <c r="E85" s="46"/>
      <c r="F85" s="45">
        <v>26573505.452635158</v>
      </c>
      <c r="G85" s="45">
        <v>7940607.507364843</v>
      </c>
      <c r="H85" s="45">
        <v>0</v>
      </c>
      <c r="I85" s="45">
        <v>277438156.64000005</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85211345.31854561</v>
      </c>
      <c r="E106" s="46"/>
      <c r="G106" s="31"/>
      <c r="H106" s="45">
        <v>85211345.31854561</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71221837.749917328</v>
      </c>
      <c r="E112" s="46"/>
      <c r="F112" s="48"/>
      <c r="G112" s="31"/>
      <c r="H112" s="45">
        <v>71221837.749917328</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165967361.38999999</v>
      </c>
      <c r="E115" s="46"/>
      <c r="F115" s="48"/>
      <c r="G115" s="31"/>
      <c r="H115" s="45">
        <v>165967361.38999999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328915657.17846292</v>
      </c>
      <c r="E122" s="46"/>
      <c r="F122" s="45">
        <v>0</v>
      </c>
      <c r="G122" s="45">
        <v>0</v>
      </c>
      <c r="H122" s="45">
        <v>328915657.17846292</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571566126.7684629</v>
      </c>
      <c r="E129" s="46" t="s">
        <v>58</v>
      </c>
      <c r="F129" s="45">
        <v>40749529.742635161</v>
      </c>
      <c r="G129" s="45">
        <v>7940607.507364843</v>
      </c>
      <c r="H129" s="45">
        <v>328915657.17846292</v>
      </c>
      <c r="I129" s="45">
        <v>193960332.34000003</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6.xml><?xml version="1.0" encoding="utf-8"?>
<worksheet xmlns="http://schemas.openxmlformats.org/spreadsheetml/2006/main" xmlns:r="http://schemas.openxmlformats.org/officeDocument/2006/relationships">
  <sheetPr codeName="Sheet10"/>
  <dimension ref="A1:S130"/>
  <sheetViews>
    <sheetView zoomScale="85" zoomScaleNormal="85" workbookViewId="0">
      <pane xSplit="3" ySplit="6" topLeftCell="D80" activePane="bottomRight" state="frozen"/>
      <selection pane="topRight" activeCell="D1" sqref="D1"/>
      <selection pane="bottomLeft" activeCell="A7" sqref="A7"/>
      <selection pane="bottomRight" activeCell="M68" sqref="M68"/>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163430979.96000001</v>
      </c>
      <c r="E10" s="46"/>
      <c r="F10" s="47"/>
      <c r="G10" s="44"/>
      <c r="H10" s="44"/>
      <c r="I10" s="45">
        <v>163430979.96000001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176747279.96000001</v>
      </c>
      <c r="E16" s="46"/>
      <c r="F16" s="45">
        <v>13316300</v>
      </c>
      <c r="G16" s="45">
        <v>0</v>
      </c>
      <c r="H16" s="45">
        <v>0</v>
      </c>
      <c r="I16" s="45">
        <v>163430979.96000001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37568515.469999991</v>
      </c>
      <c r="E26" s="46"/>
      <c r="F26" s="45">
        <v>26573505.452635158</v>
      </c>
      <c r="G26" s="45">
        <v>7940607.507364843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94199998.450000003</v>
      </c>
      <c r="E47" s="46"/>
      <c r="F47" s="44"/>
      <c r="G47" s="44"/>
      <c r="H47" s="44"/>
      <c r="I47" s="45">
        <v>94199998.450000003</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152565545.76000002</v>
      </c>
      <c r="E79" s="46"/>
      <c r="F79" s="44"/>
      <c r="G79" s="44"/>
      <c r="H79" s="44"/>
      <c r="I79" s="45">
        <v>152565545.76000002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263770996.86000001</v>
      </c>
      <c r="E81" s="46"/>
      <c r="F81" s="45">
        <v>0</v>
      </c>
      <c r="G81" s="45">
        <v>0</v>
      </c>
      <c r="H81" s="45">
        <v>0</v>
      </c>
      <c r="I81" s="45">
        <v>263770996.86000001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312719115.75999999</v>
      </c>
      <c r="E85" s="46"/>
      <c r="F85" s="45">
        <v>26573505.452635158</v>
      </c>
      <c r="G85" s="45">
        <v>7940607.507364843</v>
      </c>
      <c r="H85" s="45">
        <v>0</v>
      </c>
      <c r="I85" s="45">
        <v>278205002.80000001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79957722.934338897</v>
      </c>
      <c r="E106" s="46"/>
      <c r="G106" s="31"/>
      <c r="H106" s="45">
        <v>79957722.934338897</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72498126.134124041</v>
      </c>
      <c r="E112" s="46"/>
      <c r="F112" s="48"/>
      <c r="G112" s="31"/>
      <c r="H112" s="45">
        <v>72498126.134124041</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167056552.99000001</v>
      </c>
      <c r="E115" s="46"/>
      <c r="F115" s="48"/>
      <c r="G115" s="31"/>
      <c r="H115" s="45">
        <v>167056552.99000001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326027514.77846295</v>
      </c>
      <c r="E122" s="46"/>
      <c r="F122" s="45">
        <v>0</v>
      </c>
      <c r="G122" s="45">
        <v>0</v>
      </c>
      <c r="H122" s="45">
        <v>326027514.77846295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570324129.57846284</v>
      </c>
      <c r="E129" s="46" t="s">
        <v>58</v>
      </c>
      <c r="F129" s="45">
        <v>40749529.742635161</v>
      </c>
      <c r="G129" s="45">
        <v>7940607.507364843</v>
      </c>
      <c r="H129" s="45">
        <v>326027514.77846295</v>
      </c>
      <c r="I129" s="45">
        <v>195606477.54999998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7.xml><?xml version="1.0" encoding="utf-8"?>
<worksheet xmlns="http://schemas.openxmlformats.org/spreadsheetml/2006/main" xmlns:r="http://schemas.openxmlformats.org/officeDocument/2006/relationships">
  <sheetPr codeName="Sheet11"/>
  <dimension ref="A1:S130"/>
  <sheetViews>
    <sheetView zoomScale="85" zoomScaleNormal="85" workbookViewId="0">
      <pane xSplit="3" ySplit="6" topLeftCell="D91" activePane="bottomRight" state="frozen"/>
      <selection pane="topRight" activeCell="D1" sqref="D1"/>
      <selection pane="bottomLeft" activeCell="A7" sqref="A7"/>
      <selection pane="bottomRight" activeCell="L55" sqref="L55"/>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13316300</v>
      </c>
      <c r="E8" s="46"/>
      <c r="F8" s="45">
        <v>13316300</v>
      </c>
      <c r="G8" s="32"/>
      <c r="H8" s="32"/>
      <c r="I8" s="32"/>
    </row>
    <row r="9" spans="1:14">
      <c r="B9" s="32"/>
      <c r="D9" s="46"/>
      <c r="E9" s="46"/>
      <c r="F9" s="47"/>
      <c r="G9" s="44"/>
      <c r="H9" s="44"/>
      <c r="I9" s="44"/>
    </row>
    <row r="10" spans="1:14">
      <c r="B10" s="32" t="s">
        <v>54</v>
      </c>
      <c r="D10" s="45">
        <v>163430979.96000001</v>
      </c>
      <c r="E10" s="46"/>
      <c r="F10" s="47"/>
      <c r="G10" s="44"/>
      <c r="H10" s="44"/>
      <c r="I10" s="45">
        <v>163430979.96000001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176747279.96000001</v>
      </c>
      <c r="E16" s="46"/>
      <c r="F16" s="45">
        <v>13316300</v>
      </c>
      <c r="G16" s="45">
        <v>0</v>
      </c>
      <c r="H16" s="45">
        <v>0</v>
      </c>
      <c r="I16" s="45">
        <v>163430979.96000001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4191788.689999999</v>
      </c>
      <c r="E22" s="46"/>
      <c r="F22" s="45">
        <v>1257536.6069999996</v>
      </c>
      <c r="G22" s="45">
        <v>2934252.0829999992</v>
      </c>
      <c r="H22" s="44"/>
      <c r="I22" s="44"/>
      <c r="N22" s="210" t="s">
        <v>243</v>
      </c>
      <c r="O22" s="178">
        <v>0.27470571245674069</v>
      </c>
      <c r="P22" s="46">
        <v>31938.830192355734</v>
      </c>
      <c r="Q22" s="211"/>
      <c r="R22" s="180"/>
      <c r="S22" s="46"/>
    </row>
    <row r="23" spans="1:19">
      <c r="B23" s="32"/>
      <c r="C23" s="31" t="s">
        <v>64</v>
      </c>
      <c r="D23" s="45">
        <v>6316074.2699999996</v>
      </c>
      <c r="E23" s="46"/>
      <c r="F23" s="45">
        <v>1309718.8456351559</v>
      </c>
      <c r="G23" s="45">
        <v>5006355.4243648434</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37568515.469999991</v>
      </c>
      <c r="E26" s="46"/>
      <c r="F26" s="45">
        <v>26573505.452635158</v>
      </c>
      <c r="G26" s="45">
        <v>7940607.507364843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94199998.450000003</v>
      </c>
      <c r="E47" s="46"/>
      <c r="F47" s="44"/>
      <c r="G47" s="44"/>
      <c r="H47" s="44"/>
      <c r="I47" s="45">
        <v>94199998.450000003</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152565545.76000002</v>
      </c>
      <c r="E79" s="46"/>
      <c r="F79" s="44"/>
      <c r="G79" s="44"/>
      <c r="H79" s="44"/>
      <c r="I79" s="45">
        <v>152565545.76000002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263770996.86000001</v>
      </c>
      <c r="E81" s="46"/>
      <c r="F81" s="45">
        <v>0</v>
      </c>
      <c r="G81" s="45">
        <v>0</v>
      </c>
      <c r="H81" s="45">
        <v>0</v>
      </c>
      <c r="I81" s="45">
        <v>263770996.86000001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312719115.75999999</v>
      </c>
      <c r="E85" s="46"/>
      <c r="F85" s="45">
        <v>26573505.452635158</v>
      </c>
      <c r="G85" s="45">
        <v>7940607.507364843</v>
      </c>
      <c r="H85" s="45">
        <v>0</v>
      </c>
      <c r="I85" s="45">
        <v>278205002.80000001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77246172.643361703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107570939.4533617</v>
      </c>
      <c r="P93" s="220"/>
    </row>
    <row r="94" spans="1:17" ht="11.25" thickBot="1">
      <c r="B94" s="31" t="s">
        <v>54</v>
      </c>
      <c r="C94" s="32"/>
      <c r="D94" s="45">
        <v>80078614.709999993</v>
      </c>
      <c r="E94" s="46"/>
      <c r="F94" s="51"/>
      <c r="G94" s="44"/>
      <c r="H94" s="44"/>
      <c r="I94" s="45">
        <v>80078614.709999993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107570939</v>
      </c>
      <c r="E99" s="46"/>
      <c r="F99" s="45">
        <v>27492324.290000007</v>
      </c>
      <c r="G99" s="45">
        <v>0</v>
      </c>
      <c r="H99" s="45">
        <v>0</v>
      </c>
      <c r="I99" s="45">
        <v>80078614.709999993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6515112.7199999997</v>
      </c>
      <c r="E104" s="46"/>
      <c r="G104" s="31"/>
      <c r="H104" s="45">
        <v>6515112.7199999997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79903710.934338897</v>
      </c>
      <c r="E106" s="46"/>
      <c r="G106" s="31"/>
      <c r="H106" s="45">
        <v>79903710.934338897</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72498126.134124041</v>
      </c>
      <c r="E112" s="46"/>
      <c r="F112" s="48"/>
      <c r="G112" s="31"/>
      <c r="H112" s="45">
        <v>72498126.134124041</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167056552.99000001</v>
      </c>
      <c r="E115" s="46"/>
      <c r="F115" s="48"/>
      <c r="G115" s="31"/>
      <c r="H115" s="45">
        <v>167056552.99000001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325973502.77846295</v>
      </c>
      <c r="E122" s="46"/>
      <c r="F122" s="45">
        <v>0</v>
      </c>
      <c r="G122" s="45">
        <v>0</v>
      </c>
      <c r="H122" s="45">
        <v>325973502.77846295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569516277.57846284</v>
      </c>
      <c r="E129" s="46" t="s">
        <v>58</v>
      </c>
      <c r="F129" s="45">
        <v>40749529.742635161</v>
      </c>
      <c r="G129" s="45">
        <v>7940607.507364843</v>
      </c>
      <c r="H129" s="45">
        <v>325973502.77846295</v>
      </c>
      <c r="I129" s="45">
        <v>194852637.54999998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8.xml><?xml version="1.0" encoding="utf-8"?>
<worksheet xmlns="http://schemas.openxmlformats.org/spreadsheetml/2006/main" xmlns:r="http://schemas.openxmlformats.org/officeDocument/2006/relationships">
  <sheetPr codeName="Sheet12"/>
  <dimension ref="A1:S130"/>
  <sheetViews>
    <sheetView zoomScale="85" zoomScaleNormal="85" workbookViewId="0">
      <pane xSplit="3" ySplit="6" topLeftCell="D88" activePane="bottomRight" state="frozen"/>
      <selection pane="topRight" activeCell="D1" sqref="D1"/>
      <selection pane="bottomLeft" activeCell="A7" sqref="A7"/>
      <selection pane="bottomRight" activeCell="M56" sqref="M56"/>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161400431.03</v>
      </c>
      <c r="E10" s="46"/>
      <c r="F10" s="47"/>
      <c r="G10" s="44"/>
      <c r="H10" s="44"/>
      <c r="I10" s="45">
        <v>161400431.03</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174676031.03</v>
      </c>
      <c r="E16" s="46"/>
      <c r="F16" s="45">
        <v>13275600</v>
      </c>
      <c r="G16" s="45">
        <v>0</v>
      </c>
      <c r="H16" s="45">
        <v>0</v>
      </c>
      <c r="I16" s="45">
        <v>161400431.03</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98576033.109999999</v>
      </c>
      <c r="E47" s="46"/>
      <c r="F47" s="44"/>
      <c r="G47" s="44"/>
      <c r="H47" s="44"/>
      <c r="I47" s="45">
        <v>98576033.109999999</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128856678.53999999</v>
      </c>
      <c r="E79" s="46"/>
      <c r="F79" s="44"/>
      <c r="G79" s="44"/>
      <c r="H79" s="44"/>
      <c r="I79" s="45">
        <v>128856678.53999999</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244438164.30000001</v>
      </c>
      <c r="E81" s="46"/>
      <c r="F81" s="45">
        <v>0</v>
      </c>
      <c r="G81" s="45">
        <v>0</v>
      </c>
      <c r="H81" s="45">
        <v>0</v>
      </c>
      <c r="I81" s="45">
        <v>244438164.30000001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292071243.79000002</v>
      </c>
      <c r="E85" s="46"/>
      <c r="F85" s="45">
        <v>26178993.63241427</v>
      </c>
      <c r="G85" s="45">
        <v>7020079.9175857268</v>
      </c>
      <c r="H85" s="45">
        <v>0</v>
      </c>
      <c r="I85" s="45">
        <v>258872170.24000001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94378888.778245166</v>
      </c>
      <c r="E106" s="46"/>
      <c r="G106" s="31"/>
      <c r="H106" s="45">
        <v>94378888.778245166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77176281.50130035</v>
      </c>
      <c r="E112" s="46"/>
      <c r="F112" s="48"/>
      <c r="G112" s="31"/>
      <c r="H112" s="45">
        <v>77176281.50130035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164740021.06999999</v>
      </c>
      <c r="E115" s="46"/>
      <c r="F115" s="48"/>
      <c r="G115" s="31"/>
      <c r="H115" s="45">
        <v>164740021.06999999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343109330.85954553</v>
      </c>
      <c r="E122" s="46"/>
      <c r="F122" s="45">
        <v>0</v>
      </c>
      <c r="G122" s="45">
        <v>0</v>
      </c>
      <c r="H122" s="45">
        <v>343109330.85954553</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568829322.61954558</v>
      </c>
      <c r="E129" s="46" t="s">
        <v>58</v>
      </c>
      <c r="F129" s="45">
        <v>40395717.922414273</v>
      </c>
      <c r="G129" s="45">
        <v>7020079.9175857268</v>
      </c>
      <c r="H129" s="45">
        <v>343109330.85954553</v>
      </c>
      <c r="I129" s="45">
        <v>178304193.91999999</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19.xml><?xml version="1.0" encoding="utf-8"?>
<worksheet xmlns="http://schemas.openxmlformats.org/spreadsheetml/2006/main" xmlns:r="http://schemas.openxmlformats.org/officeDocument/2006/relationships">
  <sheetPr codeName="Sheet13"/>
  <dimension ref="A1:S130"/>
  <sheetViews>
    <sheetView zoomScale="85" zoomScaleNormal="85" workbookViewId="0">
      <pane xSplit="3" ySplit="6" topLeftCell="D124" activePane="bottomRight" state="frozen"/>
      <selection pane="topRight" activeCell="D1" sqref="D1"/>
      <selection pane="bottomLeft" activeCell="A7" sqref="A7"/>
      <selection pane="bottomRight" activeCell="D158" sqref="D158"/>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13327400</v>
      </c>
      <c r="E8" s="46"/>
      <c r="F8" s="45">
        <v>13327400</v>
      </c>
      <c r="G8" s="32"/>
      <c r="H8" s="32"/>
      <c r="I8" s="32"/>
    </row>
    <row r="9" spans="1:14">
      <c r="B9" s="32"/>
      <c r="D9" s="46"/>
      <c r="E9" s="46"/>
      <c r="F9" s="47"/>
      <c r="G9" s="44"/>
      <c r="H9" s="44"/>
      <c r="I9" s="44"/>
    </row>
    <row r="10" spans="1:14">
      <c r="B10" s="32" t="s">
        <v>54</v>
      </c>
      <c r="D10" s="45">
        <v>142002299.47</v>
      </c>
      <c r="E10" s="46"/>
      <c r="F10" s="47"/>
      <c r="G10" s="44"/>
      <c r="H10" s="44"/>
      <c r="I10" s="45">
        <v>142002299.47</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155329699.47</v>
      </c>
      <c r="E16" s="46"/>
      <c r="F16" s="45">
        <v>13327400</v>
      </c>
      <c r="G16" s="45">
        <v>0</v>
      </c>
      <c r="H16" s="45">
        <v>0</v>
      </c>
      <c r="I16" s="45">
        <v>142002299.47</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7458680.4700000025</v>
      </c>
      <c r="E22" s="46"/>
      <c r="F22" s="45">
        <v>2237604.1410000008</v>
      </c>
      <c r="G22" s="45">
        <v>5221076.3290000018</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40835407.219999999</v>
      </c>
      <c r="E26" s="46"/>
      <c r="F26" s="45">
        <v>27553572.980414275</v>
      </c>
      <c r="G26" s="45">
        <v>10227431.72958573</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84811041.810000002</v>
      </c>
      <c r="E47" s="46"/>
      <c r="F47" s="44"/>
      <c r="G47" s="44"/>
      <c r="H47" s="44"/>
      <c r="I47" s="45">
        <v>84811041.810000002</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131246010.39000002</v>
      </c>
      <c r="E79" s="46"/>
      <c r="F79" s="44"/>
      <c r="G79" s="44"/>
      <c r="H79" s="44"/>
      <c r="I79" s="45">
        <v>131246010.39000002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233062504.85000002</v>
      </c>
      <c r="E81" s="46"/>
      <c r="F81" s="45">
        <v>0</v>
      </c>
      <c r="G81" s="45">
        <v>0</v>
      </c>
      <c r="H81" s="45">
        <v>0</v>
      </c>
      <c r="I81" s="45">
        <v>233062504.85000002</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285277515.5</v>
      </c>
      <c r="E85" s="46"/>
      <c r="F85" s="45">
        <v>27553572.980414275</v>
      </c>
      <c r="G85" s="45">
        <v>10227431.72958573</v>
      </c>
      <c r="H85" s="45">
        <v>0</v>
      </c>
      <c r="I85" s="45">
        <v>247496510.79000002</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6782048</v>
      </c>
      <c r="E104" s="46"/>
      <c r="G104" s="31"/>
      <c r="H104" s="45">
        <v>6782048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78219722.780018181</v>
      </c>
      <c r="E106" s="46"/>
      <c r="G106" s="31"/>
      <c r="H106" s="45">
        <v>78219722.780018181</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72032914.260115579</v>
      </c>
      <c r="E112" s="46"/>
      <c r="F112" s="48"/>
      <c r="G112" s="31"/>
      <c r="H112" s="45">
        <v>72032914.260115579</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160732920.59999999</v>
      </c>
      <c r="E115" s="46"/>
      <c r="F115" s="48"/>
      <c r="G115" s="31"/>
      <c r="H115" s="45">
        <v>160732920.59999999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317767605.64013374</v>
      </c>
      <c r="E122" s="46"/>
      <c r="F122" s="45">
        <v>0</v>
      </c>
      <c r="G122" s="45">
        <v>0</v>
      </c>
      <c r="H122" s="45">
        <v>317767605.64013374</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556040200.67013371</v>
      </c>
      <c r="E129" s="46" t="s">
        <v>58</v>
      </c>
      <c r="F129" s="45">
        <v>41718497.270414278</v>
      </c>
      <c r="G129" s="45">
        <v>10227431.72958573</v>
      </c>
      <c r="H129" s="45">
        <v>317767605.64013374</v>
      </c>
      <c r="I129" s="45">
        <v>186326666.03</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K50"/>
  <sheetViews>
    <sheetView zoomScaleNormal="100" workbookViewId="0">
      <selection activeCell="H40" sqref="H40"/>
    </sheetView>
  </sheetViews>
  <sheetFormatPr defaultRowHeight="12.75"/>
  <cols>
    <col min="1" max="1" width="4.140625" style="2" customWidth="1"/>
    <col min="2" max="2" width="6.85546875" style="2" customWidth="1"/>
    <col min="3" max="3" width="28.140625" style="2" customWidth="1"/>
    <col min="4" max="4" width="10.5703125" style="2" customWidth="1"/>
    <col min="5" max="5" width="9.140625" style="4"/>
    <col min="6" max="6" width="14.5703125" style="3" customWidth="1"/>
    <col min="7" max="7" width="9.140625" style="4"/>
    <col min="8" max="8" width="11.7109375" style="4" customWidth="1"/>
    <col min="9" max="9" width="15.42578125" style="4" customWidth="1"/>
    <col min="10" max="16384" width="9.140625" style="2"/>
  </cols>
  <sheetData>
    <row r="1" spans="1:10">
      <c r="A1" s="1" t="str">
        <f>'NPC Summary 12.6.1 '!A1</f>
        <v>PacifiCorp</v>
      </c>
      <c r="B1" s="1"/>
      <c r="J1" s="108" t="s">
        <v>453</v>
      </c>
    </row>
    <row r="2" spans="1:10">
      <c r="A2" s="1" t="str">
        <f>'NPC Summary 12.6.1 '!A2</f>
        <v>Washington General Rate Case - December 2009</v>
      </c>
      <c r="B2" s="1"/>
      <c r="I2" s="108" t="s">
        <v>1</v>
      </c>
      <c r="J2" s="395">
        <v>12.6</v>
      </c>
    </row>
    <row r="3" spans="1:10">
      <c r="A3" s="107" t="s">
        <v>194</v>
      </c>
      <c r="B3" s="1"/>
    </row>
    <row r="5" spans="1:10">
      <c r="F5" s="5" t="s">
        <v>2</v>
      </c>
      <c r="I5" s="5" t="s">
        <v>196</v>
      </c>
    </row>
    <row r="6" spans="1:10" ht="15">
      <c r="D6" s="6" t="s">
        <v>3</v>
      </c>
      <c r="E6" s="6" t="s">
        <v>4</v>
      </c>
      <c r="F6" s="7" t="s">
        <v>5</v>
      </c>
      <c r="G6" s="6" t="s">
        <v>6</v>
      </c>
      <c r="H6" s="6" t="s">
        <v>195</v>
      </c>
      <c r="I6" s="7" t="s">
        <v>197</v>
      </c>
      <c r="J6" s="6" t="s">
        <v>7</v>
      </c>
    </row>
    <row r="7" spans="1:10" ht="15">
      <c r="B7" s="1" t="s">
        <v>8</v>
      </c>
      <c r="D7" s="6"/>
      <c r="E7" s="6"/>
      <c r="F7" s="7"/>
      <c r="G7" s="6"/>
      <c r="H7" s="6"/>
      <c r="I7" s="6"/>
      <c r="J7" s="6"/>
    </row>
    <row r="8" spans="1:10" ht="15">
      <c r="B8" s="1"/>
      <c r="D8" s="6"/>
      <c r="E8" s="6"/>
      <c r="F8" s="7"/>
      <c r="G8" s="6"/>
      <c r="H8" s="6"/>
      <c r="I8" s="6"/>
      <c r="J8" s="6"/>
    </row>
    <row r="9" spans="1:10">
      <c r="B9" s="8" t="str">
        <f>'NPC Summary 12.6.1 '!A14</f>
        <v>Sales for Resale  (Account 447)</v>
      </c>
      <c r="C9" s="27"/>
    </row>
    <row r="10" spans="1:10">
      <c r="B10" s="75" t="str">
        <f>'NPC Summary 12.6.1 '!A15</f>
        <v>Existing Firm Sales - Pacific</v>
      </c>
      <c r="C10" s="27"/>
      <c r="D10" s="9" t="str">
        <f>'NPC Summary 12.6.1 '!B15</f>
        <v>447NPC</v>
      </c>
      <c r="E10" s="4" t="s">
        <v>235</v>
      </c>
      <c r="F10" s="3">
        <f>'NPC Summary 12.6.1 '!Q15</f>
        <v>3591043.8100000005</v>
      </c>
      <c r="G10" s="4" t="str">
        <f>'NPC Summary 12.6.1 '!C15</f>
        <v>CAGW</v>
      </c>
      <c r="H10" s="67">
        <v>0.220870814871235</v>
      </c>
      <c r="I10" s="4">
        <f>+F10*H10</f>
        <v>793156.77255300456</v>
      </c>
      <c r="J10" s="4" t="s">
        <v>256</v>
      </c>
    </row>
    <row r="11" spans="1:10">
      <c r="B11" s="75" t="str">
        <f>'NPC Summary 12.6.1 '!A16</f>
        <v>Post-Merger Firm Sales</v>
      </c>
      <c r="C11" s="27"/>
      <c r="D11" s="9" t="str">
        <f>'NPC Summary 12.6.1 '!B16</f>
        <v>447NPC</v>
      </c>
      <c r="E11" s="4" t="s">
        <v>235</v>
      </c>
      <c r="F11" s="3">
        <f>'NPC Summary 12.6.1 '!Q16</f>
        <v>-212544106.21000001</v>
      </c>
      <c r="G11" s="4" t="str">
        <f>'NPC Summary 12.6.1 '!C16</f>
        <v>CAGW</v>
      </c>
      <c r="H11" s="67">
        <v>0.220870814871235</v>
      </c>
      <c r="I11" s="4">
        <f t="shared" ref="I11:I12" si="0">+F11*H11</f>
        <v>-46944789.934681021</v>
      </c>
      <c r="J11" s="4" t="s">
        <v>256</v>
      </c>
    </row>
    <row r="12" spans="1:10">
      <c r="B12" s="75" t="str">
        <f>'NPC Summary 12.6.1 '!A17</f>
        <v>Non-Firm Sales</v>
      </c>
      <c r="C12" s="27"/>
      <c r="D12" s="9" t="str">
        <f>'NPC Summary 12.6.1 '!B17</f>
        <v>447NPC</v>
      </c>
      <c r="E12" s="4" t="s">
        <v>235</v>
      </c>
      <c r="F12" s="3">
        <f>'NPC Summary 12.6.1 '!Q17</f>
        <v>0</v>
      </c>
      <c r="G12" s="4" t="str">
        <f>'NPC Summary 12.6.1 '!C17</f>
        <v>CAEW</v>
      </c>
      <c r="H12" s="67">
        <v>0.22270549443887661</v>
      </c>
      <c r="I12" s="4">
        <f t="shared" si="0"/>
        <v>0</v>
      </c>
      <c r="J12" s="4" t="s">
        <v>256</v>
      </c>
    </row>
    <row r="13" spans="1:10">
      <c r="B13" s="75" t="str">
        <f>'NPC Summary 12.6.1 '!A18</f>
        <v>Total Sales for Resale</v>
      </c>
      <c r="C13" s="27"/>
      <c r="D13" s="9"/>
      <c r="E13" s="29"/>
      <c r="F13" s="28">
        <f>'NPC Summary 12.6.1 '!Q18</f>
        <v>-208953062.40000001</v>
      </c>
      <c r="H13" s="67"/>
      <c r="I13" s="28">
        <f>SUM(I10:I12)</f>
        <v>-46151633.162128016</v>
      </c>
    </row>
    <row r="14" spans="1:10">
      <c r="B14" s="75"/>
      <c r="C14" s="76"/>
      <c r="D14" s="9"/>
      <c r="E14" s="29"/>
      <c r="H14" s="67"/>
    </row>
    <row r="15" spans="1:10">
      <c r="B15" s="8" t="str">
        <f>'NPC Summary 12.6.1 '!A20</f>
        <v>Purchased Power (Account 555)</v>
      </c>
      <c r="C15" s="76"/>
      <c r="D15" s="9"/>
      <c r="E15" s="29"/>
      <c r="H15" s="67"/>
    </row>
    <row r="16" spans="1:10">
      <c r="B16" s="75" t="str">
        <f>'NPC Summary 12.6.1 '!A21</f>
        <v>Existing Firm Demand - Pacific</v>
      </c>
      <c r="C16" s="76"/>
      <c r="D16" s="9" t="str">
        <f>'NPC Summary 12.6.1 '!B21</f>
        <v>555NPC</v>
      </c>
      <c r="E16" s="4" t="s">
        <v>235</v>
      </c>
      <c r="F16" s="3">
        <f>'NPC Summary 12.6.1 '!Q21</f>
        <v>-29959412.864323642</v>
      </c>
      <c r="G16" s="4" t="str">
        <f>'NPC Summary 12.6.1 '!C21</f>
        <v>CAGW</v>
      </c>
      <c r="H16" s="67">
        <v>0.220870814871235</v>
      </c>
      <c r="I16" s="4">
        <f t="shared" ref="I16:I17" si="1">+F16*H16</f>
        <v>-6617159.9324069237</v>
      </c>
      <c r="J16" s="4" t="s">
        <v>256</v>
      </c>
    </row>
    <row r="17" spans="2:10">
      <c r="B17" s="75" t="str">
        <f>'NPC Summary 12.6.1 '!A22</f>
        <v>Existing Firm Energy</v>
      </c>
      <c r="C17" s="76"/>
      <c r="D17" s="9" t="str">
        <f>'NPC Summary 12.6.1 '!B22</f>
        <v>555NPC</v>
      </c>
      <c r="E17" s="4" t="s">
        <v>235</v>
      </c>
      <c r="F17" s="3">
        <f>'NPC Summary 12.6.1 '!Q22</f>
        <v>-10063015.475676343</v>
      </c>
      <c r="G17" s="4" t="str">
        <f>'NPC Summary 12.6.1 '!C22</f>
        <v>CAEW</v>
      </c>
      <c r="H17" s="67">
        <v>0.22270549443887661</v>
      </c>
      <c r="I17" s="4">
        <f t="shared" si="1"/>
        <v>-2241088.837056567</v>
      </c>
      <c r="J17" s="4" t="s">
        <v>256</v>
      </c>
    </row>
    <row r="18" spans="2:10">
      <c r="B18" s="75" t="str">
        <f>'NPC Summary 12.6.1 '!A23</f>
        <v>WA Qualifying Facilities</v>
      </c>
      <c r="C18" s="76"/>
      <c r="D18" s="9" t="str">
        <f>'NPC Summary 12.6.1 '!B23</f>
        <v>555NPC</v>
      </c>
      <c r="E18" s="4" t="s">
        <v>235</v>
      </c>
      <c r="F18" s="3">
        <f>'NPC Summary 12.6.1 '!Q23</f>
        <v>550719.50999999978</v>
      </c>
      <c r="G18" s="4" t="str">
        <f>'NPC Summary 12.6.1 '!C23</f>
        <v>WA</v>
      </c>
      <c r="H18" s="67" t="s">
        <v>198</v>
      </c>
      <c r="I18" s="4">
        <f>+F18</f>
        <v>550719.50999999978</v>
      </c>
      <c r="J18" s="4" t="s">
        <v>256</v>
      </c>
    </row>
    <row r="19" spans="2:10">
      <c r="B19" s="75" t="str">
        <f>'NPC Summary 12.6.1 '!A24</f>
        <v>Post-Merger Firm Energy</v>
      </c>
      <c r="C19" s="76"/>
      <c r="D19" s="9" t="str">
        <f>'NPC Summary 12.6.1 '!B24</f>
        <v>555NPC</v>
      </c>
      <c r="E19" s="4" t="s">
        <v>235</v>
      </c>
      <c r="F19" s="3">
        <f>'NPC Summary 12.6.1 '!Q24</f>
        <v>-63588483.599999994</v>
      </c>
      <c r="G19" s="4" t="str">
        <f>'NPC Summary 12.6.1 '!C24</f>
        <v>CAGW</v>
      </c>
      <c r="H19" s="67">
        <v>0.220870814871235</v>
      </c>
      <c r="I19" s="4">
        <f t="shared" ref="I19:I20" si="2">+F19*H19</f>
        <v>-14044840.189158162</v>
      </c>
      <c r="J19" s="4" t="s">
        <v>256</v>
      </c>
    </row>
    <row r="20" spans="2:10">
      <c r="B20" s="75" t="str">
        <f>'NPC Summary 12.6.1 '!A25</f>
        <v>Other Generation Expenses</v>
      </c>
      <c r="C20" s="27"/>
      <c r="D20" s="9" t="str">
        <f>'NPC Summary 12.6.1 '!B25</f>
        <v>555NPC</v>
      </c>
      <c r="E20" s="4" t="s">
        <v>235</v>
      </c>
      <c r="F20" s="3">
        <f>'NPC Summary 12.6.1 '!Q25</f>
        <v>1590459.1899999995</v>
      </c>
      <c r="G20" s="4" t="str">
        <f>'NPC Summary 12.6.1 '!C25</f>
        <v>CAGW</v>
      </c>
      <c r="H20" s="67">
        <v>0.220870814871235</v>
      </c>
      <c r="I20" s="4">
        <f t="shared" si="2"/>
        <v>351286.01731474424</v>
      </c>
      <c r="J20" s="4" t="s">
        <v>256</v>
      </c>
    </row>
    <row r="21" spans="2:10">
      <c r="B21" s="75" t="str">
        <f>'NPC Summary 12.6.1 '!A26</f>
        <v>Total Purchased Power</v>
      </c>
      <c r="C21" s="27"/>
      <c r="D21" s="9"/>
      <c r="E21" s="29"/>
      <c r="F21" s="28">
        <f>'NPC Summary 12.6.1 '!Q26</f>
        <v>-101469733.23999998</v>
      </c>
      <c r="H21" s="67"/>
      <c r="I21" s="28">
        <f>SUM(I16:I20)</f>
        <v>-22001083.43130691</v>
      </c>
    </row>
    <row r="22" spans="2:10">
      <c r="B22" s="75"/>
      <c r="C22" s="27"/>
      <c r="D22" s="9"/>
      <c r="E22" s="29"/>
      <c r="H22" s="67"/>
    </row>
    <row r="23" spans="2:10">
      <c r="B23" s="8" t="str">
        <f>'NPC Summary 12.6.1 '!A28</f>
        <v>Wheeling (Account 565)</v>
      </c>
      <c r="C23" s="27"/>
      <c r="D23" s="9"/>
      <c r="E23" s="29"/>
      <c r="H23" s="67"/>
      <c r="J23" s="4"/>
    </row>
    <row r="24" spans="2:10">
      <c r="B24" s="75" t="str">
        <f>'NPC Summary 12.6.1 '!A29</f>
        <v>Existing Firm - Pacific</v>
      </c>
      <c r="C24" s="27"/>
      <c r="D24" s="9" t="str">
        <f>'NPC Summary 12.6.1 '!B29</f>
        <v>565NPC</v>
      </c>
      <c r="E24" s="4" t="s">
        <v>235</v>
      </c>
      <c r="F24" s="3">
        <f>'NPC Summary 12.6.1 '!Q29</f>
        <v>-2040902.5499999933</v>
      </c>
      <c r="G24" s="4" t="str">
        <f>'NPC Summary 12.6.1 '!C29</f>
        <v>CAGW</v>
      </c>
      <c r="H24" s="67">
        <v>0.220870814871235</v>
      </c>
      <c r="I24" s="4">
        <f t="shared" ref="I24:I26" si="3">+F24*H24</f>
        <v>-450775.80929127993</v>
      </c>
      <c r="J24" s="4" t="s">
        <v>256</v>
      </c>
    </row>
    <row r="25" spans="2:10">
      <c r="B25" s="75" t="str">
        <f>'NPC Summary 12.6.1 '!A30</f>
        <v>Post Merger Firm</v>
      </c>
      <c r="C25" s="11"/>
      <c r="D25" s="9" t="str">
        <f>'NPC Summary 12.6.1 '!B30</f>
        <v>565NPC</v>
      </c>
      <c r="E25" s="4" t="s">
        <v>235</v>
      </c>
      <c r="F25" s="3">
        <f>'NPC Summary 12.6.1 '!Q30</f>
        <v>17842879.549999997</v>
      </c>
      <c r="G25" s="4" t="str">
        <f>'NPC Summary 12.6.1 '!C30</f>
        <v>CAGW</v>
      </c>
      <c r="H25" s="67">
        <v>0.220870814871235</v>
      </c>
      <c r="I25" s="4">
        <f t="shared" si="3"/>
        <v>3940971.3458577944</v>
      </c>
      <c r="J25" s="4" t="s">
        <v>256</v>
      </c>
    </row>
    <row r="26" spans="2:10">
      <c r="B26" s="75" t="str">
        <f>'NPC Summary 12.6.1 '!A31</f>
        <v>Non Firm</v>
      </c>
      <c r="C26" s="11"/>
      <c r="D26" s="9" t="s">
        <v>168</v>
      </c>
      <c r="E26" s="4" t="s">
        <v>235</v>
      </c>
      <c r="F26" s="3">
        <f>'NPC Summary 12.6.1 '!Q31</f>
        <v>2475899.4299999997</v>
      </c>
      <c r="G26" s="4" t="str">
        <f>'NPC Summary 12.6.1 '!C31</f>
        <v>CAEW</v>
      </c>
      <c r="H26" s="67">
        <v>0.22270549443887661</v>
      </c>
      <c r="I26" s="4">
        <f t="shared" si="3"/>
        <v>551396.40673908265</v>
      </c>
      <c r="J26" s="4" t="s">
        <v>256</v>
      </c>
    </row>
    <row r="27" spans="2:10">
      <c r="B27" s="75" t="str">
        <f>'NPC Summary 12.6.1 '!A32</f>
        <v>Total Wheeling Expense</v>
      </c>
      <c r="D27" s="9"/>
      <c r="E27" s="29"/>
      <c r="F27" s="28">
        <f>'NPC Summary 12.6.1 '!Q32</f>
        <v>18277876.430000003</v>
      </c>
      <c r="H27" s="67"/>
      <c r="I27" s="28">
        <f>SUM(I24:I26)</f>
        <v>4041591.9433055972</v>
      </c>
      <c r="J27" s="4"/>
    </row>
    <row r="28" spans="2:10">
      <c r="B28" s="75"/>
      <c r="D28" s="9"/>
      <c r="E28" s="29"/>
      <c r="H28" s="67"/>
    </row>
    <row r="29" spans="2:10">
      <c r="B29" s="8" t="str">
        <f>'NPC Summary 12.6.1 '!A34</f>
        <v>Fuel Expense (Accounts 501 and 547)</v>
      </c>
      <c r="C29" s="1"/>
      <c r="D29" s="9"/>
      <c r="E29" s="29"/>
      <c r="H29" s="67"/>
      <c r="J29" s="4"/>
    </row>
    <row r="30" spans="2:10">
      <c r="B30" s="75" t="str">
        <f>'NPC Summary 12.6.1 '!A35</f>
        <v>Fuel Consumed - Coal</v>
      </c>
      <c r="C30" s="1"/>
      <c r="D30" s="9" t="str">
        <f>'NPC Summary 12.6.1 '!B35</f>
        <v>501NPC</v>
      </c>
      <c r="E30" s="4" t="s">
        <v>235</v>
      </c>
      <c r="F30" s="3">
        <f>'NPC Summary 12.6.1 '!Q35</f>
        <v>17503175.75999999</v>
      </c>
      <c r="G30" s="4" t="str">
        <f>'NPC Summary 12.6.1 '!C35</f>
        <v>CAEW</v>
      </c>
      <c r="H30" s="67">
        <v>0.22270549443887661</v>
      </c>
      <c r="I30" s="4">
        <f t="shared" ref="I30:I31" si="4">+F30*H30</f>
        <v>3898053.4118813579</v>
      </c>
      <c r="J30" s="4" t="s">
        <v>256</v>
      </c>
    </row>
    <row r="31" spans="2:10">
      <c r="B31" s="75" t="str">
        <f>'NPC Summary 12.6.1 '!A36</f>
        <v>Fuel Consumed - Natural Gas</v>
      </c>
      <c r="C31" s="1"/>
      <c r="D31" s="9" t="str">
        <f>'NPC Summary 12.6.1 '!B36</f>
        <v>547NPC</v>
      </c>
      <c r="E31" s="4" t="s">
        <v>235</v>
      </c>
      <c r="F31" s="3">
        <f>'NPC Summary 12.6.1 '!Q36</f>
        <v>12033957.543335915</v>
      </c>
      <c r="G31" s="4" t="str">
        <f>'NPC Summary 12.6.1 '!C36</f>
        <v>CAEW</v>
      </c>
      <c r="H31" s="67">
        <v>0.22270549443887661</v>
      </c>
      <c r="I31" s="4">
        <f t="shared" si="4"/>
        <v>2680028.4647450736</v>
      </c>
      <c r="J31" s="4" t="s">
        <v>256</v>
      </c>
    </row>
    <row r="32" spans="2:10">
      <c r="B32" s="75" t="str">
        <f>'NPC Summary 12.6.1 '!A37</f>
        <v>Total Fuel and Other Expense</v>
      </c>
      <c r="C32" s="1"/>
      <c r="D32" s="9"/>
      <c r="E32" s="29"/>
      <c r="F32" s="28">
        <f>'NPC Summary 12.6.1 '!Q37</f>
        <v>29537133.303335905</v>
      </c>
      <c r="I32" s="28">
        <f>SUM(I30:I31)</f>
        <v>6578081.8766264319</v>
      </c>
      <c r="J32" s="4"/>
    </row>
    <row r="33" spans="1:11">
      <c r="B33" s="75"/>
      <c r="C33" s="1"/>
      <c r="D33" s="9"/>
      <c r="E33" s="29"/>
      <c r="I33" s="3"/>
      <c r="J33" s="4"/>
    </row>
    <row r="34" spans="1:11">
      <c r="B34" s="8" t="s">
        <v>193</v>
      </c>
      <c r="C34" s="1"/>
      <c r="D34" s="9"/>
      <c r="E34" s="29"/>
      <c r="F34" s="28">
        <f>'NPC Summary 12.6.1 '!Q39</f>
        <v>155298338.89333594</v>
      </c>
      <c r="I34" s="28">
        <f>+I32+I27+I21-I13</f>
        <v>34770223.550753132</v>
      </c>
      <c r="J34" s="4"/>
    </row>
    <row r="35" spans="1:11">
      <c r="C35" s="1"/>
      <c r="F35" s="19"/>
      <c r="J35" s="4"/>
    </row>
    <row r="36" spans="1:11">
      <c r="C36" s="1"/>
      <c r="F36" s="19"/>
      <c r="J36" s="4"/>
    </row>
    <row r="37" spans="1:11">
      <c r="C37" s="1"/>
      <c r="F37" s="19"/>
      <c r="J37" s="4"/>
    </row>
    <row r="42" spans="1:11">
      <c r="B42" s="12" t="s">
        <v>20</v>
      </c>
    </row>
    <row r="43" spans="1:11">
      <c r="A43" s="13"/>
      <c r="B43" s="14"/>
      <c r="C43" s="14"/>
      <c r="D43" s="14"/>
      <c r="E43" s="15"/>
      <c r="F43" s="10"/>
      <c r="G43" s="15"/>
      <c r="H43" s="15"/>
      <c r="I43" s="15"/>
      <c r="J43" s="14"/>
      <c r="K43" s="16"/>
    </row>
    <row r="44" spans="1:11">
      <c r="A44" s="17"/>
      <c r="B44" s="18"/>
      <c r="C44" s="18"/>
      <c r="D44" s="18"/>
      <c r="E44" s="20"/>
      <c r="F44" s="19"/>
      <c r="G44" s="20"/>
      <c r="H44" s="20"/>
      <c r="I44" s="20"/>
      <c r="J44" s="18"/>
      <c r="K44" s="21"/>
    </row>
    <row r="45" spans="1:11">
      <c r="A45" s="17"/>
      <c r="B45" s="18"/>
      <c r="C45" s="18"/>
      <c r="D45" s="18"/>
      <c r="E45" s="20"/>
      <c r="F45" s="19"/>
      <c r="G45" s="20"/>
      <c r="H45" s="20"/>
      <c r="I45" s="20"/>
      <c r="J45" s="18"/>
      <c r="K45" s="21"/>
    </row>
    <row r="46" spans="1:11">
      <c r="A46" s="17"/>
      <c r="B46" s="18"/>
      <c r="C46" s="18"/>
      <c r="D46" s="18"/>
      <c r="E46" s="20"/>
      <c r="F46" s="19"/>
      <c r="G46" s="20"/>
      <c r="H46" s="20"/>
      <c r="I46" s="20"/>
      <c r="J46" s="18"/>
      <c r="K46" s="21"/>
    </row>
    <row r="47" spans="1:11">
      <c r="A47" s="17"/>
      <c r="B47" s="18"/>
      <c r="C47" s="18"/>
      <c r="D47" s="18"/>
      <c r="E47" s="20"/>
      <c r="F47" s="19"/>
      <c r="G47" s="20"/>
      <c r="H47" s="20"/>
      <c r="I47" s="20"/>
      <c r="J47" s="18"/>
      <c r="K47" s="21"/>
    </row>
    <row r="48" spans="1:11">
      <c r="A48" s="17"/>
      <c r="B48" s="18"/>
      <c r="C48" s="18"/>
      <c r="D48" s="18"/>
      <c r="E48" s="20"/>
      <c r="F48" s="19"/>
      <c r="G48" s="20"/>
      <c r="H48" s="20"/>
      <c r="I48" s="20"/>
      <c r="J48" s="18"/>
      <c r="K48" s="21"/>
    </row>
    <row r="49" spans="1:11">
      <c r="A49" s="17"/>
      <c r="B49" s="18"/>
      <c r="C49" s="18"/>
      <c r="D49" s="18"/>
      <c r="E49" s="20"/>
      <c r="F49" s="19"/>
      <c r="G49" s="20"/>
      <c r="H49" s="20"/>
      <c r="I49" s="20"/>
      <c r="J49" s="18"/>
      <c r="K49" s="21"/>
    </row>
    <row r="50" spans="1:11">
      <c r="A50" s="22"/>
      <c r="B50" s="23"/>
      <c r="C50" s="23"/>
      <c r="D50" s="23"/>
      <c r="E50" s="25"/>
      <c r="F50" s="24"/>
      <c r="G50" s="25"/>
      <c r="H50" s="25"/>
      <c r="I50" s="25"/>
      <c r="J50" s="23"/>
      <c r="K50" s="26"/>
    </row>
  </sheetData>
  <phoneticPr fontId="39" type="noConversion"/>
  <conditionalFormatting sqref="B9:B34">
    <cfRule type="cellIs" dxfId="2" priority="2" stopIfTrue="1" operator="equal">
      <formula>"Adjustment to Income/Expense/Rate Base:"</formula>
    </cfRule>
  </conditionalFormatting>
  <conditionalFormatting sqref="B20:B22">
    <cfRule type="cellIs" dxfId="1" priority="3" stopIfTrue="1" operator="equal">
      <formula>"Title"</formula>
    </cfRule>
  </conditionalFormatting>
  <pageMargins left="0.75" right="0.75" top="1" bottom="1" header="0.5" footer="0.5"/>
  <pageSetup scale="7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Sheet14"/>
  <dimension ref="A1:S130"/>
  <sheetViews>
    <sheetView zoomScale="85" zoomScaleNormal="85" workbookViewId="0">
      <pane xSplit="3" ySplit="6" topLeftCell="D91" activePane="bottomRight" state="frozen"/>
      <selection pane="topRight" activeCell="D1" sqref="D1"/>
      <selection pane="bottomLeft" activeCell="A7" sqref="A7"/>
      <selection pane="bottomRight" activeCell="H60" sqref="H60"/>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161400431.03</v>
      </c>
      <c r="E10" s="46"/>
      <c r="F10" s="47"/>
      <c r="G10" s="44"/>
      <c r="H10" s="44"/>
      <c r="I10" s="45">
        <v>161400431.03</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174676031.03</v>
      </c>
      <c r="E16" s="46"/>
      <c r="F16" s="45">
        <v>13275600</v>
      </c>
      <c r="G16" s="45">
        <v>0</v>
      </c>
      <c r="H16" s="45">
        <v>0</v>
      </c>
      <c r="I16" s="45">
        <v>161400431.03</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98576033.109999999</v>
      </c>
      <c r="E47" s="46"/>
      <c r="F47" s="44"/>
      <c r="G47" s="44"/>
      <c r="H47" s="44"/>
      <c r="I47" s="45">
        <v>98576033.109999999</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128856678.53999999</v>
      </c>
      <c r="E79" s="46"/>
      <c r="F79" s="44"/>
      <c r="G79" s="44"/>
      <c r="H79" s="44"/>
      <c r="I79" s="45">
        <v>128856678.53999999</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244438164.30000001</v>
      </c>
      <c r="E81" s="46"/>
      <c r="F81" s="45">
        <v>0</v>
      </c>
      <c r="G81" s="45">
        <v>0</v>
      </c>
      <c r="H81" s="45">
        <v>0</v>
      </c>
      <c r="I81" s="45">
        <v>244438164.30000001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292071243.79000002</v>
      </c>
      <c r="E85" s="46"/>
      <c r="F85" s="45">
        <v>26178993.63241427</v>
      </c>
      <c r="G85" s="45">
        <v>7020079.9175857268</v>
      </c>
      <c r="H85" s="45">
        <v>0</v>
      </c>
      <c r="I85" s="45">
        <v>258872170.24000001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6886860.4000000004</v>
      </c>
      <c r="E104" s="46"/>
      <c r="G104" s="31"/>
      <c r="H104" s="45">
        <v>6886860.4000000004</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94378888.778245166</v>
      </c>
      <c r="E106" s="46"/>
      <c r="G106" s="31"/>
      <c r="H106" s="45">
        <v>94378888.778245166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77176281.50130035</v>
      </c>
      <c r="E112" s="46"/>
      <c r="F112" s="48"/>
      <c r="G112" s="31"/>
      <c r="H112" s="45">
        <v>77176281.50130035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165730424.06999999</v>
      </c>
      <c r="E115" s="46"/>
      <c r="F115" s="48"/>
      <c r="G115" s="31"/>
      <c r="H115" s="45">
        <v>165730424.06999999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344172454.74954551</v>
      </c>
      <c r="E122" s="46"/>
      <c r="F122" s="45">
        <v>0</v>
      </c>
      <c r="G122" s="45">
        <v>0</v>
      </c>
      <c r="H122" s="45">
        <v>344172454.74954551</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569892446.50954556</v>
      </c>
      <c r="E129" s="46" t="s">
        <v>58</v>
      </c>
      <c r="F129" s="45">
        <v>40395717.922414273</v>
      </c>
      <c r="G129" s="45">
        <v>7020079.9175857268</v>
      </c>
      <c r="H129" s="45">
        <v>344172454.74954551</v>
      </c>
      <c r="I129" s="45">
        <v>178304193.91999999</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1.xml><?xml version="1.0" encoding="utf-8"?>
<worksheet xmlns="http://schemas.openxmlformats.org/spreadsheetml/2006/main" xmlns:r="http://schemas.openxmlformats.org/officeDocument/2006/relationships">
  <sheetPr codeName="Sheet15"/>
  <dimension ref="A1:S130"/>
  <sheetViews>
    <sheetView zoomScale="85" zoomScaleNormal="85" workbookViewId="0">
      <pane xSplit="3" ySplit="6" topLeftCell="D115" activePane="bottomRight" state="frozen"/>
      <selection pane="topRight" activeCell="D1" sqref="D1"/>
      <selection pane="bottomLeft" activeCell="A7" sqref="A7"/>
      <selection pane="bottomRight" sqref="A1:XFD1048576"/>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174645004.93000001</v>
      </c>
      <c r="E10" s="46"/>
      <c r="F10" s="47"/>
      <c r="G10" s="44"/>
      <c r="H10" s="44"/>
      <c r="I10" s="45">
        <v>174645004.93000001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187920604.93000001</v>
      </c>
      <c r="E16" s="46"/>
      <c r="F16" s="45">
        <v>13275600</v>
      </c>
      <c r="G16" s="45">
        <v>0</v>
      </c>
      <c r="H16" s="45">
        <v>0</v>
      </c>
      <c r="I16" s="45">
        <v>174645004.93000001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104298976.37</v>
      </c>
      <c r="E47" s="46"/>
      <c r="F47" s="44"/>
      <c r="G47" s="44"/>
      <c r="H47" s="44"/>
      <c r="I47" s="45">
        <v>104298976.37</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85049064.420000002</v>
      </c>
      <c r="E79" s="46"/>
      <c r="F79" s="44"/>
      <c r="G79" s="44"/>
      <c r="H79" s="44"/>
      <c r="I79" s="45">
        <v>85049064.420000002</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206353493.44</v>
      </c>
      <c r="E81" s="46"/>
      <c r="F81" s="45">
        <v>0</v>
      </c>
      <c r="G81" s="45">
        <v>0</v>
      </c>
      <c r="H81" s="45">
        <v>0</v>
      </c>
      <c r="I81" s="45">
        <v>206353493.44</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253986572.93000001</v>
      </c>
      <c r="E85" s="46"/>
      <c r="F85" s="45">
        <v>26178993.63241427</v>
      </c>
      <c r="G85" s="45">
        <v>7020079.9175857268</v>
      </c>
      <c r="H85" s="45">
        <v>0</v>
      </c>
      <c r="I85" s="45">
        <v>220787499.38</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140234075.48383397</v>
      </c>
      <c r="E106" s="46"/>
      <c r="G106" s="31"/>
      <c r="H106" s="45">
        <v>140234075.48383397</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81886886.063300863</v>
      </c>
      <c r="E112" s="46"/>
      <c r="F112" s="48"/>
      <c r="G112" s="31"/>
      <c r="H112" s="45">
        <v>81886886.063300863</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164004596.84999999</v>
      </c>
      <c r="E115" s="46"/>
      <c r="F115" s="48"/>
      <c r="G115" s="31"/>
      <c r="H115" s="45">
        <v>164004596.84999999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392939697.90713477</v>
      </c>
      <c r="E122" s="46"/>
      <c r="F122" s="45">
        <v>0</v>
      </c>
      <c r="G122" s="45">
        <v>0</v>
      </c>
      <c r="H122" s="45">
        <v>392939697.90713477</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567330444.90713477</v>
      </c>
      <c r="E129" s="46" t="s">
        <v>58</v>
      </c>
      <c r="F129" s="45">
        <v>40395717.922414273</v>
      </c>
      <c r="G129" s="45">
        <v>7020079.9175857268</v>
      </c>
      <c r="H129" s="45">
        <v>392939697.90713477</v>
      </c>
      <c r="I129" s="45">
        <v>126974949.15999997</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2.xml><?xml version="1.0" encoding="utf-8"?>
<worksheet xmlns="http://schemas.openxmlformats.org/spreadsheetml/2006/main" xmlns:r="http://schemas.openxmlformats.org/officeDocument/2006/relationships">
  <sheetPr codeName="Sheet16"/>
  <dimension ref="A1:S130"/>
  <sheetViews>
    <sheetView zoomScale="85" zoomScaleNormal="85" workbookViewId="0">
      <pane xSplit="3" ySplit="6" topLeftCell="D124" activePane="bottomRight" state="frozen"/>
      <selection pane="topRight" activeCell="D1" sqref="D1"/>
      <selection pane="bottomLeft" activeCell="A7" sqref="A7"/>
      <selection pane="bottomRight" activeCell="A124" sqref="A124"/>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12964800</v>
      </c>
      <c r="E8" s="46"/>
      <c r="F8" s="45">
        <v>12964800</v>
      </c>
      <c r="G8" s="32"/>
      <c r="H8" s="32"/>
      <c r="I8" s="32"/>
    </row>
    <row r="9" spans="1:14">
      <c r="B9" s="32"/>
      <c r="D9" s="46"/>
      <c r="E9" s="46"/>
      <c r="F9" s="47"/>
      <c r="G9" s="44"/>
      <c r="H9" s="44"/>
      <c r="I9" s="44"/>
    </row>
    <row r="10" spans="1:14">
      <c r="B10" s="32" t="s">
        <v>54</v>
      </c>
      <c r="D10" s="45">
        <v>161762315.73000002</v>
      </c>
      <c r="E10" s="46"/>
      <c r="F10" s="47"/>
      <c r="G10" s="44"/>
      <c r="H10" s="44"/>
      <c r="I10" s="45">
        <v>161762315.73000002</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174727115.73000002</v>
      </c>
      <c r="E16" s="46"/>
      <c r="F16" s="45">
        <v>12964800</v>
      </c>
      <c r="G16" s="45">
        <v>0</v>
      </c>
      <c r="H16" s="45">
        <v>0</v>
      </c>
      <c r="I16" s="45">
        <v>161762315.73000002</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98576008.879999995</v>
      </c>
      <c r="E47" s="46"/>
      <c r="F47" s="44"/>
      <c r="G47" s="44"/>
      <c r="H47" s="44"/>
      <c r="I47" s="45">
        <v>98576008.879999995</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128824559.24000001</v>
      </c>
      <c r="E79" s="46"/>
      <c r="F79" s="44"/>
      <c r="G79" s="44"/>
      <c r="H79" s="44"/>
      <c r="I79" s="45">
        <v>128824559.24000001</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244406020.77000001</v>
      </c>
      <c r="E81" s="46"/>
      <c r="F81" s="45">
        <v>0</v>
      </c>
      <c r="G81" s="45">
        <v>0</v>
      </c>
      <c r="H81" s="45">
        <v>0</v>
      </c>
      <c r="I81" s="45">
        <v>244406020.77000001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292039100.25999999</v>
      </c>
      <c r="E85" s="46"/>
      <c r="F85" s="45">
        <v>26178993.63241427</v>
      </c>
      <c r="G85" s="45">
        <v>7020079.9175857268</v>
      </c>
      <c r="H85" s="45">
        <v>0</v>
      </c>
      <c r="I85" s="45">
        <v>258840026.71000001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94378892.736269876</v>
      </c>
      <c r="E106" s="46"/>
      <c r="G106" s="31"/>
      <c r="H106" s="45">
        <v>94378892.736269876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77176253.533275634</v>
      </c>
      <c r="E112" s="46"/>
      <c r="F112" s="48"/>
      <c r="G112" s="31"/>
      <c r="H112" s="45">
        <v>77176253.533275634</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164737098.52000001</v>
      </c>
      <c r="E115" s="46"/>
      <c r="F115" s="48"/>
      <c r="G115" s="31"/>
      <c r="H115" s="45">
        <v>164737098.52000001</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343106384.29954553</v>
      </c>
      <c r="E122" s="46"/>
      <c r="F122" s="45">
        <v>0</v>
      </c>
      <c r="G122" s="45">
        <v>0</v>
      </c>
      <c r="H122" s="45">
        <v>343106384.29954553</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568743147.8295455</v>
      </c>
      <c r="E129" s="46" t="s">
        <v>58</v>
      </c>
      <c r="F129" s="45">
        <v>40706517.922414273</v>
      </c>
      <c r="G129" s="45">
        <v>7020079.9175857268</v>
      </c>
      <c r="H129" s="45">
        <v>343106384.29954553</v>
      </c>
      <c r="I129" s="45">
        <v>177910165.69</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3.xml><?xml version="1.0" encoding="utf-8"?>
<worksheet xmlns="http://schemas.openxmlformats.org/spreadsheetml/2006/main" xmlns:r="http://schemas.openxmlformats.org/officeDocument/2006/relationships">
  <sheetPr codeName="Sheet17"/>
  <dimension ref="A1:S130"/>
  <sheetViews>
    <sheetView zoomScale="85" zoomScaleNormal="85" workbookViewId="0">
      <pane xSplit="3" ySplit="6" topLeftCell="D124" activePane="bottomRight" state="frozen"/>
      <selection pane="topRight" activeCell="D1" sqref="D1"/>
      <selection pane="bottomLeft" activeCell="A7" sqref="A7"/>
      <selection pane="bottomRight" activeCell="A124" sqref="A124"/>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161400431.03</v>
      </c>
      <c r="E10" s="46"/>
      <c r="F10" s="47"/>
      <c r="G10" s="44"/>
      <c r="H10" s="44"/>
      <c r="I10" s="45">
        <v>161400431.03</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174676031.03</v>
      </c>
      <c r="E16" s="46"/>
      <c r="F16" s="45">
        <v>13275600</v>
      </c>
      <c r="G16" s="45">
        <v>0</v>
      </c>
      <c r="H16" s="45">
        <v>0</v>
      </c>
      <c r="I16" s="45">
        <v>161400431.03</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98576033.109999999</v>
      </c>
      <c r="E47" s="46"/>
      <c r="F47" s="44"/>
      <c r="G47" s="44"/>
      <c r="H47" s="44"/>
      <c r="I47" s="45">
        <v>98576033.109999999</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128856678.53999999</v>
      </c>
      <c r="E79" s="46"/>
      <c r="F79" s="44"/>
      <c r="G79" s="44"/>
      <c r="H79" s="44"/>
      <c r="I79" s="45">
        <v>128856678.53999999</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244438164.30000001</v>
      </c>
      <c r="E81" s="46"/>
      <c r="F81" s="45">
        <v>0</v>
      </c>
      <c r="G81" s="45">
        <v>0</v>
      </c>
      <c r="H81" s="45">
        <v>0</v>
      </c>
      <c r="I81" s="45">
        <v>244438164.30000001</v>
      </c>
      <c r="K81" s="204"/>
      <c r="L81" s="205" t="s">
        <v>237</v>
      </c>
      <c r="M81" s="206">
        <v>0</v>
      </c>
    </row>
    <row r="82" spans="1:17">
      <c r="B82" s="31" t="s">
        <v>135</v>
      </c>
      <c r="D82" s="45">
        <v>10379094.66</v>
      </c>
      <c r="E82" s="46"/>
      <c r="F82" s="48"/>
      <c r="H82" s="45"/>
      <c r="I82" s="45">
        <v>10379094.66</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291070735.01999998</v>
      </c>
      <c r="E85" s="46"/>
      <c r="F85" s="45">
        <v>26178993.63241427</v>
      </c>
      <c r="G85" s="45">
        <v>7020079.9175857268</v>
      </c>
      <c r="H85" s="45">
        <v>0</v>
      </c>
      <c r="I85" s="45">
        <v>257871661.47</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94378888.778245166</v>
      </c>
      <c r="E106" s="46"/>
      <c r="G106" s="31"/>
      <c r="H106" s="45">
        <v>94378888.778245166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77176281.50130035</v>
      </c>
      <c r="E112" s="46"/>
      <c r="F112" s="48"/>
      <c r="G112" s="31"/>
      <c r="H112" s="45">
        <v>77176281.50130035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164740021.06999999</v>
      </c>
      <c r="E115" s="46"/>
      <c r="F115" s="48"/>
      <c r="G115" s="31"/>
      <c r="H115" s="45">
        <v>164740021.06999999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343109330.85954553</v>
      </c>
      <c r="E122" s="46"/>
      <c r="F122" s="45">
        <v>0</v>
      </c>
      <c r="G122" s="45">
        <v>0</v>
      </c>
      <c r="H122" s="45">
        <v>343109330.85954553</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567828813.84954548</v>
      </c>
      <c r="E129" s="46" t="s">
        <v>58</v>
      </c>
      <c r="F129" s="45">
        <v>40395717.922414273</v>
      </c>
      <c r="G129" s="45">
        <v>7020079.9175857268</v>
      </c>
      <c r="H129" s="45">
        <v>343109330.85954553</v>
      </c>
      <c r="I129" s="45">
        <v>177303685.15000001</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4.xml><?xml version="1.0" encoding="utf-8"?>
<worksheet xmlns="http://schemas.openxmlformats.org/spreadsheetml/2006/main" xmlns:r="http://schemas.openxmlformats.org/officeDocument/2006/relationships">
  <sheetPr codeName="Sheet18"/>
  <dimension ref="A1:S130"/>
  <sheetViews>
    <sheetView zoomScale="85" zoomScaleNormal="85" workbookViewId="0">
      <pane xSplit="3" ySplit="6" topLeftCell="D94" activePane="bottomRight" state="frozen"/>
      <selection pane="topRight" activeCell="D1" sqref="D1"/>
      <selection pane="bottomLeft" activeCell="A7" sqref="A7"/>
      <selection pane="bottomRight" activeCell="K133" sqref="K133"/>
    </sheetView>
  </sheetViews>
  <sheetFormatPr defaultColWidth="9.42578125" defaultRowHeight="10.5"/>
  <cols>
    <col min="1" max="1" width="2.5703125" style="78" customWidth="1"/>
    <col min="2" max="2" width="2.28515625" style="78" customWidth="1"/>
    <col min="3" max="3" width="28.42578125" style="78" customWidth="1"/>
    <col min="4" max="4" width="11.85546875" style="78" customWidth="1"/>
    <col min="5" max="5" width="2" style="78" customWidth="1"/>
    <col min="6" max="6" width="13.5703125" style="78" customWidth="1"/>
    <col min="7" max="8" width="11.42578125" style="78" bestFit="1" customWidth="1"/>
    <col min="9" max="9" width="11.85546875" style="78" bestFit="1" customWidth="1"/>
    <col min="10" max="10" width="9.42578125" style="78" customWidth="1"/>
    <col min="11" max="11" width="12.42578125" style="78" customWidth="1"/>
    <col min="12" max="12" width="9.42578125" style="78" customWidth="1"/>
    <col min="13" max="13" width="12.140625" style="78" bestFit="1" customWidth="1"/>
    <col min="14" max="14" width="17.28515625" style="82" bestFit="1" customWidth="1"/>
    <col min="15" max="15" width="12.85546875" style="78" bestFit="1" customWidth="1"/>
    <col min="16" max="16" width="12.5703125" style="78" bestFit="1" customWidth="1"/>
    <col min="17" max="16384" width="9.42578125" style="78"/>
  </cols>
  <sheetData>
    <row r="1" spans="1:14" ht="12.75">
      <c r="A1" s="77" t="s">
        <v>0</v>
      </c>
      <c r="D1" s="79"/>
      <c r="E1" s="80"/>
      <c r="F1" s="81" t="s">
        <v>43</v>
      </c>
    </row>
    <row r="2" spans="1:14" ht="12.75">
      <c r="A2" s="83"/>
      <c r="D2" s="79"/>
      <c r="E2" s="80"/>
      <c r="F2" s="80" t="s">
        <v>44</v>
      </c>
    </row>
    <row r="3" spans="1:14" ht="12.75">
      <c r="A3" s="84" t="s">
        <v>45</v>
      </c>
      <c r="D3" s="85"/>
      <c r="E3" s="85"/>
      <c r="F3" s="81" t="s">
        <v>46</v>
      </c>
    </row>
    <row r="4" spans="1:14" ht="12.75">
      <c r="A4" s="398">
        <v>40969</v>
      </c>
      <c r="B4" s="398"/>
      <c r="C4" s="398"/>
      <c r="D4" s="85"/>
      <c r="E4" s="85"/>
      <c r="F4" s="80"/>
    </row>
    <row r="5" spans="1:14">
      <c r="B5" s="84"/>
      <c r="D5" s="86" t="s">
        <v>47</v>
      </c>
      <c r="E5" s="86"/>
      <c r="F5" s="87" t="s">
        <v>48</v>
      </c>
      <c r="G5" s="87" t="s">
        <v>48</v>
      </c>
      <c r="H5" s="87"/>
      <c r="I5" s="87"/>
    </row>
    <row r="6" spans="1:14" s="86" customFormat="1">
      <c r="A6" s="78"/>
      <c r="B6" s="78"/>
      <c r="C6" s="78"/>
      <c r="D6" s="88" t="s">
        <v>171</v>
      </c>
      <c r="E6" s="89"/>
      <c r="F6" s="90" t="s">
        <v>49</v>
      </c>
      <c r="G6" s="90" t="s">
        <v>12</v>
      </c>
      <c r="H6" s="90" t="s">
        <v>50</v>
      </c>
      <c r="I6" s="90" t="s">
        <v>51</v>
      </c>
      <c r="N6" s="296"/>
    </row>
    <row r="7" spans="1:14">
      <c r="A7" s="78" t="s">
        <v>52</v>
      </c>
      <c r="F7" s="91"/>
      <c r="G7" s="91"/>
      <c r="H7" s="91"/>
      <c r="I7" s="91"/>
    </row>
    <row r="8" spans="1:14" ht="12.75">
      <c r="B8" s="79" t="s">
        <v>53</v>
      </c>
      <c r="D8" s="78">
        <v>13275600</v>
      </c>
      <c r="E8" s="92"/>
      <c r="F8" s="78">
        <v>13275600</v>
      </c>
      <c r="G8" s="79"/>
      <c r="H8" s="79"/>
      <c r="I8" s="79"/>
    </row>
    <row r="9" spans="1:14" ht="12.75">
      <c r="B9" s="79"/>
      <c r="D9" s="92"/>
      <c r="E9" s="92"/>
      <c r="F9" s="93"/>
      <c r="G9" s="91"/>
      <c r="H9" s="91"/>
      <c r="I9" s="91"/>
    </row>
    <row r="10" spans="1:14" ht="12.75">
      <c r="B10" s="79" t="s">
        <v>54</v>
      </c>
      <c r="D10" s="78">
        <v>161425926.32999998</v>
      </c>
      <c r="E10" s="92"/>
      <c r="F10" s="93"/>
      <c r="G10" s="91"/>
      <c r="H10" s="91"/>
      <c r="I10" s="78">
        <v>161425926.32999998</v>
      </c>
    </row>
    <row r="11" spans="1:14" ht="12.75">
      <c r="B11" s="79"/>
      <c r="D11" s="92"/>
      <c r="E11" s="92"/>
      <c r="F11" s="93"/>
      <c r="G11" s="91"/>
      <c r="H11" s="91"/>
      <c r="I11" s="91"/>
    </row>
    <row r="12" spans="1:14" ht="12.75">
      <c r="B12" s="79" t="s">
        <v>55</v>
      </c>
      <c r="D12" s="78">
        <v>0</v>
      </c>
      <c r="E12" s="92"/>
      <c r="F12" s="78">
        <v>0</v>
      </c>
      <c r="G12" s="91"/>
      <c r="H12" s="91"/>
      <c r="I12" s="91"/>
    </row>
    <row r="13" spans="1:14" ht="12.75">
      <c r="C13" s="79"/>
      <c r="D13" s="92"/>
      <c r="E13" s="92"/>
      <c r="F13" s="91"/>
      <c r="G13" s="91"/>
      <c r="H13" s="91"/>
      <c r="I13" s="91"/>
    </row>
    <row r="14" spans="1:14" ht="12.75">
      <c r="B14" s="78" t="s">
        <v>56</v>
      </c>
      <c r="C14" s="79"/>
      <c r="D14" s="78">
        <v>0</v>
      </c>
      <c r="E14" s="92"/>
      <c r="F14" s="91"/>
      <c r="G14" s="91"/>
      <c r="H14" s="78">
        <v>0</v>
      </c>
      <c r="I14" s="91"/>
    </row>
    <row r="15" spans="1:14" ht="11.25" thickBot="1">
      <c r="D15" s="86" t="s">
        <v>57</v>
      </c>
      <c r="E15" s="94" t="s">
        <v>58</v>
      </c>
      <c r="F15" s="86" t="s">
        <v>57</v>
      </c>
      <c r="G15" s="86" t="s">
        <v>57</v>
      </c>
      <c r="H15" s="86" t="s">
        <v>57</v>
      </c>
      <c r="I15" s="86" t="s">
        <v>57</v>
      </c>
    </row>
    <row r="16" spans="1:14" ht="11.25" thickBot="1">
      <c r="A16" s="78" t="s">
        <v>59</v>
      </c>
      <c r="D16" s="78">
        <v>174701526.32999998</v>
      </c>
      <c r="E16" s="92"/>
      <c r="F16" s="78">
        <v>13275600</v>
      </c>
      <c r="G16" s="78">
        <v>0</v>
      </c>
      <c r="H16" s="78">
        <v>0</v>
      </c>
      <c r="I16" s="78">
        <v>161425926.32999998</v>
      </c>
      <c r="K16" s="297">
        <v>0</v>
      </c>
      <c r="L16" s="298" t="s">
        <v>237</v>
      </c>
      <c r="M16" s="299">
        <f>D16-SUM(F16:I16)</f>
        <v>0</v>
      </c>
    </row>
    <row r="17" spans="1:19">
      <c r="D17" s="92"/>
      <c r="E17" s="92"/>
      <c r="F17" s="92"/>
      <c r="G17" s="92"/>
      <c r="H17" s="92"/>
      <c r="I17" s="92"/>
      <c r="P17" s="81" t="s">
        <v>238</v>
      </c>
    </row>
    <row r="18" spans="1:19" ht="12.75">
      <c r="D18" s="79"/>
      <c r="E18" s="91"/>
      <c r="F18" s="91"/>
      <c r="G18" s="91"/>
      <c r="H18" s="91"/>
      <c r="I18" s="91"/>
      <c r="N18" s="300"/>
      <c r="O18" s="301"/>
      <c r="P18" s="302" t="s">
        <v>239</v>
      </c>
    </row>
    <row r="19" spans="1:19" ht="11.25">
      <c r="A19" s="78" t="s">
        <v>60</v>
      </c>
      <c r="D19" s="92"/>
      <c r="E19" s="92"/>
      <c r="F19" s="95"/>
      <c r="G19" s="91"/>
      <c r="H19" s="91"/>
      <c r="I19" s="91"/>
      <c r="N19" s="303" t="s">
        <v>240</v>
      </c>
      <c r="O19" s="178" t="e">
        <v>#REF!</v>
      </c>
      <c r="P19" s="92">
        <v>118852.68003491126</v>
      </c>
      <c r="Q19" s="304"/>
      <c r="R19" s="180"/>
      <c r="S19" s="92"/>
    </row>
    <row r="20" spans="1:19" ht="12.75">
      <c r="B20" s="79"/>
      <c r="C20" s="78" t="s">
        <v>61</v>
      </c>
      <c r="D20" s="78">
        <v>24006250</v>
      </c>
      <c r="E20" s="92"/>
      <c r="F20" s="78">
        <v>24006250</v>
      </c>
      <c r="G20" s="91"/>
      <c r="H20" s="91"/>
      <c r="I20" s="91"/>
      <c r="N20" s="303" t="s">
        <v>241</v>
      </c>
      <c r="O20" s="178" t="e">
        <f>1-O19</f>
        <v>#REF!</v>
      </c>
      <c r="P20" s="92">
        <v>150411.50342716277</v>
      </c>
      <c r="Q20" s="304"/>
      <c r="R20" s="180"/>
      <c r="S20" s="92"/>
    </row>
    <row r="21" spans="1:19" ht="12.75">
      <c r="B21" s="79"/>
      <c r="C21" s="78" t="s">
        <v>62</v>
      </c>
      <c r="D21" s="78">
        <v>0</v>
      </c>
      <c r="E21" s="92"/>
      <c r="F21" s="78">
        <v>0</v>
      </c>
      <c r="G21" s="78">
        <v>0</v>
      </c>
      <c r="H21" s="91"/>
      <c r="I21" s="91"/>
      <c r="N21" s="303" t="s">
        <v>242</v>
      </c>
      <c r="O21" s="178">
        <f>P21/(P21+P22)</f>
        <v>0.72529428754325931</v>
      </c>
      <c r="P21" s="92">
        <v>84326.79059405328</v>
      </c>
      <c r="Q21" s="304"/>
      <c r="R21" s="180"/>
      <c r="S21" s="92"/>
    </row>
    <row r="22" spans="1:19" ht="12.75">
      <c r="B22" s="79"/>
      <c r="C22" s="78" t="s">
        <v>63</v>
      </c>
      <c r="D22" s="78">
        <v>2876749.3099999982</v>
      </c>
      <c r="E22" s="92"/>
      <c r="F22" s="78">
        <v>863024.79299999948</v>
      </c>
      <c r="G22" s="78">
        <v>2013724.5169999986</v>
      </c>
      <c r="H22" s="91"/>
      <c r="I22" s="91"/>
      <c r="N22" s="303" t="s">
        <v>243</v>
      </c>
      <c r="O22" s="178">
        <f>1-O21</f>
        <v>0.27470571245674069</v>
      </c>
      <c r="P22" s="92">
        <v>31938.830192355734</v>
      </c>
      <c r="Q22" s="304"/>
      <c r="R22" s="180"/>
      <c r="S22" s="92"/>
    </row>
    <row r="23" spans="1:19" ht="12.75">
      <c r="B23" s="79"/>
      <c r="C23" s="78" t="s">
        <v>64</v>
      </c>
      <c r="D23" s="78">
        <v>6316074.2400000002</v>
      </c>
      <c r="E23" s="92"/>
      <c r="F23" s="78">
        <v>1309718.8394142722</v>
      </c>
      <c r="G23" s="78">
        <v>5006355.4005857278</v>
      </c>
      <c r="H23" s="91"/>
      <c r="I23" s="91"/>
    </row>
    <row r="24" spans="1:19" ht="12.75">
      <c r="B24" s="79"/>
      <c r="C24" s="78" t="s">
        <v>65</v>
      </c>
      <c r="D24" s="78">
        <v>3054402.51</v>
      </c>
      <c r="E24" s="92"/>
      <c r="F24" s="96">
        <v>0</v>
      </c>
      <c r="G24" s="96">
        <v>0</v>
      </c>
      <c r="H24" s="91"/>
      <c r="I24" s="96">
        <v>3054402.51</v>
      </c>
      <c r="K24" s="305">
        <v>0.17029549999999999</v>
      </c>
      <c r="L24" s="305">
        <f>1-K24</f>
        <v>0.82970450000000007</v>
      </c>
      <c r="N24" s="78" t="e">
        <v>#REF!</v>
      </c>
      <c r="O24" s="79" t="s">
        <v>244</v>
      </c>
    </row>
    <row r="25" spans="1:19" ht="12.75">
      <c r="B25" s="97" t="s">
        <v>66</v>
      </c>
      <c r="C25" s="94"/>
      <c r="D25" s="86" t="s">
        <v>57</v>
      </c>
      <c r="E25" s="94" t="s">
        <v>58</v>
      </c>
      <c r="F25" s="86" t="s">
        <v>57</v>
      </c>
      <c r="G25" s="86" t="s">
        <v>57</v>
      </c>
      <c r="H25" s="86" t="s">
        <v>57</v>
      </c>
      <c r="I25" s="86" t="s">
        <v>57</v>
      </c>
      <c r="K25" s="305"/>
      <c r="L25" s="305"/>
      <c r="N25" s="78" t="e">
        <v>#REF!</v>
      </c>
      <c r="O25" s="79" t="s">
        <v>245</v>
      </c>
    </row>
    <row r="26" spans="1:19" ht="12.75">
      <c r="B26" s="78" t="s">
        <v>67</v>
      </c>
      <c r="C26" s="79"/>
      <c r="D26" s="78">
        <v>36253476.059999995</v>
      </c>
      <c r="E26" s="92"/>
      <c r="F26" s="78">
        <v>26178993.63241427</v>
      </c>
      <c r="G26" s="78">
        <v>7020079.9175857268</v>
      </c>
      <c r="H26" s="78">
        <v>0</v>
      </c>
      <c r="I26" s="78">
        <v>3054402.51</v>
      </c>
      <c r="K26" s="305"/>
      <c r="L26" s="305"/>
      <c r="N26" s="306" t="e">
        <v>#REF!</v>
      </c>
      <c r="O26" s="79" t="s">
        <v>246</v>
      </c>
    </row>
    <row r="27" spans="1:19" ht="12.75">
      <c r="D27" s="93"/>
      <c r="E27" s="92"/>
      <c r="F27" s="93"/>
      <c r="G27" s="93"/>
      <c r="H27" s="91"/>
      <c r="I27" s="91"/>
      <c r="K27" s="305"/>
      <c r="L27" s="305"/>
      <c r="N27" s="78" t="e">
        <f>SUM(N24:N26)</f>
        <v>#REF!</v>
      </c>
      <c r="O27" s="79"/>
    </row>
    <row r="28" spans="1:19" ht="12.75">
      <c r="B28" s="79"/>
      <c r="C28" s="78" t="s">
        <v>68</v>
      </c>
      <c r="D28" s="78">
        <v>0</v>
      </c>
      <c r="E28" s="92"/>
      <c r="G28" s="78">
        <v>0</v>
      </c>
      <c r="H28" s="91"/>
      <c r="I28" s="91"/>
      <c r="K28" s="305"/>
      <c r="L28" s="305"/>
      <c r="N28" s="307"/>
      <c r="O28" s="186"/>
    </row>
    <row r="29" spans="1:19" ht="12.75">
      <c r="B29" s="79"/>
      <c r="C29" s="78" t="s">
        <v>69</v>
      </c>
      <c r="D29" s="78">
        <v>0</v>
      </c>
      <c r="E29" s="92"/>
      <c r="G29" s="78">
        <v>0</v>
      </c>
      <c r="H29" s="91"/>
      <c r="I29" s="91"/>
      <c r="K29" s="305"/>
      <c r="L29" s="305"/>
      <c r="M29" s="308"/>
      <c r="N29" s="78" t="e">
        <v>#REF!</v>
      </c>
      <c r="O29" s="79" t="s">
        <v>247</v>
      </c>
    </row>
    <row r="30" spans="1:19" ht="12.75">
      <c r="B30" s="79"/>
      <c r="C30" s="78" t="s">
        <v>70</v>
      </c>
      <c r="D30" s="78">
        <v>0</v>
      </c>
      <c r="E30" s="92"/>
      <c r="F30" s="96">
        <v>0</v>
      </c>
      <c r="G30" s="96">
        <v>0</v>
      </c>
      <c r="H30" s="91"/>
      <c r="I30" s="96">
        <v>0</v>
      </c>
      <c r="K30" s="305">
        <v>0.7</v>
      </c>
      <c r="L30" s="305">
        <f>1-K30</f>
        <v>0.30000000000000004</v>
      </c>
      <c r="N30" s="78" t="e">
        <v>#REF!</v>
      </c>
      <c r="O30" s="79" t="s">
        <v>248</v>
      </c>
    </row>
    <row r="31" spans="1:19" ht="12.75">
      <c r="B31" s="79"/>
      <c r="C31" s="78" t="s">
        <v>71</v>
      </c>
      <c r="D31" s="78">
        <v>0</v>
      </c>
      <c r="E31" s="92"/>
      <c r="F31" s="78">
        <v>0</v>
      </c>
      <c r="G31" s="78">
        <v>0</v>
      </c>
      <c r="H31" s="91"/>
      <c r="I31" s="91"/>
      <c r="N31" s="306" t="e">
        <v>#REF!</v>
      </c>
      <c r="O31" s="79" t="s">
        <v>249</v>
      </c>
    </row>
    <row r="32" spans="1:19" ht="12.75">
      <c r="B32" s="79"/>
      <c r="C32" s="78" t="s">
        <v>72</v>
      </c>
      <c r="D32" s="78">
        <v>0</v>
      </c>
      <c r="E32" s="92"/>
      <c r="F32" s="78">
        <v>0</v>
      </c>
      <c r="G32" s="78">
        <v>0</v>
      </c>
      <c r="H32" s="91"/>
      <c r="I32" s="91"/>
      <c r="N32" s="79" t="e">
        <f>SUM(N29:N31)</f>
        <v>#REF!</v>
      </c>
      <c r="O32" s="79"/>
    </row>
    <row r="33" spans="2:18">
      <c r="B33" s="97" t="s">
        <v>66</v>
      </c>
      <c r="C33" s="94"/>
      <c r="D33" s="86" t="s">
        <v>57</v>
      </c>
      <c r="E33" s="94" t="s">
        <v>58</v>
      </c>
      <c r="F33" s="86" t="s">
        <v>57</v>
      </c>
      <c r="G33" s="86" t="s">
        <v>57</v>
      </c>
      <c r="H33" s="86" t="s">
        <v>57</v>
      </c>
      <c r="I33" s="86" t="s">
        <v>57</v>
      </c>
      <c r="R33" s="180"/>
    </row>
    <row r="34" spans="2:18" ht="12.75">
      <c r="B34" s="78" t="s">
        <v>73</v>
      </c>
      <c r="C34" s="79"/>
      <c r="D34" s="78">
        <v>0</v>
      </c>
      <c r="E34" s="92"/>
      <c r="F34" s="78">
        <v>0</v>
      </c>
      <c r="G34" s="78">
        <v>0</v>
      </c>
      <c r="H34" s="78">
        <v>0</v>
      </c>
      <c r="I34" s="78">
        <v>0</v>
      </c>
    </row>
    <row r="35" spans="2:18">
      <c r="D35" s="92"/>
      <c r="E35" s="92"/>
      <c r="F35" s="91"/>
      <c r="G35" s="91"/>
      <c r="H35" s="91"/>
      <c r="I35" s="91"/>
    </row>
    <row r="36" spans="2:18" ht="12.75">
      <c r="B36" s="79"/>
      <c r="C36" s="78" t="s">
        <v>106</v>
      </c>
      <c r="D36" s="78">
        <v>0</v>
      </c>
      <c r="E36" s="92"/>
      <c r="F36" s="91"/>
      <c r="G36" s="91"/>
      <c r="H36" s="91"/>
      <c r="I36" s="78">
        <v>0</v>
      </c>
      <c r="K36" s="78" t="s">
        <v>54</v>
      </c>
    </row>
    <row r="37" spans="2:18" ht="10.5" hidden="1" customHeight="1">
      <c r="B37" s="79"/>
      <c r="C37" s="78" t="s">
        <v>105</v>
      </c>
      <c r="D37" s="78">
        <v>0</v>
      </c>
      <c r="E37" s="92"/>
      <c r="F37" s="91"/>
      <c r="G37" s="91"/>
      <c r="H37" s="91"/>
      <c r="I37" s="78">
        <v>0</v>
      </c>
      <c r="K37" s="78" t="s">
        <v>54</v>
      </c>
    </row>
    <row r="38" spans="2:18" ht="12.75">
      <c r="B38" s="79"/>
      <c r="C38" s="78" t="s">
        <v>107</v>
      </c>
      <c r="D38" s="78">
        <v>0</v>
      </c>
      <c r="E38" s="92"/>
      <c r="F38" s="91"/>
      <c r="G38" s="91"/>
      <c r="H38" s="91"/>
      <c r="I38" s="78">
        <v>0</v>
      </c>
      <c r="K38" s="78" t="s">
        <v>54</v>
      </c>
    </row>
    <row r="39" spans="2:18" ht="12.75">
      <c r="B39" s="79"/>
      <c r="C39" s="78" t="s">
        <v>108</v>
      </c>
      <c r="D39" s="78">
        <v>240496.22</v>
      </c>
      <c r="E39" s="92"/>
      <c r="F39" s="91"/>
      <c r="G39" s="91"/>
      <c r="H39" s="91"/>
      <c r="I39" s="78">
        <v>240496.22</v>
      </c>
      <c r="K39" s="78" t="s">
        <v>54</v>
      </c>
    </row>
    <row r="40" spans="2:18" ht="12.75">
      <c r="B40" s="79"/>
      <c r="C40" s="78" t="s">
        <v>109</v>
      </c>
      <c r="D40" s="78">
        <v>138193.71</v>
      </c>
      <c r="E40" s="92"/>
      <c r="F40" s="91"/>
      <c r="G40" s="91"/>
      <c r="H40" s="91"/>
      <c r="I40" s="78">
        <v>138193.71</v>
      </c>
      <c r="K40" s="78" t="s">
        <v>54</v>
      </c>
    </row>
    <row r="41" spans="2:18" ht="12.75">
      <c r="B41" s="79"/>
      <c r="C41" s="78" t="s">
        <v>110</v>
      </c>
      <c r="D41" s="78">
        <v>4676841.32</v>
      </c>
      <c r="E41" s="92"/>
      <c r="F41" s="91"/>
      <c r="G41" s="91"/>
      <c r="H41" s="91"/>
      <c r="I41" s="78">
        <v>4676841.32</v>
      </c>
      <c r="K41" s="78" t="e">
        <f t="shared" ref="K41:K69" si="0">VLOOKUP(C41,Purchases,2,0)</f>
        <v>#NAME?</v>
      </c>
    </row>
    <row r="42" spans="2:18" ht="12.75">
      <c r="B42" s="79"/>
      <c r="C42" s="78" t="s">
        <v>74</v>
      </c>
      <c r="D42" s="78">
        <v>0</v>
      </c>
      <c r="E42" s="92"/>
      <c r="F42" s="91"/>
      <c r="G42" s="91"/>
      <c r="H42" s="91"/>
      <c r="I42" s="78">
        <v>0</v>
      </c>
      <c r="K42" s="78" t="e">
        <f t="shared" si="0"/>
        <v>#NAME?</v>
      </c>
    </row>
    <row r="43" spans="2:18" ht="12.75">
      <c r="B43" s="79"/>
      <c r="C43" s="78" t="s">
        <v>75</v>
      </c>
      <c r="D43" s="78">
        <v>0</v>
      </c>
      <c r="E43" s="92"/>
      <c r="F43" s="91"/>
      <c r="G43" s="91"/>
      <c r="H43" s="91"/>
      <c r="I43" s="78">
        <v>0</v>
      </c>
      <c r="K43" s="78" t="e">
        <f t="shared" si="0"/>
        <v>#NAME?</v>
      </c>
    </row>
    <row r="44" spans="2:18" ht="12.75">
      <c r="B44" s="79"/>
      <c r="C44" s="78" t="s">
        <v>76</v>
      </c>
      <c r="D44" s="78">
        <v>0</v>
      </c>
      <c r="E44" s="92"/>
      <c r="F44" s="91"/>
      <c r="G44" s="91"/>
      <c r="H44" s="91"/>
      <c r="I44" s="78">
        <v>0</v>
      </c>
      <c r="K44" s="78" t="e">
        <f t="shared" si="0"/>
        <v>#NAME?</v>
      </c>
    </row>
    <row r="45" spans="2:18" ht="12.75">
      <c r="B45" s="79"/>
      <c r="C45" s="78" t="s">
        <v>111</v>
      </c>
      <c r="D45" s="78">
        <v>0</v>
      </c>
      <c r="E45" s="92"/>
      <c r="F45" s="91"/>
      <c r="G45" s="91"/>
      <c r="H45" s="91"/>
      <c r="I45" s="78">
        <v>0</v>
      </c>
      <c r="K45" s="78" t="e">
        <f t="shared" si="0"/>
        <v>#NAME?</v>
      </c>
    </row>
    <row r="46" spans="2:18" ht="12.75">
      <c r="B46" s="79"/>
      <c r="C46" s="78" t="s">
        <v>77</v>
      </c>
      <c r="D46" s="78">
        <v>6908388.9000000004</v>
      </c>
      <c r="E46" s="92"/>
      <c r="F46" s="91"/>
      <c r="G46" s="91"/>
      <c r="H46" s="91"/>
      <c r="I46" s="78">
        <v>6908388.9000000004</v>
      </c>
      <c r="K46" s="78" t="e">
        <f t="shared" si="0"/>
        <v>#NAME?</v>
      </c>
    </row>
    <row r="47" spans="2:18" ht="12.75">
      <c r="B47" s="79"/>
      <c r="C47" s="78" t="s">
        <v>112</v>
      </c>
      <c r="D47" s="78">
        <v>98576990.709999993</v>
      </c>
      <c r="E47" s="92"/>
      <c r="F47" s="91"/>
      <c r="G47" s="91"/>
      <c r="H47" s="91"/>
      <c r="I47" s="78">
        <v>98576990.709999993</v>
      </c>
      <c r="K47" s="78" t="e">
        <f t="shared" si="0"/>
        <v>#NAME?</v>
      </c>
    </row>
    <row r="48" spans="2:18" ht="12.75">
      <c r="B48" s="79"/>
      <c r="C48" s="78" t="s">
        <v>113</v>
      </c>
      <c r="D48" s="78">
        <v>0</v>
      </c>
      <c r="E48" s="92"/>
      <c r="F48" s="91"/>
      <c r="G48" s="91"/>
      <c r="H48" s="91"/>
      <c r="I48" s="78">
        <v>0</v>
      </c>
      <c r="K48" s="78" t="e">
        <f t="shared" si="0"/>
        <v>#NAME?</v>
      </c>
    </row>
    <row r="49" spans="2:11" ht="10.5" hidden="1" customHeight="1">
      <c r="B49" s="79"/>
      <c r="C49" s="78" t="s">
        <v>114</v>
      </c>
      <c r="D49" s="78">
        <v>0</v>
      </c>
      <c r="E49" s="92"/>
      <c r="F49" s="91"/>
      <c r="G49" s="91"/>
      <c r="H49" s="91"/>
      <c r="I49" s="78">
        <v>0</v>
      </c>
      <c r="K49" s="78" t="e">
        <f t="shared" si="0"/>
        <v>#NAME?</v>
      </c>
    </row>
    <row r="50" spans="2:11" ht="12.75">
      <c r="B50" s="79"/>
      <c r="C50" s="78" t="s">
        <v>78</v>
      </c>
      <c r="D50" s="78">
        <v>0</v>
      </c>
      <c r="E50" s="92"/>
      <c r="F50" s="91"/>
      <c r="G50" s="91"/>
      <c r="H50" s="91"/>
      <c r="I50" s="78">
        <v>0</v>
      </c>
      <c r="K50" s="78" t="e">
        <f t="shared" si="0"/>
        <v>#NAME?</v>
      </c>
    </row>
    <row r="51" spans="2:11" ht="12.75">
      <c r="B51" s="79"/>
      <c r="C51" s="98" t="s">
        <v>115</v>
      </c>
      <c r="D51" s="78">
        <v>0</v>
      </c>
      <c r="E51" s="92"/>
      <c r="F51" s="91"/>
      <c r="G51" s="91"/>
      <c r="H51" s="91"/>
      <c r="I51" s="78">
        <v>0</v>
      </c>
      <c r="K51" s="78" t="s">
        <v>54</v>
      </c>
    </row>
    <row r="52" spans="2:11" ht="12.75">
      <c r="B52" s="79"/>
      <c r="C52" s="78" t="s">
        <v>116</v>
      </c>
      <c r="D52" s="78">
        <v>0</v>
      </c>
      <c r="E52" s="92"/>
      <c r="F52" s="91"/>
      <c r="G52" s="91"/>
      <c r="H52" s="91"/>
      <c r="I52" s="78">
        <v>0</v>
      </c>
      <c r="K52" s="78" t="e">
        <f t="shared" si="0"/>
        <v>#NAME?</v>
      </c>
    </row>
    <row r="53" spans="2:11" ht="12.75">
      <c r="B53" s="79"/>
      <c r="C53" s="78" t="s">
        <v>117</v>
      </c>
      <c r="D53" s="78">
        <v>0</v>
      </c>
      <c r="E53" s="92"/>
      <c r="F53" s="91"/>
      <c r="G53" s="91"/>
      <c r="H53" s="91"/>
      <c r="I53" s="78">
        <v>0</v>
      </c>
      <c r="K53" s="78" t="e">
        <f t="shared" si="0"/>
        <v>#NAME?</v>
      </c>
    </row>
    <row r="54" spans="2:11" ht="12.75">
      <c r="B54" s="79"/>
      <c r="C54" s="78" t="s">
        <v>79</v>
      </c>
      <c r="D54" s="78">
        <v>0</v>
      </c>
      <c r="E54" s="92"/>
      <c r="F54" s="91"/>
      <c r="G54" s="91"/>
      <c r="H54" s="91"/>
      <c r="I54" s="78">
        <v>0</v>
      </c>
      <c r="K54" s="78" t="e">
        <f t="shared" si="0"/>
        <v>#NAME?</v>
      </c>
    </row>
    <row r="55" spans="2:11" ht="12.75">
      <c r="B55" s="79"/>
      <c r="C55" s="78" t="s">
        <v>82</v>
      </c>
      <c r="D55" s="78">
        <v>0</v>
      </c>
      <c r="E55" s="92"/>
      <c r="F55" s="91"/>
      <c r="G55" s="91"/>
      <c r="H55" s="91"/>
      <c r="I55" s="78">
        <v>0</v>
      </c>
      <c r="K55" s="78" t="e">
        <f t="shared" si="0"/>
        <v>#NAME?</v>
      </c>
    </row>
    <row r="56" spans="2:11" ht="12.75">
      <c r="B56" s="79"/>
      <c r="C56" s="78" t="s">
        <v>83</v>
      </c>
      <c r="D56" s="78">
        <v>0</v>
      </c>
      <c r="E56" s="92"/>
      <c r="F56" s="91"/>
      <c r="G56" s="91"/>
      <c r="H56" s="91"/>
      <c r="I56" s="78">
        <v>0</v>
      </c>
      <c r="K56" s="78" t="e">
        <f t="shared" si="0"/>
        <v>#NAME?</v>
      </c>
    </row>
    <row r="57" spans="2:11" ht="10.5" hidden="1" customHeight="1">
      <c r="B57" s="79"/>
      <c r="C57" s="78" t="s">
        <v>118</v>
      </c>
      <c r="D57" s="78">
        <v>0</v>
      </c>
      <c r="E57" s="92"/>
      <c r="F57" s="91"/>
      <c r="G57" s="91"/>
      <c r="H57" s="91"/>
      <c r="I57" s="78">
        <v>0</v>
      </c>
      <c r="K57" s="78" t="e">
        <f t="shared" si="0"/>
        <v>#NAME?</v>
      </c>
    </row>
    <row r="58" spans="2:11" ht="12.75">
      <c r="B58" s="79"/>
      <c r="C58" s="78" t="s">
        <v>119</v>
      </c>
      <c r="D58" s="78">
        <v>0</v>
      </c>
      <c r="E58" s="92"/>
      <c r="F58" s="91"/>
      <c r="G58" s="91"/>
      <c r="H58" s="91"/>
      <c r="I58" s="78">
        <v>0</v>
      </c>
      <c r="K58" s="78" t="e">
        <f t="shared" si="0"/>
        <v>#NAME?</v>
      </c>
    </row>
    <row r="59" spans="2:11" ht="12.75">
      <c r="B59" s="79"/>
      <c r="C59" s="78" t="s">
        <v>120</v>
      </c>
      <c r="D59" s="78">
        <v>0</v>
      </c>
      <c r="E59" s="92"/>
      <c r="F59" s="91"/>
      <c r="G59" s="91"/>
      <c r="H59" s="91"/>
      <c r="I59" s="78">
        <v>0</v>
      </c>
      <c r="K59" s="78" t="e">
        <f t="shared" si="0"/>
        <v>#NAME?</v>
      </c>
    </row>
    <row r="60" spans="2:11" ht="12.75">
      <c r="B60" s="79"/>
      <c r="C60" s="78" t="s">
        <v>121</v>
      </c>
      <c r="D60" s="78">
        <v>0</v>
      </c>
      <c r="E60" s="92"/>
      <c r="F60" s="91"/>
      <c r="G60" s="91"/>
      <c r="H60" s="91"/>
      <c r="I60" s="78">
        <v>0</v>
      </c>
      <c r="K60" s="78" t="e">
        <f t="shared" si="0"/>
        <v>#NAME?</v>
      </c>
    </row>
    <row r="61" spans="2:11" ht="12.75">
      <c r="B61" s="79"/>
      <c r="C61" s="78" t="s">
        <v>122</v>
      </c>
      <c r="D61" s="78">
        <v>5041532.5</v>
      </c>
      <c r="E61" s="92"/>
      <c r="F61" s="91"/>
      <c r="G61" s="91"/>
      <c r="H61" s="91"/>
      <c r="I61" s="78">
        <v>5041532.5</v>
      </c>
      <c r="K61" s="78" t="e">
        <f t="shared" si="0"/>
        <v>#NAME?</v>
      </c>
    </row>
    <row r="62" spans="2:11" ht="12.75">
      <c r="B62" s="79"/>
      <c r="C62" s="82" t="s">
        <v>123</v>
      </c>
      <c r="D62" s="78">
        <v>0</v>
      </c>
      <c r="E62" s="92"/>
      <c r="F62" s="91"/>
      <c r="G62" s="91"/>
      <c r="H62" s="91"/>
      <c r="I62" s="78">
        <v>0</v>
      </c>
      <c r="K62" s="78" t="e">
        <f t="shared" si="0"/>
        <v>#NAME?</v>
      </c>
    </row>
    <row r="63" spans="2:11" ht="12.75">
      <c r="B63" s="79"/>
      <c r="C63" s="82" t="s">
        <v>124</v>
      </c>
      <c r="D63" s="78">
        <v>0</v>
      </c>
      <c r="E63" s="92"/>
      <c r="F63" s="91"/>
      <c r="G63" s="91"/>
      <c r="H63" s="91"/>
      <c r="I63" s="78">
        <v>0</v>
      </c>
      <c r="K63" s="78" t="s">
        <v>54</v>
      </c>
    </row>
    <row r="64" spans="2:11" ht="12.75">
      <c r="B64" s="79"/>
      <c r="C64" s="78" t="s">
        <v>125</v>
      </c>
      <c r="D64" s="78">
        <v>0</v>
      </c>
      <c r="E64" s="92"/>
      <c r="F64" s="91"/>
      <c r="G64" s="91"/>
      <c r="H64" s="91"/>
      <c r="I64" s="78">
        <v>0</v>
      </c>
      <c r="K64" s="78" t="e">
        <f t="shared" si="0"/>
        <v>#NAME?</v>
      </c>
    </row>
    <row r="65" spans="2:13" ht="10.5" hidden="1" customHeight="1">
      <c r="B65" s="79"/>
      <c r="C65" s="78" t="s">
        <v>126</v>
      </c>
      <c r="D65" s="78">
        <v>0</v>
      </c>
      <c r="E65" s="92"/>
      <c r="F65" s="91"/>
      <c r="G65" s="91"/>
      <c r="H65" s="91"/>
      <c r="I65" s="78">
        <v>0</v>
      </c>
      <c r="K65" s="78" t="e">
        <f t="shared" si="0"/>
        <v>#NAME?</v>
      </c>
    </row>
    <row r="66" spans="2:13" ht="12.75">
      <c r="B66" s="79"/>
      <c r="C66" s="78" t="s">
        <v>127</v>
      </c>
      <c r="D66" s="78">
        <v>0</v>
      </c>
      <c r="E66" s="92"/>
      <c r="F66" s="91"/>
      <c r="G66" s="91"/>
      <c r="H66" s="91"/>
      <c r="I66" s="78">
        <v>0</v>
      </c>
      <c r="K66" s="78" t="e">
        <f t="shared" si="0"/>
        <v>#NAME?</v>
      </c>
    </row>
    <row r="67" spans="2:13" ht="10.5" hidden="1" customHeight="1">
      <c r="B67" s="79"/>
      <c r="C67" s="78" t="s">
        <v>86</v>
      </c>
      <c r="D67" s="78">
        <v>0</v>
      </c>
      <c r="E67" s="92"/>
      <c r="F67" s="91"/>
      <c r="G67" s="91"/>
      <c r="H67" s="91"/>
      <c r="I67" s="78">
        <v>0</v>
      </c>
      <c r="K67" s="78" t="e">
        <f t="shared" si="0"/>
        <v>#NAME?</v>
      </c>
      <c r="L67" s="78" t="s">
        <v>58</v>
      </c>
    </row>
    <row r="68" spans="2:13" ht="12.75">
      <c r="B68" s="79"/>
      <c r="C68" s="78" t="s">
        <v>128</v>
      </c>
      <c r="D68" s="78">
        <v>0</v>
      </c>
      <c r="E68" s="92"/>
      <c r="F68" s="91"/>
      <c r="G68" s="91"/>
      <c r="H68" s="91"/>
      <c r="I68" s="78">
        <v>0</v>
      </c>
      <c r="K68" s="78" t="s">
        <v>54</v>
      </c>
    </row>
    <row r="69" spans="2:13" ht="10.5" hidden="1" customHeight="1">
      <c r="B69" s="79"/>
      <c r="C69" s="78" t="s">
        <v>87</v>
      </c>
      <c r="D69" s="78">
        <v>0</v>
      </c>
      <c r="E69" s="92"/>
      <c r="F69" s="91"/>
      <c r="G69" s="91"/>
      <c r="H69" s="91"/>
      <c r="I69" s="78">
        <v>0</v>
      </c>
      <c r="K69" s="78" t="e">
        <f t="shared" si="0"/>
        <v>#NAME?</v>
      </c>
    </row>
    <row r="70" spans="2:13" ht="12.75">
      <c r="B70" s="79"/>
      <c r="C70" s="82" t="s">
        <v>129</v>
      </c>
      <c r="D70" s="78">
        <v>0</v>
      </c>
      <c r="E70" s="92"/>
      <c r="F70" s="91"/>
      <c r="G70" s="91"/>
      <c r="H70" s="91"/>
      <c r="I70" s="78">
        <v>0</v>
      </c>
      <c r="K70" s="78" t="s">
        <v>54</v>
      </c>
    </row>
    <row r="71" spans="2:13" ht="12.75">
      <c r="B71" s="79"/>
      <c r="C71" s="82" t="s">
        <v>88</v>
      </c>
      <c r="D71" s="78">
        <v>0</v>
      </c>
      <c r="E71" s="92"/>
      <c r="F71" s="91"/>
      <c r="G71" s="91"/>
      <c r="H71" s="91"/>
      <c r="I71" s="78">
        <v>0</v>
      </c>
      <c r="K71" s="78" t="s">
        <v>54</v>
      </c>
    </row>
    <row r="72" spans="2:13" ht="12.75">
      <c r="B72" s="79"/>
      <c r="C72" s="82"/>
      <c r="E72" s="92"/>
      <c r="F72" s="91"/>
      <c r="G72" s="91"/>
      <c r="H72" s="91"/>
    </row>
    <row r="73" spans="2:13" ht="12.75">
      <c r="B73" s="98" t="s">
        <v>130</v>
      </c>
      <c r="C73" s="82"/>
      <c r="E73" s="92"/>
      <c r="F73" s="91"/>
      <c r="G73" s="91"/>
      <c r="H73" s="91"/>
    </row>
    <row r="74" spans="2:13" ht="12.75">
      <c r="B74" s="79"/>
      <c r="C74" s="78" t="s">
        <v>80</v>
      </c>
      <c r="D74" s="78">
        <v>0</v>
      </c>
      <c r="E74" s="92"/>
      <c r="F74" s="91"/>
      <c r="G74" s="91"/>
      <c r="H74" s="91"/>
      <c r="I74" s="78">
        <v>0</v>
      </c>
      <c r="K74" s="78" t="s">
        <v>54</v>
      </c>
    </row>
    <row r="75" spans="2:13" ht="12.75">
      <c r="B75" s="79"/>
      <c r="C75" s="78" t="s">
        <v>81</v>
      </c>
      <c r="D75" s="78">
        <v>0</v>
      </c>
      <c r="E75" s="92"/>
      <c r="F75" s="91"/>
      <c r="G75" s="91"/>
      <c r="H75" s="91"/>
      <c r="I75" s="78">
        <v>0</v>
      </c>
      <c r="K75" s="78" t="s">
        <v>54</v>
      </c>
    </row>
    <row r="76" spans="2:13" ht="12.75">
      <c r="B76" s="79"/>
      <c r="C76" s="78" t="s">
        <v>84</v>
      </c>
      <c r="D76" s="78">
        <v>0</v>
      </c>
      <c r="E76" s="92"/>
      <c r="F76" s="91"/>
      <c r="G76" s="91"/>
      <c r="H76" s="91"/>
      <c r="I76" s="78">
        <v>0</v>
      </c>
      <c r="K76" s="78" t="s">
        <v>54</v>
      </c>
    </row>
    <row r="77" spans="2:13" ht="13.5" thickBot="1">
      <c r="B77" s="79"/>
      <c r="C77" s="78" t="s">
        <v>85</v>
      </c>
      <c r="D77" s="78">
        <v>0</v>
      </c>
      <c r="E77" s="92"/>
      <c r="F77" s="91"/>
      <c r="G77" s="91"/>
      <c r="H77" s="91"/>
      <c r="I77" s="78">
        <v>0</v>
      </c>
      <c r="K77" s="78" t="s">
        <v>54</v>
      </c>
    </row>
    <row r="78" spans="2:13" ht="13.5" thickBot="1">
      <c r="B78" s="79"/>
      <c r="D78" s="92"/>
      <c r="E78" s="92"/>
      <c r="F78" s="91"/>
      <c r="G78" s="91"/>
      <c r="H78" s="91"/>
      <c r="I78" s="91"/>
      <c r="K78" s="297">
        <v>0</v>
      </c>
      <c r="L78" s="298" t="s">
        <v>237</v>
      </c>
      <c r="M78" s="299" t="e">
        <v>#REF!</v>
      </c>
    </row>
    <row r="79" spans="2:13" ht="12.75">
      <c r="B79" s="79"/>
      <c r="C79" s="79" t="s">
        <v>134</v>
      </c>
      <c r="D79" s="78">
        <v>127299452.53999999</v>
      </c>
      <c r="E79" s="92"/>
      <c r="F79" s="91"/>
      <c r="G79" s="91"/>
      <c r="H79" s="91"/>
      <c r="I79" s="78">
        <v>127299452.53999999</v>
      </c>
    </row>
    <row r="80" spans="2:13" ht="11.25" thickBot="1">
      <c r="B80" s="97" t="s">
        <v>66</v>
      </c>
      <c r="C80" s="94"/>
      <c r="D80" s="86" t="s">
        <v>57</v>
      </c>
      <c r="E80" s="94" t="s">
        <v>58</v>
      </c>
      <c r="F80" s="86" t="s">
        <v>57</v>
      </c>
      <c r="G80" s="86" t="s">
        <v>57</v>
      </c>
      <c r="H80" s="86" t="s">
        <v>57</v>
      </c>
      <c r="I80" s="86" t="s">
        <v>57</v>
      </c>
    </row>
    <row r="81" spans="1:17" ht="13.5" thickBot="1">
      <c r="B81" s="78" t="s">
        <v>89</v>
      </c>
      <c r="C81" s="79"/>
      <c r="D81" s="78">
        <v>242881895.89999998</v>
      </c>
      <c r="E81" s="92"/>
      <c r="F81" s="78">
        <v>0</v>
      </c>
      <c r="G81" s="78">
        <v>0</v>
      </c>
      <c r="H81" s="78">
        <v>0</v>
      </c>
      <c r="I81" s="78">
        <v>242881895.89999998</v>
      </c>
      <c r="K81" s="297"/>
      <c r="L81" s="298" t="s">
        <v>237</v>
      </c>
      <c r="M81" s="299">
        <f>D81-SUM(F81:I81)</f>
        <v>0</v>
      </c>
    </row>
    <row r="82" spans="1:17" ht="12.75">
      <c r="B82" s="78" t="s">
        <v>135</v>
      </c>
      <c r="D82" s="78">
        <v>11379603.43</v>
      </c>
      <c r="E82" s="92"/>
      <c r="F82" s="94"/>
      <c r="I82" s="78">
        <v>11379603.43</v>
      </c>
      <c r="J82" s="79"/>
      <c r="K82" s="79"/>
      <c r="L82" s="79"/>
      <c r="M82" s="79"/>
    </row>
    <row r="83" spans="1:17" ht="12.75">
      <c r="B83" s="78" t="s">
        <v>90</v>
      </c>
      <c r="C83" s="79"/>
      <c r="D83" s="78">
        <v>0</v>
      </c>
      <c r="E83" s="92"/>
      <c r="H83" s="78">
        <v>0</v>
      </c>
      <c r="I83" s="91"/>
    </row>
    <row r="84" spans="1:17" ht="11.25" thickBot="1">
      <c r="D84" s="86" t="s">
        <v>57</v>
      </c>
      <c r="E84" s="94" t="s">
        <v>58</v>
      </c>
      <c r="F84" s="86" t="s">
        <v>57</v>
      </c>
      <c r="G84" s="86" t="s">
        <v>57</v>
      </c>
      <c r="H84" s="86" t="s">
        <v>57</v>
      </c>
      <c r="I84" s="86" t="s">
        <v>57</v>
      </c>
    </row>
    <row r="85" spans="1:17" ht="11.25" thickBot="1">
      <c r="A85" s="78" t="s">
        <v>91</v>
      </c>
      <c r="D85" s="78">
        <v>290514975.38999999</v>
      </c>
      <c r="E85" s="92"/>
      <c r="F85" s="78">
        <v>26178993.63241427</v>
      </c>
      <c r="G85" s="78">
        <v>7020079.9175857268</v>
      </c>
      <c r="H85" s="78">
        <v>0</v>
      </c>
      <c r="I85" s="78">
        <v>257315901.83999997</v>
      </c>
      <c r="K85" s="297">
        <v>0</v>
      </c>
      <c r="L85" s="298" t="s">
        <v>237</v>
      </c>
      <c r="M85" s="299">
        <f>D85-SUM(F85:I85)</f>
        <v>0</v>
      </c>
    </row>
    <row r="86" spans="1:17">
      <c r="D86" s="92"/>
      <c r="E86" s="92"/>
      <c r="F86" s="92"/>
      <c r="G86" s="92"/>
      <c r="H86" s="92"/>
      <c r="I86" s="92"/>
    </row>
    <row r="87" spans="1:17">
      <c r="D87" s="92"/>
      <c r="E87" s="92"/>
      <c r="F87" s="92"/>
      <c r="G87" s="92"/>
      <c r="H87" s="92"/>
      <c r="I87" s="92"/>
    </row>
    <row r="88" spans="1:17" ht="11.25">
      <c r="A88" s="78" t="s">
        <v>92</v>
      </c>
      <c r="F88" s="91"/>
      <c r="G88" s="91"/>
      <c r="H88" s="91"/>
      <c r="I88" s="91"/>
      <c r="N88" s="303" t="s">
        <v>250</v>
      </c>
      <c r="O88" s="186">
        <v>27492324.290000007</v>
      </c>
    </row>
    <row r="89" spans="1:17" ht="12.75">
      <c r="F89" s="91"/>
      <c r="G89" s="91"/>
      <c r="H89" s="91"/>
      <c r="I89" s="91"/>
      <c r="N89" s="303" t="s">
        <v>251</v>
      </c>
      <c r="O89" s="189">
        <v>0</v>
      </c>
      <c r="P89" s="309"/>
      <c r="Q89" s="79"/>
    </row>
    <row r="90" spans="1:17" s="79" customFormat="1" ht="12.75">
      <c r="A90" s="78"/>
      <c r="B90" s="78" t="s">
        <v>93</v>
      </c>
      <c r="D90" s="78">
        <v>27492324.290000007</v>
      </c>
      <c r="E90" s="92"/>
      <c r="F90" s="78">
        <v>27492324.290000007</v>
      </c>
      <c r="G90" s="91"/>
      <c r="H90" s="91"/>
      <c r="I90" s="91"/>
      <c r="J90" s="78"/>
      <c r="K90" s="310"/>
      <c r="L90" s="78"/>
      <c r="M90" s="78"/>
      <c r="N90" s="303" t="s">
        <v>252</v>
      </c>
      <c r="O90" s="186">
        <v>78000012.643361703</v>
      </c>
      <c r="P90" s="78"/>
      <c r="Q90" s="78"/>
    </row>
    <row r="91" spans="1:17" ht="12.75">
      <c r="A91" s="79"/>
      <c r="B91" s="79"/>
      <c r="C91" s="79"/>
      <c r="D91" s="79"/>
      <c r="E91" s="79"/>
      <c r="F91" s="79"/>
      <c r="G91" s="79"/>
      <c r="H91" s="79"/>
      <c r="I91" s="79"/>
      <c r="J91" s="79"/>
      <c r="K91" s="311"/>
      <c r="L91" s="79"/>
      <c r="M91" s="79"/>
      <c r="N91" s="303" t="s">
        <v>253</v>
      </c>
      <c r="O91" s="186"/>
    </row>
    <row r="92" spans="1:17" ht="12.75">
      <c r="B92" s="78" t="s">
        <v>94</v>
      </c>
      <c r="C92" s="79"/>
      <c r="D92" s="78">
        <v>0</v>
      </c>
      <c r="E92" s="92"/>
      <c r="F92" s="78">
        <v>0</v>
      </c>
      <c r="G92" s="91"/>
      <c r="H92" s="91"/>
      <c r="I92" s="91"/>
      <c r="N92" s="303" t="s">
        <v>254</v>
      </c>
      <c r="O92" s="186">
        <v>2832442.5199999996</v>
      </c>
    </row>
    <row r="93" spans="1:17" ht="13.5" thickBot="1">
      <c r="C93" s="79"/>
      <c r="D93" s="92"/>
      <c r="E93" s="92"/>
      <c r="F93" s="91"/>
      <c r="G93" s="91"/>
      <c r="H93" s="91"/>
      <c r="I93" s="91"/>
      <c r="O93" s="186">
        <v>108324779.4533617</v>
      </c>
      <c r="P93" s="309"/>
    </row>
    <row r="94" spans="1:17" ht="13.5" thickBot="1">
      <c r="B94" s="78" t="s">
        <v>54</v>
      </c>
      <c r="C94" s="79"/>
      <c r="D94" s="78">
        <v>80832454.709999993</v>
      </c>
      <c r="E94" s="92"/>
      <c r="F94" s="100"/>
      <c r="G94" s="91"/>
      <c r="H94" s="91"/>
      <c r="I94" s="78">
        <v>80832454.709999993</v>
      </c>
      <c r="N94" s="312" t="s">
        <v>237</v>
      </c>
      <c r="O94" s="299">
        <v>0.45336170494556427</v>
      </c>
    </row>
    <row r="95" spans="1:17">
      <c r="F95" s="91"/>
      <c r="G95" s="91"/>
      <c r="H95" s="91"/>
      <c r="I95" s="91"/>
    </row>
    <row r="96" spans="1:17" s="79" customFormat="1" ht="12.75">
      <c r="A96" s="78"/>
      <c r="B96" s="79" t="s">
        <v>95</v>
      </c>
      <c r="C96" s="78"/>
      <c r="D96" s="78">
        <v>0</v>
      </c>
      <c r="E96" s="92"/>
      <c r="F96" s="91"/>
      <c r="H96" s="78">
        <v>0</v>
      </c>
      <c r="I96" s="91"/>
      <c r="J96" s="78"/>
      <c r="K96" s="78"/>
      <c r="L96" s="78"/>
      <c r="M96" s="78"/>
      <c r="N96" s="82"/>
    </row>
    <row r="97" spans="1:14" ht="12.75">
      <c r="A97" s="79"/>
      <c r="B97" s="79"/>
      <c r="C97" s="79"/>
      <c r="D97" s="79"/>
      <c r="E97" s="79"/>
      <c r="F97" s="79"/>
      <c r="G97" s="79"/>
      <c r="H97" s="79"/>
      <c r="I97" s="79"/>
      <c r="J97" s="79"/>
      <c r="K97" s="79"/>
      <c r="L97" s="79"/>
      <c r="M97" s="79"/>
    </row>
    <row r="98" spans="1:14" ht="11.25" thickBot="1">
      <c r="D98" s="86" t="s">
        <v>57</v>
      </c>
      <c r="E98" s="94" t="s">
        <v>58</v>
      </c>
      <c r="F98" s="86" t="s">
        <v>57</v>
      </c>
      <c r="G98" s="86" t="s">
        <v>57</v>
      </c>
      <c r="H98" s="86" t="s">
        <v>57</v>
      </c>
      <c r="I98" s="86" t="s">
        <v>57</v>
      </c>
    </row>
    <row r="99" spans="1:14" s="79" customFormat="1" ht="13.5" thickBot="1">
      <c r="A99" s="78" t="s">
        <v>96</v>
      </c>
      <c r="B99" s="78"/>
      <c r="C99" s="78"/>
      <c r="D99" s="78">
        <v>108324779</v>
      </c>
      <c r="E99" s="92"/>
      <c r="F99" s="78">
        <v>27492324.290000007</v>
      </c>
      <c r="G99" s="78">
        <v>0</v>
      </c>
      <c r="H99" s="78">
        <v>0</v>
      </c>
      <c r="I99" s="78">
        <v>80832454.709999993</v>
      </c>
      <c r="J99" s="78"/>
      <c r="K99" s="297">
        <f>D99-(D90+D92+D94+D96)</f>
        <v>0</v>
      </c>
      <c r="L99" s="298" t="s">
        <v>237</v>
      </c>
      <c r="M99" s="299">
        <f>D99-SUM(F99:I99)</f>
        <v>0</v>
      </c>
      <c r="N99" s="82"/>
    </row>
    <row r="100" spans="1:14" s="79" customFormat="1" ht="12.75">
      <c r="A100" s="78"/>
      <c r="B100" s="78"/>
      <c r="C100" s="78"/>
      <c r="D100" s="78"/>
      <c r="E100" s="78"/>
      <c r="G100" s="78"/>
      <c r="H100" s="78"/>
      <c r="I100" s="78"/>
      <c r="N100" s="82"/>
    </row>
    <row r="101" spans="1:14" s="79" customFormat="1" ht="12.75">
      <c r="A101" s="78" t="s">
        <v>97</v>
      </c>
      <c r="B101" s="78"/>
      <c r="C101" s="78"/>
      <c r="D101" s="78"/>
      <c r="E101" s="78"/>
      <c r="G101" s="78"/>
      <c r="H101" s="78"/>
      <c r="I101" s="78"/>
      <c r="N101" s="82"/>
    </row>
    <row r="102" spans="1:14" s="79" customFormat="1" ht="12.75">
      <c r="A102" s="78"/>
      <c r="B102" s="92" t="s">
        <v>136</v>
      </c>
      <c r="C102" s="78"/>
      <c r="D102" s="78">
        <v>0</v>
      </c>
      <c r="E102" s="92"/>
      <c r="G102" s="78"/>
      <c r="H102" s="78">
        <v>0</v>
      </c>
      <c r="I102" s="99"/>
      <c r="N102" s="82"/>
    </row>
    <row r="103" spans="1:14" s="79" customFormat="1" ht="12.75">
      <c r="A103" s="78"/>
      <c r="B103" s="92" t="s">
        <v>137</v>
      </c>
      <c r="C103" s="78"/>
      <c r="D103" s="78">
        <v>0</v>
      </c>
      <c r="E103" s="92"/>
      <c r="G103" s="78"/>
      <c r="H103" s="78">
        <v>0</v>
      </c>
      <c r="I103" s="99"/>
      <c r="N103" s="82"/>
    </row>
    <row r="104" spans="1:14" s="79" customFormat="1" ht="12.75">
      <c r="A104" s="78"/>
      <c r="B104" s="92" t="s">
        <v>138</v>
      </c>
      <c r="C104" s="78"/>
      <c r="D104" s="78">
        <v>6814139.5099999998</v>
      </c>
      <c r="E104" s="92"/>
      <c r="G104" s="78"/>
      <c r="H104" s="78">
        <v>6814139.5099999998</v>
      </c>
      <c r="I104" s="99"/>
      <c r="N104" s="82"/>
    </row>
    <row r="105" spans="1:14" s="79" customFormat="1" ht="12.75">
      <c r="A105" s="78"/>
      <c r="B105" s="92" t="s">
        <v>139</v>
      </c>
      <c r="C105" s="78"/>
      <c r="D105" s="78">
        <v>0</v>
      </c>
      <c r="E105" s="92"/>
      <c r="G105" s="78"/>
      <c r="H105" s="78">
        <v>0</v>
      </c>
      <c r="I105" s="99"/>
      <c r="N105" s="82"/>
    </row>
    <row r="106" spans="1:14" s="79" customFormat="1" ht="12.75">
      <c r="A106" s="78"/>
      <c r="B106" s="92" t="s">
        <v>98</v>
      </c>
      <c r="C106" s="78"/>
      <c r="D106" s="78">
        <v>94378888.778245166</v>
      </c>
      <c r="E106" s="92"/>
      <c r="G106" s="78"/>
      <c r="H106" s="78">
        <v>94378888.778245166</v>
      </c>
      <c r="I106" s="99"/>
      <c r="N106" s="82"/>
    </row>
    <row r="107" spans="1:14" s="79" customFormat="1" ht="12.75">
      <c r="A107" s="78"/>
      <c r="B107" s="92" t="s">
        <v>99</v>
      </c>
      <c r="C107" s="78"/>
      <c r="D107" s="78">
        <v>0</v>
      </c>
      <c r="E107" s="92"/>
      <c r="G107" s="78"/>
      <c r="H107" s="78">
        <v>0</v>
      </c>
      <c r="I107" s="99"/>
      <c r="N107" s="82"/>
    </row>
    <row r="108" spans="1:14" s="79" customFormat="1" ht="12.75">
      <c r="A108" s="78"/>
      <c r="B108" s="92" t="s">
        <v>140</v>
      </c>
      <c r="C108" s="78"/>
      <c r="D108" s="78">
        <v>0</v>
      </c>
      <c r="E108" s="92"/>
      <c r="G108" s="78"/>
      <c r="H108" s="78">
        <v>0</v>
      </c>
      <c r="I108" s="99"/>
      <c r="N108" s="82"/>
    </row>
    <row r="109" spans="1:14" s="79" customFormat="1" ht="12.75">
      <c r="A109" s="78"/>
      <c r="B109" s="92" t="s">
        <v>141</v>
      </c>
      <c r="C109" s="78"/>
      <c r="D109" s="78">
        <v>0</v>
      </c>
      <c r="E109" s="92"/>
      <c r="G109" s="78"/>
      <c r="H109" s="78">
        <v>0</v>
      </c>
      <c r="I109" s="99"/>
      <c r="N109" s="82"/>
    </row>
    <row r="110" spans="1:14" s="79" customFormat="1" ht="12.75">
      <c r="A110" s="78"/>
      <c r="B110" s="92" t="s">
        <v>142</v>
      </c>
      <c r="C110" s="78"/>
      <c r="D110" s="78">
        <v>0</v>
      </c>
      <c r="E110" s="92"/>
      <c r="G110" s="78"/>
      <c r="H110" s="78">
        <v>0</v>
      </c>
      <c r="I110" s="99"/>
      <c r="N110" s="82"/>
    </row>
    <row r="111" spans="1:14" s="79" customFormat="1" ht="12.75">
      <c r="A111" s="78"/>
      <c r="B111" s="92" t="s">
        <v>143</v>
      </c>
      <c r="C111" s="78"/>
      <c r="D111" s="78">
        <v>0</v>
      </c>
      <c r="E111" s="92"/>
      <c r="F111" s="94"/>
      <c r="G111" s="78"/>
      <c r="H111" s="78">
        <v>0</v>
      </c>
      <c r="I111" s="99"/>
      <c r="N111" s="82"/>
    </row>
    <row r="112" spans="1:14" s="79" customFormat="1" ht="12.75">
      <c r="A112" s="78"/>
      <c r="B112" s="92" t="s">
        <v>144</v>
      </c>
      <c r="C112" s="78"/>
      <c r="D112" s="78">
        <v>77177207.211300343</v>
      </c>
      <c r="E112" s="92"/>
      <c r="F112" s="94"/>
      <c r="G112" s="78"/>
      <c r="H112" s="78">
        <v>77177207.211300343</v>
      </c>
      <c r="I112" s="99"/>
      <c r="N112" s="82"/>
    </row>
    <row r="113" spans="1:14" s="79" customFormat="1" ht="12.75">
      <c r="A113" s="78"/>
      <c r="B113" s="92" t="s">
        <v>145</v>
      </c>
      <c r="C113" s="78"/>
      <c r="D113" s="78">
        <v>0</v>
      </c>
      <c r="E113" s="92"/>
      <c r="F113" s="94"/>
      <c r="G113" s="78"/>
      <c r="H113" s="78">
        <v>0</v>
      </c>
      <c r="I113" s="99"/>
      <c r="N113" s="82"/>
    </row>
    <row r="114" spans="1:14" s="79" customFormat="1" ht="12.75">
      <c r="A114" s="78"/>
      <c r="B114" s="92" t="s">
        <v>146</v>
      </c>
      <c r="C114" s="78"/>
      <c r="D114" s="78">
        <v>0</v>
      </c>
      <c r="E114" s="92"/>
      <c r="F114" s="94"/>
      <c r="G114" s="78"/>
      <c r="H114" s="78">
        <v>0</v>
      </c>
      <c r="I114" s="99"/>
      <c r="N114" s="82"/>
    </row>
    <row r="115" spans="1:14" s="79" customFormat="1" ht="12.75">
      <c r="A115" s="78"/>
      <c r="B115" s="92" t="s">
        <v>147</v>
      </c>
      <c r="C115" s="78"/>
      <c r="D115" s="78">
        <v>164739706.72999999</v>
      </c>
      <c r="E115" s="92"/>
      <c r="F115" s="94"/>
      <c r="G115" s="78"/>
      <c r="H115" s="78">
        <v>164739706.72999999</v>
      </c>
      <c r="I115" s="99"/>
      <c r="N115" s="82"/>
    </row>
    <row r="116" spans="1:14" s="79" customFormat="1" ht="12.75">
      <c r="A116" s="78"/>
      <c r="B116" s="92" t="s">
        <v>148</v>
      </c>
      <c r="C116" s="78"/>
      <c r="D116" s="78">
        <v>0</v>
      </c>
      <c r="E116" s="92"/>
      <c r="F116" s="94"/>
      <c r="G116" s="78"/>
      <c r="H116" s="78">
        <v>0</v>
      </c>
      <c r="I116" s="99"/>
      <c r="N116" s="82"/>
    </row>
    <row r="117" spans="1:14" s="79" customFormat="1" ht="12.75">
      <c r="A117" s="78"/>
      <c r="B117" s="92" t="s">
        <v>149</v>
      </c>
      <c r="C117" s="78"/>
      <c r="D117" s="78">
        <v>0</v>
      </c>
      <c r="E117" s="92"/>
      <c r="F117" s="94"/>
      <c r="G117" s="78"/>
      <c r="H117" s="78">
        <v>0</v>
      </c>
      <c r="I117" s="99"/>
      <c r="N117" s="82"/>
    </row>
    <row r="118" spans="1:14" s="79" customFormat="1" ht="12.75">
      <c r="A118" s="78"/>
      <c r="B118" s="92" t="s">
        <v>150</v>
      </c>
      <c r="C118" s="78"/>
      <c r="D118" s="78">
        <v>0</v>
      </c>
      <c r="E118" s="92"/>
      <c r="F118" s="94"/>
      <c r="G118" s="78"/>
      <c r="H118" s="78">
        <v>0</v>
      </c>
      <c r="I118" s="99"/>
      <c r="N118" s="82"/>
    </row>
    <row r="119" spans="1:14" s="79" customFormat="1" ht="10.5" hidden="1" customHeight="1">
      <c r="A119" s="78"/>
      <c r="B119" s="92" t="s">
        <v>151</v>
      </c>
      <c r="C119" s="78"/>
      <c r="D119" s="78">
        <v>0</v>
      </c>
      <c r="E119" s="92"/>
      <c r="F119" s="94"/>
      <c r="G119" s="78"/>
      <c r="H119" s="78">
        <v>0</v>
      </c>
      <c r="I119" s="99"/>
      <c r="N119" s="82"/>
    </row>
    <row r="120" spans="1:14" s="79" customFormat="1" ht="12.75">
      <c r="A120" s="78"/>
      <c r="B120" s="92" t="s">
        <v>152</v>
      </c>
      <c r="C120" s="78"/>
      <c r="D120" s="78">
        <v>0</v>
      </c>
      <c r="E120" s="92"/>
      <c r="F120" s="94"/>
      <c r="G120" s="78"/>
      <c r="H120" s="78">
        <v>0</v>
      </c>
      <c r="I120" s="99"/>
      <c r="N120" s="82"/>
    </row>
    <row r="121" spans="1:14" s="79" customFormat="1" ht="13.5" thickBot="1">
      <c r="A121" s="78"/>
      <c r="B121" s="78"/>
      <c r="C121" s="78"/>
      <c r="D121" s="86" t="s">
        <v>57</v>
      </c>
      <c r="E121" s="94" t="s">
        <v>58</v>
      </c>
      <c r="F121" s="86" t="s">
        <v>57</v>
      </c>
      <c r="G121" s="86" t="s">
        <v>57</v>
      </c>
      <c r="H121" s="86" t="s">
        <v>57</v>
      </c>
      <c r="I121" s="86" t="s">
        <v>57</v>
      </c>
      <c r="N121" s="82"/>
    </row>
    <row r="122" spans="1:14" s="79" customFormat="1" ht="13.5" thickBot="1">
      <c r="A122" s="78" t="s">
        <v>100</v>
      </c>
      <c r="B122" s="78"/>
      <c r="C122" s="78"/>
      <c r="D122" s="78">
        <v>343109942.22954547</v>
      </c>
      <c r="E122" s="92"/>
      <c r="F122" s="78">
        <v>0</v>
      </c>
      <c r="G122" s="78">
        <v>0</v>
      </c>
      <c r="H122" s="78">
        <v>343109942.22954547</v>
      </c>
      <c r="I122" s="78">
        <v>0</v>
      </c>
      <c r="K122" s="297">
        <v>0</v>
      </c>
      <c r="L122" s="298" t="s">
        <v>237</v>
      </c>
      <c r="M122" s="299">
        <f>D122-SUM(F122:I122)</f>
        <v>0</v>
      </c>
      <c r="N122" s="82"/>
    </row>
    <row r="123" spans="1:14" s="79" customFormat="1" ht="12.75">
      <c r="A123" s="78"/>
      <c r="B123" s="78"/>
      <c r="C123" s="78"/>
      <c r="D123" s="101"/>
      <c r="E123" s="92"/>
      <c r="F123" s="92"/>
      <c r="G123" s="92"/>
      <c r="H123" s="92"/>
      <c r="I123" s="92"/>
      <c r="N123" s="82"/>
    </row>
    <row r="124" spans="1:14" s="79" customFormat="1" ht="12.75">
      <c r="A124" s="78" t="s">
        <v>101</v>
      </c>
      <c r="B124" s="78"/>
      <c r="C124" s="78"/>
      <c r="D124" s="101"/>
      <c r="E124" s="92"/>
      <c r="F124" s="92"/>
      <c r="G124" s="92"/>
      <c r="H124" s="92"/>
      <c r="I124" s="92"/>
      <c r="N124" s="82"/>
    </row>
    <row r="125" spans="1:14" s="79" customFormat="1" ht="12.75">
      <c r="A125" s="78"/>
      <c r="B125" s="92" t="s">
        <v>153</v>
      </c>
      <c r="C125" s="78"/>
      <c r="D125" s="78">
        <v>0</v>
      </c>
      <c r="E125" s="92"/>
      <c r="F125" s="94"/>
      <c r="G125" s="78"/>
      <c r="H125" s="78">
        <v>0</v>
      </c>
      <c r="I125" s="99"/>
      <c r="N125" s="82"/>
    </row>
    <row r="126" spans="1:14">
      <c r="D126" s="86" t="s">
        <v>57</v>
      </c>
      <c r="E126" s="94" t="s">
        <v>58</v>
      </c>
      <c r="F126" s="86" t="s">
        <v>57</v>
      </c>
      <c r="G126" s="86" t="s">
        <v>57</v>
      </c>
      <c r="H126" s="86" t="s">
        <v>57</v>
      </c>
      <c r="I126" s="86" t="s">
        <v>57</v>
      </c>
    </row>
    <row r="127" spans="1:14">
      <c r="A127" s="78" t="s">
        <v>102</v>
      </c>
      <c r="D127" s="78">
        <v>0</v>
      </c>
      <c r="E127" s="92"/>
      <c r="F127" s="78">
        <v>0</v>
      </c>
      <c r="G127" s="78">
        <v>0</v>
      </c>
      <c r="H127" s="78">
        <v>0</v>
      </c>
      <c r="I127" s="78">
        <v>0</v>
      </c>
    </row>
    <row r="128" spans="1:14" ht="11.25" thickBot="1">
      <c r="D128" s="102" t="s">
        <v>103</v>
      </c>
      <c r="E128" s="94" t="s">
        <v>58</v>
      </c>
      <c r="F128" s="102" t="s">
        <v>103</v>
      </c>
      <c r="G128" s="102" t="s">
        <v>103</v>
      </c>
      <c r="H128" s="102" t="s">
        <v>103</v>
      </c>
      <c r="I128" s="102" t="s">
        <v>103</v>
      </c>
    </row>
    <row r="129" spans="1:13" ht="11.25" thickBot="1">
      <c r="A129" s="78" t="s">
        <v>104</v>
      </c>
      <c r="D129" s="78">
        <v>567248170.28954554</v>
      </c>
      <c r="E129" s="92" t="s">
        <v>58</v>
      </c>
      <c r="F129" s="78">
        <v>40395717.922414273</v>
      </c>
      <c r="G129" s="78">
        <v>7020079.9175857268</v>
      </c>
      <c r="H129" s="78">
        <v>343109942.22954547</v>
      </c>
      <c r="I129" s="78">
        <v>176722430.21999997</v>
      </c>
      <c r="K129" s="297">
        <v>0</v>
      </c>
      <c r="L129" s="298" t="s">
        <v>237</v>
      </c>
      <c r="M129" s="299">
        <f>D129-SUM(F129:I129)</f>
        <v>0</v>
      </c>
    </row>
    <row r="130" spans="1:13">
      <c r="D130" s="102" t="s">
        <v>103</v>
      </c>
      <c r="E130" s="94" t="s">
        <v>58</v>
      </c>
      <c r="F130" s="102" t="s">
        <v>103</v>
      </c>
      <c r="G130" s="102" t="s">
        <v>103</v>
      </c>
      <c r="H130" s="102" t="s">
        <v>103</v>
      </c>
      <c r="I130" s="102"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5.xml><?xml version="1.0" encoding="utf-8"?>
<worksheet xmlns="http://schemas.openxmlformats.org/spreadsheetml/2006/main" xmlns:r="http://schemas.openxmlformats.org/officeDocument/2006/relationships">
  <sheetPr codeName="Sheet19"/>
  <dimension ref="A1:S130"/>
  <sheetViews>
    <sheetView zoomScale="85" zoomScaleNormal="85" workbookViewId="0">
      <pane xSplit="3" ySplit="6" topLeftCell="D124" activePane="bottomRight" state="frozen"/>
      <selection pane="topRight" activeCell="D1" sqref="D1"/>
      <selection pane="bottomLeft" activeCell="A7" sqref="A7"/>
      <selection pane="bottomRight" activeCell="A124" sqref="A124"/>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161400431.03</v>
      </c>
      <c r="E10" s="46"/>
      <c r="F10" s="47"/>
      <c r="G10" s="44"/>
      <c r="H10" s="44"/>
      <c r="I10" s="45">
        <v>161400431.03</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174676031.03</v>
      </c>
      <c r="E16" s="46"/>
      <c r="F16" s="45">
        <v>13275600</v>
      </c>
      <c r="G16" s="45">
        <v>0</v>
      </c>
      <c r="H16" s="45">
        <v>0</v>
      </c>
      <c r="I16" s="45">
        <v>161400431.03</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98576033.109999999</v>
      </c>
      <c r="E47" s="46"/>
      <c r="F47" s="44"/>
      <c r="G47" s="44"/>
      <c r="H47" s="44"/>
      <c r="I47" s="45">
        <v>98576033.109999999</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128856678.53999999</v>
      </c>
      <c r="E79" s="46"/>
      <c r="F79" s="44"/>
      <c r="G79" s="44"/>
      <c r="H79" s="44"/>
      <c r="I79" s="45">
        <v>128856678.53999999</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244438164.30000001</v>
      </c>
      <c r="E81" s="46"/>
      <c r="F81" s="45">
        <v>0</v>
      </c>
      <c r="G81" s="45">
        <v>0</v>
      </c>
      <c r="H81" s="45">
        <v>0</v>
      </c>
      <c r="I81" s="45">
        <v>244438164.30000001</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292071243.79000002</v>
      </c>
      <c r="E85" s="46"/>
      <c r="F85" s="45">
        <v>26178993.63241427</v>
      </c>
      <c r="G85" s="45">
        <v>7020079.9175857268</v>
      </c>
      <c r="H85" s="45">
        <v>0</v>
      </c>
      <c r="I85" s="45">
        <v>258872170.24000001</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77941896.643361703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108266663.4533617</v>
      </c>
      <c r="P93" s="220"/>
    </row>
    <row r="94" spans="1:17" ht="11.25" thickBot="1">
      <c r="B94" s="31" t="s">
        <v>54</v>
      </c>
      <c r="C94" s="32"/>
      <c r="D94" s="45">
        <v>80774338.709999993</v>
      </c>
      <c r="E94" s="46"/>
      <c r="F94" s="51"/>
      <c r="G94" s="44"/>
      <c r="H94" s="44"/>
      <c r="I94" s="45">
        <v>80774338.709999993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108266663</v>
      </c>
      <c r="E99" s="46"/>
      <c r="F99" s="45">
        <v>27492324.290000007</v>
      </c>
      <c r="G99" s="45">
        <v>0</v>
      </c>
      <c r="H99" s="45">
        <v>0</v>
      </c>
      <c r="I99" s="45">
        <v>80774338.709999993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94378888.778245166</v>
      </c>
      <c r="E106" s="46"/>
      <c r="G106" s="31"/>
      <c r="H106" s="45">
        <v>94378888.778245166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77176281.50130035</v>
      </c>
      <c r="E112" s="46"/>
      <c r="F112" s="48"/>
      <c r="G112" s="31"/>
      <c r="H112" s="45">
        <v>77176281.50130035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164740021.06999999</v>
      </c>
      <c r="E115" s="46"/>
      <c r="F115" s="48"/>
      <c r="G115" s="31"/>
      <c r="H115" s="45">
        <v>164740021.06999999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343109330.85954553</v>
      </c>
      <c r="E122" s="46"/>
      <c r="F122" s="45">
        <v>0</v>
      </c>
      <c r="G122" s="45">
        <v>0</v>
      </c>
      <c r="H122" s="45">
        <v>343109330.85954553</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568771206.61954558</v>
      </c>
      <c r="E129" s="46" t="s">
        <v>58</v>
      </c>
      <c r="F129" s="45">
        <v>40395717.922414273</v>
      </c>
      <c r="G129" s="45">
        <v>7020079.9175857268</v>
      </c>
      <c r="H129" s="45">
        <v>343109330.85954553</v>
      </c>
      <c r="I129" s="45">
        <v>178246077.91999999</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6.xml><?xml version="1.0" encoding="utf-8"?>
<worksheet xmlns="http://schemas.openxmlformats.org/spreadsheetml/2006/main" xmlns:r="http://schemas.openxmlformats.org/officeDocument/2006/relationships">
  <sheetPr codeName="Sheet25"/>
  <dimension ref="A1:S130"/>
  <sheetViews>
    <sheetView zoomScale="85" zoomScaleNormal="85" workbookViewId="0">
      <pane xSplit="3" ySplit="6" topLeftCell="D109" activePane="bottomRight" state="frozen"/>
      <selection pane="topRight" activeCell="D1" sqref="D1"/>
      <selection pane="bottomLeft" activeCell="A7" sqref="A7"/>
      <selection pane="bottomRight" activeCell="A109" sqref="A109"/>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161891269.68000001</v>
      </c>
      <c r="E10" s="46"/>
      <c r="F10" s="47"/>
      <c r="G10" s="44"/>
      <c r="H10" s="44"/>
      <c r="I10" s="45">
        <v>161891269.68000001</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175166869.68000001</v>
      </c>
      <c r="E16" s="46"/>
      <c r="F16" s="45">
        <v>13275600</v>
      </c>
      <c r="G16" s="45">
        <v>0</v>
      </c>
      <c r="H16" s="45">
        <v>0</v>
      </c>
      <c r="I16" s="45">
        <v>161891269.68000001</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98972887.150000006</v>
      </c>
      <c r="E47" s="46"/>
      <c r="F47" s="44"/>
      <c r="G47" s="44"/>
      <c r="H47" s="44"/>
      <c r="I47" s="45">
        <v>98972887.150000006</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127199125.52000001</v>
      </c>
      <c r="E79" s="46"/>
      <c r="F79" s="44"/>
      <c r="G79" s="44"/>
      <c r="H79" s="44"/>
      <c r="I79" s="45">
        <v>127199125.52000001</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243177465.32000002</v>
      </c>
      <c r="E81" s="46"/>
      <c r="F81" s="45">
        <v>0</v>
      </c>
      <c r="G81" s="45">
        <v>0</v>
      </c>
      <c r="H81" s="45">
        <v>0</v>
      </c>
      <c r="I81" s="45">
        <v>243177465.32000002</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290810544.81</v>
      </c>
      <c r="E85" s="46"/>
      <c r="F85" s="45">
        <v>26178993.63241427</v>
      </c>
      <c r="G85" s="45">
        <v>7020079.9175857268</v>
      </c>
      <c r="H85" s="45">
        <v>0</v>
      </c>
      <c r="I85" s="45">
        <v>257611471.26000002</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v>2475899.4299999997</v>
      </c>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110800678.8833617</v>
      </c>
      <c r="P93" s="220"/>
    </row>
    <row r="94" spans="1:17" ht="11.25" thickBot="1">
      <c r="B94" s="31" t="s">
        <v>54</v>
      </c>
      <c r="C94" s="32"/>
      <c r="D94" s="45">
        <v>80832454.780000001</v>
      </c>
      <c r="E94" s="46"/>
      <c r="F94" s="51"/>
      <c r="G94" s="44"/>
      <c r="H94" s="44"/>
      <c r="I94" s="45">
        <v>80832454.780000001</v>
      </c>
      <c r="N94" s="221" t="s">
        <v>237</v>
      </c>
      <c r="O94" s="206">
        <v>0.38336169719696045</v>
      </c>
    </row>
    <row r="95" spans="1:17">
      <c r="F95" s="44"/>
      <c r="G95" s="44"/>
      <c r="H95" s="44"/>
      <c r="I95" s="44"/>
    </row>
    <row r="96" spans="1:17" s="32" customFormat="1">
      <c r="A96" s="31"/>
      <c r="B96" s="32" t="s">
        <v>95</v>
      </c>
      <c r="C96" s="31"/>
      <c r="D96" s="45">
        <v>2475899.4299999997</v>
      </c>
      <c r="E96" s="46"/>
      <c r="F96" s="44"/>
      <c r="H96" s="45">
        <v>2475899.4299999997</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110800678.5</v>
      </c>
      <c r="E99" s="46"/>
      <c r="F99" s="45">
        <v>27492324.290000007</v>
      </c>
      <c r="G99" s="45">
        <v>0</v>
      </c>
      <c r="H99" s="45">
        <v>2475899.4299999997</v>
      </c>
      <c r="I99" s="45">
        <v>80832454.780000001</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6814139.5099999998</v>
      </c>
      <c r="E104" s="46"/>
      <c r="G104" s="31"/>
      <c r="H104" s="45">
        <v>6814139.5099999998</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94146334.298444316</v>
      </c>
      <c r="E106" s="46"/>
      <c r="G106" s="31"/>
      <c r="H106" s="45">
        <v>94146334.298444316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77604728.521101207</v>
      </c>
      <c r="E112" s="46"/>
      <c r="F112" s="48"/>
      <c r="G112" s="31"/>
      <c r="H112" s="45">
        <v>77604728.521101207</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165036059.94999999</v>
      </c>
      <c r="E115" s="46"/>
      <c r="F115" s="48"/>
      <c r="G115" s="31"/>
      <c r="H115" s="45">
        <v>165036059.94999999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343601262.27954555</v>
      </c>
      <c r="E122" s="46"/>
      <c r="F122" s="45">
        <v>0</v>
      </c>
      <c r="G122" s="45">
        <v>0</v>
      </c>
      <c r="H122" s="45">
        <v>343601262.27954555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570045615.90954542</v>
      </c>
      <c r="E129" s="46" t="s">
        <v>58</v>
      </c>
      <c r="F129" s="45">
        <v>40395717.922414273</v>
      </c>
      <c r="G129" s="45">
        <v>7020079.9175857268</v>
      </c>
      <c r="H129" s="45">
        <v>346077161.70954555</v>
      </c>
      <c r="I129" s="45">
        <v>176552656.36000001</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7.xml><?xml version="1.0" encoding="utf-8"?>
<worksheet xmlns="http://schemas.openxmlformats.org/spreadsheetml/2006/main" xmlns:r="http://schemas.openxmlformats.org/officeDocument/2006/relationships">
  <dimension ref="A1:S130"/>
  <sheetViews>
    <sheetView zoomScale="85" zoomScaleNormal="85" workbookViewId="0">
      <pane xSplit="3" ySplit="6" topLeftCell="D94" activePane="bottomRight" state="frozen"/>
      <selection pane="topRight" activeCell="D1" sqref="D1"/>
      <selection pane="bottomLeft" activeCell="A7" sqref="A7"/>
      <selection pane="bottomRight" sqref="A1:XFD1048576"/>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161400431.03</v>
      </c>
      <c r="E10" s="46"/>
      <c r="F10" s="47"/>
      <c r="G10" s="44"/>
      <c r="H10" s="44"/>
      <c r="I10" s="45">
        <v>161400431.03</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174676031.03</v>
      </c>
      <c r="E16" s="46"/>
      <c r="F16" s="45">
        <v>13275600</v>
      </c>
      <c r="G16" s="45">
        <v>0</v>
      </c>
      <c r="H16" s="45">
        <v>0</v>
      </c>
      <c r="I16" s="45">
        <v>161400431.03</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98576033.109999999</v>
      </c>
      <c r="E47" s="46"/>
      <c r="F47" s="44"/>
      <c r="G47" s="44"/>
      <c r="H47" s="44"/>
      <c r="I47" s="45">
        <v>98576033.109999999</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128856678.53999999</v>
      </c>
      <c r="E79" s="46"/>
      <c r="F79" s="44"/>
      <c r="G79" s="44"/>
      <c r="H79" s="44"/>
      <c r="I79" s="45">
        <v>128856678.53999999</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244438164.30000001</v>
      </c>
      <c r="E81" s="46"/>
      <c r="F81" s="45">
        <v>0</v>
      </c>
      <c r="G81" s="45">
        <v>0</v>
      </c>
      <c r="H81" s="45">
        <v>0</v>
      </c>
      <c r="I81" s="45">
        <v>244438164.30000001</v>
      </c>
      <c r="K81" s="204"/>
      <c r="L81" s="205" t="s">
        <v>237</v>
      </c>
      <c r="M81" s="206">
        <v>0</v>
      </c>
    </row>
    <row r="82" spans="1:17">
      <c r="B82" s="31" t="s">
        <v>135</v>
      </c>
      <c r="D82" s="45">
        <v>10816392.310000001</v>
      </c>
      <c r="E82" s="46"/>
      <c r="F82" s="48"/>
      <c r="H82" s="45"/>
      <c r="I82" s="45">
        <v>10816392.310000001</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291508032.67000002</v>
      </c>
      <c r="E85" s="46"/>
      <c r="F85" s="45">
        <v>26178993.63241427</v>
      </c>
      <c r="G85" s="45">
        <v>7020079.9175857268</v>
      </c>
      <c r="H85" s="45">
        <v>0</v>
      </c>
      <c r="I85" s="45">
        <v>258308959.12</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6815019.3600000003</v>
      </c>
      <c r="E104" s="46"/>
      <c r="G104" s="31"/>
      <c r="H104" s="45">
        <v>6815019.3600000003</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94378888.778245166</v>
      </c>
      <c r="E106" s="46"/>
      <c r="G106" s="31"/>
      <c r="H106" s="45">
        <v>94378888.778245166</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77176281.50130035</v>
      </c>
      <c r="E112" s="46"/>
      <c r="F112" s="48"/>
      <c r="G112" s="31"/>
      <c r="H112" s="45">
        <v>77176281.50130035</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164738924.13</v>
      </c>
      <c r="E115" s="46"/>
      <c r="F115" s="48"/>
      <c r="G115" s="31"/>
      <c r="H115" s="45">
        <v>164738924.13</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343109113.7695455</v>
      </c>
      <c r="E122" s="46"/>
      <c r="F122" s="45">
        <v>0</v>
      </c>
      <c r="G122" s="45">
        <v>0</v>
      </c>
      <c r="H122" s="45">
        <v>343109113.7695455</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568265894.40954554</v>
      </c>
      <c r="E129" s="46" t="s">
        <v>58</v>
      </c>
      <c r="F129" s="45">
        <v>40395717.922414273</v>
      </c>
      <c r="G129" s="45">
        <v>7020079.9175857268</v>
      </c>
      <c r="H129" s="45">
        <v>343109113.7695455</v>
      </c>
      <c r="I129" s="45">
        <v>177740982.79999998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8.xml><?xml version="1.0" encoding="utf-8"?>
<worksheet xmlns="http://schemas.openxmlformats.org/spreadsheetml/2006/main" xmlns:r="http://schemas.openxmlformats.org/officeDocument/2006/relationships">
  <dimension ref="A1:S130"/>
  <sheetViews>
    <sheetView zoomScale="85" zoomScaleNormal="85" workbookViewId="0">
      <pane xSplit="3" ySplit="6" topLeftCell="D7" activePane="bottomRight" state="frozen"/>
      <selection pane="topRight" activeCell="D1" sqref="D1"/>
      <selection pane="bottomLeft" activeCell="A7" sqref="A7"/>
      <selection pane="bottomRight" activeCell="F8" sqref="F8"/>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8" width="11.42578125" style="31" bestFit="1" customWidth="1"/>
    <col min="9" max="9" width="11.85546875" style="31" bestFit="1" customWidth="1"/>
    <col min="10" max="10" width="9.42578125" style="31" customWidth="1"/>
    <col min="11" max="11" width="12.42578125" style="31" customWidth="1"/>
    <col min="12" max="12" width="9.42578125" style="31" customWidth="1"/>
    <col min="13" max="13" width="12.140625" style="31" bestFit="1" customWidth="1"/>
    <col min="14" max="14" width="17.28515625" style="35" bestFit="1" customWidth="1"/>
    <col min="15" max="15" width="12.85546875" style="31" bestFit="1" customWidth="1"/>
    <col min="16" max="16" width="12.5703125" style="31" bestFit="1" customWidth="1"/>
    <col min="17" max="16384" width="9.42578125" style="31"/>
  </cols>
  <sheetData>
    <row r="1" spans="1:14">
      <c r="A1" s="30" t="s">
        <v>0</v>
      </c>
      <c r="D1" s="32"/>
      <c r="E1" s="33"/>
      <c r="F1" s="34" t="s">
        <v>43</v>
      </c>
    </row>
    <row r="2" spans="1:14">
      <c r="A2" s="36"/>
      <c r="D2" s="32"/>
      <c r="E2" s="33"/>
      <c r="F2" s="33" t="s">
        <v>44</v>
      </c>
    </row>
    <row r="3" spans="1:14">
      <c r="A3" s="37" t="s">
        <v>45</v>
      </c>
      <c r="D3" s="38"/>
      <c r="E3" s="38"/>
      <c r="F3" s="34" t="s">
        <v>46</v>
      </c>
    </row>
    <row r="4" spans="1:14">
      <c r="A4" s="397">
        <v>40969</v>
      </c>
      <c r="B4" s="397"/>
      <c r="C4" s="397"/>
      <c r="D4" s="38"/>
      <c r="E4" s="38"/>
      <c r="F4" s="33"/>
    </row>
    <row r="5" spans="1:14">
      <c r="B5" s="37"/>
      <c r="D5" s="39" t="s">
        <v>47</v>
      </c>
      <c r="E5" s="39"/>
      <c r="F5" s="40" t="s">
        <v>48</v>
      </c>
      <c r="G5" s="40" t="s">
        <v>48</v>
      </c>
      <c r="H5" s="40"/>
      <c r="I5" s="40"/>
    </row>
    <row r="6" spans="1:14" s="39" customFormat="1">
      <c r="A6" s="31"/>
      <c r="B6" s="31"/>
      <c r="C6" s="31"/>
      <c r="D6" s="41" t="s">
        <v>171</v>
      </c>
      <c r="E6" s="42"/>
      <c r="F6" s="43" t="s">
        <v>49</v>
      </c>
      <c r="G6" s="43" t="s">
        <v>12</v>
      </c>
      <c r="H6" s="43" t="s">
        <v>50</v>
      </c>
      <c r="I6" s="43" t="s">
        <v>51</v>
      </c>
      <c r="N6" s="203"/>
    </row>
    <row r="7" spans="1:14">
      <c r="A7" s="31" t="s">
        <v>52</v>
      </c>
      <c r="F7" s="44"/>
      <c r="G7" s="44"/>
      <c r="H7" s="44"/>
      <c r="I7" s="44"/>
    </row>
    <row r="8" spans="1:14">
      <c r="B8" s="32" t="s">
        <v>53</v>
      </c>
      <c r="D8" s="45">
        <v>13275600</v>
      </c>
      <c r="E8" s="46"/>
      <c r="F8" s="45">
        <v>13275600</v>
      </c>
      <c r="G8" s="32"/>
      <c r="H8" s="32"/>
      <c r="I8" s="32"/>
    </row>
    <row r="9" spans="1:14">
      <c r="B9" s="32"/>
      <c r="D9" s="46"/>
      <c r="E9" s="46"/>
      <c r="F9" s="47"/>
      <c r="G9" s="44"/>
      <c r="H9" s="44"/>
      <c r="I9" s="44"/>
    </row>
    <row r="10" spans="1:14">
      <c r="B10" s="32" t="s">
        <v>54</v>
      </c>
      <c r="D10" s="45">
        <v>161689313.47</v>
      </c>
      <c r="E10" s="46"/>
      <c r="F10" s="47"/>
      <c r="G10" s="44"/>
      <c r="H10" s="44"/>
      <c r="I10" s="45">
        <v>161689313.47</v>
      </c>
    </row>
    <row r="11" spans="1:14">
      <c r="B11" s="32"/>
      <c r="D11" s="46"/>
      <c r="E11" s="46"/>
      <c r="F11" s="47"/>
      <c r="G11" s="44"/>
      <c r="H11" s="44"/>
      <c r="I11" s="44"/>
    </row>
    <row r="12" spans="1:14">
      <c r="B12" s="32" t="s">
        <v>55</v>
      </c>
      <c r="D12" s="45">
        <v>0</v>
      </c>
      <c r="E12" s="46"/>
      <c r="F12" s="45">
        <v>0</v>
      </c>
      <c r="G12" s="44"/>
      <c r="H12" s="44"/>
      <c r="I12" s="44"/>
    </row>
    <row r="13" spans="1:14">
      <c r="C13" s="32"/>
      <c r="D13" s="46"/>
      <c r="E13" s="46"/>
      <c r="F13" s="44"/>
      <c r="G13" s="44"/>
      <c r="H13" s="44"/>
      <c r="I13" s="44"/>
    </row>
    <row r="14" spans="1:14">
      <c r="B14" s="31" t="s">
        <v>56</v>
      </c>
      <c r="C14" s="32"/>
      <c r="D14" s="45">
        <v>0</v>
      </c>
      <c r="E14" s="46"/>
      <c r="F14" s="44"/>
      <c r="G14" s="44"/>
      <c r="H14" s="45">
        <v>0</v>
      </c>
      <c r="I14" s="44"/>
    </row>
    <row r="15" spans="1:14" ht="11.25" thickBot="1">
      <c r="D15" s="39" t="s">
        <v>57</v>
      </c>
      <c r="E15" s="48" t="s">
        <v>58</v>
      </c>
      <c r="F15" s="39" t="s">
        <v>57</v>
      </c>
      <c r="G15" s="39" t="s">
        <v>57</v>
      </c>
      <c r="H15" s="39" t="s">
        <v>57</v>
      </c>
      <c r="I15" s="39" t="s">
        <v>57</v>
      </c>
    </row>
    <row r="16" spans="1:14" ht="11.25" thickBot="1">
      <c r="A16" s="31" t="s">
        <v>59</v>
      </c>
      <c r="D16" s="45">
        <v>174964913.47</v>
      </c>
      <c r="E16" s="46"/>
      <c r="F16" s="45">
        <v>13275600</v>
      </c>
      <c r="G16" s="45">
        <v>0</v>
      </c>
      <c r="H16" s="45">
        <v>0</v>
      </c>
      <c r="I16" s="45">
        <v>161689313.47</v>
      </c>
      <c r="K16" s="204">
        <v>0</v>
      </c>
      <c r="L16" s="205" t="s">
        <v>237</v>
      </c>
      <c r="M16" s="206">
        <v>0</v>
      </c>
    </row>
    <row r="17" spans="1:19">
      <c r="D17" s="46"/>
      <c r="E17" s="46"/>
      <c r="F17" s="46"/>
      <c r="G17" s="46"/>
      <c r="H17" s="46"/>
      <c r="I17" s="46"/>
      <c r="P17" s="34" t="s">
        <v>238</v>
      </c>
    </row>
    <row r="18" spans="1:19">
      <c r="D18" s="32"/>
      <c r="E18" s="44"/>
      <c r="F18" s="44"/>
      <c r="G18" s="44"/>
      <c r="H18" s="44"/>
      <c r="I18" s="44"/>
      <c r="N18" s="207"/>
      <c r="O18" s="208"/>
      <c r="P18" s="209" t="s">
        <v>239</v>
      </c>
    </row>
    <row r="19" spans="1:19" ht="11.25">
      <c r="A19" s="31" t="s">
        <v>60</v>
      </c>
      <c r="D19" s="46"/>
      <c r="E19" s="46"/>
      <c r="F19" s="56"/>
      <c r="G19" s="44"/>
      <c r="H19" s="44"/>
      <c r="I19" s="44"/>
      <c r="N19" s="210" t="s">
        <v>240</v>
      </c>
      <c r="O19" s="178">
        <v>0</v>
      </c>
      <c r="P19" s="46">
        <v>118852.68003491126</v>
      </c>
      <c r="Q19" s="211"/>
      <c r="R19" s="180"/>
      <c r="S19" s="46"/>
    </row>
    <row r="20" spans="1:19" ht="11.25">
      <c r="B20" s="32"/>
      <c r="C20" s="31" t="s">
        <v>61</v>
      </c>
      <c r="D20" s="45">
        <v>24006250</v>
      </c>
      <c r="E20" s="46"/>
      <c r="F20" s="45">
        <v>24006250</v>
      </c>
      <c r="G20" s="44"/>
      <c r="H20" s="44"/>
      <c r="I20" s="44"/>
      <c r="N20" s="210" t="s">
        <v>241</v>
      </c>
      <c r="O20" s="178">
        <v>1</v>
      </c>
      <c r="P20" s="46">
        <v>150411.50342716277</v>
      </c>
      <c r="Q20" s="211"/>
      <c r="R20" s="180"/>
      <c r="S20" s="46"/>
    </row>
    <row r="21" spans="1:19" ht="11.25">
      <c r="B21" s="32"/>
      <c r="C21" s="31" t="s">
        <v>62</v>
      </c>
      <c r="D21" s="45">
        <v>0</v>
      </c>
      <c r="E21" s="46"/>
      <c r="F21" s="45">
        <v>0</v>
      </c>
      <c r="G21" s="45">
        <v>0</v>
      </c>
      <c r="H21" s="44"/>
      <c r="I21" s="44"/>
      <c r="N21" s="210" t="s">
        <v>242</v>
      </c>
      <c r="O21" s="178">
        <v>0.72529428754325931</v>
      </c>
      <c r="P21" s="46">
        <v>84326.79059405328</v>
      </c>
      <c r="Q21" s="211"/>
      <c r="R21" s="180"/>
      <c r="S21" s="46"/>
    </row>
    <row r="22" spans="1:19" ht="11.25">
      <c r="B22" s="32"/>
      <c r="C22" s="31" t="s">
        <v>63</v>
      </c>
      <c r="D22" s="45">
        <v>2876749.3099999982</v>
      </c>
      <c r="E22" s="46"/>
      <c r="F22" s="45">
        <v>863024.79299999948</v>
      </c>
      <c r="G22" s="45">
        <v>2013724.5169999986</v>
      </c>
      <c r="H22" s="44"/>
      <c r="I22" s="44"/>
      <c r="N22" s="210" t="s">
        <v>243</v>
      </c>
      <c r="O22" s="178">
        <v>0.27470571245674069</v>
      </c>
      <c r="P22" s="46">
        <v>31938.830192355734</v>
      </c>
      <c r="Q22" s="211"/>
      <c r="R22" s="180"/>
      <c r="S22" s="46"/>
    </row>
    <row r="23" spans="1:19">
      <c r="B23" s="32"/>
      <c r="C23" s="31" t="s">
        <v>64</v>
      </c>
      <c r="D23" s="45">
        <v>6316074.2400000002</v>
      </c>
      <c r="E23" s="46"/>
      <c r="F23" s="45">
        <v>1309718.8394142722</v>
      </c>
      <c r="G23" s="45">
        <v>5006355.4005857278</v>
      </c>
      <c r="H23" s="44"/>
      <c r="I23" s="44"/>
    </row>
    <row r="24" spans="1:19">
      <c r="B24" s="32"/>
      <c r="C24" s="31" t="s">
        <v>65</v>
      </c>
      <c r="D24" s="45">
        <v>3054402.51</v>
      </c>
      <c r="E24" s="46"/>
      <c r="F24" s="49">
        <v>0</v>
      </c>
      <c r="G24" s="49">
        <v>0</v>
      </c>
      <c r="H24" s="44"/>
      <c r="I24" s="49">
        <v>3054402.51</v>
      </c>
      <c r="K24" s="212">
        <v>0.17029549999999999</v>
      </c>
      <c r="L24" s="212">
        <v>0.82970450000000007</v>
      </c>
      <c r="N24" s="45">
        <v>3033776.57</v>
      </c>
      <c r="O24" s="32" t="s">
        <v>244</v>
      </c>
    </row>
    <row r="25" spans="1:19">
      <c r="B25" s="50" t="s">
        <v>66</v>
      </c>
      <c r="C25" s="48"/>
      <c r="D25" s="39" t="s">
        <v>57</v>
      </c>
      <c r="E25" s="48" t="s">
        <v>58</v>
      </c>
      <c r="F25" s="39" t="s">
        <v>57</v>
      </c>
      <c r="G25" s="39" t="s">
        <v>57</v>
      </c>
      <c r="H25" s="39" t="s">
        <v>57</v>
      </c>
      <c r="I25" s="39" t="s">
        <v>57</v>
      </c>
      <c r="K25" s="212"/>
      <c r="L25" s="212"/>
      <c r="N25" s="45">
        <v>0</v>
      </c>
      <c r="O25" s="32" t="s">
        <v>245</v>
      </c>
    </row>
    <row r="26" spans="1:19">
      <c r="B26" s="31" t="s">
        <v>67</v>
      </c>
      <c r="C26" s="32"/>
      <c r="D26" s="45">
        <v>36253476.059999995</v>
      </c>
      <c r="E26" s="46"/>
      <c r="F26" s="45">
        <v>26178993.63241427</v>
      </c>
      <c r="G26" s="45">
        <v>7020079.9175857268</v>
      </c>
      <c r="H26" s="45">
        <v>0</v>
      </c>
      <c r="I26" s="45">
        <v>3054402.51</v>
      </c>
      <c r="K26" s="212"/>
      <c r="L26" s="212"/>
      <c r="N26" s="213">
        <v>20625.939999999999</v>
      </c>
      <c r="O26" s="32" t="s">
        <v>246</v>
      </c>
    </row>
    <row r="27" spans="1:19">
      <c r="D27" s="47"/>
      <c r="E27" s="46"/>
      <c r="F27" s="47"/>
      <c r="G27" s="47"/>
      <c r="H27" s="44"/>
      <c r="I27" s="44"/>
      <c r="K27" s="212"/>
      <c r="L27" s="212"/>
      <c r="N27" s="45">
        <v>3054402.51</v>
      </c>
      <c r="O27" s="32"/>
    </row>
    <row r="28" spans="1:19" ht="12.75">
      <c r="B28" s="32"/>
      <c r="C28" s="31" t="s">
        <v>68</v>
      </c>
      <c r="D28" s="45">
        <v>0</v>
      </c>
      <c r="E28" s="46"/>
      <c r="F28" s="45"/>
      <c r="G28" s="45">
        <v>0</v>
      </c>
      <c r="H28" s="44"/>
      <c r="I28" s="44"/>
      <c r="K28" s="212"/>
      <c r="L28" s="212"/>
      <c r="N28" s="214"/>
      <c r="O28" s="186"/>
    </row>
    <row r="29" spans="1:19">
      <c r="B29" s="32"/>
      <c r="C29" s="31" t="s">
        <v>69</v>
      </c>
      <c r="D29" s="45">
        <v>0</v>
      </c>
      <c r="E29" s="46"/>
      <c r="F29" s="45"/>
      <c r="G29" s="45">
        <v>0</v>
      </c>
      <c r="H29" s="44"/>
      <c r="I29" s="44"/>
      <c r="K29" s="212"/>
      <c r="L29" s="212"/>
      <c r="M29" s="215"/>
      <c r="N29" s="45">
        <v>0</v>
      </c>
      <c r="O29" s="32" t="s">
        <v>247</v>
      </c>
    </row>
    <row r="30" spans="1:19">
      <c r="B30" s="32"/>
      <c r="C30" s="31" t="s">
        <v>70</v>
      </c>
      <c r="D30" s="45">
        <v>0</v>
      </c>
      <c r="E30" s="46"/>
      <c r="F30" s="49">
        <v>0</v>
      </c>
      <c r="G30" s="49">
        <v>0</v>
      </c>
      <c r="H30" s="44"/>
      <c r="I30" s="49">
        <v>0</v>
      </c>
      <c r="K30" s="212">
        <v>0.7</v>
      </c>
      <c r="L30" s="212">
        <v>0.30000000000000004</v>
      </c>
      <c r="N30" s="45">
        <v>0</v>
      </c>
      <c r="O30" s="32" t="s">
        <v>248</v>
      </c>
    </row>
    <row r="31" spans="1:19">
      <c r="B31" s="32"/>
      <c r="C31" s="31" t="s">
        <v>71</v>
      </c>
      <c r="D31" s="45">
        <v>0</v>
      </c>
      <c r="E31" s="46"/>
      <c r="F31" s="45">
        <v>0</v>
      </c>
      <c r="G31" s="45">
        <v>0</v>
      </c>
      <c r="H31" s="44"/>
      <c r="I31" s="44"/>
      <c r="N31" s="213">
        <v>0</v>
      </c>
      <c r="O31" s="32" t="s">
        <v>249</v>
      </c>
    </row>
    <row r="32" spans="1:19">
      <c r="B32" s="32"/>
      <c r="C32" s="31" t="s">
        <v>72</v>
      </c>
      <c r="D32" s="45">
        <v>0</v>
      </c>
      <c r="E32" s="46"/>
      <c r="F32" s="45">
        <v>0</v>
      </c>
      <c r="G32" s="45">
        <v>0</v>
      </c>
      <c r="H32" s="44"/>
      <c r="I32" s="44"/>
      <c r="N32" s="216">
        <v>0</v>
      </c>
      <c r="O32" s="32"/>
    </row>
    <row r="33" spans="2:18">
      <c r="B33" s="50" t="s">
        <v>66</v>
      </c>
      <c r="C33" s="48"/>
      <c r="D33" s="39" t="s">
        <v>57</v>
      </c>
      <c r="E33" s="48" t="s">
        <v>58</v>
      </c>
      <c r="F33" s="39" t="s">
        <v>57</v>
      </c>
      <c r="G33" s="39" t="s">
        <v>57</v>
      </c>
      <c r="H33" s="39" t="s">
        <v>57</v>
      </c>
      <c r="I33" s="39" t="s">
        <v>57</v>
      </c>
      <c r="R33" s="180"/>
    </row>
    <row r="34" spans="2:18">
      <c r="B34" s="31" t="s">
        <v>73</v>
      </c>
      <c r="C34" s="32"/>
      <c r="D34" s="45">
        <v>0</v>
      </c>
      <c r="E34" s="46"/>
      <c r="F34" s="45">
        <v>0</v>
      </c>
      <c r="G34" s="45">
        <v>0</v>
      </c>
      <c r="H34" s="45">
        <v>0</v>
      </c>
      <c r="I34" s="45">
        <v>0</v>
      </c>
    </row>
    <row r="35" spans="2:18">
      <c r="D35" s="46"/>
      <c r="E35" s="46"/>
      <c r="F35" s="44"/>
      <c r="G35" s="44"/>
      <c r="H35" s="44"/>
      <c r="I35" s="44"/>
    </row>
    <row r="36" spans="2:18">
      <c r="B36" s="32"/>
      <c r="C36" s="31" t="s">
        <v>106</v>
      </c>
      <c r="D36" s="45">
        <v>0</v>
      </c>
      <c r="E36" s="46"/>
      <c r="F36" s="44"/>
      <c r="G36" s="44"/>
      <c r="H36" s="44"/>
      <c r="I36" s="45">
        <v>0</v>
      </c>
      <c r="K36" s="31" t="s">
        <v>54</v>
      </c>
    </row>
    <row r="37" spans="2:18" hidden="1">
      <c r="B37" s="32"/>
      <c r="C37" s="31" t="s">
        <v>105</v>
      </c>
      <c r="D37" s="45">
        <v>0</v>
      </c>
      <c r="E37" s="46"/>
      <c r="F37" s="44"/>
      <c r="G37" s="44"/>
      <c r="H37" s="44"/>
      <c r="I37" s="45">
        <v>0</v>
      </c>
      <c r="K37" s="31" t="s">
        <v>54</v>
      </c>
    </row>
    <row r="38" spans="2:18">
      <c r="B38" s="32"/>
      <c r="C38" s="31" t="s">
        <v>107</v>
      </c>
      <c r="D38" s="45">
        <v>0</v>
      </c>
      <c r="E38" s="46"/>
      <c r="F38" s="44"/>
      <c r="G38" s="44"/>
      <c r="H38" s="44"/>
      <c r="I38" s="45">
        <v>0</v>
      </c>
      <c r="K38" s="31" t="s">
        <v>54</v>
      </c>
    </row>
    <row r="39" spans="2:18">
      <c r="B39" s="32"/>
      <c r="C39" s="31" t="s">
        <v>108</v>
      </c>
      <c r="D39" s="45">
        <v>240496.22</v>
      </c>
      <c r="E39" s="46"/>
      <c r="F39" s="44"/>
      <c r="G39" s="44"/>
      <c r="H39" s="44"/>
      <c r="I39" s="45">
        <v>240496.22</v>
      </c>
      <c r="K39" s="31" t="s">
        <v>54</v>
      </c>
    </row>
    <row r="40" spans="2:18">
      <c r="B40" s="32"/>
      <c r="C40" s="31" t="s">
        <v>109</v>
      </c>
      <c r="D40" s="45">
        <v>138193.71</v>
      </c>
      <c r="E40" s="46"/>
      <c r="F40" s="44"/>
      <c r="G40" s="44"/>
      <c r="H40" s="44"/>
      <c r="I40" s="45">
        <v>138193.71</v>
      </c>
      <c r="K40" s="31" t="s">
        <v>54</v>
      </c>
    </row>
    <row r="41" spans="2:18">
      <c r="B41" s="32"/>
      <c r="C41" s="31" t="s">
        <v>110</v>
      </c>
      <c r="D41" s="45">
        <v>4676841.32</v>
      </c>
      <c r="E41" s="46"/>
      <c r="F41" s="44"/>
      <c r="G41" s="44"/>
      <c r="H41" s="44"/>
      <c r="I41" s="45">
        <v>4676841.32</v>
      </c>
      <c r="K41" s="31" t="s">
        <v>54</v>
      </c>
    </row>
    <row r="42" spans="2:18">
      <c r="B42" s="32"/>
      <c r="C42" s="31" t="s">
        <v>74</v>
      </c>
      <c r="D42" s="45">
        <v>0</v>
      </c>
      <c r="E42" s="46"/>
      <c r="F42" s="44"/>
      <c r="G42" s="44"/>
      <c r="H42" s="44"/>
      <c r="I42" s="45">
        <v>0</v>
      </c>
      <c r="K42" s="31" t="s">
        <v>54</v>
      </c>
    </row>
    <row r="43" spans="2:18">
      <c r="B43" s="32"/>
      <c r="C43" s="31" t="s">
        <v>75</v>
      </c>
      <c r="D43" s="45">
        <v>0</v>
      </c>
      <c r="E43" s="46"/>
      <c r="F43" s="44"/>
      <c r="G43" s="44"/>
      <c r="H43" s="44"/>
      <c r="I43" s="45">
        <v>0</v>
      </c>
      <c r="K43" s="31" t="s">
        <v>54</v>
      </c>
    </row>
    <row r="44" spans="2:18">
      <c r="B44" s="32"/>
      <c r="C44" s="31" t="s">
        <v>76</v>
      </c>
      <c r="D44" s="45">
        <v>0</v>
      </c>
      <c r="E44" s="46"/>
      <c r="F44" s="44"/>
      <c r="G44" s="44"/>
      <c r="H44" s="44"/>
      <c r="I44" s="45">
        <v>0</v>
      </c>
      <c r="K44" s="31" t="s">
        <v>54</v>
      </c>
    </row>
    <row r="45" spans="2:18">
      <c r="B45" s="32"/>
      <c r="C45" s="31" t="s">
        <v>111</v>
      </c>
      <c r="D45" s="45">
        <v>0</v>
      </c>
      <c r="E45" s="46"/>
      <c r="F45" s="44"/>
      <c r="G45" s="44"/>
      <c r="H45" s="44"/>
      <c r="I45" s="45">
        <v>0</v>
      </c>
      <c r="K45" s="31" t="s">
        <v>54</v>
      </c>
    </row>
    <row r="46" spans="2:18">
      <c r="B46" s="32"/>
      <c r="C46" s="31" t="s">
        <v>77</v>
      </c>
      <c r="D46" s="45">
        <v>6908388.9000000004</v>
      </c>
      <c r="E46" s="46"/>
      <c r="F46" s="44"/>
      <c r="G46" s="44"/>
      <c r="H46" s="44"/>
      <c r="I46" s="45">
        <v>6908388.9000000004</v>
      </c>
      <c r="K46" s="31" t="s">
        <v>54</v>
      </c>
    </row>
    <row r="47" spans="2:18">
      <c r="B47" s="32"/>
      <c r="C47" s="31" t="s">
        <v>112</v>
      </c>
      <c r="D47" s="45">
        <v>98548838.5</v>
      </c>
      <c r="E47" s="46"/>
      <c r="F47" s="44"/>
      <c r="G47" s="44"/>
      <c r="H47" s="44"/>
      <c r="I47" s="45">
        <v>98548838.5</v>
      </c>
      <c r="K47" s="31" t="s">
        <v>54</v>
      </c>
    </row>
    <row r="48" spans="2:18">
      <c r="B48" s="32"/>
      <c r="C48" s="31" t="s">
        <v>113</v>
      </c>
      <c r="D48" s="45">
        <v>0</v>
      </c>
      <c r="E48" s="46"/>
      <c r="F48" s="44"/>
      <c r="G48" s="44"/>
      <c r="H48" s="44"/>
      <c r="I48" s="45">
        <v>0</v>
      </c>
      <c r="K48" s="31" t="s">
        <v>54</v>
      </c>
    </row>
    <row r="49" spans="2:11" hidden="1">
      <c r="B49" s="32"/>
      <c r="C49" s="31" t="s">
        <v>114</v>
      </c>
      <c r="D49" s="45">
        <v>0</v>
      </c>
      <c r="E49" s="46"/>
      <c r="F49" s="44"/>
      <c r="G49" s="44"/>
      <c r="H49" s="44"/>
      <c r="I49" s="45">
        <v>0</v>
      </c>
      <c r="K49" s="31" t="s">
        <v>54</v>
      </c>
    </row>
    <row r="50" spans="2:11">
      <c r="B50" s="32"/>
      <c r="C50" s="31" t="s">
        <v>78</v>
      </c>
      <c r="D50" s="45">
        <v>0</v>
      </c>
      <c r="E50" s="46"/>
      <c r="F50" s="44"/>
      <c r="G50" s="44"/>
      <c r="H50" s="44"/>
      <c r="I50" s="45">
        <v>0</v>
      </c>
      <c r="K50" s="31" t="s">
        <v>54</v>
      </c>
    </row>
    <row r="51" spans="2:11">
      <c r="B51" s="32"/>
      <c r="C51" s="55" t="s">
        <v>115</v>
      </c>
      <c r="D51" s="45">
        <v>0</v>
      </c>
      <c r="E51" s="46"/>
      <c r="F51" s="44"/>
      <c r="G51" s="44"/>
      <c r="H51" s="44"/>
      <c r="I51" s="45">
        <v>0</v>
      </c>
      <c r="K51" s="31" t="s">
        <v>54</v>
      </c>
    </row>
    <row r="52" spans="2:11">
      <c r="B52" s="32"/>
      <c r="C52" s="31" t="s">
        <v>116</v>
      </c>
      <c r="D52" s="45">
        <v>0</v>
      </c>
      <c r="E52" s="46"/>
      <c r="F52" s="44"/>
      <c r="G52" s="44"/>
      <c r="H52" s="44"/>
      <c r="I52" s="45">
        <v>0</v>
      </c>
      <c r="K52" s="31" t="s">
        <v>54</v>
      </c>
    </row>
    <row r="53" spans="2:11">
      <c r="B53" s="32"/>
      <c r="C53" s="31" t="s">
        <v>117</v>
      </c>
      <c r="D53" s="45">
        <v>0</v>
      </c>
      <c r="E53" s="46"/>
      <c r="F53" s="44"/>
      <c r="G53" s="44"/>
      <c r="H53" s="44"/>
      <c r="I53" s="45">
        <v>0</v>
      </c>
      <c r="K53" s="31" t="s">
        <v>54</v>
      </c>
    </row>
    <row r="54" spans="2:11">
      <c r="B54" s="32"/>
      <c r="C54" s="31" t="s">
        <v>79</v>
      </c>
      <c r="D54" s="45">
        <v>0</v>
      </c>
      <c r="E54" s="46"/>
      <c r="F54" s="44"/>
      <c r="G54" s="44"/>
      <c r="H54" s="44"/>
      <c r="I54" s="45">
        <v>0</v>
      </c>
      <c r="K54" s="31" t="s">
        <v>54</v>
      </c>
    </row>
    <row r="55" spans="2:11">
      <c r="B55" s="32"/>
      <c r="C55" s="31" t="s">
        <v>82</v>
      </c>
      <c r="D55" s="45">
        <v>0</v>
      </c>
      <c r="E55" s="46"/>
      <c r="F55" s="44"/>
      <c r="G55" s="44"/>
      <c r="H55" s="44"/>
      <c r="I55" s="45">
        <v>0</v>
      </c>
      <c r="K55" s="31" t="s">
        <v>54</v>
      </c>
    </row>
    <row r="56" spans="2:11">
      <c r="B56" s="32"/>
      <c r="C56" s="31" t="s">
        <v>83</v>
      </c>
      <c r="D56" s="45">
        <v>0</v>
      </c>
      <c r="E56" s="46"/>
      <c r="F56" s="44"/>
      <c r="G56" s="44"/>
      <c r="H56" s="44"/>
      <c r="I56" s="45">
        <v>0</v>
      </c>
      <c r="K56" s="31" t="s">
        <v>54</v>
      </c>
    </row>
    <row r="57" spans="2:11" hidden="1">
      <c r="B57" s="32"/>
      <c r="C57" s="31" t="s">
        <v>118</v>
      </c>
      <c r="D57" s="45">
        <v>0</v>
      </c>
      <c r="E57" s="46"/>
      <c r="F57" s="44"/>
      <c r="G57" s="44"/>
      <c r="H57" s="44"/>
      <c r="I57" s="45">
        <v>0</v>
      </c>
      <c r="K57" s="31" t="s">
        <v>54</v>
      </c>
    </row>
    <row r="58" spans="2:11">
      <c r="B58" s="32"/>
      <c r="C58" s="31" t="s">
        <v>119</v>
      </c>
      <c r="D58" s="45">
        <v>0</v>
      </c>
      <c r="E58" s="46"/>
      <c r="F58" s="44"/>
      <c r="G58" s="44"/>
      <c r="H58" s="44"/>
      <c r="I58" s="45">
        <v>0</v>
      </c>
      <c r="K58" s="31" t="s">
        <v>54</v>
      </c>
    </row>
    <row r="59" spans="2:11">
      <c r="B59" s="32"/>
      <c r="C59" s="31" t="s">
        <v>120</v>
      </c>
      <c r="D59" s="45">
        <v>0</v>
      </c>
      <c r="E59" s="46"/>
      <c r="F59" s="44"/>
      <c r="G59" s="44"/>
      <c r="H59" s="44"/>
      <c r="I59" s="45">
        <v>0</v>
      </c>
      <c r="K59" s="31" t="s">
        <v>54</v>
      </c>
    </row>
    <row r="60" spans="2:11">
      <c r="B60" s="32"/>
      <c r="C60" s="31" t="s">
        <v>121</v>
      </c>
      <c r="D60" s="45">
        <v>0</v>
      </c>
      <c r="E60" s="46"/>
      <c r="F60" s="44"/>
      <c r="G60" s="44"/>
      <c r="H60" s="44"/>
      <c r="I60" s="45">
        <v>0</v>
      </c>
      <c r="K60" s="31" t="s">
        <v>54</v>
      </c>
    </row>
    <row r="61" spans="2:11">
      <c r="B61" s="32"/>
      <c r="C61" s="31" t="s">
        <v>122</v>
      </c>
      <c r="D61" s="45">
        <v>5041532.5</v>
      </c>
      <c r="E61" s="46"/>
      <c r="F61" s="44"/>
      <c r="G61" s="44"/>
      <c r="H61" s="44"/>
      <c r="I61" s="45">
        <v>5041532.5</v>
      </c>
      <c r="K61" s="31" t="s">
        <v>54</v>
      </c>
    </row>
    <row r="62" spans="2:11">
      <c r="B62" s="32"/>
      <c r="C62" s="35" t="s">
        <v>123</v>
      </c>
      <c r="D62" s="45">
        <v>0</v>
      </c>
      <c r="E62" s="46"/>
      <c r="F62" s="44"/>
      <c r="G62" s="44"/>
      <c r="H62" s="44"/>
      <c r="I62" s="45">
        <v>0</v>
      </c>
      <c r="K62" s="31" t="s">
        <v>54</v>
      </c>
    </row>
    <row r="63" spans="2:11">
      <c r="B63" s="32"/>
      <c r="C63" s="35" t="s">
        <v>124</v>
      </c>
      <c r="D63" s="45">
        <v>0</v>
      </c>
      <c r="E63" s="46"/>
      <c r="F63" s="44"/>
      <c r="G63" s="44"/>
      <c r="H63" s="44"/>
      <c r="I63" s="45">
        <v>0</v>
      </c>
      <c r="K63" s="31" t="s">
        <v>54</v>
      </c>
    </row>
    <row r="64" spans="2:11">
      <c r="B64" s="32"/>
      <c r="C64" s="31" t="s">
        <v>125</v>
      </c>
      <c r="D64" s="45">
        <v>0</v>
      </c>
      <c r="E64" s="46"/>
      <c r="F64" s="44"/>
      <c r="G64" s="44"/>
      <c r="H64" s="44"/>
      <c r="I64" s="45">
        <v>0</v>
      </c>
      <c r="K64" s="31" t="s">
        <v>54</v>
      </c>
    </row>
    <row r="65" spans="2:13" hidden="1">
      <c r="B65" s="32"/>
      <c r="C65" s="31" t="s">
        <v>126</v>
      </c>
      <c r="D65" s="45">
        <v>0</v>
      </c>
      <c r="E65" s="46"/>
      <c r="F65" s="44"/>
      <c r="G65" s="44"/>
      <c r="H65" s="44"/>
      <c r="I65" s="45">
        <v>0</v>
      </c>
      <c r="K65" s="31" t="s">
        <v>54</v>
      </c>
    </row>
    <row r="66" spans="2:13">
      <c r="B66" s="32"/>
      <c r="C66" s="31" t="s">
        <v>127</v>
      </c>
      <c r="D66" s="45">
        <v>0</v>
      </c>
      <c r="E66" s="46"/>
      <c r="F66" s="44"/>
      <c r="G66" s="44"/>
      <c r="H66" s="44"/>
      <c r="I66" s="45">
        <v>0</v>
      </c>
      <c r="K66" s="31" t="s">
        <v>54</v>
      </c>
    </row>
    <row r="67" spans="2:13" hidden="1">
      <c r="B67" s="32"/>
      <c r="C67" s="31" t="s">
        <v>86</v>
      </c>
      <c r="D67" s="45">
        <v>0</v>
      </c>
      <c r="E67" s="46"/>
      <c r="F67" s="44"/>
      <c r="G67" s="44"/>
      <c r="H67" s="44"/>
      <c r="I67" s="45">
        <v>0</v>
      </c>
      <c r="K67" s="31" t="s">
        <v>54</v>
      </c>
      <c r="L67" s="31" t="s">
        <v>58</v>
      </c>
    </row>
    <row r="68" spans="2:13">
      <c r="B68" s="32"/>
      <c r="C68" s="31" t="s">
        <v>128</v>
      </c>
      <c r="D68" s="45">
        <v>0</v>
      </c>
      <c r="E68" s="46"/>
      <c r="F68" s="44"/>
      <c r="G68" s="44"/>
      <c r="H68" s="44"/>
      <c r="I68" s="45">
        <v>0</v>
      </c>
      <c r="K68" s="31" t="s">
        <v>54</v>
      </c>
    </row>
    <row r="69" spans="2:13" hidden="1">
      <c r="B69" s="32"/>
      <c r="C69" s="31" t="s">
        <v>87</v>
      </c>
      <c r="D69" s="45">
        <v>0</v>
      </c>
      <c r="E69" s="46"/>
      <c r="F69" s="44"/>
      <c r="G69" s="44"/>
      <c r="H69" s="44"/>
      <c r="I69" s="45">
        <v>0</v>
      </c>
      <c r="K69" s="31" t="s">
        <v>54</v>
      </c>
    </row>
    <row r="70" spans="2:13">
      <c r="B70" s="32"/>
      <c r="C70" s="35" t="s">
        <v>129</v>
      </c>
      <c r="D70" s="45">
        <v>0</v>
      </c>
      <c r="E70" s="46"/>
      <c r="F70" s="44"/>
      <c r="G70" s="44"/>
      <c r="H70" s="44"/>
      <c r="I70" s="45">
        <v>0</v>
      </c>
      <c r="K70" s="31" t="s">
        <v>54</v>
      </c>
    </row>
    <row r="71" spans="2:13">
      <c r="B71" s="32"/>
      <c r="C71" s="35" t="s">
        <v>88</v>
      </c>
      <c r="D71" s="45">
        <v>0</v>
      </c>
      <c r="E71" s="46"/>
      <c r="F71" s="44"/>
      <c r="G71" s="44"/>
      <c r="H71" s="44"/>
      <c r="I71" s="45">
        <v>0</v>
      </c>
      <c r="K71" s="31" t="s">
        <v>54</v>
      </c>
    </row>
    <row r="72" spans="2:13">
      <c r="B72" s="32"/>
      <c r="C72" s="35"/>
      <c r="D72" s="45"/>
      <c r="E72" s="46"/>
      <c r="F72" s="44"/>
      <c r="G72" s="44"/>
      <c r="H72" s="44"/>
      <c r="I72" s="45"/>
    </row>
    <row r="73" spans="2:13">
      <c r="B73" s="55" t="s">
        <v>130</v>
      </c>
      <c r="C73" s="35"/>
      <c r="D73" s="45"/>
      <c r="E73" s="46"/>
      <c r="F73" s="44"/>
      <c r="G73" s="44"/>
      <c r="H73" s="44"/>
      <c r="I73" s="45"/>
    </row>
    <row r="74" spans="2:13">
      <c r="B74" s="32"/>
      <c r="C74" s="31" t="s">
        <v>80</v>
      </c>
      <c r="D74" s="45">
        <v>0</v>
      </c>
      <c r="E74" s="46"/>
      <c r="F74" s="44"/>
      <c r="G74" s="44"/>
      <c r="H74" s="44"/>
      <c r="I74" s="45">
        <v>0</v>
      </c>
      <c r="K74" s="31" t="s">
        <v>54</v>
      </c>
    </row>
    <row r="75" spans="2:13">
      <c r="B75" s="32"/>
      <c r="C75" s="31" t="s">
        <v>81</v>
      </c>
      <c r="D75" s="45">
        <v>0</v>
      </c>
      <c r="E75" s="46"/>
      <c r="F75" s="44"/>
      <c r="G75" s="44"/>
      <c r="H75" s="44"/>
      <c r="I75" s="45">
        <v>0</v>
      </c>
      <c r="K75" s="31" t="s">
        <v>54</v>
      </c>
    </row>
    <row r="76" spans="2:13">
      <c r="B76" s="32"/>
      <c r="C76" s="31" t="s">
        <v>84</v>
      </c>
      <c r="D76" s="45">
        <v>0</v>
      </c>
      <c r="E76" s="46"/>
      <c r="F76" s="44"/>
      <c r="G76" s="44"/>
      <c r="H76" s="44"/>
      <c r="I76" s="45">
        <v>0</v>
      </c>
      <c r="K76" s="31" t="s">
        <v>54</v>
      </c>
    </row>
    <row r="77" spans="2:13" ht="11.25" thickBot="1">
      <c r="B77" s="32"/>
      <c r="C77" s="31" t="s">
        <v>85</v>
      </c>
      <c r="D77" s="45">
        <v>0</v>
      </c>
      <c r="E77" s="46"/>
      <c r="F77" s="44"/>
      <c r="G77" s="44"/>
      <c r="H77" s="44"/>
      <c r="I77" s="45">
        <v>0</v>
      </c>
      <c r="K77" s="31" t="s">
        <v>54</v>
      </c>
    </row>
    <row r="78" spans="2:13" ht="11.25" thickBot="1">
      <c r="B78" s="32"/>
      <c r="D78" s="46"/>
      <c r="E78" s="46"/>
      <c r="F78" s="44"/>
      <c r="G78" s="44"/>
      <c r="H78" s="44"/>
      <c r="I78" s="44"/>
      <c r="K78" s="204">
        <v>0</v>
      </c>
      <c r="L78" s="205" t="s">
        <v>237</v>
      </c>
      <c r="M78" s="206">
        <v>0</v>
      </c>
    </row>
    <row r="79" spans="2:13">
      <c r="B79" s="32"/>
      <c r="C79" s="32" t="s">
        <v>134</v>
      </c>
      <c r="D79" s="45">
        <v>128640327.91</v>
      </c>
      <c r="E79" s="46"/>
      <c r="F79" s="44"/>
      <c r="G79" s="44"/>
      <c r="H79" s="44"/>
      <c r="I79" s="45">
        <v>128640327.91</v>
      </c>
    </row>
    <row r="80" spans="2:13" ht="11.25" thickBot="1">
      <c r="B80" s="50" t="s">
        <v>66</v>
      </c>
      <c r="C80" s="48"/>
      <c r="D80" s="39" t="s">
        <v>57</v>
      </c>
      <c r="E80" s="48" t="s">
        <v>58</v>
      </c>
      <c r="F80" s="39" t="s">
        <v>57</v>
      </c>
      <c r="G80" s="39" t="s">
        <v>57</v>
      </c>
      <c r="H80" s="39" t="s">
        <v>57</v>
      </c>
      <c r="I80" s="39" t="s">
        <v>57</v>
      </c>
    </row>
    <row r="81" spans="1:17" ht="11.25" thickBot="1">
      <c r="B81" s="31" t="s">
        <v>89</v>
      </c>
      <c r="C81" s="32"/>
      <c r="D81" s="45">
        <v>244194619.06</v>
      </c>
      <c r="E81" s="46"/>
      <c r="F81" s="45">
        <v>0</v>
      </c>
      <c r="G81" s="45">
        <v>0</v>
      </c>
      <c r="H81" s="45">
        <v>0</v>
      </c>
      <c r="I81" s="45">
        <v>244194619.06</v>
      </c>
      <c r="K81" s="204"/>
      <c r="L81" s="205" t="s">
        <v>237</v>
      </c>
      <c r="M81" s="206">
        <v>0</v>
      </c>
    </row>
    <row r="82" spans="1:17">
      <c r="B82" s="31" t="s">
        <v>135</v>
      </c>
      <c r="D82" s="45">
        <v>11379603.43</v>
      </c>
      <c r="E82" s="46"/>
      <c r="F82" s="48"/>
      <c r="H82" s="45"/>
      <c r="I82" s="45">
        <v>11379603.43</v>
      </c>
      <c r="J82" s="32"/>
      <c r="K82" s="32"/>
      <c r="L82" s="32"/>
      <c r="M82" s="32"/>
    </row>
    <row r="83" spans="1:17">
      <c r="B83" s="31" t="s">
        <v>90</v>
      </c>
      <c r="C83" s="32"/>
      <c r="D83" s="45">
        <v>0</v>
      </c>
      <c r="E83" s="46"/>
      <c r="F83" s="45"/>
      <c r="G83" s="45"/>
      <c r="H83" s="45">
        <v>0</v>
      </c>
      <c r="I83" s="44"/>
    </row>
    <row r="84" spans="1:17" ht="11.25" thickBot="1">
      <c r="D84" s="39" t="s">
        <v>57</v>
      </c>
      <c r="E84" s="48" t="s">
        <v>58</v>
      </c>
      <c r="F84" s="39" t="s">
        <v>57</v>
      </c>
      <c r="G84" s="39" t="s">
        <v>57</v>
      </c>
      <c r="H84" s="39" t="s">
        <v>57</v>
      </c>
      <c r="I84" s="39" t="s">
        <v>57</v>
      </c>
    </row>
    <row r="85" spans="1:17" ht="11.25" thickBot="1">
      <c r="A85" s="31" t="s">
        <v>91</v>
      </c>
      <c r="D85" s="45">
        <v>291827698.55000001</v>
      </c>
      <c r="E85" s="46"/>
      <c r="F85" s="45">
        <v>26178993.63241427</v>
      </c>
      <c r="G85" s="45">
        <v>7020079.9175857268</v>
      </c>
      <c r="H85" s="45">
        <v>0</v>
      </c>
      <c r="I85" s="45">
        <v>258628625</v>
      </c>
      <c r="K85" s="204">
        <v>0</v>
      </c>
      <c r="L85" s="205" t="s">
        <v>237</v>
      </c>
      <c r="M85" s="206">
        <v>0</v>
      </c>
    </row>
    <row r="86" spans="1:17">
      <c r="D86" s="46"/>
      <c r="E86" s="46"/>
      <c r="F86" s="46"/>
      <c r="G86" s="46"/>
      <c r="H86" s="46"/>
      <c r="I86" s="46"/>
    </row>
    <row r="87" spans="1:17">
      <c r="D87" s="46"/>
      <c r="E87" s="46"/>
      <c r="F87" s="46"/>
      <c r="G87" s="46"/>
      <c r="H87" s="46"/>
      <c r="I87" s="46"/>
      <c r="P87" s="45"/>
    </row>
    <row r="88" spans="1:17" ht="11.25">
      <c r="A88" s="31" t="s">
        <v>92</v>
      </c>
      <c r="F88" s="44"/>
      <c r="G88" s="44"/>
      <c r="H88" s="44"/>
      <c r="I88" s="44"/>
      <c r="N88" s="210" t="s">
        <v>250</v>
      </c>
      <c r="O88" s="186">
        <v>27492324.290000007</v>
      </c>
      <c r="P88" s="45"/>
    </row>
    <row r="89" spans="1:17" ht="11.25">
      <c r="F89" s="44"/>
      <c r="G89" s="44"/>
      <c r="H89" s="44"/>
      <c r="I89" s="44"/>
      <c r="N89" s="210" t="s">
        <v>251</v>
      </c>
      <c r="O89" s="189">
        <v>0</v>
      </c>
      <c r="P89" s="217"/>
      <c r="Q89" s="32"/>
    </row>
    <row r="90" spans="1:17" s="32" customFormat="1" ht="11.25">
      <c r="A90" s="31"/>
      <c r="B90" s="31" t="s">
        <v>93</v>
      </c>
      <c r="D90" s="45">
        <v>27492324.290000007</v>
      </c>
      <c r="E90" s="46"/>
      <c r="F90" s="45">
        <v>27492324.290000007</v>
      </c>
      <c r="G90" s="44"/>
      <c r="H90" s="44"/>
      <c r="I90" s="44"/>
      <c r="J90" s="31"/>
      <c r="K90" s="218"/>
      <c r="L90" s="31"/>
      <c r="M90" s="31"/>
      <c r="N90" s="210" t="s">
        <v>252</v>
      </c>
      <c r="O90" s="186">
        <v>78000012.643361703</v>
      </c>
      <c r="P90" s="45"/>
      <c r="Q90" s="31"/>
    </row>
    <row r="91" spans="1:17" ht="11.25">
      <c r="A91" s="32"/>
      <c r="B91" s="32"/>
      <c r="C91" s="32"/>
      <c r="D91" s="32"/>
      <c r="E91" s="32"/>
      <c r="F91" s="32"/>
      <c r="G91" s="32"/>
      <c r="H91" s="32"/>
      <c r="I91" s="32"/>
      <c r="J91" s="32"/>
      <c r="K91" s="219"/>
      <c r="L91" s="32"/>
      <c r="M91" s="32"/>
      <c r="N91" s="210" t="s">
        <v>253</v>
      </c>
      <c r="O91" s="186"/>
      <c r="P91" s="45"/>
    </row>
    <row r="92" spans="1:17" ht="11.25">
      <c r="B92" s="31" t="s">
        <v>94</v>
      </c>
      <c r="C92" s="32"/>
      <c r="D92" s="45">
        <v>0</v>
      </c>
      <c r="E92" s="46"/>
      <c r="F92" s="45">
        <v>0</v>
      </c>
      <c r="G92" s="44"/>
      <c r="H92" s="44"/>
      <c r="I92" s="44"/>
      <c r="N92" s="210" t="s">
        <v>254</v>
      </c>
      <c r="O92" s="186">
        <v>2832442.5199999996</v>
      </c>
      <c r="P92" s="45"/>
    </row>
    <row r="93" spans="1:17" ht="11.25" thickBot="1">
      <c r="C93" s="32"/>
      <c r="D93" s="46"/>
      <c r="E93" s="46"/>
      <c r="F93" s="44"/>
      <c r="G93" s="44"/>
      <c r="H93" s="44"/>
      <c r="I93" s="44"/>
      <c r="O93" s="186">
        <v>108324779.4533617</v>
      </c>
      <c r="P93" s="220"/>
    </row>
    <row r="94" spans="1:17" ht="11.25" thickBot="1">
      <c r="B94" s="31" t="s">
        <v>54</v>
      </c>
      <c r="C94" s="32"/>
      <c r="D94" s="45">
        <v>80832454.709999993</v>
      </c>
      <c r="E94" s="46"/>
      <c r="F94" s="51"/>
      <c r="G94" s="44"/>
      <c r="H94" s="44"/>
      <c r="I94" s="45">
        <v>80832454.709999993</v>
      </c>
      <c r="N94" s="221" t="s">
        <v>237</v>
      </c>
      <c r="O94" s="206">
        <v>0.45336170494556427</v>
      </c>
    </row>
    <row r="95" spans="1:17">
      <c r="F95" s="44"/>
      <c r="G95" s="44"/>
      <c r="H95" s="44"/>
      <c r="I95" s="44"/>
    </row>
    <row r="96" spans="1:17" s="32" customFormat="1">
      <c r="A96" s="31"/>
      <c r="B96" s="32" t="s">
        <v>95</v>
      </c>
      <c r="C96" s="31"/>
      <c r="D96" s="45">
        <v>0</v>
      </c>
      <c r="E96" s="46"/>
      <c r="F96" s="44"/>
      <c r="H96" s="45">
        <v>0</v>
      </c>
      <c r="I96" s="44"/>
      <c r="J96" s="31"/>
      <c r="K96" s="31"/>
      <c r="L96" s="31"/>
      <c r="M96" s="31"/>
      <c r="N96" s="35"/>
    </row>
    <row r="97" spans="1:14">
      <c r="A97" s="32"/>
      <c r="B97" s="32"/>
      <c r="C97" s="32"/>
      <c r="D97" s="32"/>
      <c r="E97" s="32"/>
      <c r="F97" s="32"/>
      <c r="G97" s="32"/>
      <c r="H97" s="32"/>
      <c r="I97" s="32"/>
      <c r="J97" s="32"/>
      <c r="K97" s="32"/>
      <c r="L97" s="32"/>
      <c r="M97" s="32"/>
    </row>
    <row r="98" spans="1:14" ht="11.25" thickBot="1">
      <c r="D98" s="39" t="s">
        <v>57</v>
      </c>
      <c r="E98" s="48" t="s">
        <v>58</v>
      </c>
      <c r="F98" s="39" t="s">
        <v>57</v>
      </c>
      <c r="G98" s="39" t="s">
        <v>57</v>
      </c>
      <c r="H98" s="39" t="s">
        <v>57</v>
      </c>
      <c r="I98" s="39" t="s">
        <v>57</v>
      </c>
    </row>
    <row r="99" spans="1:14" s="32" customFormat="1" ht="11.25" thickBot="1">
      <c r="A99" s="31" t="s">
        <v>96</v>
      </c>
      <c r="B99" s="31"/>
      <c r="C99" s="31"/>
      <c r="D99" s="45">
        <v>108324779</v>
      </c>
      <c r="E99" s="46"/>
      <c r="F99" s="45">
        <v>27492324.290000007</v>
      </c>
      <c r="G99" s="45">
        <v>0</v>
      </c>
      <c r="H99" s="45">
        <v>0</v>
      </c>
      <c r="I99" s="45">
        <v>80832454.709999993</v>
      </c>
      <c r="J99" s="31"/>
      <c r="K99" s="204">
        <v>0</v>
      </c>
      <c r="L99" s="205" t="s">
        <v>237</v>
      </c>
      <c r="M99" s="206">
        <v>0</v>
      </c>
      <c r="N99" s="35"/>
    </row>
    <row r="100" spans="1:14" s="32" customFormat="1">
      <c r="A100" s="31"/>
      <c r="B100" s="31"/>
      <c r="C100" s="31"/>
      <c r="D100" s="31"/>
      <c r="E100" s="31"/>
      <c r="G100" s="31"/>
      <c r="H100" s="31"/>
      <c r="I100" s="31"/>
      <c r="N100" s="35"/>
    </row>
    <row r="101" spans="1:14" s="32" customFormat="1">
      <c r="A101" s="31" t="s">
        <v>97</v>
      </c>
      <c r="B101" s="31"/>
      <c r="C101" s="31"/>
      <c r="D101" s="31"/>
      <c r="E101" s="31"/>
      <c r="G101" s="31"/>
      <c r="H101" s="31"/>
      <c r="I101" s="31"/>
      <c r="N101" s="35"/>
    </row>
    <row r="102" spans="1:14" s="32" customFormat="1">
      <c r="A102" s="31"/>
      <c r="B102" s="46" t="s">
        <v>136</v>
      </c>
      <c r="C102" s="31"/>
      <c r="D102" s="45">
        <v>0</v>
      </c>
      <c r="E102" s="46"/>
      <c r="G102" s="31"/>
      <c r="H102" s="45">
        <v>0</v>
      </c>
      <c r="I102" s="52"/>
      <c r="N102" s="35"/>
    </row>
    <row r="103" spans="1:14" s="32" customFormat="1">
      <c r="A103" s="31"/>
      <c r="B103" s="46" t="s">
        <v>137</v>
      </c>
      <c r="C103" s="31"/>
      <c r="D103" s="45">
        <v>0</v>
      </c>
      <c r="E103" s="46"/>
      <c r="G103" s="31"/>
      <c r="H103" s="45">
        <v>0</v>
      </c>
      <c r="I103" s="52"/>
      <c r="N103" s="35"/>
    </row>
    <row r="104" spans="1:14" s="32" customFormat="1">
      <c r="A104" s="31"/>
      <c r="B104" s="46" t="s">
        <v>138</v>
      </c>
      <c r="C104" s="31"/>
      <c r="D104" s="45">
        <v>6813616.7199999997</v>
      </c>
      <c r="E104" s="46"/>
      <c r="G104" s="31"/>
      <c r="H104" s="45">
        <v>6813616.7199999997</v>
      </c>
      <c r="I104" s="52"/>
      <c r="N104" s="35"/>
    </row>
    <row r="105" spans="1:14" s="32" customFormat="1">
      <c r="A105" s="31"/>
      <c r="B105" s="46" t="s">
        <v>139</v>
      </c>
      <c r="C105" s="31"/>
      <c r="D105" s="45">
        <v>0</v>
      </c>
      <c r="E105" s="46"/>
      <c r="G105" s="31"/>
      <c r="H105" s="45">
        <v>0</v>
      </c>
      <c r="I105" s="52"/>
      <c r="N105" s="35"/>
    </row>
    <row r="106" spans="1:14" s="32" customFormat="1">
      <c r="A106" s="31"/>
      <c r="B106" s="46" t="s">
        <v>98</v>
      </c>
      <c r="C106" s="31"/>
      <c r="D106" s="45">
        <v>94372349.499663994</v>
      </c>
      <c r="E106" s="46"/>
      <c r="G106" s="31"/>
      <c r="H106" s="45">
        <v>94372349.499663994</v>
      </c>
      <c r="I106" s="52"/>
      <c r="N106" s="35"/>
    </row>
    <row r="107" spans="1:14" s="32" customFormat="1">
      <c r="A107" s="31"/>
      <c r="B107" s="46" t="s">
        <v>99</v>
      </c>
      <c r="C107" s="31"/>
      <c r="D107" s="45">
        <v>0</v>
      </c>
      <c r="E107" s="46"/>
      <c r="G107" s="31"/>
      <c r="H107" s="45">
        <v>0</v>
      </c>
      <c r="I107" s="52"/>
      <c r="N107" s="35"/>
    </row>
    <row r="108" spans="1:14" s="32" customFormat="1">
      <c r="A108" s="31"/>
      <c r="B108" s="46" t="s">
        <v>140</v>
      </c>
      <c r="C108" s="31"/>
      <c r="D108" s="45">
        <v>0</v>
      </c>
      <c r="E108" s="46"/>
      <c r="G108" s="31"/>
      <c r="H108" s="45">
        <v>0</v>
      </c>
      <c r="I108" s="52"/>
      <c r="N108" s="35"/>
    </row>
    <row r="109" spans="1:14" s="32" customFormat="1">
      <c r="A109" s="31"/>
      <c r="B109" s="46" t="s">
        <v>141</v>
      </c>
      <c r="C109" s="31"/>
      <c r="D109" s="45">
        <v>0</v>
      </c>
      <c r="E109" s="46"/>
      <c r="G109" s="31"/>
      <c r="H109" s="45">
        <v>0</v>
      </c>
      <c r="I109" s="52"/>
      <c r="N109" s="35"/>
    </row>
    <row r="110" spans="1:14" s="32" customFormat="1">
      <c r="A110" s="31"/>
      <c r="B110" s="46" t="s">
        <v>142</v>
      </c>
      <c r="C110" s="31"/>
      <c r="D110" s="45">
        <v>0</v>
      </c>
      <c r="E110" s="46"/>
      <c r="G110" s="31"/>
      <c r="H110" s="45">
        <v>0</v>
      </c>
      <c r="I110" s="52"/>
      <c r="N110" s="35"/>
    </row>
    <row r="111" spans="1:14" s="32" customFormat="1">
      <c r="A111" s="31"/>
      <c r="B111" s="46" t="s">
        <v>143</v>
      </c>
      <c r="C111" s="31"/>
      <c r="D111" s="45">
        <v>0</v>
      </c>
      <c r="E111" s="46"/>
      <c r="F111" s="48"/>
      <c r="G111" s="31"/>
      <c r="H111" s="45">
        <v>0</v>
      </c>
      <c r="I111" s="52"/>
      <c r="N111" s="35"/>
    </row>
    <row r="112" spans="1:14" s="32" customFormat="1">
      <c r="A112" s="31"/>
      <c r="B112" s="46" t="s">
        <v>144</v>
      </c>
      <c r="C112" s="31"/>
      <c r="D112" s="45">
        <v>77144942.34988153</v>
      </c>
      <c r="E112" s="46"/>
      <c r="F112" s="48"/>
      <c r="G112" s="31"/>
      <c r="H112" s="45">
        <v>77144942.34988153</v>
      </c>
      <c r="I112" s="52"/>
      <c r="N112" s="35"/>
    </row>
    <row r="113" spans="1:14" s="32" customFormat="1">
      <c r="A113" s="31"/>
      <c r="B113" s="46" t="s">
        <v>145</v>
      </c>
      <c r="C113" s="31"/>
      <c r="D113" s="45">
        <v>0</v>
      </c>
      <c r="E113" s="46"/>
      <c r="F113" s="48"/>
      <c r="G113" s="31"/>
      <c r="H113" s="45">
        <v>0</v>
      </c>
      <c r="I113" s="52"/>
      <c r="N113" s="35"/>
    </row>
    <row r="114" spans="1:14" s="32" customFormat="1">
      <c r="A114" s="31"/>
      <c r="B114" s="46" t="s">
        <v>146</v>
      </c>
      <c r="C114" s="31"/>
      <c r="D114" s="45">
        <v>0</v>
      </c>
      <c r="E114" s="46"/>
      <c r="F114" s="48"/>
      <c r="G114" s="31"/>
      <c r="H114" s="45">
        <v>0</v>
      </c>
      <c r="I114" s="52"/>
      <c r="N114" s="35"/>
    </row>
    <row r="115" spans="1:14" s="32" customFormat="1">
      <c r="A115" s="31"/>
      <c r="B115" s="46" t="s">
        <v>147</v>
      </c>
      <c r="C115" s="31"/>
      <c r="D115" s="45">
        <v>164770839.38999999</v>
      </c>
      <c r="E115" s="46"/>
      <c r="F115" s="48"/>
      <c r="G115" s="31"/>
      <c r="H115" s="45">
        <v>164770839.38999999</v>
      </c>
      <c r="I115" s="52"/>
      <c r="N115" s="35"/>
    </row>
    <row r="116" spans="1:14" s="32" customFormat="1">
      <c r="A116" s="31"/>
      <c r="B116" s="46" t="s">
        <v>148</v>
      </c>
      <c r="C116" s="31"/>
      <c r="D116" s="45">
        <v>0</v>
      </c>
      <c r="E116" s="46"/>
      <c r="F116" s="48"/>
      <c r="G116" s="31"/>
      <c r="H116" s="45">
        <v>0</v>
      </c>
      <c r="I116" s="52"/>
      <c r="N116" s="35"/>
    </row>
    <row r="117" spans="1:14" s="32" customFormat="1">
      <c r="A117" s="31"/>
      <c r="B117" s="46" t="s">
        <v>149</v>
      </c>
      <c r="C117" s="31"/>
      <c r="D117" s="45">
        <v>0</v>
      </c>
      <c r="E117" s="46"/>
      <c r="F117" s="48"/>
      <c r="G117" s="31"/>
      <c r="H117" s="45">
        <v>0</v>
      </c>
      <c r="I117" s="52"/>
      <c r="N117" s="35"/>
    </row>
    <row r="118" spans="1:14" s="32" customFormat="1">
      <c r="A118" s="31"/>
      <c r="B118" s="46" t="s">
        <v>150</v>
      </c>
      <c r="C118" s="31"/>
      <c r="D118" s="45">
        <v>0</v>
      </c>
      <c r="E118" s="46"/>
      <c r="F118" s="48"/>
      <c r="G118" s="31"/>
      <c r="H118" s="45">
        <v>0</v>
      </c>
      <c r="I118" s="52"/>
      <c r="N118" s="35"/>
    </row>
    <row r="119" spans="1:14" s="32" customFormat="1" hidden="1">
      <c r="A119" s="31"/>
      <c r="B119" s="46" t="s">
        <v>151</v>
      </c>
      <c r="C119" s="31"/>
      <c r="D119" s="45">
        <v>0</v>
      </c>
      <c r="E119" s="46"/>
      <c r="F119" s="48"/>
      <c r="G119" s="31"/>
      <c r="H119" s="45">
        <v>0</v>
      </c>
      <c r="I119" s="52"/>
      <c r="N119" s="35"/>
    </row>
    <row r="120" spans="1:14" s="32" customFormat="1">
      <c r="A120" s="31"/>
      <c r="B120" s="46" t="s">
        <v>152</v>
      </c>
      <c r="C120" s="31"/>
      <c r="D120" s="45">
        <v>0</v>
      </c>
      <c r="E120" s="46"/>
      <c r="F120" s="48"/>
      <c r="G120" s="31"/>
      <c r="H120" s="45">
        <v>0</v>
      </c>
      <c r="I120" s="52"/>
      <c r="N120" s="35"/>
    </row>
    <row r="121" spans="1:14" s="32" customFormat="1" ht="11.25" thickBot="1">
      <c r="A121" s="31"/>
      <c r="B121" s="31"/>
      <c r="C121" s="31"/>
      <c r="D121" s="39" t="s">
        <v>57</v>
      </c>
      <c r="E121" s="48" t="s">
        <v>58</v>
      </c>
      <c r="F121" s="39" t="s">
        <v>57</v>
      </c>
      <c r="G121" s="39" t="s">
        <v>57</v>
      </c>
      <c r="H121" s="39" t="s">
        <v>57</v>
      </c>
      <c r="I121" s="39" t="s">
        <v>57</v>
      </c>
      <c r="N121" s="35"/>
    </row>
    <row r="122" spans="1:14" s="32" customFormat="1" ht="11.25" thickBot="1">
      <c r="A122" s="31" t="s">
        <v>100</v>
      </c>
      <c r="B122" s="31"/>
      <c r="C122" s="31"/>
      <c r="D122" s="45">
        <v>343101747.95954549</v>
      </c>
      <c r="E122" s="46"/>
      <c r="F122" s="45">
        <v>0</v>
      </c>
      <c r="G122" s="45">
        <v>0</v>
      </c>
      <c r="H122" s="45">
        <v>343101747.95954549</v>
      </c>
      <c r="I122" s="45">
        <v>0</v>
      </c>
      <c r="K122" s="204">
        <v>0</v>
      </c>
      <c r="L122" s="205" t="s">
        <v>237</v>
      </c>
      <c r="M122" s="206">
        <v>0</v>
      </c>
      <c r="N122" s="35"/>
    </row>
    <row r="123" spans="1:14" s="32" customFormat="1">
      <c r="A123" s="31"/>
      <c r="B123" s="31"/>
      <c r="C123" s="31"/>
      <c r="D123" s="53"/>
      <c r="E123" s="46"/>
      <c r="F123" s="46"/>
      <c r="G123" s="46"/>
      <c r="H123" s="46"/>
      <c r="I123" s="46"/>
      <c r="N123" s="35"/>
    </row>
    <row r="124" spans="1:14" s="32" customFormat="1">
      <c r="A124" s="31" t="s">
        <v>101</v>
      </c>
      <c r="B124" s="31"/>
      <c r="C124" s="31"/>
      <c r="D124" s="53"/>
      <c r="E124" s="46"/>
      <c r="F124" s="46"/>
      <c r="G124" s="46"/>
      <c r="H124" s="46"/>
      <c r="I124" s="46"/>
      <c r="N124" s="35"/>
    </row>
    <row r="125" spans="1:14" s="32" customFormat="1">
      <c r="A125" s="31"/>
      <c r="B125" s="46" t="s">
        <v>153</v>
      </c>
      <c r="C125" s="31"/>
      <c r="D125" s="45">
        <v>0</v>
      </c>
      <c r="E125" s="46"/>
      <c r="F125" s="48"/>
      <c r="G125" s="31"/>
      <c r="H125" s="45">
        <v>0</v>
      </c>
      <c r="I125" s="52"/>
      <c r="N125" s="35"/>
    </row>
    <row r="126" spans="1:14">
      <c r="D126" s="39" t="s">
        <v>57</v>
      </c>
      <c r="E126" s="48" t="s">
        <v>58</v>
      </c>
      <c r="F126" s="39" t="s">
        <v>57</v>
      </c>
      <c r="G126" s="39" t="s">
        <v>57</v>
      </c>
      <c r="H126" s="39" t="s">
        <v>57</v>
      </c>
      <c r="I126" s="39" t="s">
        <v>57</v>
      </c>
    </row>
    <row r="127" spans="1:14">
      <c r="A127" s="31" t="s">
        <v>102</v>
      </c>
      <c r="D127" s="45">
        <v>0</v>
      </c>
      <c r="E127" s="46"/>
      <c r="F127" s="45">
        <v>0</v>
      </c>
      <c r="G127" s="45">
        <v>0</v>
      </c>
      <c r="H127" s="45">
        <v>0</v>
      </c>
      <c r="I127" s="45">
        <v>0</v>
      </c>
    </row>
    <row r="128" spans="1:14" ht="11.25" thickBot="1">
      <c r="D128" s="54" t="s">
        <v>103</v>
      </c>
      <c r="E128" s="48" t="s">
        <v>58</v>
      </c>
      <c r="F128" s="54" t="s">
        <v>103</v>
      </c>
      <c r="G128" s="54" t="s">
        <v>103</v>
      </c>
      <c r="H128" s="54" t="s">
        <v>103</v>
      </c>
      <c r="I128" s="54" t="s">
        <v>103</v>
      </c>
    </row>
    <row r="129" spans="1:13" ht="11.25" thickBot="1">
      <c r="A129" s="31" t="s">
        <v>104</v>
      </c>
      <c r="D129" s="45">
        <v>568289312.03954554</v>
      </c>
      <c r="E129" s="46" t="s">
        <v>58</v>
      </c>
      <c r="F129" s="45">
        <v>40395717.922414273</v>
      </c>
      <c r="G129" s="45">
        <v>7020079.9175857268</v>
      </c>
      <c r="H129" s="45">
        <v>343101747.95954549</v>
      </c>
      <c r="I129" s="45">
        <v>177771766.23999998</v>
      </c>
      <c r="K129" s="204">
        <v>0</v>
      </c>
      <c r="L129" s="205" t="s">
        <v>237</v>
      </c>
      <c r="M129" s="206">
        <v>0</v>
      </c>
    </row>
    <row r="130" spans="1:13">
      <c r="D130" s="54" t="s">
        <v>103</v>
      </c>
      <c r="E130" s="48" t="s">
        <v>58</v>
      </c>
      <c r="F130" s="54" t="s">
        <v>103</v>
      </c>
      <c r="G130" s="54" t="s">
        <v>103</v>
      </c>
      <c r="H130" s="54" t="s">
        <v>103</v>
      </c>
      <c r="I130" s="54" t="s">
        <v>103</v>
      </c>
    </row>
  </sheetData>
  <mergeCells count="1">
    <mergeCell ref="A4:C4"/>
  </mergeCells>
  <printOptions horizontalCentered="1"/>
  <pageMargins left="0.75" right="0.75" top="0.75" bottom="0.5" header="0.25" footer="0.25"/>
  <pageSetup scale="81" orientation="portrait" r:id="rId1"/>
  <headerFooter alignWithMargins="0">
    <oddFooter>&amp;L&amp;7Power Planning  &amp;D  &amp;T&amp;C&amp;7Page &amp;P &amp;R&amp;7&amp;F - &amp;A</oddFooter>
  </headerFooter>
  <rowBreaks count="1" manualBreakCount="1">
    <brk id="78" max="8" man="1"/>
  </rowBreaks>
  <legacyDrawing r:id="rId2"/>
</worksheet>
</file>

<file path=xl/worksheets/sheet29.xml><?xml version="1.0" encoding="utf-8"?>
<worksheet xmlns="http://schemas.openxmlformats.org/spreadsheetml/2006/main" xmlns:r="http://schemas.openxmlformats.org/officeDocument/2006/relationships">
  <sheetPr codeName="Sheet22"/>
  <dimension ref="A1:I128"/>
  <sheetViews>
    <sheetView view="pageBreakPreview" zoomScale="60" zoomScaleNormal="100" workbookViewId="0">
      <pane ySplit="8" topLeftCell="A9" activePane="bottomLeft" state="frozenSplit"/>
      <selection activeCell="K47" sqref="K47"/>
      <selection pane="bottomLeft" activeCell="K47" sqref="K47"/>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7" width="11.42578125" style="31" bestFit="1" customWidth="1"/>
    <col min="8" max="8" width="17" style="31" bestFit="1" customWidth="1"/>
    <col min="9" max="9" width="11.85546875" style="31" bestFit="1" customWidth="1"/>
    <col min="10" max="16384" width="9.42578125" style="31"/>
  </cols>
  <sheetData>
    <row r="1" spans="1:9" ht="10.5" customHeight="1">
      <c r="B1" s="104"/>
      <c r="C1" s="104"/>
      <c r="D1" s="104"/>
      <c r="E1" s="104"/>
      <c r="F1" s="104"/>
      <c r="G1" s="104"/>
      <c r="H1" s="104"/>
      <c r="I1" s="104"/>
    </row>
    <row r="2" spans="1:9" ht="12.75" customHeight="1">
      <c r="A2" s="104"/>
      <c r="B2" s="104"/>
      <c r="C2" s="104"/>
      <c r="D2" s="104"/>
      <c r="E2" s="104"/>
      <c r="F2" s="105" t="s">
        <v>189</v>
      </c>
      <c r="G2" s="104"/>
      <c r="H2" s="104"/>
      <c r="I2" s="104"/>
    </row>
    <row r="3" spans="1:9">
      <c r="A3" s="30" t="s">
        <v>0</v>
      </c>
      <c r="D3" s="32"/>
      <c r="E3" s="33"/>
      <c r="F3" s="34" t="s">
        <v>43</v>
      </c>
    </row>
    <row r="4" spans="1:9">
      <c r="A4" s="36"/>
      <c r="D4" s="32"/>
      <c r="E4" s="33"/>
      <c r="F4" s="33" t="s">
        <v>44</v>
      </c>
    </row>
    <row r="5" spans="1:9">
      <c r="A5" s="37" t="s">
        <v>45</v>
      </c>
      <c r="D5" s="38"/>
      <c r="E5" s="38"/>
      <c r="F5" s="34" t="s">
        <v>46</v>
      </c>
    </row>
    <row r="6" spans="1:9">
      <c r="A6" s="397" t="s">
        <v>182</v>
      </c>
      <c r="B6" s="397"/>
      <c r="C6" s="397"/>
      <c r="D6" s="38"/>
      <c r="E6" s="38"/>
      <c r="F6" s="33"/>
    </row>
    <row r="7" spans="1:9">
      <c r="B7" s="37"/>
      <c r="D7" s="39" t="s">
        <v>47</v>
      </c>
      <c r="E7" s="39"/>
      <c r="F7" s="40" t="s">
        <v>48</v>
      </c>
      <c r="G7" s="40" t="s">
        <v>48</v>
      </c>
      <c r="H7" s="40"/>
      <c r="I7" s="40"/>
    </row>
    <row r="8" spans="1:9" s="39" customFormat="1">
      <c r="A8" s="31"/>
      <c r="B8" s="31"/>
      <c r="C8" s="31"/>
      <c r="D8" s="41" t="s">
        <v>133</v>
      </c>
      <c r="E8" s="42"/>
      <c r="F8" s="43" t="s">
        <v>49</v>
      </c>
      <c r="G8" s="43" t="s">
        <v>12</v>
      </c>
      <c r="H8" s="43" t="s">
        <v>50</v>
      </c>
      <c r="I8" s="43" t="s">
        <v>51</v>
      </c>
    </row>
    <row r="9" spans="1:9">
      <c r="A9" s="31" t="s">
        <v>52</v>
      </c>
      <c r="F9" s="44"/>
      <c r="G9" s="44"/>
      <c r="H9" s="44"/>
      <c r="I9" s="44"/>
    </row>
    <row r="10" spans="1:9">
      <c r="B10" s="32" t="s">
        <v>53</v>
      </c>
      <c r="D10" s="45">
        <v>9373756.1899999995</v>
      </c>
      <c r="E10" s="46"/>
      <c r="F10" s="45">
        <v>9373756.1899999995</v>
      </c>
      <c r="G10" s="32"/>
      <c r="H10" s="32"/>
      <c r="I10" s="32"/>
    </row>
    <row r="11" spans="1:9">
      <c r="B11" s="32"/>
      <c r="D11" s="46"/>
      <c r="E11" s="46"/>
      <c r="F11" s="47"/>
      <c r="G11" s="44"/>
      <c r="H11" s="44"/>
      <c r="I11" s="44"/>
    </row>
    <row r="12" spans="1:9">
      <c r="B12" s="32" t="s">
        <v>54</v>
      </c>
      <c r="D12" s="45">
        <v>347051288.23000002</v>
      </c>
      <c r="E12" s="46"/>
      <c r="F12" s="47"/>
      <c r="G12" s="44"/>
      <c r="H12" s="44"/>
      <c r="I12" s="45">
        <v>347051288.23000002</v>
      </c>
    </row>
    <row r="13" spans="1:9">
      <c r="B13" s="32"/>
      <c r="D13" s="46"/>
      <c r="E13" s="46"/>
      <c r="F13" s="47"/>
      <c r="G13" s="44"/>
      <c r="H13" s="44"/>
      <c r="I13" s="44"/>
    </row>
    <row r="14" spans="1:9" hidden="1">
      <c r="B14" s="32" t="s">
        <v>55</v>
      </c>
      <c r="D14" s="45">
        <v>0</v>
      </c>
      <c r="E14" s="46"/>
      <c r="F14" s="45">
        <v>0</v>
      </c>
      <c r="G14" s="44"/>
      <c r="H14" s="44"/>
      <c r="I14" s="44"/>
    </row>
    <row r="15" spans="1:9" hidden="1">
      <c r="C15" s="32"/>
      <c r="D15" s="46"/>
      <c r="E15" s="46"/>
      <c r="F15" s="44"/>
      <c r="G15" s="44"/>
      <c r="H15" s="44"/>
      <c r="I15" s="44"/>
    </row>
    <row r="16" spans="1:9" hidden="1">
      <c r="B16" s="31" t="s">
        <v>56</v>
      </c>
      <c r="C16" s="32"/>
      <c r="D16" s="45">
        <v>0</v>
      </c>
      <c r="E16" s="46"/>
      <c r="F16" s="44"/>
      <c r="G16" s="44"/>
      <c r="H16" s="45">
        <v>0</v>
      </c>
      <c r="I16" s="44"/>
    </row>
    <row r="17" spans="1:9">
      <c r="D17" s="39" t="s">
        <v>57</v>
      </c>
      <c r="E17" s="48" t="s">
        <v>58</v>
      </c>
      <c r="F17" s="39" t="s">
        <v>57</v>
      </c>
      <c r="G17" s="39" t="s">
        <v>57</v>
      </c>
      <c r="H17" s="39" t="s">
        <v>57</v>
      </c>
      <c r="I17" s="39" t="s">
        <v>57</v>
      </c>
    </row>
    <row r="18" spans="1:9">
      <c r="A18" s="31" t="s">
        <v>59</v>
      </c>
      <c r="D18" s="45">
        <v>356425044.42000002</v>
      </c>
      <c r="E18" s="46"/>
      <c r="F18" s="45">
        <v>9373756.1899999995</v>
      </c>
      <c r="G18" s="45">
        <v>0</v>
      </c>
      <c r="H18" s="45">
        <v>0</v>
      </c>
      <c r="I18" s="45">
        <v>347051288.23000002</v>
      </c>
    </row>
    <row r="19" spans="1:9">
      <c r="D19" s="46"/>
      <c r="E19" s="46"/>
      <c r="F19" s="46"/>
      <c r="G19" s="46"/>
      <c r="H19" s="46"/>
      <c r="I19" s="46"/>
    </row>
    <row r="20" spans="1:9">
      <c r="D20" s="32"/>
      <c r="E20" s="44"/>
      <c r="F20" s="44"/>
      <c r="G20" s="44"/>
      <c r="H20" s="44"/>
      <c r="I20" s="44"/>
    </row>
    <row r="21" spans="1:9">
      <c r="A21" s="31" t="s">
        <v>60</v>
      </c>
      <c r="D21" s="46"/>
      <c r="E21" s="46"/>
      <c r="F21" s="44"/>
      <c r="G21" s="44"/>
      <c r="H21" s="44"/>
      <c r="I21" s="44"/>
    </row>
    <row r="22" spans="1:9">
      <c r="B22" s="32"/>
      <c r="C22" s="31" t="s">
        <v>61</v>
      </c>
      <c r="D22" s="45">
        <v>49697250</v>
      </c>
      <c r="E22" s="46"/>
      <c r="F22" s="45">
        <v>49697250</v>
      </c>
      <c r="G22" s="44"/>
      <c r="H22" s="44"/>
      <c r="I22" s="44"/>
    </row>
    <row r="23" spans="1:9">
      <c r="B23" s="32"/>
      <c r="C23" s="31" t="s">
        <v>62</v>
      </c>
      <c r="D23" s="45">
        <v>0</v>
      </c>
      <c r="E23" s="46"/>
      <c r="F23" s="45">
        <v>600000</v>
      </c>
      <c r="G23" s="45">
        <v>-600000</v>
      </c>
      <c r="H23" s="44"/>
      <c r="I23" s="44"/>
    </row>
    <row r="24" spans="1:9">
      <c r="B24" s="32"/>
      <c r="C24" s="31" t="s">
        <v>63</v>
      </c>
      <c r="D24" s="45">
        <v>21455301.219999999</v>
      </c>
      <c r="E24" s="46"/>
      <c r="F24" s="45">
        <v>6436590.3659999995</v>
      </c>
      <c r="G24" s="45">
        <v>15018710.853999998</v>
      </c>
      <c r="H24" s="44"/>
      <c r="I24" s="44"/>
    </row>
    <row r="25" spans="1:9">
      <c r="B25" s="32"/>
      <c r="C25" s="31" t="s">
        <v>64</v>
      </c>
      <c r="D25" s="45">
        <v>6650881.8300000001</v>
      </c>
      <c r="E25" s="46"/>
      <c r="F25" s="45">
        <v>1379145.478737924</v>
      </c>
      <c r="G25" s="45">
        <v>5271736.3512620758</v>
      </c>
      <c r="H25" s="44"/>
      <c r="I25" s="44"/>
    </row>
    <row r="26" spans="1:9">
      <c r="B26" s="32"/>
      <c r="C26" s="31" t="s">
        <v>65</v>
      </c>
      <c r="D26" s="45">
        <v>2503683</v>
      </c>
      <c r="E26" s="46"/>
      <c r="F26" s="49">
        <v>426365.94832649996</v>
      </c>
      <c r="G26" s="49">
        <v>2077317.0516735001</v>
      </c>
      <c r="H26" s="44"/>
      <c r="I26" s="49">
        <v>0</v>
      </c>
    </row>
    <row r="27" spans="1:9">
      <c r="B27" s="50" t="s">
        <v>66</v>
      </c>
      <c r="C27" s="48"/>
      <c r="D27" s="39" t="s">
        <v>57</v>
      </c>
      <c r="E27" s="48" t="s">
        <v>58</v>
      </c>
      <c r="F27" s="39" t="s">
        <v>57</v>
      </c>
      <c r="G27" s="39" t="s">
        <v>57</v>
      </c>
      <c r="H27" s="39" t="s">
        <v>57</v>
      </c>
      <c r="I27" s="39" t="s">
        <v>57</v>
      </c>
    </row>
    <row r="28" spans="1:9">
      <c r="B28" s="31" t="s">
        <v>67</v>
      </c>
      <c r="C28" s="32"/>
      <c r="D28" s="45">
        <v>80307116.049999997</v>
      </c>
      <c r="E28" s="46"/>
      <c r="F28" s="45">
        <v>58539351.793064415</v>
      </c>
      <c r="G28" s="45">
        <v>21767764.256935574</v>
      </c>
      <c r="H28" s="45">
        <v>0</v>
      </c>
      <c r="I28" s="45">
        <v>0</v>
      </c>
    </row>
    <row r="29" spans="1:9">
      <c r="D29" s="47"/>
      <c r="E29" s="46"/>
      <c r="F29" s="47"/>
      <c r="G29" s="47"/>
      <c r="H29" s="44"/>
      <c r="I29" s="44"/>
    </row>
    <row r="30" spans="1:9" hidden="1">
      <c r="B30" s="32"/>
      <c r="C30" s="31" t="s">
        <v>68</v>
      </c>
      <c r="D30" s="45">
        <v>0</v>
      </c>
      <c r="E30" s="46"/>
      <c r="F30" s="45"/>
      <c r="G30" s="45">
        <v>0</v>
      </c>
      <c r="H30" s="44"/>
      <c r="I30" s="44"/>
    </row>
    <row r="31" spans="1:9" hidden="1">
      <c r="B31" s="32"/>
      <c r="C31" s="31" t="s">
        <v>69</v>
      </c>
      <c r="D31" s="45">
        <v>0</v>
      </c>
      <c r="E31" s="46"/>
      <c r="F31" s="45"/>
      <c r="G31" s="45">
        <v>0</v>
      </c>
      <c r="H31" s="44"/>
      <c r="I31" s="44"/>
    </row>
    <row r="32" spans="1:9" hidden="1">
      <c r="B32" s="32"/>
      <c r="C32" s="31" t="s">
        <v>70</v>
      </c>
      <c r="D32" s="45">
        <v>0</v>
      </c>
      <c r="E32" s="46"/>
      <c r="F32" s="49">
        <v>0</v>
      </c>
      <c r="G32" s="49">
        <v>0</v>
      </c>
      <c r="H32" s="44"/>
      <c r="I32" s="49">
        <v>0</v>
      </c>
    </row>
    <row r="33" spans="2:9" hidden="1">
      <c r="B33" s="32"/>
      <c r="C33" s="31" t="s">
        <v>71</v>
      </c>
      <c r="D33" s="45">
        <v>0</v>
      </c>
      <c r="E33" s="46"/>
      <c r="F33" s="45">
        <v>0</v>
      </c>
      <c r="G33" s="45">
        <v>0</v>
      </c>
      <c r="H33" s="44"/>
      <c r="I33" s="44"/>
    </row>
    <row r="34" spans="2:9" hidden="1">
      <c r="B34" s="32"/>
      <c r="C34" s="31" t="s">
        <v>72</v>
      </c>
      <c r="D34" s="45">
        <v>0</v>
      </c>
      <c r="E34" s="46"/>
      <c r="F34" s="45">
        <v>0</v>
      </c>
      <c r="G34" s="45">
        <v>0</v>
      </c>
      <c r="H34" s="44"/>
      <c r="I34" s="44"/>
    </row>
    <row r="35" spans="2:9" hidden="1">
      <c r="B35" s="50" t="s">
        <v>66</v>
      </c>
      <c r="C35" s="48"/>
      <c r="D35" s="39" t="s">
        <v>57</v>
      </c>
      <c r="E35" s="48" t="s">
        <v>58</v>
      </c>
      <c r="F35" s="39" t="s">
        <v>57</v>
      </c>
      <c r="G35" s="39" t="s">
        <v>57</v>
      </c>
      <c r="H35" s="39" t="s">
        <v>57</v>
      </c>
      <c r="I35" s="39" t="s">
        <v>57</v>
      </c>
    </row>
    <row r="36" spans="2:9" hidden="1">
      <c r="B36" s="31" t="s">
        <v>73</v>
      </c>
      <c r="C36" s="32"/>
      <c r="D36" s="45">
        <v>0</v>
      </c>
      <c r="E36" s="46"/>
      <c r="F36" s="45">
        <v>0</v>
      </c>
      <c r="G36" s="45">
        <v>0</v>
      </c>
      <c r="H36" s="45">
        <v>0</v>
      </c>
      <c r="I36" s="45">
        <v>0</v>
      </c>
    </row>
    <row r="37" spans="2:9" hidden="1">
      <c r="D37" s="46"/>
      <c r="E37" s="46"/>
      <c r="F37" s="44"/>
      <c r="G37" s="44"/>
      <c r="H37" s="44"/>
      <c r="I37" s="44"/>
    </row>
    <row r="38" spans="2:9" hidden="1">
      <c r="B38" s="32"/>
      <c r="C38" s="31" t="s">
        <v>172</v>
      </c>
      <c r="D38" s="45">
        <v>0</v>
      </c>
      <c r="E38" s="46"/>
      <c r="F38" s="44"/>
      <c r="G38" s="44"/>
      <c r="H38" s="44"/>
      <c r="I38" s="45">
        <v>0</v>
      </c>
    </row>
    <row r="39" spans="2:9" hidden="1">
      <c r="B39" s="32"/>
      <c r="C39" s="31" t="s">
        <v>173</v>
      </c>
      <c r="D39" s="45">
        <v>0</v>
      </c>
      <c r="E39" s="46"/>
      <c r="F39" s="44"/>
      <c r="G39" s="44"/>
      <c r="H39" s="44"/>
      <c r="I39" s="45">
        <v>0</v>
      </c>
    </row>
    <row r="40" spans="2:9" hidden="1">
      <c r="B40" s="32"/>
      <c r="C40" s="31" t="s">
        <v>154</v>
      </c>
      <c r="D40" s="45">
        <v>0</v>
      </c>
      <c r="E40" s="46"/>
      <c r="F40" s="44"/>
      <c r="G40" s="44"/>
      <c r="H40" s="44"/>
      <c r="I40" s="45">
        <v>0</v>
      </c>
    </row>
    <row r="41" spans="2:9" hidden="1">
      <c r="B41" s="32"/>
      <c r="C41" s="31" t="s">
        <v>174</v>
      </c>
      <c r="D41" s="45">
        <v>0</v>
      </c>
      <c r="E41" s="46"/>
      <c r="F41" s="44"/>
      <c r="G41" s="44"/>
      <c r="H41" s="44"/>
      <c r="I41" s="45">
        <v>0</v>
      </c>
    </row>
    <row r="42" spans="2:9">
      <c r="B42" s="32"/>
      <c r="C42" s="31" t="s">
        <v>155</v>
      </c>
      <c r="D42" s="45">
        <v>3631783.44</v>
      </c>
      <c r="E42" s="46"/>
      <c r="F42" s="44"/>
      <c r="G42" s="44"/>
      <c r="H42" s="44"/>
      <c r="I42" s="45">
        <v>3631783.44</v>
      </c>
    </row>
    <row r="43" spans="2:9" hidden="1">
      <c r="B43" s="32"/>
      <c r="C43" s="31" t="s">
        <v>74</v>
      </c>
      <c r="D43" s="45">
        <v>0</v>
      </c>
      <c r="E43" s="46"/>
      <c r="F43" s="44"/>
      <c r="G43" s="44"/>
      <c r="H43" s="44"/>
      <c r="I43" s="45">
        <v>0</v>
      </c>
    </row>
    <row r="44" spans="2:9" hidden="1">
      <c r="B44" s="32"/>
      <c r="C44" s="31" t="s">
        <v>75</v>
      </c>
      <c r="D44" s="45">
        <v>0</v>
      </c>
      <c r="E44" s="46"/>
      <c r="F44" s="44"/>
      <c r="G44" s="44"/>
      <c r="H44" s="44"/>
      <c r="I44" s="45">
        <v>0</v>
      </c>
    </row>
    <row r="45" spans="2:9" hidden="1">
      <c r="B45" s="32"/>
      <c r="C45" s="31" t="s">
        <v>76</v>
      </c>
      <c r="D45" s="45">
        <v>0</v>
      </c>
      <c r="E45" s="46"/>
      <c r="F45" s="44"/>
      <c r="G45" s="44"/>
      <c r="H45" s="44"/>
      <c r="I45" s="45">
        <v>0</v>
      </c>
    </row>
    <row r="46" spans="2:9" hidden="1">
      <c r="B46" s="32"/>
      <c r="C46" s="31" t="s">
        <v>156</v>
      </c>
      <c r="D46" s="45">
        <v>0</v>
      </c>
      <c r="E46" s="46"/>
      <c r="F46" s="44"/>
      <c r="G46" s="44"/>
      <c r="H46" s="44"/>
      <c r="I46" s="45">
        <v>0</v>
      </c>
    </row>
    <row r="47" spans="2:9">
      <c r="B47" s="32"/>
      <c r="C47" s="31" t="s">
        <v>77</v>
      </c>
      <c r="D47" s="45">
        <v>6333674.8799999999</v>
      </c>
      <c r="E47" s="46"/>
      <c r="F47" s="44"/>
      <c r="G47" s="44"/>
      <c r="H47" s="44"/>
      <c r="I47" s="45">
        <v>6333674.8799999999</v>
      </c>
    </row>
    <row r="48" spans="2:9">
      <c r="B48" s="32"/>
      <c r="C48" s="31" t="s">
        <v>157</v>
      </c>
      <c r="D48" s="45">
        <v>85868317.370000005</v>
      </c>
      <c r="E48" s="46"/>
      <c r="F48" s="44"/>
      <c r="G48" s="44"/>
      <c r="H48" s="44"/>
      <c r="I48" s="45">
        <v>85868317.370000005</v>
      </c>
    </row>
    <row r="49" spans="2:9" hidden="1">
      <c r="B49" s="32"/>
      <c r="C49" s="31" t="s">
        <v>158</v>
      </c>
      <c r="D49" s="45">
        <v>0</v>
      </c>
      <c r="E49" s="46"/>
      <c r="F49" s="44"/>
      <c r="G49" s="44"/>
      <c r="H49" s="44"/>
      <c r="I49" s="45">
        <v>0</v>
      </c>
    </row>
    <row r="50" spans="2:9" hidden="1">
      <c r="B50" s="32"/>
      <c r="C50" s="31" t="s">
        <v>159</v>
      </c>
      <c r="D50" s="45">
        <v>0</v>
      </c>
      <c r="E50" s="46"/>
      <c r="F50" s="44"/>
      <c r="G50" s="44"/>
      <c r="H50" s="44"/>
      <c r="I50" s="45">
        <v>0</v>
      </c>
    </row>
    <row r="51" spans="2:9" hidden="1">
      <c r="B51" s="32"/>
      <c r="C51" s="31" t="s">
        <v>78</v>
      </c>
      <c r="D51" s="45">
        <v>0</v>
      </c>
      <c r="E51" s="46"/>
      <c r="F51" s="44"/>
      <c r="G51" s="44"/>
      <c r="H51" s="44"/>
      <c r="I51" s="45">
        <v>0</v>
      </c>
    </row>
    <row r="52" spans="2:9" hidden="1">
      <c r="B52" s="32"/>
      <c r="C52" s="31" t="s">
        <v>175</v>
      </c>
      <c r="D52" s="45">
        <v>0</v>
      </c>
      <c r="E52" s="46"/>
      <c r="F52" s="44"/>
      <c r="G52" s="44"/>
      <c r="H52" s="44"/>
      <c r="I52" s="45">
        <v>0</v>
      </c>
    </row>
    <row r="53" spans="2:9" hidden="1">
      <c r="B53" s="32"/>
      <c r="C53" s="31" t="s">
        <v>176</v>
      </c>
      <c r="D53" s="45">
        <v>0</v>
      </c>
      <c r="E53" s="46"/>
      <c r="F53" s="44"/>
      <c r="G53" s="44"/>
      <c r="H53" s="44"/>
      <c r="I53" s="45">
        <v>0</v>
      </c>
    </row>
    <row r="54" spans="2:9">
      <c r="B54" s="32"/>
      <c r="C54" s="31" t="s">
        <v>79</v>
      </c>
      <c r="D54" s="45">
        <v>10683774</v>
      </c>
      <c r="E54" s="46"/>
      <c r="F54" s="44"/>
      <c r="G54" s="44"/>
      <c r="H54" s="44"/>
      <c r="I54" s="45">
        <v>10683774</v>
      </c>
    </row>
    <row r="55" spans="2:9" hidden="1">
      <c r="B55" s="32"/>
      <c r="C55" s="31" t="s">
        <v>80</v>
      </c>
      <c r="D55" s="45">
        <v>0</v>
      </c>
      <c r="E55" s="46"/>
      <c r="F55" s="44"/>
      <c r="G55" s="44"/>
      <c r="H55" s="44"/>
      <c r="I55" s="45">
        <v>0</v>
      </c>
    </row>
    <row r="56" spans="2:9" hidden="1">
      <c r="B56" s="32"/>
      <c r="C56" s="31" t="s">
        <v>81</v>
      </c>
      <c r="D56" s="45">
        <v>0</v>
      </c>
      <c r="E56" s="46"/>
      <c r="F56" s="44"/>
      <c r="G56" s="44"/>
      <c r="H56" s="44"/>
      <c r="I56" s="45">
        <v>0</v>
      </c>
    </row>
    <row r="57" spans="2:9" hidden="1">
      <c r="B57" s="32"/>
      <c r="C57" s="31" t="s">
        <v>82</v>
      </c>
      <c r="D57" s="45">
        <v>0</v>
      </c>
      <c r="E57" s="46"/>
      <c r="F57" s="44"/>
      <c r="G57" s="44"/>
      <c r="H57" s="44"/>
      <c r="I57" s="45">
        <v>0</v>
      </c>
    </row>
    <row r="58" spans="2:9" hidden="1">
      <c r="B58" s="32"/>
      <c r="C58" s="31" t="s">
        <v>83</v>
      </c>
      <c r="D58" s="45">
        <v>0</v>
      </c>
      <c r="E58" s="46"/>
      <c r="F58" s="44"/>
      <c r="G58" s="44"/>
      <c r="H58" s="44"/>
      <c r="I58" s="45">
        <v>0</v>
      </c>
    </row>
    <row r="59" spans="2:9" hidden="1">
      <c r="B59" s="32"/>
      <c r="C59" s="31" t="s">
        <v>177</v>
      </c>
      <c r="D59" s="45">
        <v>0</v>
      </c>
      <c r="E59" s="46"/>
      <c r="F59" s="44"/>
      <c r="G59" s="44"/>
      <c r="H59" s="44"/>
      <c r="I59" s="45">
        <v>0</v>
      </c>
    </row>
    <row r="60" spans="2:9" hidden="1">
      <c r="B60" s="32"/>
      <c r="C60" s="31" t="s">
        <v>178</v>
      </c>
      <c r="D60" s="45">
        <v>0</v>
      </c>
      <c r="E60" s="46"/>
      <c r="F60" s="44"/>
      <c r="G60" s="44"/>
      <c r="H60" s="44"/>
      <c r="I60" s="45">
        <v>0</v>
      </c>
    </row>
    <row r="61" spans="2:9" hidden="1">
      <c r="B61" s="32"/>
      <c r="C61" s="31" t="s">
        <v>160</v>
      </c>
      <c r="D61" s="45">
        <v>0</v>
      </c>
      <c r="E61" s="46"/>
      <c r="F61" s="44"/>
      <c r="G61" s="44"/>
      <c r="H61" s="44"/>
      <c r="I61" s="45">
        <v>0</v>
      </c>
    </row>
    <row r="62" spans="2:9" hidden="1">
      <c r="B62" s="32"/>
      <c r="C62" s="31" t="s">
        <v>179</v>
      </c>
      <c r="D62" s="45">
        <v>0</v>
      </c>
      <c r="E62" s="46"/>
      <c r="F62" s="44"/>
      <c r="G62" s="44"/>
      <c r="H62" s="44"/>
      <c r="I62" s="45">
        <v>0</v>
      </c>
    </row>
    <row r="63" spans="2:9">
      <c r="B63" s="32"/>
      <c r="C63" s="31" t="s">
        <v>161</v>
      </c>
      <c r="D63" s="45">
        <v>9337270.1999999993</v>
      </c>
      <c r="E63" s="46"/>
      <c r="F63" s="44"/>
      <c r="G63" s="44"/>
      <c r="H63" s="44"/>
      <c r="I63" s="45">
        <v>9337270.1999999993</v>
      </c>
    </row>
    <row r="64" spans="2:9" hidden="1">
      <c r="B64" s="32"/>
      <c r="C64" s="31" t="s">
        <v>162</v>
      </c>
      <c r="D64" s="45">
        <v>0</v>
      </c>
      <c r="E64" s="46"/>
      <c r="F64" s="44"/>
      <c r="G64" s="44"/>
      <c r="H64" s="44"/>
      <c r="I64" s="45">
        <v>0</v>
      </c>
    </row>
    <row r="65" spans="1:9" hidden="1">
      <c r="B65" s="32"/>
      <c r="C65" s="31" t="s">
        <v>84</v>
      </c>
      <c r="D65" s="45">
        <v>0</v>
      </c>
      <c r="E65" s="46"/>
      <c r="F65" s="44"/>
      <c r="G65" s="44"/>
      <c r="H65" s="44"/>
      <c r="I65" s="45">
        <v>0</v>
      </c>
    </row>
    <row r="66" spans="1:9" hidden="1">
      <c r="B66" s="32"/>
      <c r="C66" s="31" t="s">
        <v>85</v>
      </c>
      <c r="D66" s="45">
        <v>0</v>
      </c>
      <c r="E66" s="46"/>
      <c r="F66" s="44"/>
      <c r="G66" s="44"/>
      <c r="H66" s="44"/>
      <c r="I66" s="45">
        <v>0</v>
      </c>
    </row>
    <row r="67" spans="1:9">
      <c r="B67" s="32"/>
      <c r="C67" s="31" t="s">
        <v>163</v>
      </c>
      <c r="D67" s="45">
        <v>291600.02</v>
      </c>
      <c r="E67" s="46"/>
      <c r="F67" s="44"/>
      <c r="G67" s="44"/>
      <c r="H67" s="44"/>
      <c r="I67" s="45">
        <v>291600.02</v>
      </c>
    </row>
    <row r="68" spans="1:9" hidden="1">
      <c r="B68" s="32"/>
      <c r="C68" s="31" t="s">
        <v>164</v>
      </c>
      <c r="D68" s="45">
        <v>0</v>
      </c>
      <c r="E68" s="46"/>
      <c r="F68" s="44"/>
      <c r="G68" s="44"/>
      <c r="H68" s="44"/>
      <c r="I68" s="45">
        <v>0</v>
      </c>
    </row>
    <row r="69" spans="1:9" hidden="1">
      <c r="B69" s="32"/>
      <c r="C69" s="31" t="s">
        <v>86</v>
      </c>
      <c r="D69" s="45">
        <v>0</v>
      </c>
      <c r="E69" s="46"/>
      <c r="F69" s="44"/>
      <c r="G69" s="44"/>
      <c r="H69" s="44"/>
      <c r="I69" s="45">
        <v>0</v>
      </c>
    </row>
    <row r="70" spans="1:9" hidden="1">
      <c r="B70" s="32"/>
      <c r="C70" s="31" t="s">
        <v>180</v>
      </c>
      <c r="D70" s="45">
        <v>0</v>
      </c>
      <c r="E70" s="46"/>
      <c r="F70" s="44"/>
      <c r="G70" s="44"/>
      <c r="H70" s="44"/>
      <c r="I70" s="45">
        <v>0</v>
      </c>
    </row>
    <row r="71" spans="1:9" hidden="1">
      <c r="B71" s="32"/>
      <c r="C71" s="31" t="s">
        <v>87</v>
      </c>
      <c r="D71" s="45">
        <v>0</v>
      </c>
      <c r="E71" s="46"/>
      <c r="F71" s="44"/>
      <c r="G71" s="44"/>
      <c r="H71" s="44"/>
      <c r="I71" s="45">
        <v>0</v>
      </c>
    </row>
    <row r="72" spans="1:9" hidden="1">
      <c r="B72" s="32"/>
      <c r="C72" s="35" t="s">
        <v>181</v>
      </c>
      <c r="D72" s="45">
        <v>0</v>
      </c>
      <c r="E72" s="46"/>
      <c r="F72" s="44"/>
      <c r="G72" s="44"/>
      <c r="H72" s="44"/>
      <c r="I72" s="45">
        <v>0</v>
      </c>
    </row>
    <row r="73" spans="1:9">
      <c r="B73" s="32"/>
      <c r="C73" s="35" t="s">
        <v>88</v>
      </c>
      <c r="D73" s="45">
        <v>-1643604.4</v>
      </c>
      <c r="E73" s="46"/>
      <c r="F73" s="44"/>
      <c r="G73" s="44"/>
      <c r="H73" s="44"/>
      <c r="I73" s="45">
        <v>-1643604.4</v>
      </c>
    </row>
    <row r="74" spans="1:9">
      <c r="B74" s="32"/>
      <c r="D74" s="46"/>
      <c r="E74" s="46"/>
      <c r="F74" s="44"/>
      <c r="G74" s="44"/>
      <c r="H74" s="44"/>
      <c r="I74" s="44"/>
    </row>
    <row r="75" spans="1:9">
      <c r="B75" s="32"/>
      <c r="C75" s="32" t="s">
        <v>134</v>
      </c>
      <c r="D75" s="45">
        <v>172170898.05000001</v>
      </c>
      <c r="E75" s="46"/>
      <c r="F75" s="44"/>
      <c r="G75" s="44"/>
      <c r="H75" s="44"/>
      <c r="I75" s="45">
        <v>172170898.05000001</v>
      </c>
    </row>
    <row r="76" spans="1:9">
      <c r="B76" s="50" t="s">
        <v>66</v>
      </c>
      <c r="C76" s="48"/>
      <c r="D76" s="39" t="s">
        <v>57</v>
      </c>
      <c r="E76" s="48" t="s">
        <v>58</v>
      </c>
      <c r="F76" s="39" t="s">
        <v>57</v>
      </c>
      <c r="G76" s="39" t="s">
        <v>57</v>
      </c>
      <c r="H76" s="39" t="s">
        <v>57</v>
      </c>
      <c r="I76" s="39" t="s">
        <v>57</v>
      </c>
    </row>
    <row r="77" spans="1:9">
      <c r="B77" s="31" t="s">
        <v>89</v>
      </c>
      <c r="C77" s="32"/>
      <c r="D77" s="45">
        <v>286673713.56</v>
      </c>
      <c r="E77" s="46"/>
      <c r="F77" s="45">
        <v>0</v>
      </c>
      <c r="G77" s="45">
        <v>0</v>
      </c>
      <c r="H77" s="45">
        <v>0</v>
      </c>
      <c r="I77" s="45">
        <v>286673713.56</v>
      </c>
    </row>
    <row r="78" spans="1:9">
      <c r="B78" s="31" t="s">
        <v>90</v>
      </c>
      <c r="C78" s="32"/>
      <c r="D78" s="45">
        <v>0</v>
      </c>
      <c r="E78" s="46"/>
      <c r="F78" s="45"/>
      <c r="G78" s="45"/>
      <c r="H78" s="45">
        <v>0</v>
      </c>
      <c r="I78" s="44"/>
    </row>
    <row r="79" spans="1:9">
      <c r="D79" s="39" t="s">
        <v>57</v>
      </c>
      <c r="E79" s="48" t="s">
        <v>58</v>
      </c>
      <c r="F79" s="39" t="s">
        <v>57</v>
      </c>
      <c r="G79" s="39" t="s">
        <v>57</v>
      </c>
      <c r="H79" s="39" t="s">
        <v>57</v>
      </c>
      <c r="I79" s="39" t="s">
        <v>57</v>
      </c>
    </row>
    <row r="80" spans="1:9">
      <c r="A80" s="31" t="s">
        <v>91</v>
      </c>
      <c r="D80" s="45">
        <v>366980829.61000001</v>
      </c>
      <c r="E80" s="46"/>
      <c r="F80" s="45">
        <v>58539351.793064415</v>
      </c>
      <c r="G80" s="45">
        <v>21767764.256935574</v>
      </c>
      <c r="H80" s="45">
        <v>0</v>
      </c>
      <c r="I80" s="45">
        <v>286673713.56</v>
      </c>
    </row>
    <row r="81" spans="1:9">
      <c r="D81" s="46"/>
      <c r="E81" s="46"/>
      <c r="F81" s="46"/>
      <c r="G81" s="46"/>
      <c r="H81" s="46"/>
      <c r="I81" s="46"/>
    </row>
    <row r="82" spans="1:9">
      <c r="D82" s="46"/>
      <c r="E82" s="46"/>
      <c r="F82" s="46"/>
      <c r="G82" s="46"/>
      <c r="H82" s="46"/>
      <c r="I82" s="46"/>
    </row>
    <row r="83" spans="1:9">
      <c r="A83" s="31" t="s">
        <v>92</v>
      </c>
      <c r="F83" s="44"/>
      <c r="G83" s="44"/>
      <c r="H83" s="44"/>
      <c r="I83" s="44"/>
    </row>
    <row r="84" spans="1:9">
      <c r="F84" s="44"/>
      <c r="G84" s="44"/>
      <c r="H84" s="44"/>
      <c r="I84" s="44"/>
    </row>
    <row r="85" spans="1:9" s="32" customFormat="1">
      <c r="A85" s="31"/>
      <c r="B85" s="31" t="s">
        <v>93</v>
      </c>
      <c r="D85" s="45">
        <v>28745296.420000006</v>
      </c>
      <c r="E85" s="46"/>
      <c r="F85" s="45">
        <v>28745296.420000006</v>
      </c>
      <c r="G85" s="44"/>
      <c r="H85" s="44"/>
      <c r="I85" s="44"/>
    </row>
    <row r="86" spans="1:9" hidden="1">
      <c r="A86" s="32"/>
      <c r="B86" s="32"/>
      <c r="C86" s="32"/>
      <c r="D86" s="32"/>
      <c r="E86" s="32"/>
      <c r="F86" s="32"/>
      <c r="G86" s="32"/>
      <c r="H86" s="32"/>
      <c r="I86" s="32"/>
    </row>
    <row r="87" spans="1:9" hidden="1">
      <c r="B87" s="31" t="s">
        <v>94</v>
      </c>
      <c r="C87" s="32"/>
      <c r="D87" s="45">
        <v>0</v>
      </c>
      <c r="E87" s="46"/>
      <c r="F87" s="45">
        <v>0</v>
      </c>
      <c r="G87" s="44"/>
      <c r="H87" s="44"/>
      <c r="I87" s="44"/>
    </row>
    <row r="88" spans="1:9" hidden="1">
      <c r="C88" s="32"/>
      <c r="D88" s="46"/>
      <c r="E88" s="46"/>
      <c r="F88" s="44"/>
      <c r="G88" s="44"/>
      <c r="H88" s="44"/>
      <c r="I88" s="44"/>
    </row>
    <row r="89" spans="1:9">
      <c r="B89" s="31" t="s">
        <v>54</v>
      </c>
      <c r="C89" s="32"/>
      <c r="D89" s="45">
        <v>63719389.649999991</v>
      </c>
      <c r="E89" s="46"/>
      <c r="F89" s="51"/>
      <c r="G89" s="44"/>
      <c r="H89" s="44">
        <v>0</v>
      </c>
      <c r="I89" s="45">
        <v>63719389.649999991</v>
      </c>
    </row>
    <row r="90" spans="1:9" hidden="1">
      <c r="F90" s="44"/>
      <c r="G90" s="44"/>
      <c r="H90" s="44"/>
      <c r="I90" s="44"/>
    </row>
    <row r="91" spans="1:9" s="32" customFormat="1" hidden="1">
      <c r="A91" s="31"/>
      <c r="B91" s="32" t="s">
        <v>95</v>
      </c>
      <c r="C91" s="31"/>
      <c r="D91" s="45"/>
      <c r="E91" s="46"/>
      <c r="F91" s="44"/>
      <c r="H91" s="45"/>
      <c r="I91" s="44"/>
    </row>
    <row r="92" spans="1:9" hidden="1">
      <c r="A92" s="32"/>
      <c r="B92" s="32"/>
      <c r="C92" s="32"/>
      <c r="D92" s="32"/>
      <c r="E92" s="32"/>
      <c r="F92" s="32"/>
      <c r="G92" s="32"/>
      <c r="H92" s="32"/>
      <c r="I92" s="32"/>
    </row>
    <row r="93" spans="1:9">
      <c r="D93" s="39" t="s">
        <v>57</v>
      </c>
      <c r="E93" s="48" t="s">
        <v>58</v>
      </c>
      <c r="F93" s="39" t="s">
        <v>57</v>
      </c>
      <c r="G93" s="39" t="s">
        <v>57</v>
      </c>
      <c r="H93" s="39" t="s">
        <v>57</v>
      </c>
      <c r="I93" s="39" t="s">
        <v>57</v>
      </c>
    </row>
    <row r="94" spans="1:9" s="32" customFormat="1">
      <c r="A94" s="31" t="s">
        <v>96</v>
      </c>
      <c r="B94" s="31"/>
      <c r="C94" s="31"/>
      <c r="D94" s="45">
        <v>92464686.069999993</v>
      </c>
      <c r="E94" s="46"/>
      <c r="F94" s="45">
        <v>28745296.420000006</v>
      </c>
      <c r="G94" s="45">
        <v>0</v>
      </c>
      <c r="H94" s="45">
        <v>0</v>
      </c>
      <c r="I94" s="45">
        <v>63719389.649999991</v>
      </c>
    </row>
    <row r="95" spans="1:9" s="32" customFormat="1">
      <c r="A95" s="31"/>
      <c r="B95" s="31"/>
      <c r="C95" s="31"/>
      <c r="D95" s="31"/>
      <c r="E95" s="31"/>
      <c r="G95" s="31"/>
      <c r="H95" s="31"/>
      <c r="I95" s="31"/>
    </row>
    <row r="96" spans="1:9" s="32" customFormat="1">
      <c r="A96" s="31" t="s">
        <v>97</v>
      </c>
      <c r="B96" s="31"/>
      <c r="C96" s="31"/>
      <c r="D96" s="31"/>
      <c r="E96" s="31"/>
      <c r="G96" s="31"/>
      <c r="H96" s="31"/>
      <c r="I96" s="31"/>
    </row>
    <row r="97" spans="1:9" s="32" customFormat="1" hidden="1">
      <c r="A97" s="31"/>
      <c r="B97" s="46" t="s">
        <v>136</v>
      </c>
      <c r="C97" s="31"/>
      <c r="D97" s="45">
        <v>0</v>
      </c>
      <c r="E97" s="46"/>
      <c r="G97" s="31"/>
      <c r="H97" s="45">
        <v>0</v>
      </c>
      <c r="I97" s="52"/>
    </row>
    <row r="98" spans="1:9" s="32" customFormat="1" hidden="1">
      <c r="A98" s="31"/>
      <c r="B98" s="46" t="s">
        <v>137</v>
      </c>
      <c r="C98" s="31"/>
      <c r="D98" s="45">
        <v>0</v>
      </c>
      <c r="E98" s="46"/>
      <c r="G98" s="31"/>
      <c r="H98" s="45">
        <v>0</v>
      </c>
      <c r="I98" s="52"/>
    </row>
    <row r="99" spans="1:9" s="32" customFormat="1">
      <c r="A99" s="31"/>
      <c r="B99" s="46" t="s">
        <v>138</v>
      </c>
      <c r="C99" s="31"/>
      <c r="D99" s="45">
        <v>2931453.76</v>
      </c>
      <c r="E99" s="46"/>
      <c r="G99" s="31"/>
      <c r="H99" s="45">
        <v>2931453.76</v>
      </c>
      <c r="I99" s="52"/>
    </row>
    <row r="100" spans="1:9" s="32" customFormat="1" hidden="1">
      <c r="A100" s="31"/>
      <c r="B100" s="46" t="s">
        <v>139</v>
      </c>
      <c r="C100" s="31"/>
      <c r="D100" s="45">
        <v>0</v>
      </c>
      <c r="E100" s="46"/>
      <c r="G100" s="31"/>
      <c r="H100" s="45">
        <v>0</v>
      </c>
      <c r="I100" s="52"/>
    </row>
    <row r="101" spans="1:9" s="32" customFormat="1">
      <c r="A101" s="31"/>
      <c r="B101" s="46" t="s">
        <v>98</v>
      </c>
      <c r="C101" s="31"/>
      <c r="D101" s="45">
        <v>132538670.38</v>
      </c>
      <c r="E101" s="46"/>
      <c r="G101" s="31"/>
      <c r="H101" s="45">
        <v>132538670.38</v>
      </c>
      <c r="I101" s="52"/>
    </row>
    <row r="102" spans="1:9" s="32" customFormat="1" hidden="1">
      <c r="A102" s="31"/>
      <c r="B102" s="46" t="s">
        <v>99</v>
      </c>
      <c r="C102" s="31"/>
      <c r="D102" s="45">
        <v>0</v>
      </c>
      <c r="E102" s="46"/>
      <c r="G102" s="31"/>
      <c r="H102" s="45">
        <v>0</v>
      </c>
      <c r="I102" s="52"/>
    </row>
    <row r="103" spans="1:9" s="32" customFormat="1" hidden="1">
      <c r="A103" s="31"/>
      <c r="B103" s="46" t="s">
        <v>140</v>
      </c>
      <c r="C103" s="31"/>
      <c r="D103" s="45">
        <v>0</v>
      </c>
      <c r="E103" s="46"/>
      <c r="G103" s="31"/>
      <c r="H103" s="45">
        <v>0</v>
      </c>
      <c r="I103" s="52"/>
    </row>
    <row r="104" spans="1:9" s="32" customFormat="1" hidden="1">
      <c r="A104" s="31"/>
      <c r="B104" s="46" t="s">
        <v>141</v>
      </c>
      <c r="C104" s="31"/>
      <c r="D104" s="45">
        <v>0</v>
      </c>
      <c r="E104" s="46"/>
      <c r="G104" s="31"/>
      <c r="H104" s="45">
        <v>0</v>
      </c>
      <c r="I104" s="52"/>
    </row>
    <row r="105" spans="1:9" s="32" customFormat="1" hidden="1">
      <c r="A105" s="31"/>
      <c r="B105" s="46" t="s">
        <v>142</v>
      </c>
      <c r="C105" s="31"/>
      <c r="D105" s="45">
        <v>0</v>
      </c>
      <c r="E105" s="46"/>
      <c r="G105" s="31"/>
      <c r="H105" s="45">
        <v>0</v>
      </c>
      <c r="I105" s="52"/>
    </row>
    <row r="106" spans="1:9" s="32" customFormat="1" hidden="1">
      <c r="A106" s="31"/>
      <c r="B106" s="46" t="s">
        <v>143</v>
      </c>
      <c r="C106" s="31"/>
      <c r="D106" s="45">
        <v>0</v>
      </c>
      <c r="E106" s="46"/>
      <c r="F106" s="48"/>
      <c r="G106" s="31"/>
      <c r="H106" s="45">
        <v>0</v>
      </c>
      <c r="I106" s="52"/>
    </row>
    <row r="107" spans="1:9" s="32" customFormat="1">
      <c r="A107" s="31"/>
      <c r="B107" s="46" t="s">
        <v>144</v>
      </c>
      <c r="C107" s="31"/>
      <c r="D107" s="45">
        <v>49596934.210000001</v>
      </c>
      <c r="E107" s="46"/>
      <c r="F107" s="48"/>
      <c r="G107" s="31"/>
      <c r="H107" s="45">
        <v>49596934.210000001</v>
      </c>
      <c r="I107" s="52"/>
    </row>
    <row r="108" spans="1:9" s="32" customFormat="1" hidden="1">
      <c r="A108" s="31"/>
      <c r="B108" s="46" t="s">
        <v>145</v>
      </c>
      <c r="C108" s="31"/>
      <c r="D108" s="45">
        <v>0</v>
      </c>
      <c r="E108" s="46"/>
      <c r="F108" s="48"/>
      <c r="G108" s="31"/>
      <c r="H108" s="45">
        <v>0</v>
      </c>
      <c r="I108" s="52"/>
    </row>
    <row r="109" spans="1:9" s="32" customFormat="1" hidden="1">
      <c r="A109" s="31"/>
      <c r="B109" s="46" t="s">
        <v>146</v>
      </c>
      <c r="C109" s="31"/>
      <c r="D109" s="45">
        <v>0</v>
      </c>
      <c r="E109" s="46"/>
      <c r="F109" s="48"/>
      <c r="G109" s="31"/>
      <c r="H109" s="45">
        <v>0</v>
      </c>
      <c r="I109" s="52"/>
    </row>
    <row r="110" spans="1:9" s="32" customFormat="1">
      <c r="A110" s="31"/>
      <c r="B110" s="46" t="s">
        <v>147</v>
      </c>
      <c r="C110" s="31"/>
      <c r="D110" s="45">
        <v>158049220.18000001</v>
      </c>
      <c r="E110" s="46"/>
      <c r="F110" s="48"/>
      <c r="G110" s="31"/>
      <c r="H110" s="45">
        <v>158049220.18000001</v>
      </c>
      <c r="I110" s="52"/>
    </row>
    <row r="111" spans="1:9" s="32" customFormat="1" hidden="1">
      <c r="A111" s="31"/>
      <c r="B111" s="46" t="s">
        <v>148</v>
      </c>
      <c r="C111" s="31"/>
      <c r="D111" s="45">
        <v>0</v>
      </c>
      <c r="E111" s="46"/>
      <c r="F111" s="48"/>
      <c r="G111" s="31"/>
      <c r="H111" s="45">
        <v>0</v>
      </c>
      <c r="I111" s="52"/>
    </row>
    <row r="112" spans="1:9" s="32" customFormat="1" hidden="1">
      <c r="A112" s="31"/>
      <c r="B112" s="46" t="s">
        <v>149</v>
      </c>
      <c r="C112" s="31"/>
      <c r="D112" s="45">
        <v>0</v>
      </c>
      <c r="E112" s="46"/>
      <c r="F112" s="48"/>
      <c r="G112" s="31"/>
      <c r="H112" s="45">
        <v>0</v>
      </c>
      <c r="I112" s="52"/>
    </row>
    <row r="113" spans="1:9" s="32" customFormat="1" hidden="1">
      <c r="A113" s="31"/>
      <c r="B113" s="46" t="s">
        <v>150</v>
      </c>
      <c r="C113" s="31"/>
      <c r="D113" s="45">
        <v>0</v>
      </c>
      <c r="E113" s="46"/>
      <c r="F113" s="48"/>
      <c r="G113" s="31"/>
      <c r="H113" s="45">
        <v>0</v>
      </c>
      <c r="I113" s="52"/>
    </row>
    <row r="114" spans="1:9" s="32" customFormat="1" hidden="1">
      <c r="A114" s="31"/>
      <c r="B114" s="46" t="s">
        <v>151</v>
      </c>
      <c r="C114" s="31"/>
      <c r="D114" s="45">
        <v>0</v>
      </c>
      <c r="E114" s="46"/>
      <c r="F114" s="48"/>
      <c r="G114" s="31"/>
      <c r="H114" s="45">
        <v>0</v>
      </c>
      <c r="I114" s="52"/>
    </row>
    <row r="115" spans="1:9" s="32" customFormat="1" hidden="1">
      <c r="A115" s="31"/>
      <c r="B115" s="46" t="s">
        <v>152</v>
      </c>
      <c r="C115" s="31"/>
      <c r="D115" s="45">
        <v>0</v>
      </c>
      <c r="E115" s="46"/>
      <c r="F115" s="48"/>
      <c r="G115" s="31"/>
      <c r="H115" s="45">
        <v>0</v>
      </c>
      <c r="I115" s="52"/>
    </row>
    <row r="116" spans="1:9" s="32" customFormat="1">
      <c r="A116" s="31"/>
      <c r="B116" s="31"/>
      <c r="C116" s="31"/>
      <c r="D116" s="39" t="s">
        <v>57</v>
      </c>
      <c r="E116" s="48" t="s">
        <v>58</v>
      </c>
      <c r="F116" s="39" t="s">
        <v>57</v>
      </c>
      <c r="G116" s="39" t="s">
        <v>57</v>
      </c>
      <c r="H116" s="39" t="s">
        <v>57</v>
      </c>
      <c r="I116" s="39" t="s">
        <v>57</v>
      </c>
    </row>
    <row r="117" spans="1:9" s="32" customFormat="1">
      <c r="A117" s="31" t="s">
        <v>100</v>
      </c>
      <c r="B117" s="31"/>
      <c r="C117" s="31"/>
      <c r="D117" s="45">
        <v>343116278.52999997</v>
      </c>
      <c r="E117" s="46"/>
      <c r="F117" s="45">
        <v>0</v>
      </c>
      <c r="G117" s="45">
        <v>0</v>
      </c>
      <c r="H117" s="45">
        <v>343116278.52999997</v>
      </c>
      <c r="I117" s="45">
        <v>0</v>
      </c>
    </row>
    <row r="118" spans="1:9" s="32" customFormat="1">
      <c r="A118" s="31"/>
      <c r="B118" s="31"/>
      <c r="C118" s="31"/>
      <c r="D118" s="53"/>
      <c r="E118" s="46"/>
      <c r="F118" s="46"/>
      <c r="G118" s="46"/>
      <c r="H118" s="46"/>
      <c r="I118" s="46"/>
    </row>
    <row r="119" spans="1:9" s="32" customFormat="1">
      <c r="A119" s="31" t="s">
        <v>101</v>
      </c>
      <c r="B119" s="31"/>
      <c r="C119" s="31"/>
      <c r="D119" s="53"/>
      <c r="E119" s="46"/>
      <c r="F119" s="46"/>
      <c r="G119" s="46"/>
      <c r="H119" s="46"/>
      <c r="I119" s="46"/>
    </row>
    <row r="120" spans="1:9" s="32" customFormat="1" hidden="1">
      <c r="A120" s="31"/>
      <c r="B120" s="46" t="s">
        <v>153</v>
      </c>
      <c r="C120" s="31"/>
      <c r="D120" s="45">
        <v>0</v>
      </c>
      <c r="E120" s="46"/>
      <c r="F120" s="48"/>
      <c r="G120" s="31"/>
      <c r="H120" s="45">
        <v>0</v>
      </c>
      <c r="I120" s="52"/>
    </row>
    <row r="121" spans="1:9">
      <c r="B121" s="46" t="s">
        <v>135</v>
      </c>
      <c r="D121" s="45">
        <v>5813376.9500000002</v>
      </c>
      <c r="E121" s="46"/>
      <c r="F121" s="48"/>
      <c r="H121" s="45">
        <v>5813376.9500000002</v>
      </c>
      <c r="I121" s="52"/>
    </row>
    <row r="122" spans="1:9">
      <c r="D122" s="39" t="s">
        <v>57</v>
      </c>
      <c r="E122" s="48" t="s">
        <v>58</v>
      </c>
      <c r="F122" s="39" t="s">
        <v>57</v>
      </c>
      <c r="G122" s="39" t="s">
        <v>57</v>
      </c>
      <c r="H122" s="39" t="s">
        <v>57</v>
      </c>
      <c r="I122" s="39" t="s">
        <v>57</v>
      </c>
    </row>
    <row r="123" spans="1:9">
      <c r="A123" s="31" t="s">
        <v>102</v>
      </c>
      <c r="D123" s="45">
        <v>5813376.9500000002</v>
      </c>
      <c r="E123" s="46"/>
      <c r="F123" s="45">
        <v>0</v>
      </c>
      <c r="G123" s="45">
        <v>0</v>
      </c>
      <c r="H123" s="45">
        <v>5813376.9500000002</v>
      </c>
      <c r="I123" s="45">
        <v>0</v>
      </c>
    </row>
    <row r="124" spans="1:9">
      <c r="D124" s="54" t="s">
        <v>103</v>
      </c>
      <c r="E124" s="48" t="s">
        <v>58</v>
      </c>
      <c r="F124" s="54" t="s">
        <v>103</v>
      </c>
      <c r="G124" s="54" t="s">
        <v>103</v>
      </c>
      <c r="H124" s="54" t="s">
        <v>103</v>
      </c>
      <c r="I124" s="54" t="s">
        <v>103</v>
      </c>
    </row>
    <row r="125" spans="1:9">
      <c r="A125" s="31" t="s">
        <v>104</v>
      </c>
      <c r="D125" s="45">
        <v>451950126.74000007</v>
      </c>
      <c r="E125" s="46" t="s">
        <v>58</v>
      </c>
      <c r="F125" s="45">
        <v>77910892.02306442</v>
      </c>
      <c r="G125" s="45">
        <v>21767764.256935574</v>
      </c>
      <c r="H125" s="45">
        <v>348929655.47999996</v>
      </c>
      <c r="I125" s="45">
        <v>3341814.9799999595</v>
      </c>
    </row>
    <row r="126" spans="1:9">
      <c r="D126" s="54" t="s">
        <v>103</v>
      </c>
      <c r="E126" s="48" t="s">
        <v>58</v>
      </c>
      <c r="F126" s="54" t="s">
        <v>103</v>
      </c>
      <c r="G126" s="54" t="s">
        <v>103</v>
      </c>
      <c r="H126" s="54" t="s">
        <v>103</v>
      </c>
      <c r="I126" s="54" t="s">
        <v>103</v>
      </c>
    </row>
    <row r="127" spans="1:9">
      <c r="D127" s="80" t="s">
        <v>188</v>
      </c>
    </row>
    <row r="128" spans="1:9">
      <c r="A128" s="31" t="s">
        <v>190</v>
      </c>
    </row>
  </sheetData>
  <mergeCells count="1">
    <mergeCell ref="A6:C6"/>
  </mergeCells>
  <printOptions horizontalCentered="1"/>
  <pageMargins left="0.75" right="0.75" top="0.75" bottom="0.5" header="0.25" footer="0.25"/>
  <pageSetup scale="81" orientation="portrait" r:id="rId1"/>
  <headerFooter alignWithMargins="0">
    <oddHeader xml:space="preserve">&amp;RPage 5.2.2
</oddHeader>
  </headerFooter>
</worksheet>
</file>

<file path=xl/worksheets/sheet3.xml><?xml version="1.0" encoding="utf-8"?>
<worksheet xmlns="http://schemas.openxmlformats.org/spreadsheetml/2006/main" xmlns:r="http://schemas.openxmlformats.org/officeDocument/2006/relationships">
  <sheetPr codeName="Sheet3">
    <tabColor indexed="44"/>
    <pageSetUpPr fitToPage="1"/>
  </sheetPr>
  <dimension ref="A1:R44"/>
  <sheetViews>
    <sheetView zoomScale="85" zoomScaleNormal="85" workbookViewId="0">
      <selection activeCell="H49" sqref="H49"/>
    </sheetView>
  </sheetViews>
  <sheetFormatPr defaultRowHeight="12.75"/>
  <cols>
    <col min="1" max="1" width="29.28515625" style="59" customWidth="1"/>
    <col min="2" max="2" width="9" style="58" bestFit="1" customWidth="1"/>
    <col min="3" max="3" width="8.140625" style="58" bestFit="1" customWidth="1"/>
    <col min="4" max="4" width="9.42578125" style="58" bestFit="1" customWidth="1"/>
    <col min="5" max="6" width="13.85546875" style="58" customWidth="1"/>
    <col min="7" max="7" width="1.85546875" style="70" customWidth="1"/>
    <col min="8" max="9" width="13.85546875" style="58" customWidth="1"/>
    <col min="10" max="10" width="1.85546875" style="70" customWidth="1"/>
    <col min="11" max="12" width="13.85546875" style="58" customWidth="1"/>
    <col min="13" max="13" width="1.85546875" style="70" customWidth="1"/>
    <col min="14" max="15" width="13.85546875" style="58" customWidth="1"/>
    <col min="16" max="16" width="1.85546875" style="70" customWidth="1"/>
    <col min="17" max="18" width="13.85546875" style="58" customWidth="1"/>
    <col min="19" max="16384" width="9.140625" style="59"/>
  </cols>
  <sheetData>
    <row r="1" spans="1:18">
      <c r="A1" s="57" t="s">
        <v>0</v>
      </c>
    </row>
    <row r="2" spans="1:18">
      <c r="A2" s="60" t="s">
        <v>132</v>
      </c>
    </row>
    <row r="3" spans="1:18">
      <c r="A3" s="57" t="s">
        <v>21</v>
      </c>
      <c r="E3" s="65"/>
      <c r="F3" s="65"/>
      <c r="H3" s="65"/>
      <c r="I3" s="65"/>
    </row>
    <row r="4" spans="1:18">
      <c r="A4" s="57"/>
      <c r="E4" s="65"/>
      <c r="F4" s="65"/>
      <c r="H4" s="65"/>
      <c r="I4" s="65"/>
    </row>
    <row r="5" spans="1:18" s="139" customFormat="1" ht="12">
      <c r="A5" s="138"/>
      <c r="B5" s="145" t="s">
        <v>203</v>
      </c>
      <c r="C5" s="145" t="s">
        <v>204</v>
      </c>
      <c r="D5" s="145" t="s">
        <v>205</v>
      </c>
      <c r="E5" s="145" t="s">
        <v>206</v>
      </c>
      <c r="F5" s="146" t="s">
        <v>207</v>
      </c>
      <c r="G5" s="147"/>
      <c r="H5" s="146" t="s">
        <v>208</v>
      </c>
      <c r="I5" s="146" t="s">
        <v>209</v>
      </c>
      <c r="J5" s="147"/>
      <c r="K5" s="146" t="s">
        <v>210</v>
      </c>
      <c r="L5" s="146" t="s">
        <v>211</v>
      </c>
      <c r="M5" s="147"/>
      <c r="N5" s="146" t="s">
        <v>218</v>
      </c>
      <c r="O5" s="146" t="s">
        <v>219</v>
      </c>
      <c r="P5" s="147"/>
      <c r="Q5" s="146" t="s">
        <v>221</v>
      </c>
      <c r="R5" s="146" t="s">
        <v>222</v>
      </c>
    </row>
    <row r="6" spans="1:18" s="141" customFormat="1" ht="12" thickBot="1">
      <c r="A6" s="140"/>
      <c r="D6" s="142"/>
      <c r="E6" s="143"/>
      <c r="F6" s="142" t="s">
        <v>212</v>
      </c>
      <c r="G6" s="144"/>
      <c r="H6" s="143"/>
      <c r="I6" s="142" t="s">
        <v>213</v>
      </c>
      <c r="J6" s="144"/>
      <c r="K6" s="143" t="s">
        <v>214</v>
      </c>
      <c r="L6" s="142" t="s">
        <v>215</v>
      </c>
      <c r="M6" s="144"/>
      <c r="N6" s="143"/>
      <c r="O6" s="143" t="s">
        <v>220</v>
      </c>
      <c r="P6" s="144"/>
      <c r="Q6" s="142" t="s">
        <v>223</v>
      </c>
      <c r="R6" s="142" t="s">
        <v>224</v>
      </c>
    </row>
    <row r="7" spans="1:18" s="62" customFormat="1">
      <c r="A7" s="61"/>
      <c r="E7" s="112" t="s">
        <v>234</v>
      </c>
      <c r="F7" s="113"/>
      <c r="G7" s="111"/>
      <c r="H7" s="112" t="s">
        <v>227</v>
      </c>
      <c r="I7" s="113"/>
      <c r="J7" s="111"/>
      <c r="K7" s="150" t="s">
        <v>216</v>
      </c>
      <c r="L7" s="150"/>
      <c r="M7" s="111"/>
      <c r="N7" s="199" t="s">
        <v>236</v>
      </c>
      <c r="O7" s="200"/>
      <c r="P7" s="111"/>
      <c r="Q7" s="150" t="s">
        <v>228</v>
      </c>
      <c r="R7" s="150"/>
    </row>
    <row r="8" spans="1:18" s="62" customFormat="1">
      <c r="A8" s="61"/>
      <c r="E8" s="114" t="s">
        <v>233</v>
      </c>
      <c r="F8" s="149"/>
      <c r="G8" s="110"/>
      <c r="H8" s="148" t="s">
        <v>199</v>
      </c>
      <c r="I8" s="149"/>
      <c r="J8" s="110"/>
      <c r="K8" s="150" t="s">
        <v>217</v>
      </c>
      <c r="L8" s="150"/>
      <c r="M8" s="111"/>
      <c r="N8" s="148" t="s">
        <v>229</v>
      </c>
      <c r="O8" s="115"/>
      <c r="P8" s="111"/>
      <c r="Q8" s="198"/>
      <c r="R8" s="198"/>
    </row>
    <row r="9" spans="1:18" s="62" customFormat="1">
      <c r="A9" s="61"/>
      <c r="E9" s="148" t="s">
        <v>199</v>
      </c>
      <c r="F9" s="149"/>
      <c r="G9" s="111"/>
      <c r="H9" s="116"/>
      <c r="I9" s="117"/>
      <c r="J9" s="111"/>
      <c r="K9" s="111"/>
      <c r="L9" s="111"/>
      <c r="M9" s="111"/>
      <c r="N9" s="116"/>
      <c r="O9" s="117"/>
      <c r="P9" s="111"/>
      <c r="Q9" s="111"/>
      <c r="R9" s="111"/>
    </row>
    <row r="10" spans="1:18" s="62" customFormat="1">
      <c r="C10" s="62" t="s">
        <v>22</v>
      </c>
      <c r="D10" s="62" t="s">
        <v>15</v>
      </c>
      <c r="E10" s="118"/>
      <c r="F10" s="119"/>
      <c r="G10" s="111"/>
      <c r="H10" s="118"/>
      <c r="I10" s="119"/>
      <c r="J10" s="111"/>
      <c r="K10" s="110"/>
      <c r="L10" s="110"/>
      <c r="M10" s="111"/>
      <c r="N10" s="118"/>
      <c r="O10" s="119"/>
      <c r="P10" s="111"/>
      <c r="Q10" s="110"/>
      <c r="R10" s="110"/>
    </row>
    <row r="11" spans="1:18" s="62" customFormat="1">
      <c r="B11" s="62" t="s">
        <v>24</v>
      </c>
      <c r="C11" s="62" t="s">
        <v>230</v>
      </c>
      <c r="D11" s="62" t="s">
        <v>230</v>
      </c>
      <c r="E11" s="116" t="s">
        <v>200</v>
      </c>
      <c r="F11" s="117" t="s">
        <v>23</v>
      </c>
      <c r="G11" s="111"/>
      <c r="H11" s="116" t="s">
        <v>200</v>
      </c>
      <c r="I11" s="117" t="s">
        <v>23</v>
      </c>
      <c r="J11" s="111"/>
      <c r="K11" s="111" t="s">
        <v>200</v>
      </c>
      <c r="L11" s="111" t="s">
        <v>23</v>
      </c>
      <c r="M11" s="111"/>
      <c r="N11" s="116" t="s">
        <v>200</v>
      </c>
      <c r="O11" s="117" t="s">
        <v>23</v>
      </c>
      <c r="P11" s="111"/>
      <c r="Q11" s="111" t="s">
        <v>200</v>
      </c>
      <c r="R11" s="111" t="s">
        <v>23</v>
      </c>
    </row>
    <row r="12" spans="1:18" s="62" customFormat="1">
      <c r="A12" s="63" t="s">
        <v>26</v>
      </c>
      <c r="B12" s="63" t="s">
        <v>232</v>
      </c>
      <c r="C12" s="63" t="s">
        <v>27</v>
      </c>
      <c r="D12" s="63" t="s">
        <v>231</v>
      </c>
      <c r="E12" s="120" t="s">
        <v>201</v>
      </c>
      <c r="F12" s="121" t="s">
        <v>25</v>
      </c>
      <c r="G12" s="137"/>
      <c r="H12" s="120" t="s">
        <v>201</v>
      </c>
      <c r="I12" s="121" t="s">
        <v>25</v>
      </c>
      <c r="J12" s="137"/>
      <c r="K12" s="63" t="s">
        <v>201</v>
      </c>
      <c r="L12" s="63" t="s">
        <v>25</v>
      </c>
      <c r="M12" s="137"/>
      <c r="N12" s="120" t="s">
        <v>201</v>
      </c>
      <c r="O12" s="121" t="s">
        <v>25</v>
      </c>
      <c r="P12" s="137"/>
      <c r="Q12" s="63" t="s">
        <v>201</v>
      </c>
      <c r="R12" s="63" t="s">
        <v>25</v>
      </c>
    </row>
    <row r="13" spans="1:18">
      <c r="E13" s="122"/>
      <c r="F13" s="123"/>
      <c r="H13" s="122"/>
      <c r="I13" s="123"/>
      <c r="K13" s="70"/>
      <c r="L13" s="70"/>
      <c r="N13" s="122"/>
      <c r="O13" s="123"/>
      <c r="Q13" s="70"/>
      <c r="R13" s="70"/>
    </row>
    <row r="14" spans="1:18">
      <c r="A14" s="59" t="s">
        <v>9</v>
      </c>
      <c r="E14" s="122"/>
      <c r="F14" s="123"/>
      <c r="H14" s="122"/>
      <c r="I14" s="123"/>
      <c r="K14" s="70"/>
      <c r="L14" s="70"/>
      <c r="N14" s="122"/>
      <c r="O14" s="123"/>
      <c r="Q14" s="70"/>
      <c r="R14" s="70"/>
    </row>
    <row r="15" spans="1:18">
      <c r="A15" s="64" t="s">
        <v>28</v>
      </c>
      <c r="B15" s="65" t="s">
        <v>166</v>
      </c>
      <c r="C15" s="58" t="s">
        <v>10</v>
      </c>
      <c r="D15" s="66">
        <v>0.220870814871235</v>
      </c>
      <c r="E15" s="124">
        <f>'2009 Unadjusted Results'!F10</f>
        <v>9373756.1899999995</v>
      </c>
      <c r="F15" s="125">
        <f>E15*$D15</f>
        <v>2070389.1680895831</v>
      </c>
      <c r="G15" s="71"/>
      <c r="H15" s="124">
        <f>'2009 Normalized Results'!F10</f>
        <v>9373756.1899999995</v>
      </c>
      <c r="I15" s="125">
        <f>H15*$D15</f>
        <v>2070389.1680895831</v>
      </c>
      <c r="J15" s="71"/>
      <c r="K15" s="71">
        <f>H15-E15</f>
        <v>0</v>
      </c>
      <c r="L15" s="71">
        <f>K15*$D15</f>
        <v>0</v>
      </c>
      <c r="M15" s="71"/>
      <c r="N15" s="124">
        <f>'Proforma 3-2012 (Rebuttal)'!F11</f>
        <v>12964800</v>
      </c>
      <c r="O15" s="125">
        <f>N15*$D15</f>
        <v>2863545.9406425874</v>
      </c>
      <c r="P15" s="71"/>
      <c r="Q15" s="71">
        <f>+N15-H15</f>
        <v>3591043.8100000005</v>
      </c>
      <c r="R15" s="71">
        <f>O15-I15</f>
        <v>793156.77255300432</v>
      </c>
    </row>
    <row r="16" spans="1:18">
      <c r="A16" s="64" t="s">
        <v>29</v>
      </c>
      <c r="B16" s="65" t="s">
        <v>166</v>
      </c>
      <c r="C16" s="58" t="s">
        <v>10</v>
      </c>
      <c r="D16" s="66">
        <v>0.220870814871235</v>
      </c>
      <c r="E16" s="124">
        <f>'2009 Unadjusted Results'!I12</f>
        <v>347051288.23000002</v>
      </c>
      <c r="F16" s="125">
        <f t="shared" ref="F16:F17" si="0">E16*$D16</f>
        <v>76653500.833471954</v>
      </c>
      <c r="G16" s="71"/>
      <c r="H16" s="124">
        <f>'2009 Normalized Results'!I12</f>
        <v>364272414.55000001</v>
      </c>
      <c r="I16" s="125">
        <f t="shared" ref="I16:I17" si="1">H16*$D16</f>
        <v>80457145.036770821</v>
      </c>
      <c r="J16" s="71"/>
      <c r="K16" s="71">
        <f>+H16-E16</f>
        <v>17221126.319999993</v>
      </c>
      <c r="L16" s="71">
        <f t="shared" ref="L16:L17" si="2">K16*$D16</f>
        <v>3803644.2032988709</v>
      </c>
      <c r="M16" s="71"/>
      <c r="N16" s="124">
        <f>'Proforma 3-2012 (Rebuttal)'!I19</f>
        <v>151728308.34</v>
      </c>
      <c r="O16" s="125">
        <f t="shared" ref="O16:O17" si="3">N16*$D16</f>
        <v>33512355.102089804</v>
      </c>
      <c r="P16" s="71"/>
      <c r="Q16" s="71">
        <f>+N16-H16</f>
        <v>-212544106.21000001</v>
      </c>
      <c r="R16" s="71">
        <f t="shared" ref="R16:R17" si="4">O16-I16</f>
        <v>-46944789.934681013</v>
      </c>
    </row>
    <row r="17" spans="1:18">
      <c r="A17" s="64" t="s">
        <v>30</v>
      </c>
      <c r="B17" s="65" t="s">
        <v>166</v>
      </c>
      <c r="C17" s="58" t="s">
        <v>13</v>
      </c>
      <c r="D17" s="66">
        <v>0.22270549443887661</v>
      </c>
      <c r="E17" s="124">
        <v>0</v>
      </c>
      <c r="F17" s="125">
        <f t="shared" si="0"/>
        <v>0</v>
      </c>
      <c r="G17" s="71"/>
      <c r="H17" s="124">
        <f t="shared" ref="H17" si="5">E17</f>
        <v>0</v>
      </c>
      <c r="I17" s="125">
        <f t="shared" si="1"/>
        <v>0</v>
      </c>
      <c r="J17" s="71"/>
      <c r="K17" s="71"/>
      <c r="L17" s="71">
        <f t="shared" si="2"/>
        <v>0</v>
      </c>
      <c r="M17" s="71"/>
      <c r="N17" s="124">
        <v>0</v>
      </c>
      <c r="O17" s="125">
        <f t="shared" si="3"/>
        <v>0</v>
      </c>
      <c r="P17" s="71"/>
      <c r="Q17" s="71"/>
      <c r="R17" s="71">
        <f t="shared" si="4"/>
        <v>0</v>
      </c>
    </row>
    <row r="18" spans="1:18">
      <c r="A18" s="59" t="s">
        <v>31</v>
      </c>
      <c r="E18" s="126">
        <f>SUM(E15:E17)</f>
        <v>356425044.42000002</v>
      </c>
      <c r="F18" s="127">
        <f>SUM(F15:F17)</f>
        <v>78723890.001561537</v>
      </c>
      <c r="G18" s="69"/>
      <c r="H18" s="126">
        <f>SUM(H15:H17)</f>
        <v>373646170.74000001</v>
      </c>
      <c r="I18" s="127">
        <f>SUM(I15:I17)</f>
        <v>82527534.204860404</v>
      </c>
      <c r="J18" s="69"/>
      <c r="K18" s="68">
        <f>SUM(K15:K17)</f>
        <v>17221126.319999993</v>
      </c>
      <c r="L18" s="68">
        <f>SUM(L15:L17)</f>
        <v>3803644.2032988709</v>
      </c>
      <c r="M18" s="69"/>
      <c r="N18" s="126">
        <f>SUM(N15:N17)</f>
        <v>164693108.34</v>
      </c>
      <c r="O18" s="127">
        <f>SUM(O15:O17)</f>
        <v>36375901.042732388</v>
      </c>
      <c r="P18" s="69"/>
      <c r="Q18" s="68">
        <f>SUM(Q15:Q17)</f>
        <v>-208953062.40000001</v>
      </c>
      <c r="R18" s="68">
        <f>SUM(R15:R17)</f>
        <v>-46151633.162128009</v>
      </c>
    </row>
    <row r="19" spans="1:18">
      <c r="E19" s="122"/>
      <c r="F19" s="123"/>
      <c r="H19" s="122"/>
      <c r="I19" s="123"/>
      <c r="K19" s="70"/>
      <c r="L19" s="70"/>
      <c r="N19" s="122"/>
      <c r="O19" s="123"/>
      <c r="Q19" s="70"/>
      <c r="R19" s="70"/>
    </row>
    <row r="20" spans="1:18">
      <c r="A20" s="59" t="s">
        <v>11</v>
      </c>
      <c r="E20" s="122"/>
      <c r="F20" s="123"/>
      <c r="H20" s="122"/>
      <c r="I20" s="123"/>
      <c r="K20" s="70"/>
      <c r="L20" s="70"/>
      <c r="N20" s="122"/>
      <c r="O20" s="123"/>
      <c r="Q20" s="70"/>
      <c r="R20" s="70"/>
    </row>
    <row r="21" spans="1:18">
      <c r="A21" s="64" t="s">
        <v>32</v>
      </c>
      <c r="B21" s="65" t="s">
        <v>167</v>
      </c>
      <c r="C21" s="58" t="s">
        <v>10</v>
      </c>
      <c r="D21" s="66">
        <v>0.220870814871235</v>
      </c>
      <c r="E21" s="124">
        <f>SUM('2009 Unadjusted Results'!F22,'2009 Unadjusted Results'!F24:F25)</f>
        <v>57512985.844737917</v>
      </c>
      <c r="F21" s="125">
        <f t="shared" ref="F21:F25" si="6">E21*$D21</f>
        <v>12702940.049205068</v>
      </c>
      <c r="G21" s="71"/>
      <c r="H21" s="124">
        <f>'2009 Normalized Results'!F28-'2009 Normalized Results'!F23</f>
        <v>57512985.844737917</v>
      </c>
      <c r="I21" s="125">
        <f t="shared" ref="I21:I25" si="7">H21*$D21</f>
        <v>12702940.049205068</v>
      </c>
      <c r="J21" s="71"/>
      <c r="K21" s="71">
        <f>+H21-E21</f>
        <v>0</v>
      </c>
      <c r="L21" s="71">
        <f t="shared" ref="L21:L25" si="8">K21*$D21</f>
        <v>0</v>
      </c>
      <c r="M21" s="71"/>
      <c r="N21" s="124">
        <f>'Proforma 3-2012 (Rebuttal)'!F29</f>
        <v>27553572.980414275</v>
      </c>
      <c r="O21" s="125">
        <f t="shared" ref="O21:O25" si="9">N21*$D21</f>
        <v>6085780.1167981438</v>
      </c>
      <c r="P21" s="71"/>
      <c r="Q21" s="71">
        <f>+N21-H21</f>
        <v>-29959412.864323642</v>
      </c>
      <c r="R21" s="71">
        <f t="shared" ref="R21:R25" si="10">O21-I21</f>
        <v>-6617159.9324069247</v>
      </c>
    </row>
    <row r="22" spans="1:18">
      <c r="A22" s="64" t="s">
        <v>33</v>
      </c>
      <c r="B22" s="65" t="s">
        <v>167</v>
      </c>
      <c r="C22" s="58" t="s">
        <v>13</v>
      </c>
      <c r="D22" s="66">
        <v>0.22270549443887661</v>
      </c>
      <c r="E22" s="124">
        <f>SUM('2009 Unadjusted Results'!G24:G25)</f>
        <v>20290447.205262072</v>
      </c>
      <c r="F22" s="125">
        <f t="shared" si="6"/>
        <v>4518794.0772338118</v>
      </c>
      <c r="G22" s="71"/>
      <c r="H22" s="124">
        <f>'2009 Normalized Results'!G28-'2009 Normalized Results'!G23</f>
        <v>20290447.205262072</v>
      </c>
      <c r="I22" s="125">
        <f t="shared" si="7"/>
        <v>4518794.0772338118</v>
      </c>
      <c r="J22" s="71"/>
      <c r="K22" s="71">
        <f>+H22-E22</f>
        <v>0</v>
      </c>
      <c r="L22" s="71">
        <f t="shared" si="8"/>
        <v>0</v>
      </c>
      <c r="M22" s="71"/>
      <c r="N22" s="124">
        <f>'Proforma 3-2012 (Rebuttal)'!G29</f>
        <v>10227431.72958573</v>
      </c>
      <c r="O22" s="125">
        <f t="shared" si="9"/>
        <v>2277705.2401772449</v>
      </c>
      <c r="P22" s="71"/>
      <c r="Q22" s="71">
        <f>+N22-H22</f>
        <v>-10063015.475676343</v>
      </c>
      <c r="R22" s="71">
        <f t="shared" si="10"/>
        <v>-2241088.837056567</v>
      </c>
    </row>
    <row r="23" spans="1:18">
      <c r="A23" s="64" t="s">
        <v>14</v>
      </c>
      <c r="B23" s="65" t="s">
        <v>167</v>
      </c>
      <c r="C23" s="58" t="s">
        <v>15</v>
      </c>
      <c r="D23" s="67">
        <v>1</v>
      </c>
      <c r="E23" s="124">
        <f>'2009 Unadjusted Results'!D26</f>
        <v>2503683</v>
      </c>
      <c r="F23" s="125">
        <f t="shared" si="6"/>
        <v>2503683</v>
      </c>
      <c r="G23" s="71"/>
      <c r="H23" s="124">
        <f>'2009 Normalized Results'!I26</f>
        <v>2503683</v>
      </c>
      <c r="I23" s="125">
        <f t="shared" si="7"/>
        <v>2503683</v>
      </c>
      <c r="J23" s="71"/>
      <c r="K23" s="71">
        <f>+H23-E23</f>
        <v>0</v>
      </c>
      <c r="L23" s="71">
        <f t="shared" si="8"/>
        <v>0</v>
      </c>
      <c r="M23" s="71"/>
      <c r="N23" s="124">
        <f>'Proforma 3-2012 (Rebuttal)'!I29</f>
        <v>3054402.51</v>
      </c>
      <c r="O23" s="125">
        <f t="shared" si="9"/>
        <v>3054402.51</v>
      </c>
      <c r="P23" s="71"/>
      <c r="Q23" s="71">
        <f>+N23-H23</f>
        <v>550719.50999999978</v>
      </c>
      <c r="R23" s="71">
        <f t="shared" si="10"/>
        <v>550719.50999999978</v>
      </c>
    </row>
    <row r="24" spans="1:18">
      <c r="A24" s="64" t="s">
        <v>34</v>
      </c>
      <c r="B24" s="65" t="s">
        <v>167</v>
      </c>
      <c r="C24" s="58" t="s">
        <v>10</v>
      </c>
      <c r="D24" s="66">
        <v>0.220870814871235</v>
      </c>
      <c r="E24" s="124">
        <f>'2009 Unadjusted Results'!I80</f>
        <v>286673713.56</v>
      </c>
      <c r="F24" s="125">
        <f t="shared" si="6"/>
        <v>63317856.716160208</v>
      </c>
      <c r="G24" s="71"/>
      <c r="H24" s="124">
        <f>'2009 Normalized Results'!I83</f>
        <v>265085996.02000001</v>
      </c>
      <c r="I24" s="125">
        <f t="shared" si="7"/>
        <v>58549759.951890357</v>
      </c>
      <c r="J24" s="71"/>
      <c r="K24" s="71">
        <f>+H24-E24</f>
        <v>-21587717.539999992</v>
      </c>
      <c r="L24" s="71">
        <f t="shared" si="8"/>
        <v>-4768096.7642698511</v>
      </c>
      <c r="M24" s="71"/>
      <c r="N24" s="124">
        <f>'Proforma 3-2012 (Rebuttal)'!I84</f>
        <v>201497512.42000002</v>
      </c>
      <c r="O24" s="125">
        <f t="shared" si="9"/>
        <v>44504919.7627322</v>
      </c>
      <c r="P24" s="71"/>
      <c r="Q24" s="71">
        <f>+N24-H24</f>
        <v>-63588483.599999994</v>
      </c>
      <c r="R24" s="71">
        <f t="shared" si="10"/>
        <v>-14044840.189158157</v>
      </c>
    </row>
    <row r="25" spans="1:18">
      <c r="A25" s="64" t="s">
        <v>35</v>
      </c>
      <c r="B25" s="65" t="s">
        <v>167</v>
      </c>
      <c r="C25" s="58" t="s">
        <v>10</v>
      </c>
      <c r="D25" s="66">
        <v>0.220870814871235</v>
      </c>
      <c r="E25" s="124">
        <f>'2009 Unadjusted Results'!D121</f>
        <v>5813376.9500000002</v>
      </c>
      <c r="F25" s="125">
        <f t="shared" si="6"/>
        <v>1284005.3041001549</v>
      </c>
      <c r="G25" s="71"/>
      <c r="H25" s="124">
        <f>'2009 Normalized Results'!H84</f>
        <v>8225424.3499999996</v>
      </c>
      <c r="I25" s="125">
        <f t="shared" si="7"/>
        <v>1816756.1788461984</v>
      </c>
      <c r="J25" s="71"/>
      <c r="K25" s="71">
        <f>+H25-E25</f>
        <v>2412047.3999999994</v>
      </c>
      <c r="L25" s="71">
        <f t="shared" si="8"/>
        <v>532750.87474604358</v>
      </c>
      <c r="M25" s="71"/>
      <c r="N25" s="124">
        <f>'Proforma 3-2012 (Rebuttal)'!I85</f>
        <v>9815883.5399999991</v>
      </c>
      <c r="O25" s="125">
        <f t="shared" si="9"/>
        <v>2168042.1961609428</v>
      </c>
      <c r="P25" s="71"/>
      <c r="Q25" s="71">
        <f>+N25-H25</f>
        <v>1590459.1899999995</v>
      </c>
      <c r="R25" s="71">
        <f t="shared" si="10"/>
        <v>351286.01731474441</v>
      </c>
    </row>
    <row r="26" spans="1:18">
      <c r="A26" s="72" t="s">
        <v>36</v>
      </c>
      <c r="B26" s="65"/>
      <c r="E26" s="126">
        <f>SUM(E21:E25)</f>
        <v>372794206.56</v>
      </c>
      <c r="F26" s="127">
        <f>SUM(F21:F25)</f>
        <v>84327279.14669925</v>
      </c>
      <c r="G26" s="69"/>
      <c r="H26" s="126">
        <f>SUM(H21:H25)</f>
        <v>353618536.42000002</v>
      </c>
      <c r="I26" s="127">
        <f>SUM(I21:I25)</f>
        <v>80091933.257175431</v>
      </c>
      <c r="J26" s="69"/>
      <c r="K26" s="68">
        <f>SUM(K21:K25)</f>
        <v>-19175670.139999993</v>
      </c>
      <c r="L26" s="68">
        <f>SUM(L21:L25)</f>
        <v>-4235345.8895238079</v>
      </c>
      <c r="M26" s="69"/>
      <c r="N26" s="126">
        <f>SUM(N21:N25)</f>
        <v>252148803.18000001</v>
      </c>
      <c r="O26" s="127">
        <f>SUM(O21:O25)</f>
        <v>58090849.825868532</v>
      </c>
      <c r="P26" s="69"/>
      <c r="Q26" s="68">
        <f>SUM(Q21:Q25)</f>
        <v>-101469733.23999998</v>
      </c>
      <c r="R26" s="68">
        <f>SUM(R21:R25)</f>
        <v>-22001083.431306902</v>
      </c>
    </row>
    <row r="27" spans="1:18">
      <c r="E27" s="122"/>
      <c r="F27" s="123"/>
      <c r="H27" s="122"/>
      <c r="I27" s="123"/>
      <c r="K27" s="70"/>
      <c r="L27" s="70"/>
      <c r="N27" s="122"/>
      <c r="O27" s="123"/>
      <c r="Q27" s="70"/>
      <c r="R27" s="70"/>
    </row>
    <row r="28" spans="1:18">
      <c r="A28" s="59" t="s">
        <v>16</v>
      </c>
      <c r="E28" s="122"/>
      <c r="F28" s="123"/>
      <c r="H28" s="122"/>
      <c r="I28" s="123"/>
      <c r="K28" s="70"/>
      <c r="L28" s="70"/>
      <c r="N28" s="122"/>
      <c r="O28" s="123"/>
      <c r="Q28" s="70"/>
      <c r="R28" s="70"/>
    </row>
    <row r="29" spans="1:18">
      <c r="A29" s="64" t="s">
        <v>37</v>
      </c>
      <c r="B29" s="65" t="s">
        <v>168</v>
      </c>
      <c r="C29" s="58" t="s">
        <v>10</v>
      </c>
      <c r="D29" s="66">
        <v>0.220870814871235</v>
      </c>
      <c r="E29" s="124">
        <f>'2009 Unadjusted Results'!F94</f>
        <v>28745296.420000006</v>
      </c>
      <c r="F29" s="125">
        <f t="shared" ref="F29:F31" si="11">E29*$D29</f>
        <v>6348997.0440005958</v>
      </c>
      <c r="G29" s="71"/>
      <c r="H29" s="124">
        <f>'2009 Normalized Results'!F92</f>
        <v>28745296.420000006</v>
      </c>
      <c r="I29" s="125">
        <f t="shared" ref="I29:I31" si="12">H29*$D29</f>
        <v>6348997.0440005958</v>
      </c>
      <c r="J29" s="71"/>
      <c r="K29" s="71">
        <f>+H29-E29</f>
        <v>0</v>
      </c>
      <c r="L29" s="71">
        <f t="shared" ref="L29:L31" si="13">K29*$D29</f>
        <v>0</v>
      </c>
      <c r="M29" s="71"/>
      <c r="N29" s="124">
        <f>'Proforma 3-2012 (Rebuttal)'!F93</f>
        <v>26704393.870000012</v>
      </c>
      <c r="O29" s="125">
        <f t="shared" ref="O29:O31" si="14">N29*$D29</f>
        <v>5898221.234709315</v>
      </c>
      <c r="P29" s="71"/>
      <c r="Q29" s="71">
        <f>+N29-H29</f>
        <v>-2040902.5499999933</v>
      </c>
      <c r="R29" s="71">
        <f t="shared" ref="R29:R31" si="15">O29-I29</f>
        <v>-450775.80929128081</v>
      </c>
    </row>
    <row r="30" spans="1:18">
      <c r="A30" s="64" t="s">
        <v>38</v>
      </c>
      <c r="B30" s="65" t="s">
        <v>168</v>
      </c>
      <c r="C30" s="58" t="s">
        <v>10</v>
      </c>
      <c r="D30" s="66">
        <v>0.220870814871235</v>
      </c>
      <c r="E30" s="124">
        <f>'2009 Unadjusted Results'!I94</f>
        <v>63719389.649999991</v>
      </c>
      <c r="F30" s="125">
        <f t="shared" si="11"/>
        <v>14073753.515093235</v>
      </c>
      <c r="G30" s="71"/>
      <c r="H30" s="124">
        <f>'2009 Normalized Results'!D96</f>
        <v>63719389.649999991</v>
      </c>
      <c r="I30" s="125">
        <f t="shared" si="12"/>
        <v>14073753.515093235</v>
      </c>
      <c r="J30" s="71"/>
      <c r="K30" s="71">
        <f>+H30-E30</f>
        <v>0</v>
      </c>
      <c r="L30" s="71">
        <f t="shared" si="13"/>
        <v>0</v>
      </c>
      <c r="M30" s="71"/>
      <c r="N30" s="124">
        <f>'Proforma 3-2012 (Rebuttal)'!I97</f>
        <v>81562269.199999988</v>
      </c>
      <c r="O30" s="125">
        <f t="shared" si="14"/>
        <v>18014724.860951029</v>
      </c>
      <c r="P30" s="71"/>
      <c r="Q30" s="71">
        <f>+N30-H30</f>
        <v>17842879.549999997</v>
      </c>
      <c r="R30" s="71">
        <f t="shared" si="15"/>
        <v>3940971.3458577935</v>
      </c>
    </row>
    <row r="31" spans="1:18">
      <c r="A31" s="64" t="s">
        <v>39</v>
      </c>
      <c r="B31" s="65" t="s">
        <v>168</v>
      </c>
      <c r="C31" s="58" t="s">
        <v>13</v>
      </c>
      <c r="D31" s="66">
        <v>0.22270549443887661</v>
      </c>
      <c r="E31" s="124">
        <v>0</v>
      </c>
      <c r="F31" s="125">
        <f t="shared" si="11"/>
        <v>0</v>
      </c>
      <c r="G31" s="71"/>
      <c r="H31" s="124">
        <f t="shared" ref="H31" si="16">E31</f>
        <v>0</v>
      </c>
      <c r="I31" s="125">
        <f t="shared" si="12"/>
        <v>0</v>
      </c>
      <c r="J31" s="71"/>
      <c r="K31" s="71">
        <f>+H31-E31</f>
        <v>0</v>
      </c>
      <c r="L31" s="71">
        <f t="shared" si="13"/>
        <v>0</v>
      </c>
      <c r="M31" s="71"/>
      <c r="N31" s="124">
        <f>'Proforma 3-2012 (Rebuttal)'!H102</f>
        <v>2475899.4299999997</v>
      </c>
      <c r="O31" s="125">
        <f t="shared" si="14"/>
        <v>551396.40673908265</v>
      </c>
      <c r="P31" s="71"/>
      <c r="Q31" s="71">
        <f>+N31-H31</f>
        <v>2475899.4299999997</v>
      </c>
      <c r="R31" s="71">
        <f t="shared" si="15"/>
        <v>551396.40673908265</v>
      </c>
    </row>
    <row r="32" spans="1:18">
      <c r="A32" s="59" t="s">
        <v>40</v>
      </c>
      <c r="E32" s="126">
        <f>SUM(E29:E31)</f>
        <v>92464686.069999993</v>
      </c>
      <c r="F32" s="127">
        <f>SUM(F29:F31)</f>
        <v>20422750.559093833</v>
      </c>
      <c r="G32" s="69"/>
      <c r="H32" s="126">
        <f>SUM(H29:H31)</f>
        <v>92464686.069999993</v>
      </c>
      <c r="I32" s="127">
        <f>SUM(I29:I31)</f>
        <v>20422750.559093833</v>
      </c>
      <c r="J32" s="69"/>
      <c r="K32" s="68">
        <f>SUM(K29:K31)</f>
        <v>0</v>
      </c>
      <c r="L32" s="68">
        <f>SUM(L29:L31)</f>
        <v>0</v>
      </c>
      <c r="M32" s="69"/>
      <c r="N32" s="126">
        <f>SUM(N29:N31)</f>
        <v>110742562.5</v>
      </c>
      <c r="O32" s="127">
        <f>SUM(O29:O31)</f>
        <v>24464342.502399426</v>
      </c>
      <c r="P32" s="69"/>
      <c r="Q32" s="68">
        <f>SUM(Q29:Q31)</f>
        <v>18277876.430000003</v>
      </c>
      <c r="R32" s="68">
        <f>SUM(R29:R31)</f>
        <v>4041591.9433055953</v>
      </c>
    </row>
    <row r="33" spans="1:18">
      <c r="E33" s="122"/>
      <c r="F33" s="123"/>
      <c r="H33" s="122"/>
      <c r="I33" s="123"/>
      <c r="K33" s="70"/>
      <c r="L33" s="70"/>
      <c r="N33" s="122"/>
      <c r="O33" s="123"/>
      <c r="Q33" s="70"/>
      <c r="R33" s="70"/>
    </row>
    <row r="34" spans="1:18">
      <c r="A34" s="59" t="s">
        <v>17</v>
      </c>
      <c r="E34" s="122"/>
      <c r="F34" s="123"/>
      <c r="H34" s="122"/>
      <c r="I34" s="123"/>
      <c r="K34" s="70"/>
      <c r="L34" s="70"/>
      <c r="N34" s="122"/>
      <c r="O34" s="123"/>
      <c r="Q34" s="70"/>
      <c r="R34" s="70"/>
    </row>
    <row r="35" spans="1:18">
      <c r="A35" s="64" t="s">
        <v>18</v>
      </c>
      <c r="B35" s="65" t="s">
        <v>169</v>
      </c>
      <c r="C35" s="58" t="s">
        <v>13</v>
      </c>
      <c r="D35" s="66">
        <v>0.22270549443887661</v>
      </c>
      <c r="E35" s="124">
        <f>SUM('2009 Unadjusted Results'!D99,'2009 Unadjusted Results'!D110)</f>
        <v>160980673.94</v>
      </c>
      <c r="F35" s="125">
        <f t="shared" ref="F35:F36" si="17">E35*$D35</f>
        <v>35851280.584911279</v>
      </c>
      <c r="G35" s="71"/>
      <c r="H35" s="124">
        <f>'2009 Normalized Results'!D106+'2009 Normalized Results'!D117</f>
        <v>155114108.71000001</v>
      </c>
      <c r="I35" s="125">
        <f t="shared" ref="I35:I36" si="18">H35*$D35</f>
        <v>34544764.274706207</v>
      </c>
      <c r="J35" s="71"/>
      <c r="K35" s="71">
        <f>+H35-E35</f>
        <v>-5866565.2299999893</v>
      </c>
      <c r="L35" s="71">
        <f t="shared" ref="L35:L36" si="19">K35*$D35</f>
        <v>-1306516.3102050694</v>
      </c>
      <c r="M35" s="71"/>
      <c r="N35" s="124">
        <f>'Proforma 3-2012 (Rebuttal)'!D107+'Proforma 3-2012 (Rebuttal)'!D118</f>
        <v>172617284.47</v>
      </c>
      <c r="O35" s="125">
        <f t="shared" ref="O35:O36" si="20">N35*$D35</f>
        <v>38442817.686587565</v>
      </c>
      <c r="P35" s="71"/>
      <c r="Q35" s="71">
        <f>+N35-H35</f>
        <v>17503175.75999999</v>
      </c>
      <c r="R35" s="71">
        <f t="shared" ref="R35:R36" si="21">O35-I35</f>
        <v>3898053.4118813574</v>
      </c>
    </row>
    <row r="36" spans="1:18">
      <c r="A36" s="64" t="s">
        <v>19</v>
      </c>
      <c r="B36" s="65" t="s">
        <v>170</v>
      </c>
      <c r="C36" s="58" t="s">
        <v>13</v>
      </c>
      <c r="D36" s="66">
        <v>0.22270549443887661</v>
      </c>
      <c r="E36" s="124">
        <f>SUM('2009 Unadjusted Results'!D101,'2009 Unadjusted Results'!D107)</f>
        <v>182135604.59</v>
      </c>
      <c r="F36" s="125">
        <f t="shared" si="17"/>
        <v>40562599.875139676</v>
      </c>
      <c r="G36" s="71"/>
      <c r="H36" s="124">
        <f>'2009 Normalized Results'!D108+'2009 Normalized Results'!D114</f>
        <v>174706176.66999999</v>
      </c>
      <c r="I36" s="125">
        <f t="shared" si="18"/>
        <v>38908025.456818074</v>
      </c>
      <c r="J36" s="71"/>
      <c r="K36" s="71">
        <f>+H36-E36</f>
        <v>-7429427.9200000167</v>
      </c>
      <c r="L36" s="71">
        <f t="shared" si="19"/>
        <v>-1654574.4183215983</v>
      </c>
      <c r="M36" s="71"/>
      <c r="N36" s="124">
        <f>'Proforma 3-2012 (Rebuttal)'!D115+'Proforma 3-2012 (Rebuttal)'!D109</f>
        <v>186740134.2133359</v>
      </c>
      <c r="O36" s="125">
        <f t="shared" si="20"/>
        <v>41588053.921563148</v>
      </c>
      <c r="P36" s="71"/>
      <c r="Q36" s="71">
        <f>+N36-H36</f>
        <v>12033957.543335915</v>
      </c>
      <c r="R36" s="71">
        <f t="shared" si="21"/>
        <v>2680028.4647450745</v>
      </c>
    </row>
    <row r="37" spans="1:18">
      <c r="A37" s="59" t="s">
        <v>41</v>
      </c>
      <c r="E37" s="126">
        <f>SUM(E35:E36)</f>
        <v>343116278.52999997</v>
      </c>
      <c r="F37" s="127">
        <f>SUM(F35:F36)</f>
        <v>76413880.460050955</v>
      </c>
      <c r="G37" s="69"/>
      <c r="H37" s="126">
        <f>SUM(H35:H36)</f>
        <v>329820285.38</v>
      </c>
      <c r="I37" s="127">
        <f>SUM(I35:I36)</f>
        <v>73452789.731524289</v>
      </c>
      <c r="J37" s="69"/>
      <c r="K37" s="68">
        <f>SUM(K35:K36)</f>
        <v>-13295993.150000006</v>
      </c>
      <c r="L37" s="68">
        <f>SUM(L35:L36)</f>
        <v>-2961090.7285266677</v>
      </c>
      <c r="M37" s="69"/>
      <c r="N37" s="126">
        <f>SUM(N35:N36)</f>
        <v>359357418.6833359</v>
      </c>
      <c r="O37" s="127">
        <f>SUM(O35:O36)</f>
        <v>80030871.608150721</v>
      </c>
      <c r="P37" s="69"/>
      <c r="Q37" s="68">
        <f>SUM(Q35:Q36)</f>
        <v>29537133.303335905</v>
      </c>
      <c r="R37" s="68">
        <f>SUM(R35:R36)</f>
        <v>6578081.8766264319</v>
      </c>
    </row>
    <row r="38" spans="1:18">
      <c r="E38" s="128"/>
      <c r="F38" s="129"/>
      <c r="G38" s="69"/>
      <c r="H38" s="128"/>
      <c r="I38" s="129"/>
      <c r="J38" s="69"/>
      <c r="K38" s="69"/>
      <c r="L38" s="69"/>
      <c r="M38" s="69"/>
      <c r="N38" s="128"/>
      <c r="O38" s="129"/>
      <c r="P38" s="69"/>
      <c r="Q38" s="69"/>
      <c r="R38" s="69"/>
    </row>
    <row r="39" spans="1:18" s="60" customFormat="1" ht="13.5" thickBot="1">
      <c r="A39" s="62" t="s">
        <v>42</v>
      </c>
      <c r="B39" s="62"/>
      <c r="C39" s="62"/>
      <c r="D39" s="62"/>
      <c r="E39" s="130">
        <f>SUM(-E18,E26,E32,E37)</f>
        <v>451950126.73999995</v>
      </c>
      <c r="F39" s="131">
        <f>SUM(-F18,F26,F32,F37)</f>
        <v>102440020.1642825</v>
      </c>
      <c r="G39" s="74"/>
      <c r="H39" s="130">
        <f>SUM(-H18,H26,H32,H37)</f>
        <v>402257337.13</v>
      </c>
      <c r="I39" s="131">
        <f>SUM(-I18,I26,I32,I37)</f>
        <v>91439939.342933148</v>
      </c>
      <c r="J39" s="74"/>
      <c r="K39" s="73">
        <f>SUM(-K18,K26,K32,K37)</f>
        <v>-49692789.609999992</v>
      </c>
      <c r="L39" s="73">
        <f>SUM(-L18,L26,L32,L37)</f>
        <v>-11000080.821349345</v>
      </c>
      <c r="M39" s="74"/>
      <c r="N39" s="130">
        <f>SUM(-N18,N26,N32,N37)</f>
        <v>557555676.02333593</v>
      </c>
      <c r="O39" s="131">
        <f>SUM(-O18,O26,O32,O37)</f>
        <v>126210162.89368629</v>
      </c>
      <c r="P39" s="74"/>
      <c r="Q39" s="73">
        <f>SUM(-Q18,Q26,Q32,Q37)</f>
        <v>155298338.89333594</v>
      </c>
      <c r="R39" s="73">
        <f>SUM(-R18,R26,R32,R37)</f>
        <v>34770223.550753132</v>
      </c>
    </row>
    <row r="40" spans="1:18" ht="13.5" thickTop="1">
      <c r="C40" s="103"/>
      <c r="D40" s="103"/>
      <c r="E40" s="132" t="s">
        <v>184</v>
      </c>
      <c r="F40" s="133" t="s">
        <v>225</v>
      </c>
      <c r="G40" s="136"/>
      <c r="H40" s="132" t="s">
        <v>185</v>
      </c>
      <c r="I40" s="133"/>
      <c r="J40" s="136"/>
      <c r="K40" s="136" t="s">
        <v>131</v>
      </c>
      <c r="L40" s="136" t="s">
        <v>131</v>
      </c>
      <c r="M40" s="136"/>
      <c r="N40" s="202" t="s">
        <v>257</v>
      </c>
      <c r="O40" s="133"/>
      <c r="P40" s="136"/>
      <c r="Q40" s="201" t="s">
        <v>336</v>
      </c>
      <c r="R40" s="201" t="s">
        <v>336</v>
      </c>
    </row>
    <row r="41" spans="1:18">
      <c r="E41" s="122"/>
      <c r="F41" s="133" t="s">
        <v>226</v>
      </c>
      <c r="H41" s="122"/>
      <c r="I41" s="123"/>
      <c r="K41" s="70"/>
      <c r="L41" s="70"/>
      <c r="N41" s="122"/>
      <c r="O41" s="123"/>
      <c r="Q41" s="70"/>
      <c r="R41" s="70"/>
    </row>
    <row r="42" spans="1:18" ht="13.5" thickBot="1">
      <c r="A42" s="59" t="s">
        <v>202</v>
      </c>
      <c r="E42" s="134"/>
      <c r="F42" s="135"/>
      <c r="H42" s="134"/>
      <c r="I42" s="135"/>
      <c r="K42" s="70"/>
      <c r="L42" s="70"/>
      <c r="N42" s="134"/>
      <c r="O42" s="135"/>
      <c r="Q42" s="70"/>
      <c r="R42" s="70"/>
    </row>
    <row r="44" spans="1:18">
      <c r="B44" s="62"/>
      <c r="E44" s="62"/>
      <c r="F44" s="62"/>
      <c r="G44" s="111"/>
      <c r="H44" s="62"/>
      <c r="I44" s="62"/>
      <c r="J44" s="111"/>
      <c r="K44" s="62"/>
      <c r="L44" s="62"/>
      <c r="M44" s="111"/>
      <c r="N44" s="62"/>
      <c r="O44" s="62"/>
      <c r="P44" s="111"/>
      <c r="Q44" s="62"/>
      <c r="R44" s="62"/>
    </row>
  </sheetData>
  <pageMargins left="0.65" right="0.72" top="1" bottom="1" header="0.8" footer="0.5"/>
  <pageSetup scale="62" orientation="landscape" r:id="rId1"/>
  <headerFooter alignWithMargins="0">
    <oddHeader>&amp;RExhibit No.___(RBD-6) - Revised 12/10/10</oddHeader>
    <oddFooter>&amp;C&amp;14 12.6.1</oddFooter>
  </headerFooter>
</worksheet>
</file>

<file path=xl/worksheets/sheet30.xml><?xml version="1.0" encoding="utf-8"?>
<worksheet xmlns="http://schemas.openxmlformats.org/spreadsheetml/2006/main" xmlns:r="http://schemas.openxmlformats.org/officeDocument/2006/relationships">
  <sheetPr codeName="Sheet23"/>
  <dimension ref="A1:J133"/>
  <sheetViews>
    <sheetView view="pageBreakPreview" zoomScale="60" zoomScaleNormal="85" workbookViewId="0">
      <pane xSplit="3" ySplit="8" topLeftCell="D165" activePane="bottomRight" state="frozen"/>
      <selection activeCell="K47" sqref="K47"/>
      <selection pane="topRight" activeCell="K47" sqref="K47"/>
      <selection pane="bottomLeft" activeCell="K47" sqref="K47"/>
      <selection pane="bottomRight" activeCell="K203" sqref="K203"/>
    </sheetView>
  </sheetViews>
  <sheetFormatPr defaultColWidth="9.42578125" defaultRowHeight="10.5"/>
  <cols>
    <col min="1" max="1" width="2.5703125" style="31" customWidth="1"/>
    <col min="2" max="2" width="2.28515625" style="31" customWidth="1"/>
    <col min="3" max="3" width="28.42578125" style="31" customWidth="1"/>
    <col min="4" max="4" width="11.85546875" style="31" customWidth="1"/>
    <col min="5" max="5" width="2" style="31" customWidth="1"/>
    <col min="6" max="6" width="13.5703125" style="31" customWidth="1"/>
    <col min="7" max="7" width="11.5703125" style="31" bestFit="1" customWidth="1"/>
    <col min="8" max="9" width="12" style="31" bestFit="1" customWidth="1"/>
    <col min="10" max="16384" width="9.42578125" style="31"/>
  </cols>
  <sheetData>
    <row r="1" spans="1:9" ht="10.5" customHeight="1">
      <c r="B1" s="104"/>
      <c r="C1" s="104"/>
      <c r="D1" s="104"/>
      <c r="E1" s="104"/>
      <c r="F1" s="104"/>
      <c r="G1" s="104"/>
      <c r="H1" s="104"/>
      <c r="I1" s="104"/>
    </row>
    <row r="2" spans="1:9" ht="12" customHeight="1">
      <c r="A2" s="104"/>
      <c r="B2" s="104"/>
      <c r="C2" s="104"/>
      <c r="D2" s="104"/>
      <c r="E2" s="104"/>
      <c r="F2" s="105" t="s">
        <v>186</v>
      </c>
      <c r="G2" s="104"/>
      <c r="H2" s="104"/>
      <c r="I2" s="104"/>
    </row>
    <row r="3" spans="1:9">
      <c r="A3" s="30" t="s">
        <v>0</v>
      </c>
      <c r="D3" s="32"/>
      <c r="E3" s="33"/>
      <c r="F3" s="34" t="s">
        <v>43</v>
      </c>
    </row>
    <row r="4" spans="1:9" ht="12.75" customHeight="1">
      <c r="A4" s="36"/>
      <c r="D4" s="106"/>
      <c r="E4" s="33"/>
      <c r="F4" s="33" t="s">
        <v>44</v>
      </c>
    </row>
    <row r="5" spans="1:9">
      <c r="A5" s="37" t="s">
        <v>45</v>
      </c>
      <c r="D5" s="38"/>
      <c r="E5" s="38"/>
      <c r="F5" s="34" t="s">
        <v>46</v>
      </c>
    </row>
    <row r="6" spans="1:9">
      <c r="A6" s="397">
        <v>40148</v>
      </c>
      <c r="B6" s="397"/>
      <c r="C6" s="397"/>
      <c r="D6" s="38"/>
      <c r="E6" s="38"/>
      <c r="F6" s="33"/>
    </row>
    <row r="7" spans="1:9">
      <c r="B7" s="37"/>
      <c r="D7" s="39" t="s">
        <v>47</v>
      </c>
      <c r="E7" s="39"/>
      <c r="F7" s="40" t="s">
        <v>48</v>
      </c>
      <c r="G7" s="40" t="s">
        <v>48</v>
      </c>
      <c r="H7" s="40"/>
      <c r="I7" s="40"/>
    </row>
    <row r="8" spans="1:9" s="39" customFormat="1">
      <c r="A8" s="31"/>
      <c r="B8" s="31"/>
      <c r="C8" s="31"/>
      <c r="D8" s="41" t="s">
        <v>133</v>
      </c>
      <c r="E8" s="42"/>
      <c r="F8" s="43" t="s">
        <v>49</v>
      </c>
      <c r="G8" s="43" t="s">
        <v>12</v>
      </c>
      <c r="H8" s="43" t="s">
        <v>50</v>
      </c>
      <c r="I8" s="43" t="s">
        <v>51</v>
      </c>
    </row>
    <row r="9" spans="1:9" ht="12" customHeight="1">
      <c r="A9" s="31" t="s">
        <v>52</v>
      </c>
      <c r="F9" s="44"/>
      <c r="G9" s="44"/>
      <c r="H9" s="44"/>
      <c r="I9" s="44"/>
    </row>
    <row r="10" spans="1:9">
      <c r="B10" s="32" t="s">
        <v>53</v>
      </c>
      <c r="D10" s="45">
        <v>9373756.1899999995</v>
      </c>
      <c r="E10" s="46"/>
      <c r="F10" s="45">
        <v>9373756.1899999995</v>
      </c>
      <c r="G10" s="32"/>
      <c r="H10" s="32"/>
      <c r="I10" s="32"/>
    </row>
    <row r="11" spans="1:9">
      <c r="B11" s="32"/>
      <c r="D11" s="46"/>
      <c r="E11" s="46"/>
      <c r="F11" s="47"/>
      <c r="G11" s="44"/>
      <c r="H11" s="44"/>
      <c r="I11" s="44"/>
    </row>
    <row r="12" spans="1:9">
      <c r="B12" s="32" t="s">
        <v>54</v>
      </c>
      <c r="D12" s="45">
        <v>364272414.55000001</v>
      </c>
      <c r="E12" s="46"/>
      <c r="F12" s="47"/>
      <c r="G12" s="44"/>
      <c r="H12" s="44"/>
      <c r="I12" s="45">
        <v>364272414.55000001</v>
      </c>
    </row>
    <row r="13" spans="1:9" hidden="1">
      <c r="B13" s="32"/>
      <c r="D13" s="46"/>
      <c r="E13" s="46"/>
      <c r="F13" s="47"/>
      <c r="G13" s="44"/>
      <c r="H13" s="44"/>
      <c r="I13" s="44"/>
    </row>
    <row r="14" spans="1:9" hidden="1">
      <c r="B14" s="32" t="s">
        <v>55</v>
      </c>
      <c r="D14" s="45">
        <v>0</v>
      </c>
      <c r="E14" s="46"/>
      <c r="F14" s="45">
        <v>0</v>
      </c>
      <c r="G14" s="44"/>
      <c r="H14" s="44"/>
      <c r="I14" s="44"/>
    </row>
    <row r="15" spans="1:9" hidden="1">
      <c r="C15" s="32"/>
      <c r="D15" s="46"/>
      <c r="E15" s="46"/>
      <c r="F15" s="44"/>
      <c r="G15" s="44"/>
      <c r="H15" s="44"/>
      <c r="I15" s="44"/>
    </row>
    <row r="16" spans="1:9" hidden="1">
      <c r="B16" s="31" t="s">
        <v>56</v>
      </c>
      <c r="C16" s="32"/>
      <c r="D16" s="45">
        <v>0</v>
      </c>
      <c r="E16" s="46"/>
      <c r="F16" s="44"/>
      <c r="G16" s="44"/>
      <c r="H16" s="45">
        <v>0</v>
      </c>
      <c r="I16" s="44"/>
    </row>
    <row r="17" spans="1:10">
      <c r="D17" s="39" t="s">
        <v>57</v>
      </c>
      <c r="E17" s="48" t="s">
        <v>58</v>
      </c>
      <c r="F17" s="39" t="s">
        <v>57</v>
      </c>
      <c r="G17" s="39" t="s">
        <v>57</v>
      </c>
      <c r="H17" s="39" t="s">
        <v>57</v>
      </c>
      <c r="I17" s="39" t="s">
        <v>57</v>
      </c>
    </row>
    <row r="18" spans="1:10">
      <c r="A18" s="31" t="s">
        <v>59</v>
      </c>
      <c r="D18" s="45">
        <v>373646170.74000001</v>
      </c>
      <c r="E18" s="46"/>
      <c r="F18" s="45">
        <v>9373756.1899999995</v>
      </c>
      <c r="G18" s="45">
        <v>0</v>
      </c>
      <c r="H18" s="45">
        <v>0</v>
      </c>
      <c r="I18" s="45">
        <v>364272414.55000001</v>
      </c>
    </row>
    <row r="19" spans="1:10">
      <c r="D19" s="46"/>
      <c r="E19" s="46"/>
      <c r="F19" s="46"/>
      <c r="G19" s="46"/>
      <c r="H19" s="46"/>
      <c r="I19" s="46"/>
    </row>
    <row r="20" spans="1:10">
      <c r="D20" s="32"/>
      <c r="E20" s="44"/>
      <c r="F20" s="44"/>
      <c r="G20" s="44"/>
      <c r="H20" s="44"/>
      <c r="I20" s="44"/>
    </row>
    <row r="21" spans="1:10" ht="13.5" customHeight="1">
      <c r="A21" s="31" t="s">
        <v>60</v>
      </c>
      <c r="D21" s="46"/>
      <c r="E21" s="46"/>
      <c r="F21" s="56"/>
      <c r="G21" s="44"/>
      <c r="H21" s="44"/>
      <c r="I21" s="44"/>
      <c r="J21" s="46"/>
    </row>
    <row r="22" spans="1:10">
      <c r="B22" s="32"/>
      <c r="C22" s="31" t="s">
        <v>61</v>
      </c>
      <c r="D22" s="45">
        <v>49697250</v>
      </c>
      <c r="E22" s="46"/>
      <c r="F22" s="45">
        <v>49697250</v>
      </c>
      <c r="G22" s="44"/>
      <c r="H22" s="44"/>
      <c r="I22" s="44"/>
      <c r="J22" s="46"/>
    </row>
    <row r="23" spans="1:10">
      <c r="B23" s="32"/>
      <c r="C23" s="31" t="s">
        <v>62</v>
      </c>
      <c r="D23" s="45">
        <v>0</v>
      </c>
      <c r="E23" s="46"/>
      <c r="F23" s="45">
        <v>600000</v>
      </c>
      <c r="G23" s="45">
        <v>-600000</v>
      </c>
      <c r="H23" s="44"/>
      <c r="I23" s="44"/>
      <c r="J23" s="46"/>
    </row>
    <row r="24" spans="1:10">
      <c r="B24" s="32"/>
      <c r="C24" s="31" t="s">
        <v>63</v>
      </c>
      <c r="D24" s="45">
        <v>21455301.219999999</v>
      </c>
      <c r="E24" s="46"/>
      <c r="F24" s="45">
        <v>6436590.3659999995</v>
      </c>
      <c r="G24" s="45">
        <v>15018710.853999998</v>
      </c>
      <c r="H24" s="44"/>
      <c r="I24" s="44"/>
      <c r="J24" s="46"/>
    </row>
    <row r="25" spans="1:10">
      <c r="B25" s="32"/>
      <c r="C25" s="31" t="s">
        <v>64</v>
      </c>
      <c r="D25" s="45">
        <v>6650881.8300000001</v>
      </c>
      <c r="E25" s="46"/>
      <c r="F25" s="45">
        <v>1379145.478737924</v>
      </c>
      <c r="G25" s="45">
        <v>5271736.3512620758</v>
      </c>
      <c r="H25" s="44"/>
      <c r="I25" s="44"/>
    </row>
    <row r="26" spans="1:10">
      <c r="B26" s="32"/>
      <c r="C26" s="31" t="s">
        <v>65</v>
      </c>
      <c r="D26" s="45">
        <v>2503683</v>
      </c>
      <c r="E26" s="46"/>
      <c r="F26" s="49">
        <v>0</v>
      </c>
      <c r="G26" s="49">
        <v>0</v>
      </c>
      <c r="H26" s="44"/>
      <c r="I26" s="49">
        <v>2503683</v>
      </c>
    </row>
    <row r="27" spans="1:10">
      <c r="B27" s="50" t="s">
        <v>66</v>
      </c>
      <c r="C27" s="48"/>
      <c r="D27" s="39" t="s">
        <v>57</v>
      </c>
      <c r="E27" s="48" t="s">
        <v>58</v>
      </c>
      <c r="F27" s="39" t="s">
        <v>57</v>
      </c>
      <c r="G27" s="39" t="s">
        <v>57</v>
      </c>
      <c r="H27" s="39" t="s">
        <v>57</v>
      </c>
      <c r="I27" s="39" t="s">
        <v>57</v>
      </c>
    </row>
    <row r="28" spans="1:10">
      <c r="B28" s="31" t="s">
        <v>67</v>
      </c>
      <c r="C28" s="32"/>
      <c r="D28" s="45">
        <v>80307116.049999997</v>
      </c>
      <c r="E28" s="46"/>
      <c r="F28" s="45">
        <v>58112985.844737917</v>
      </c>
      <c r="G28" s="45">
        <v>19690447.205262072</v>
      </c>
      <c r="H28" s="45">
        <v>0</v>
      </c>
      <c r="I28" s="45">
        <v>2503683</v>
      </c>
    </row>
    <row r="29" spans="1:10">
      <c r="D29" s="47"/>
      <c r="E29" s="46"/>
      <c r="F29" s="47"/>
      <c r="G29" s="47"/>
      <c r="H29" s="44"/>
      <c r="I29" s="44"/>
    </row>
    <row r="30" spans="1:10" hidden="1">
      <c r="B30" s="32"/>
      <c r="C30" s="31" t="s">
        <v>68</v>
      </c>
      <c r="D30" s="45">
        <v>0</v>
      </c>
      <c r="E30" s="46"/>
      <c r="F30" s="45"/>
      <c r="G30" s="45">
        <v>0</v>
      </c>
      <c r="H30" s="44"/>
      <c r="I30" s="44"/>
    </row>
    <row r="31" spans="1:10" hidden="1">
      <c r="B31" s="32"/>
      <c r="C31" s="31" t="s">
        <v>69</v>
      </c>
      <c r="D31" s="45">
        <v>0</v>
      </c>
      <c r="E31" s="46"/>
      <c r="F31" s="45"/>
      <c r="G31" s="45">
        <v>0</v>
      </c>
      <c r="H31" s="44"/>
      <c r="I31" s="44"/>
    </row>
    <row r="32" spans="1:10" hidden="1">
      <c r="B32" s="32"/>
      <c r="C32" s="31" t="s">
        <v>70</v>
      </c>
      <c r="D32" s="45">
        <v>0</v>
      </c>
      <c r="E32" s="46"/>
      <c r="F32" s="49">
        <v>0</v>
      </c>
      <c r="G32" s="49">
        <v>0</v>
      </c>
      <c r="H32" s="44"/>
      <c r="I32" s="49">
        <v>0</v>
      </c>
    </row>
    <row r="33" spans="2:9" hidden="1">
      <c r="B33" s="32"/>
      <c r="C33" s="31" t="s">
        <v>71</v>
      </c>
      <c r="D33" s="45">
        <v>0</v>
      </c>
      <c r="E33" s="46"/>
      <c r="F33" s="45">
        <v>0</v>
      </c>
      <c r="G33" s="45">
        <v>0</v>
      </c>
      <c r="H33" s="44"/>
      <c r="I33" s="44"/>
    </row>
    <row r="34" spans="2:9" hidden="1">
      <c r="B34" s="32"/>
      <c r="C34" s="31" t="s">
        <v>72</v>
      </c>
      <c r="D34" s="45">
        <v>0</v>
      </c>
      <c r="E34" s="46"/>
      <c r="F34" s="45">
        <v>0</v>
      </c>
      <c r="G34" s="45">
        <v>0</v>
      </c>
      <c r="H34" s="44"/>
      <c r="I34" s="44"/>
    </row>
    <row r="35" spans="2:9" hidden="1">
      <c r="B35" s="50" t="s">
        <v>66</v>
      </c>
      <c r="C35" s="48"/>
      <c r="D35" s="39" t="s">
        <v>57</v>
      </c>
      <c r="E35" s="48" t="s">
        <v>58</v>
      </c>
      <c r="F35" s="39" t="s">
        <v>57</v>
      </c>
      <c r="G35" s="39" t="s">
        <v>57</v>
      </c>
      <c r="H35" s="39" t="s">
        <v>57</v>
      </c>
      <c r="I35" s="39" t="s">
        <v>57</v>
      </c>
    </row>
    <row r="36" spans="2:9" hidden="1">
      <c r="B36" s="31" t="s">
        <v>73</v>
      </c>
      <c r="C36" s="32"/>
      <c r="D36" s="45">
        <v>0</v>
      </c>
      <c r="E36" s="46"/>
      <c r="F36" s="45">
        <v>0</v>
      </c>
      <c r="G36" s="45">
        <v>0</v>
      </c>
      <c r="H36" s="45">
        <v>0</v>
      </c>
      <c r="I36" s="45">
        <v>0</v>
      </c>
    </row>
    <row r="37" spans="2:9" hidden="1">
      <c r="D37" s="46"/>
      <c r="E37" s="46"/>
      <c r="F37" s="44"/>
      <c r="G37" s="44"/>
      <c r="H37" s="44"/>
      <c r="I37" s="44"/>
    </row>
    <row r="38" spans="2:9" hidden="1">
      <c r="B38" s="32"/>
      <c r="C38" s="31" t="s">
        <v>106</v>
      </c>
      <c r="D38" s="45">
        <v>0</v>
      </c>
      <c r="E38" s="46"/>
      <c r="F38" s="44"/>
      <c r="G38" s="44"/>
      <c r="H38" s="44"/>
      <c r="I38" s="45">
        <v>0</v>
      </c>
    </row>
    <row r="39" spans="2:9" hidden="1">
      <c r="B39" s="32"/>
      <c r="C39" s="31" t="s">
        <v>105</v>
      </c>
      <c r="D39" s="45">
        <v>0</v>
      </c>
      <c r="E39" s="46"/>
      <c r="F39" s="44"/>
      <c r="G39" s="44"/>
      <c r="H39" s="44"/>
      <c r="I39" s="45">
        <v>0</v>
      </c>
    </row>
    <row r="40" spans="2:9" hidden="1">
      <c r="B40" s="32"/>
      <c r="C40" s="31" t="s">
        <v>107</v>
      </c>
      <c r="D40" s="45">
        <v>0</v>
      </c>
      <c r="E40" s="46"/>
      <c r="F40" s="44"/>
      <c r="G40" s="44"/>
      <c r="H40" s="44"/>
      <c r="I40" s="45">
        <v>0</v>
      </c>
    </row>
    <row r="41" spans="2:9" hidden="1">
      <c r="B41" s="32"/>
      <c r="C41" s="31" t="s">
        <v>108</v>
      </c>
      <c r="D41" s="45">
        <v>0</v>
      </c>
      <c r="E41" s="46"/>
      <c r="F41" s="44"/>
      <c r="G41" s="44"/>
      <c r="H41" s="44"/>
      <c r="I41" s="45">
        <v>0</v>
      </c>
    </row>
    <row r="42" spans="2:9" hidden="1">
      <c r="B42" s="32"/>
      <c r="C42" s="31" t="s">
        <v>109</v>
      </c>
      <c r="D42" s="45">
        <v>0</v>
      </c>
      <c r="E42" s="46"/>
      <c r="F42" s="44"/>
      <c r="G42" s="44"/>
      <c r="H42" s="44"/>
      <c r="I42" s="45">
        <v>0</v>
      </c>
    </row>
    <row r="43" spans="2:9">
      <c r="B43" s="32"/>
      <c r="C43" s="31" t="s">
        <v>110</v>
      </c>
      <c r="D43" s="45">
        <v>3631783.44</v>
      </c>
      <c r="E43" s="46"/>
      <c r="F43" s="44"/>
      <c r="G43" s="44"/>
      <c r="H43" s="44"/>
      <c r="I43" s="45">
        <v>3631783.44</v>
      </c>
    </row>
    <row r="44" spans="2:9" hidden="1">
      <c r="B44" s="32"/>
      <c r="C44" s="31" t="s">
        <v>74</v>
      </c>
      <c r="D44" s="45">
        <v>0</v>
      </c>
      <c r="E44" s="46"/>
      <c r="F44" s="44"/>
      <c r="G44" s="44"/>
      <c r="H44" s="44"/>
      <c r="I44" s="45">
        <v>0</v>
      </c>
    </row>
    <row r="45" spans="2:9" hidden="1">
      <c r="B45" s="32"/>
      <c r="C45" s="31" t="s">
        <v>75</v>
      </c>
      <c r="D45" s="45">
        <v>0</v>
      </c>
      <c r="E45" s="46"/>
      <c r="F45" s="44"/>
      <c r="G45" s="44"/>
      <c r="H45" s="44"/>
      <c r="I45" s="45">
        <v>0</v>
      </c>
    </row>
    <row r="46" spans="2:9" hidden="1">
      <c r="B46" s="32"/>
      <c r="C46" s="31" t="s">
        <v>76</v>
      </c>
      <c r="D46" s="45">
        <v>0</v>
      </c>
      <c r="E46" s="46"/>
      <c r="F46" s="44"/>
      <c r="G46" s="44"/>
      <c r="H46" s="44"/>
      <c r="I46" s="45">
        <v>0</v>
      </c>
    </row>
    <row r="47" spans="2:9" hidden="1">
      <c r="B47" s="32"/>
      <c r="C47" s="31" t="s">
        <v>111</v>
      </c>
      <c r="D47" s="45">
        <v>0</v>
      </c>
      <c r="E47" s="46"/>
      <c r="F47" s="44"/>
      <c r="G47" s="44"/>
      <c r="H47" s="44"/>
      <c r="I47" s="45">
        <v>0</v>
      </c>
    </row>
    <row r="48" spans="2:9">
      <c r="B48" s="32"/>
      <c r="C48" s="31" t="s">
        <v>77</v>
      </c>
      <c r="D48" s="45">
        <v>6333674.8799999999</v>
      </c>
      <c r="E48" s="46"/>
      <c r="F48" s="44"/>
      <c r="G48" s="44"/>
      <c r="H48" s="44"/>
      <c r="I48" s="45">
        <v>6333674.8799999999</v>
      </c>
    </row>
    <row r="49" spans="2:9">
      <c r="B49" s="32"/>
      <c r="C49" s="31" t="s">
        <v>112</v>
      </c>
      <c r="D49" s="45">
        <v>85339302.519999996</v>
      </c>
      <c r="E49" s="46"/>
      <c r="F49" s="44"/>
      <c r="G49" s="44"/>
      <c r="H49" s="44"/>
      <c r="I49" s="45">
        <v>85339302.519999996</v>
      </c>
    </row>
    <row r="50" spans="2:9" hidden="1">
      <c r="B50" s="32"/>
      <c r="C50" s="31" t="s">
        <v>113</v>
      </c>
      <c r="D50" s="45">
        <v>0</v>
      </c>
      <c r="E50" s="46"/>
      <c r="F50" s="44"/>
      <c r="G50" s="44"/>
      <c r="H50" s="44"/>
      <c r="I50" s="45">
        <v>0</v>
      </c>
    </row>
    <row r="51" spans="2:9" hidden="1">
      <c r="B51" s="32"/>
      <c r="C51" s="31" t="s">
        <v>114</v>
      </c>
      <c r="D51" s="45">
        <v>0</v>
      </c>
      <c r="E51" s="46"/>
      <c r="F51" s="44"/>
      <c r="G51" s="44"/>
      <c r="H51" s="44"/>
      <c r="I51" s="45">
        <v>0</v>
      </c>
    </row>
    <row r="52" spans="2:9" hidden="1">
      <c r="B52" s="32"/>
      <c r="C52" s="31" t="s">
        <v>78</v>
      </c>
      <c r="D52" s="45">
        <v>0</v>
      </c>
      <c r="E52" s="46"/>
      <c r="F52" s="44"/>
      <c r="G52" s="44"/>
      <c r="H52" s="44"/>
      <c r="I52" s="45">
        <v>0</v>
      </c>
    </row>
    <row r="53" spans="2:9" hidden="1">
      <c r="B53" s="32"/>
      <c r="C53" s="55" t="s">
        <v>115</v>
      </c>
      <c r="D53" s="45">
        <v>0</v>
      </c>
      <c r="E53" s="46"/>
      <c r="F53" s="44"/>
      <c r="G53" s="44"/>
      <c r="H53" s="44"/>
      <c r="I53" s="45">
        <v>0</v>
      </c>
    </row>
    <row r="54" spans="2:9" hidden="1">
      <c r="B54" s="32"/>
      <c r="C54" s="31" t="s">
        <v>116</v>
      </c>
      <c r="D54" s="45">
        <v>0</v>
      </c>
      <c r="E54" s="46"/>
      <c r="F54" s="44"/>
      <c r="G54" s="44"/>
      <c r="H54" s="44"/>
      <c r="I54" s="45">
        <v>0</v>
      </c>
    </row>
    <row r="55" spans="2:9" hidden="1">
      <c r="B55" s="32"/>
      <c r="C55" s="31" t="s">
        <v>117</v>
      </c>
      <c r="D55" s="45">
        <v>0</v>
      </c>
      <c r="E55" s="46"/>
      <c r="F55" s="44"/>
      <c r="G55" s="44"/>
      <c r="H55" s="44"/>
      <c r="I55" s="45">
        <v>0</v>
      </c>
    </row>
    <row r="56" spans="2:9">
      <c r="B56" s="32"/>
      <c r="C56" s="31" t="s">
        <v>79</v>
      </c>
      <c r="D56" s="45">
        <v>10683774</v>
      </c>
      <c r="E56" s="46"/>
      <c r="F56" s="44"/>
      <c r="G56" s="44"/>
      <c r="H56" s="44"/>
      <c r="I56" s="45">
        <v>10683774</v>
      </c>
    </row>
    <row r="57" spans="2:9" hidden="1">
      <c r="B57" s="32"/>
      <c r="C57" s="31" t="s">
        <v>82</v>
      </c>
      <c r="D57" s="45">
        <v>0</v>
      </c>
      <c r="E57" s="46"/>
      <c r="F57" s="44"/>
      <c r="G57" s="44"/>
      <c r="H57" s="44"/>
      <c r="I57" s="45">
        <v>0</v>
      </c>
    </row>
    <row r="58" spans="2:9" hidden="1">
      <c r="B58" s="32"/>
      <c r="C58" s="31" t="s">
        <v>83</v>
      </c>
      <c r="D58" s="45">
        <v>0</v>
      </c>
      <c r="E58" s="46"/>
      <c r="F58" s="44"/>
      <c r="G58" s="44"/>
      <c r="H58" s="44"/>
      <c r="I58" s="45">
        <v>0</v>
      </c>
    </row>
    <row r="59" spans="2:9" hidden="1">
      <c r="B59" s="32"/>
      <c r="C59" s="31" t="s">
        <v>118</v>
      </c>
      <c r="D59" s="45">
        <v>0</v>
      </c>
      <c r="E59" s="46"/>
      <c r="F59" s="44"/>
      <c r="G59" s="44"/>
      <c r="H59" s="44"/>
      <c r="I59" s="45">
        <v>0</v>
      </c>
    </row>
    <row r="60" spans="2:9" hidden="1">
      <c r="B60" s="32"/>
      <c r="C60" s="31" t="s">
        <v>119</v>
      </c>
      <c r="D60" s="45">
        <v>0</v>
      </c>
      <c r="E60" s="46"/>
      <c r="F60" s="44"/>
      <c r="G60" s="44"/>
      <c r="H60" s="44"/>
      <c r="I60" s="45">
        <v>0</v>
      </c>
    </row>
    <row r="61" spans="2:9" hidden="1">
      <c r="B61" s="32"/>
      <c r="C61" s="31" t="s">
        <v>120</v>
      </c>
      <c r="D61" s="45">
        <v>0</v>
      </c>
      <c r="E61" s="46"/>
      <c r="F61" s="44"/>
      <c r="G61" s="44"/>
      <c r="H61" s="44"/>
      <c r="I61" s="45">
        <v>0</v>
      </c>
    </row>
    <row r="62" spans="2:9" hidden="1">
      <c r="B62" s="32"/>
      <c r="C62" s="31" t="s">
        <v>121</v>
      </c>
      <c r="D62" s="45">
        <v>0</v>
      </c>
      <c r="E62" s="46"/>
      <c r="F62" s="44"/>
      <c r="G62" s="44"/>
      <c r="H62" s="44"/>
      <c r="I62" s="45">
        <v>0</v>
      </c>
    </row>
    <row r="63" spans="2:9">
      <c r="B63" s="32"/>
      <c r="C63" s="31" t="s">
        <v>122</v>
      </c>
      <c r="D63" s="45">
        <v>9337270.1999999993</v>
      </c>
      <c r="E63" s="46"/>
      <c r="F63" s="44"/>
      <c r="G63" s="44"/>
      <c r="H63" s="44"/>
      <c r="I63" s="45">
        <v>9337270.1999999993</v>
      </c>
    </row>
    <row r="64" spans="2:9" hidden="1">
      <c r="B64" s="32"/>
      <c r="C64" s="35" t="s">
        <v>123</v>
      </c>
      <c r="D64" s="45">
        <v>0</v>
      </c>
      <c r="E64" s="46"/>
      <c r="F64" s="44"/>
      <c r="G64" s="44"/>
      <c r="H64" s="44"/>
      <c r="I64" s="45">
        <v>0</v>
      </c>
    </row>
    <row r="65" spans="2:9" hidden="1">
      <c r="B65" s="32"/>
      <c r="C65" s="35" t="s">
        <v>124</v>
      </c>
      <c r="D65" s="45">
        <v>0</v>
      </c>
      <c r="E65" s="46"/>
      <c r="F65" s="44"/>
      <c r="G65" s="44"/>
      <c r="H65" s="44"/>
      <c r="I65" s="45">
        <v>0</v>
      </c>
    </row>
    <row r="66" spans="2:9" hidden="1">
      <c r="B66" s="32"/>
      <c r="C66" s="31" t="s">
        <v>125</v>
      </c>
      <c r="D66" s="45">
        <v>0</v>
      </c>
      <c r="E66" s="46"/>
      <c r="F66" s="44"/>
      <c r="G66" s="44"/>
      <c r="H66" s="44"/>
      <c r="I66" s="45">
        <v>0</v>
      </c>
    </row>
    <row r="67" spans="2:9">
      <c r="B67" s="32"/>
      <c r="C67" s="31" t="s">
        <v>126</v>
      </c>
      <c r="D67" s="45">
        <v>291600.02</v>
      </c>
      <c r="E67" s="46"/>
      <c r="F67" s="44"/>
      <c r="G67" s="44"/>
      <c r="H67" s="44"/>
      <c r="I67" s="45">
        <v>291600.02</v>
      </c>
    </row>
    <row r="68" spans="2:9" hidden="1">
      <c r="B68" s="32"/>
      <c r="C68" s="31" t="s">
        <v>127</v>
      </c>
      <c r="D68" s="45">
        <v>0</v>
      </c>
      <c r="E68" s="46"/>
      <c r="F68" s="44"/>
      <c r="G68" s="44"/>
      <c r="H68" s="44"/>
      <c r="I68" s="45">
        <v>0</v>
      </c>
    </row>
    <row r="69" spans="2:9" hidden="1">
      <c r="B69" s="32"/>
      <c r="C69" s="31" t="s">
        <v>86</v>
      </c>
      <c r="D69" s="45">
        <v>0</v>
      </c>
      <c r="E69" s="46"/>
      <c r="F69" s="44"/>
      <c r="G69" s="44"/>
      <c r="H69" s="44"/>
      <c r="I69" s="45">
        <v>0</v>
      </c>
    </row>
    <row r="70" spans="2:9" hidden="1">
      <c r="B70" s="32"/>
      <c r="C70" s="31" t="s">
        <v>128</v>
      </c>
      <c r="D70" s="45">
        <v>0</v>
      </c>
      <c r="E70" s="46"/>
      <c r="F70" s="44"/>
      <c r="G70" s="44"/>
      <c r="H70" s="44"/>
      <c r="I70" s="45">
        <v>0</v>
      </c>
    </row>
    <row r="71" spans="2:9" hidden="1">
      <c r="B71" s="32"/>
      <c r="C71" s="31" t="s">
        <v>87</v>
      </c>
      <c r="D71" s="45">
        <v>0</v>
      </c>
      <c r="E71" s="46"/>
      <c r="F71" s="44"/>
      <c r="G71" s="44"/>
      <c r="H71" s="44"/>
      <c r="I71" s="45">
        <v>0</v>
      </c>
    </row>
    <row r="72" spans="2:9" hidden="1">
      <c r="B72" s="32"/>
      <c r="C72" s="35" t="s">
        <v>129</v>
      </c>
      <c r="D72" s="45">
        <v>0</v>
      </c>
      <c r="E72" s="46"/>
      <c r="F72" s="44"/>
      <c r="G72" s="44"/>
      <c r="H72" s="44"/>
      <c r="I72" s="45">
        <v>0</v>
      </c>
    </row>
    <row r="73" spans="2:9">
      <c r="B73" s="32"/>
      <c r="C73" s="35" t="s">
        <v>88</v>
      </c>
      <c r="D73" s="45">
        <v>-1643604.4</v>
      </c>
      <c r="E73" s="46"/>
      <c r="F73" s="44"/>
      <c r="G73" s="44"/>
      <c r="H73" s="44"/>
      <c r="I73" s="45">
        <v>-1643604.4</v>
      </c>
    </row>
    <row r="74" spans="2:9">
      <c r="B74" s="32"/>
      <c r="C74" s="35"/>
      <c r="D74" s="45"/>
      <c r="E74" s="46"/>
      <c r="F74" s="44"/>
      <c r="G74" s="44"/>
      <c r="H74" s="44"/>
      <c r="I74" s="45"/>
    </row>
    <row r="75" spans="2:9" hidden="1">
      <c r="B75" s="55" t="s">
        <v>130</v>
      </c>
      <c r="C75" s="35"/>
      <c r="D75" s="45"/>
      <c r="E75" s="46"/>
      <c r="F75" s="44"/>
      <c r="G75" s="44"/>
      <c r="H75" s="44"/>
      <c r="I75" s="45"/>
    </row>
    <row r="76" spans="2:9" hidden="1">
      <c r="B76" s="32"/>
      <c r="C76" s="31" t="s">
        <v>80</v>
      </c>
      <c r="D76" s="45">
        <v>0</v>
      </c>
      <c r="E76" s="46"/>
      <c r="F76" s="44"/>
      <c r="G76" s="44"/>
      <c r="H76" s="44"/>
      <c r="I76" s="45">
        <v>0</v>
      </c>
    </row>
    <row r="77" spans="2:9" hidden="1">
      <c r="B77" s="32"/>
      <c r="C77" s="31" t="s">
        <v>81</v>
      </c>
      <c r="D77" s="45">
        <v>0</v>
      </c>
      <c r="E77" s="46"/>
      <c r="F77" s="44"/>
      <c r="G77" s="44"/>
      <c r="H77" s="44"/>
      <c r="I77" s="45">
        <v>0</v>
      </c>
    </row>
    <row r="78" spans="2:9" hidden="1">
      <c r="B78" s="32"/>
      <c r="C78" s="31" t="s">
        <v>84</v>
      </c>
      <c r="D78" s="45">
        <v>0</v>
      </c>
      <c r="E78" s="46"/>
      <c r="F78" s="44"/>
      <c r="G78" s="44"/>
      <c r="H78" s="44"/>
      <c r="I78" s="45">
        <v>0</v>
      </c>
    </row>
    <row r="79" spans="2:9" hidden="1">
      <c r="B79" s="32"/>
      <c r="C79" s="31" t="s">
        <v>85</v>
      </c>
      <c r="D79" s="45">
        <v>0</v>
      </c>
      <c r="E79" s="46"/>
      <c r="F79" s="44"/>
      <c r="G79" s="44"/>
      <c r="H79" s="44"/>
      <c r="I79" s="45">
        <v>0</v>
      </c>
    </row>
    <row r="80" spans="2:9" hidden="1">
      <c r="B80" s="32"/>
      <c r="D80" s="46"/>
      <c r="E80" s="46"/>
      <c r="F80" s="44"/>
      <c r="G80" s="44"/>
      <c r="H80" s="44"/>
      <c r="I80" s="44"/>
    </row>
    <row r="81" spans="1:9">
      <c r="B81" s="32"/>
      <c r="C81" s="32" t="s">
        <v>134</v>
      </c>
      <c r="D81" s="45">
        <v>151112195.36000001</v>
      </c>
      <c r="E81" s="46"/>
      <c r="F81" s="44"/>
      <c r="G81" s="44"/>
      <c r="H81" s="44"/>
      <c r="I81" s="45">
        <v>151112195.36000001</v>
      </c>
    </row>
    <row r="82" spans="1:9">
      <c r="B82" s="50" t="s">
        <v>66</v>
      </c>
      <c r="C82" s="48"/>
      <c r="D82" s="39" t="s">
        <v>57</v>
      </c>
      <c r="E82" s="48" t="s">
        <v>58</v>
      </c>
      <c r="F82" s="39" t="s">
        <v>57</v>
      </c>
      <c r="G82" s="39" t="s">
        <v>57</v>
      </c>
      <c r="H82" s="39" t="s">
        <v>57</v>
      </c>
      <c r="I82" s="39" t="s">
        <v>57</v>
      </c>
    </row>
    <row r="83" spans="1:9">
      <c r="B83" s="31" t="s">
        <v>89</v>
      </c>
      <c r="C83" s="32"/>
      <c r="D83" s="45">
        <v>265085996.02000001</v>
      </c>
      <c r="E83" s="46"/>
      <c r="F83" s="45">
        <v>0</v>
      </c>
      <c r="G83" s="45">
        <v>0</v>
      </c>
      <c r="H83" s="45">
        <v>0</v>
      </c>
      <c r="I83" s="45">
        <v>265085996.02000001</v>
      </c>
    </row>
    <row r="84" spans="1:9">
      <c r="B84" s="31" t="s">
        <v>135</v>
      </c>
      <c r="D84" s="45">
        <v>8225424.3499999996</v>
      </c>
      <c r="E84" s="46"/>
      <c r="F84" s="48"/>
      <c r="H84" s="45">
        <v>8225424.3499999996</v>
      </c>
      <c r="I84" s="52"/>
    </row>
    <row r="85" spans="1:9" hidden="1">
      <c r="B85" s="31" t="s">
        <v>90</v>
      </c>
      <c r="C85" s="32"/>
      <c r="D85" s="45">
        <v>0</v>
      </c>
      <c r="E85" s="46"/>
      <c r="F85" s="45"/>
      <c r="G85" s="45"/>
      <c r="H85" s="45">
        <v>0</v>
      </c>
      <c r="I85" s="44"/>
    </row>
    <row r="86" spans="1:9">
      <c r="D86" s="39" t="s">
        <v>57</v>
      </c>
      <c r="E86" s="48" t="s">
        <v>58</v>
      </c>
      <c r="F86" s="39" t="s">
        <v>57</v>
      </c>
      <c r="G86" s="39" t="s">
        <v>57</v>
      </c>
      <c r="H86" s="39" t="s">
        <v>57</v>
      </c>
      <c r="I86" s="39" t="s">
        <v>57</v>
      </c>
    </row>
    <row r="87" spans="1:9" ht="12.75" customHeight="1">
      <c r="A87" s="31" t="s">
        <v>91</v>
      </c>
      <c r="D87" s="45">
        <v>353618536.42000002</v>
      </c>
      <c r="E87" s="46"/>
      <c r="F87" s="45">
        <v>58112985.844737917</v>
      </c>
      <c r="G87" s="45">
        <v>19690447.205262072</v>
      </c>
      <c r="H87" s="45">
        <v>8225424.3499999996</v>
      </c>
      <c r="I87" s="45">
        <v>267589679.02000001</v>
      </c>
    </row>
    <row r="88" spans="1:9">
      <c r="D88" s="46"/>
      <c r="E88" s="46"/>
      <c r="F88" s="46"/>
      <c r="G88" s="46"/>
      <c r="H88" s="46"/>
      <c r="I88" s="46"/>
    </row>
    <row r="89" spans="1:9">
      <c r="D89" s="46"/>
      <c r="E89" s="46"/>
      <c r="F89" s="46"/>
      <c r="G89" s="46"/>
      <c r="H89" s="46"/>
      <c r="I89" s="46"/>
    </row>
    <row r="90" spans="1:9" ht="12.75" customHeight="1">
      <c r="A90" s="31" t="s">
        <v>92</v>
      </c>
      <c r="F90" s="44"/>
      <c r="G90" s="44"/>
      <c r="H90" s="44"/>
      <c r="I90" s="44"/>
    </row>
    <row r="91" spans="1:9">
      <c r="F91" s="44"/>
      <c r="G91" s="44"/>
      <c r="H91" s="44"/>
      <c r="I91" s="44"/>
    </row>
    <row r="92" spans="1:9" s="32" customFormat="1">
      <c r="A92" s="31"/>
      <c r="B92" s="31" t="s">
        <v>93</v>
      </c>
      <c r="D92" s="45">
        <v>28745296.420000006</v>
      </c>
      <c r="E92" s="46"/>
      <c r="F92" s="45">
        <v>28745296.420000006</v>
      </c>
      <c r="G92" s="44"/>
      <c r="H92" s="44"/>
      <c r="I92" s="44"/>
    </row>
    <row r="93" spans="1:9" hidden="1">
      <c r="A93" s="32"/>
      <c r="B93" s="32"/>
      <c r="C93" s="32"/>
      <c r="D93" s="32"/>
      <c r="E93" s="32"/>
      <c r="F93" s="32"/>
      <c r="G93" s="32"/>
      <c r="H93" s="32"/>
      <c r="I93" s="32"/>
    </row>
    <row r="94" spans="1:9" hidden="1">
      <c r="B94" s="31" t="s">
        <v>94</v>
      </c>
      <c r="C94" s="32"/>
      <c r="D94" s="45">
        <v>0</v>
      </c>
      <c r="E94" s="46"/>
      <c r="F94" s="45">
        <v>0</v>
      </c>
      <c r="G94" s="44"/>
      <c r="H94" s="44"/>
      <c r="I94" s="44"/>
    </row>
    <row r="95" spans="1:9" hidden="1">
      <c r="C95" s="32"/>
      <c r="D95" s="46"/>
      <c r="E95" s="46"/>
      <c r="F95" s="44"/>
      <c r="G95" s="44"/>
      <c r="H95" s="44"/>
      <c r="I95" s="44"/>
    </row>
    <row r="96" spans="1:9">
      <c r="B96" s="31" t="s">
        <v>54</v>
      </c>
      <c r="C96" s="32"/>
      <c r="D96" s="45">
        <v>63719389.649999991</v>
      </c>
      <c r="E96" s="46"/>
      <c r="F96" s="51"/>
      <c r="G96" s="44"/>
      <c r="H96" s="44"/>
      <c r="I96" s="45">
        <v>63719389.649999991</v>
      </c>
    </row>
    <row r="97" spans="1:9" hidden="1">
      <c r="F97" s="44"/>
      <c r="G97" s="44"/>
      <c r="H97" s="44"/>
      <c r="I97" s="44"/>
    </row>
    <row r="98" spans="1:9" s="32" customFormat="1" hidden="1">
      <c r="A98" s="31"/>
      <c r="B98" s="32" t="s">
        <v>95</v>
      </c>
      <c r="C98" s="31"/>
      <c r="D98" s="45">
        <v>0</v>
      </c>
      <c r="E98" s="46"/>
      <c r="F98" s="44"/>
      <c r="H98" s="45">
        <v>0</v>
      </c>
      <c r="I98" s="44"/>
    </row>
    <row r="99" spans="1:9" hidden="1">
      <c r="A99" s="32"/>
      <c r="B99" s="32"/>
      <c r="C99" s="32"/>
      <c r="D99" s="32"/>
      <c r="E99" s="32"/>
      <c r="F99" s="32"/>
      <c r="G99" s="32"/>
      <c r="H99" s="32"/>
      <c r="I99" s="32"/>
    </row>
    <row r="100" spans="1:9">
      <c r="D100" s="39" t="s">
        <v>57</v>
      </c>
      <c r="E100" s="48" t="s">
        <v>58</v>
      </c>
      <c r="F100" s="39" t="s">
        <v>57</v>
      </c>
      <c r="G100" s="39" t="s">
        <v>57</v>
      </c>
      <c r="H100" s="39" t="s">
        <v>57</v>
      </c>
      <c r="I100" s="39" t="s">
        <v>57</v>
      </c>
    </row>
    <row r="101" spans="1:9" s="32" customFormat="1" ht="12.75" customHeight="1">
      <c r="A101" s="31" t="s">
        <v>96</v>
      </c>
      <c r="B101" s="31"/>
      <c r="C101" s="31"/>
      <c r="D101" s="45">
        <v>92464686.069999993</v>
      </c>
      <c r="E101" s="46"/>
      <c r="F101" s="45">
        <v>28745296.420000006</v>
      </c>
      <c r="G101" s="45">
        <v>0</v>
      </c>
      <c r="H101" s="45">
        <v>0</v>
      </c>
      <c r="I101" s="45">
        <v>63719389.649999991</v>
      </c>
    </row>
    <row r="102" spans="1:9" s="32" customFormat="1">
      <c r="A102" s="31"/>
      <c r="B102" s="31"/>
      <c r="C102" s="31"/>
      <c r="D102" s="31"/>
      <c r="E102" s="31"/>
      <c r="G102" s="31"/>
      <c r="H102" s="31"/>
      <c r="I102" s="31"/>
    </row>
    <row r="103" spans="1:9" s="32" customFormat="1" ht="12.75" customHeight="1">
      <c r="A103" s="31" t="s">
        <v>97</v>
      </c>
      <c r="B103" s="31"/>
      <c r="C103" s="31"/>
      <c r="D103" s="31"/>
      <c r="E103" s="31"/>
      <c r="G103" s="31"/>
      <c r="H103" s="31"/>
      <c r="I103" s="31"/>
    </row>
    <row r="104" spans="1:9" s="32" customFormat="1" hidden="1">
      <c r="A104" s="31"/>
      <c r="B104" s="46" t="s">
        <v>136</v>
      </c>
      <c r="C104" s="31"/>
      <c r="D104" s="45">
        <v>0</v>
      </c>
      <c r="E104" s="46"/>
      <c r="G104" s="31"/>
      <c r="H104" s="45">
        <v>0</v>
      </c>
      <c r="I104" s="52"/>
    </row>
    <row r="105" spans="1:9" s="32" customFormat="1" hidden="1">
      <c r="A105" s="31"/>
      <c r="B105" s="46" t="s">
        <v>137</v>
      </c>
      <c r="C105" s="31"/>
      <c r="D105" s="45">
        <v>0</v>
      </c>
      <c r="E105" s="46"/>
      <c r="G105" s="31"/>
      <c r="H105" s="45">
        <v>0</v>
      </c>
      <c r="I105" s="52"/>
    </row>
    <row r="106" spans="1:9" s="32" customFormat="1">
      <c r="A106" s="31"/>
      <c r="B106" s="46" t="s">
        <v>138</v>
      </c>
      <c r="C106" s="31"/>
      <c r="D106" s="45">
        <v>5760338.25</v>
      </c>
      <c r="E106" s="46"/>
      <c r="G106" s="31"/>
      <c r="H106" s="45">
        <v>5760338.25</v>
      </c>
      <c r="I106" s="52"/>
    </row>
    <row r="107" spans="1:9" s="32" customFormat="1" hidden="1">
      <c r="A107" s="31"/>
      <c r="B107" s="46" t="s">
        <v>139</v>
      </c>
      <c r="C107" s="31"/>
      <c r="D107" s="45">
        <v>0</v>
      </c>
      <c r="E107" s="46"/>
      <c r="G107" s="31"/>
      <c r="H107" s="45">
        <v>0</v>
      </c>
      <c r="I107" s="52"/>
    </row>
    <row r="108" spans="1:9" s="32" customFormat="1">
      <c r="A108" s="31"/>
      <c r="B108" s="46" t="s">
        <v>98</v>
      </c>
      <c r="C108" s="31"/>
      <c r="D108" s="45">
        <v>125620770.66</v>
      </c>
      <c r="E108" s="46"/>
      <c r="G108" s="31"/>
      <c r="H108" s="45">
        <v>125620770.66</v>
      </c>
      <c r="I108" s="52"/>
    </row>
    <row r="109" spans="1:9" s="32" customFormat="1" hidden="1">
      <c r="A109" s="31"/>
      <c r="B109" s="46" t="s">
        <v>99</v>
      </c>
      <c r="C109" s="31"/>
      <c r="D109" s="45">
        <v>0</v>
      </c>
      <c r="E109" s="46"/>
      <c r="G109" s="31"/>
      <c r="H109" s="45">
        <v>0</v>
      </c>
      <c r="I109" s="52"/>
    </row>
    <row r="110" spans="1:9" s="32" customFormat="1" hidden="1">
      <c r="A110" s="31"/>
      <c r="B110" s="46" t="s">
        <v>140</v>
      </c>
      <c r="C110" s="31"/>
      <c r="D110" s="45">
        <v>0</v>
      </c>
      <c r="E110" s="46"/>
      <c r="G110" s="31"/>
      <c r="H110" s="45">
        <v>0</v>
      </c>
      <c r="I110" s="52"/>
    </row>
    <row r="111" spans="1:9" s="32" customFormat="1" hidden="1">
      <c r="A111" s="31"/>
      <c r="B111" s="46" t="s">
        <v>141</v>
      </c>
      <c r="C111" s="31"/>
      <c r="D111" s="45">
        <v>0</v>
      </c>
      <c r="E111" s="46"/>
      <c r="G111" s="31"/>
      <c r="H111" s="45">
        <v>0</v>
      </c>
      <c r="I111" s="52"/>
    </row>
    <row r="112" spans="1:9" s="32" customFormat="1" hidden="1">
      <c r="A112" s="31"/>
      <c r="B112" s="46" t="s">
        <v>142</v>
      </c>
      <c r="C112" s="31"/>
      <c r="D112" s="45">
        <v>0</v>
      </c>
      <c r="E112" s="46"/>
      <c r="G112" s="31"/>
      <c r="H112" s="45">
        <v>0</v>
      </c>
      <c r="I112" s="52"/>
    </row>
    <row r="113" spans="1:9" s="32" customFormat="1" hidden="1">
      <c r="A113" s="31"/>
      <c r="B113" s="46" t="s">
        <v>143</v>
      </c>
      <c r="C113" s="31"/>
      <c r="D113" s="45">
        <v>0</v>
      </c>
      <c r="E113" s="46"/>
      <c r="F113" s="48"/>
      <c r="G113" s="31"/>
      <c r="H113" s="45">
        <v>0</v>
      </c>
      <c r="I113" s="52"/>
    </row>
    <row r="114" spans="1:9" s="32" customFormat="1">
      <c r="A114" s="31"/>
      <c r="B114" s="46" t="s">
        <v>144</v>
      </c>
      <c r="C114" s="31"/>
      <c r="D114" s="45">
        <v>49085406.009999998</v>
      </c>
      <c r="E114" s="46"/>
      <c r="F114" s="48"/>
      <c r="G114" s="31"/>
      <c r="H114" s="45">
        <v>49085406.009999998</v>
      </c>
      <c r="I114" s="52"/>
    </row>
    <row r="115" spans="1:9" s="32" customFormat="1" hidden="1">
      <c r="A115" s="31"/>
      <c r="B115" s="46" t="s">
        <v>145</v>
      </c>
      <c r="C115" s="31"/>
      <c r="D115" s="45">
        <v>0</v>
      </c>
      <c r="E115" s="46"/>
      <c r="F115" s="48"/>
      <c r="G115" s="31"/>
      <c r="H115" s="45">
        <v>0</v>
      </c>
      <c r="I115" s="52"/>
    </row>
    <row r="116" spans="1:9" s="32" customFormat="1" hidden="1">
      <c r="A116" s="31"/>
      <c r="B116" s="46" t="s">
        <v>146</v>
      </c>
      <c r="C116" s="31"/>
      <c r="D116" s="45">
        <v>0</v>
      </c>
      <c r="E116" s="46"/>
      <c r="F116" s="48"/>
      <c r="G116" s="31"/>
      <c r="H116" s="45">
        <v>0</v>
      </c>
      <c r="I116" s="52"/>
    </row>
    <row r="117" spans="1:9" s="32" customFormat="1">
      <c r="A117" s="31"/>
      <c r="B117" s="46" t="s">
        <v>147</v>
      </c>
      <c r="C117" s="31"/>
      <c r="D117" s="45">
        <v>149353770.46000001</v>
      </c>
      <c r="E117" s="46"/>
      <c r="F117" s="48"/>
      <c r="G117" s="31"/>
      <c r="H117" s="45">
        <v>149353770.46000001</v>
      </c>
      <c r="I117" s="52"/>
    </row>
    <row r="118" spans="1:9" s="32" customFormat="1" hidden="1">
      <c r="A118" s="31"/>
      <c r="B118" s="46" t="s">
        <v>148</v>
      </c>
      <c r="C118" s="31"/>
      <c r="D118" s="45">
        <v>0</v>
      </c>
      <c r="E118" s="46"/>
      <c r="F118" s="48"/>
      <c r="G118" s="31"/>
      <c r="H118" s="45">
        <v>0</v>
      </c>
      <c r="I118" s="52"/>
    </row>
    <row r="119" spans="1:9" s="32" customFormat="1" hidden="1">
      <c r="A119" s="31"/>
      <c r="B119" s="46" t="s">
        <v>149</v>
      </c>
      <c r="C119" s="31"/>
      <c r="D119" s="45">
        <v>0</v>
      </c>
      <c r="E119" s="46"/>
      <c r="F119" s="48"/>
      <c r="G119" s="31"/>
      <c r="H119" s="45">
        <v>0</v>
      </c>
      <c r="I119" s="52"/>
    </row>
    <row r="120" spans="1:9" s="32" customFormat="1" hidden="1">
      <c r="A120" s="31"/>
      <c r="B120" s="46" t="s">
        <v>150</v>
      </c>
      <c r="C120" s="31"/>
      <c r="D120" s="45">
        <v>0</v>
      </c>
      <c r="E120" s="46"/>
      <c r="F120" s="48"/>
      <c r="G120" s="31"/>
      <c r="H120" s="45">
        <v>0</v>
      </c>
      <c r="I120" s="52"/>
    </row>
    <row r="121" spans="1:9" s="32" customFormat="1" hidden="1">
      <c r="A121" s="31"/>
      <c r="B121" s="46" t="s">
        <v>151</v>
      </c>
      <c r="C121" s="31"/>
      <c r="D121" s="45">
        <v>0</v>
      </c>
      <c r="E121" s="46"/>
      <c r="F121" s="48"/>
      <c r="G121" s="31"/>
      <c r="H121" s="45">
        <v>0</v>
      </c>
      <c r="I121" s="52"/>
    </row>
    <row r="122" spans="1:9" s="32" customFormat="1" hidden="1">
      <c r="A122" s="31"/>
      <c r="B122" s="46" t="s">
        <v>152</v>
      </c>
      <c r="C122" s="31"/>
      <c r="D122" s="45">
        <v>0</v>
      </c>
      <c r="E122" s="46"/>
      <c r="F122" s="48"/>
      <c r="G122" s="31"/>
      <c r="H122" s="45">
        <v>0</v>
      </c>
      <c r="I122" s="52"/>
    </row>
    <row r="123" spans="1:9" s="32" customFormat="1">
      <c r="A123" s="31"/>
      <c r="B123" s="31"/>
      <c r="C123" s="31"/>
      <c r="D123" s="39" t="s">
        <v>57</v>
      </c>
      <c r="E123" s="48" t="s">
        <v>58</v>
      </c>
      <c r="F123" s="39" t="s">
        <v>57</v>
      </c>
      <c r="G123" s="39" t="s">
        <v>57</v>
      </c>
      <c r="H123" s="39" t="s">
        <v>57</v>
      </c>
      <c r="I123" s="39" t="s">
        <v>57</v>
      </c>
    </row>
    <row r="124" spans="1:9" s="32" customFormat="1" ht="12.75" customHeight="1">
      <c r="A124" s="31" t="s">
        <v>100</v>
      </c>
      <c r="B124" s="31"/>
      <c r="C124" s="31"/>
      <c r="D124" s="45">
        <v>329820285.38</v>
      </c>
      <c r="E124" s="46"/>
      <c r="F124" s="45">
        <v>0</v>
      </c>
      <c r="G124" s="45">
        <v>0</v>
      </c>
      <c r="H124" s="45">
        <v>329820285.38</v>
      </c>
      <c r="I124" s="45">
        <v>0</v>
      </c>
    </row>
    <row r="125" spans="1:9" s="32" customFormat="1">
      <c r="A125" s="31"/>
      <c r="B125" s="31"/>
      <c r="C125" s="31"/>
      <c r="D125" s="53"/>
      <c r="E125" s="46"/>
      <c r="F125" s="46"/>
      <c r="G125" s="46"/>
      <c r="H125" s="46"/>
      <c r="I125" s="46"/>
    </row>
    <row r="126" spans="1:9" s="32" customFormat="1" hidden="1">
      <c r="A126" s="31" t="s">
        <v>101</v>
      </c>
      <c r="B126" s="31"/>
      <c r="C126" s="31"/>
      <c r="D126" s="53"/>
      <c r="E126" s="46"/>
      <c r="F126" s="46"/>
      <c r="G126" s="46"/>
      <c r="H126" s="46"/>
      <c r="I126" s="46"/>
    </row>
    <row r="127" spans="1:9" s="32" customFormat="1" hidden="1">
      <c r="A127" s="31"/>
      <c r="B127" s="46" t="s">
        <v>153</v>
      </c>
      <c r="C127" s="31"/>
      <c r="D127" s="45">
        <v>0</v>
      </c>
      <c r="E127" s="46"/>
      <c r="F127" s="48"/>
      <c r="G127" s="31"/>
      <c r="H127" s="45">
        <v>0</v>
      </c>
      <c r="I127" s="52"/>
    </row>
    <row r="128" spans="1:9" hidden="1">
      <c r="D128" s="39" t="s">
        <v>57</v>
      </c>
      <c r="E128" s="48" t="s">
        <v>58</v>
      </c>
      <c r="F128" s="39" t="s">
        <v>57</v>
      </c>
      <c r="G128" s="39" t="s">
        <v>57</v>
      </c>
      <c r="H128" s="39" t="s">
        <v>57</v>
      </c>
      <c r="I128" s="39" t="s">
        <v>57</v>
      </c>
    </row>
    <row r="129" spans="1:9" hidden="1">
      <c r="A129" s="31" t="s">
        <v>102</v>
      </c>
      <c r="D129" s="45">
        <v>0</v>
      </c>
      <c r="E129" s="46"/>
      <c r="F129" s="45">
        <v>0</v>
      </c>
      <c r="G129" s="45">
        <v>0</v>
      </c>
      <c r="H129" s="45">
        <v>0</v>
      </c>
      <c r="I129" s="45">
        <v>0</v>
      </c>
    </row>
    <row r="130" spans="1:9">
      <c r="D130" s="54" t="s">
        <v>103</v>
      </c>
      <c r="E130" s="48" t="s">
        <v>58</v>
      </c>
      <c r="F130" s="54" t="s">
        <v>103</v>
      </c>
      <c r="G130" s="54" t="s">
        <v>103</v>
      </c>
      <c r="H130" s="54" t="s">
        <v>103</v>
      </c>
      <c r="I130" s="54" t="s">
        <v>103</v>
      </c>
    </row>
    <row r="131" spans="1:9" ht="12.75" customHeight="1">
      <c r="A131" s="31" t="s">
        <v>104</v>
      </c>
      <c r="D131" s="45">
        <v>402257337.13</v>
      </c>
      <c r="E131" s="46" t="s">
        <v>58</v>
      </c>
      <c r="F131" s="45">
        <v>77484526.074737921</v>
      </c>
      <c r="G131" s="45">
        <v>19690447.205262072</v>
      </c>
      <c r="H131" s="45">
        <v>338045709.73000002</v>
      </c>
      <c r="I131" s="45">
        <v>-32963345.879999995</v>
      </c>
    </row>
    <row r="132" spans="1:9">
      <c r="D132" s="54" t="s">
        <v>103</v>
      </c>
      <c r="E132" s="48" t="s">
        <v>58</v>
      </c>
      <c r="F132" s="54" t="s">
        <v>103</v>
      </c>
      <c r="G132" s="54" t="s">
        <v>103</v>
      </c>
      <c r="H132" s="54" t="s">
        <v>103</v>
      </c>
      <c r="I132" s="54" t="s">
        <v>103</v>
      </c>
    </row>
    <row r="133" spans="1:9">
      <c r="D133" s="80" t="s">
        <v>188</v>
      </c>
    </row>
  </sheetData>
  <mergeCells count="1">
    <mergeCell ref="A6:C6"/>
  </mergeCells>
  <printOptions horizontalCentered="1"/>
  <pageMargins left="0.75" right="0.75" top="0.75" bottom="0.5" header="0.25" footer="0.25"/>
  <pageSetup scale="81" orientation="portrait" r:id="rId1"/>
  <headerFooter alignWithMargins="0">
    <oddHeader>&amp;RPage 5.2.3</oddHeader>
  </headerFooter>
</worksheet>
</file>

<file path=xl/worksheets/sheet31.xml><?xml version="1.0" encoding="utf-8"?>
<worksheet xmlns="http://schemas.openxmlformats.org/spreadsheetml/2006/main" xmlns:r="http://schemas.openxmlformats.org/officeDocument/2006/relationships">
  <sheetPr codeName="Sheet24"/>
  <dimension ref="A1:I133"/>
  <sheetViews>
    <sheetView view="pageBreakPreview" zoomScale="55" zoomScaleNormal="85" zoomScaleSheetLayoutView="55" workbookViewId="0">
      <pane xSplit="3" ySplit="8" topLeftCell="D9" activePane="bottomRight" state="frozen"/>
      <selection activeCell="K47" sqref="K47"/>
      <selection pane="topRight" activeCell="K47" sqref="K47"/>
      <selection pane="bottomLeft" activeCell="K47" sqref="K47"/>
      <selection pane="bottomRight" activeCell="I162" sqref="I162"/>
    </sheetView>
  </sheetViews>
  <sheetFormatPr defaultColWidth="9.42578125" defaultRowHeight="10.5"/>
  <cols>
    <col min="1" max="1" width="2.5703125" style="78" customWidth="1"/>
    <col min="2" max="2" width="2.28515625" style="78" customWidth="1"/>
    <col min="3" max="3" width="28.42578125" style="78" customWidth="1"/>
    <col min="4" max="4" width="18.85546875" style="78" bestFit="1" customWidth="1"/>
    <col min="5" max="5" width="2" style="78" customWidth="1"/>
    <col min="6" max="6" width="13.5703125" style="78" customWidth="1"/>
    <col min="7" max="7" width="11.42578125" style="78" bestFit="1" customWidth="1"/>
    <col min="8" max="9" width="18.85546875" style="78" bestFit="1" customWidth="1"/>
    <col min="10" max="16384" width="9.42578125" style="78"/>
  </cols>
  <sheetData>
    <row r="1" spans="1:9" ht="10.5" customHeight="1">
      <c r="B1" s="104"/>
      <c r="C1" s="104"/>
      <c r="D1" s="104"/>
      <c r="E1" s="104"/>
      <c r="F1" s="104"/>
      <c r="G1" s="104"/>
      <c r="H1" s="104"/>
      <c r="I1" s="104"/>
    </row>
    <row r="2" spans="1:9" ht="13.5" customHeight="1">
      <c r="A2" s="104"/>
      <c r="B2" s="104"/>
      <c r="C2" s="104"/>
      <c r="D2" s="104"/>
      <c r="E2" s="104"/>
      <c r="F2" s="105" t="s">
        <v>187</v>
      </c>
      <c r="G2" s="104"/>
      <c r="H2" s="104"/>
      <c r="I2" s="104"/>
    </row>
    <row r="3" spans="1:9" ht="12.75">
      <c r="A3" s="77" t="s">
        <v>0</v>
      </c>
      <c r="D3" s="79"/>
      <c r="E3" s="80"/>
      <c r="F3" s="81" t="s">
        <v>43</v>
      </c>
    </row>
    <row r="4" spans="1:9" ht="12.75">
      <c r="A4" s="83"/>
      <c r="D4" s="79"/>
      <c r="E4" s="80"/>
      <c r="F4" s="80" t="s">
        <v>44</v>
      </c>
    </row>
    <row r="5" spans="1:9" ht="12.75">
      <c r="A5" s="84" t="s">
        <v>45</v>
      </c>
      <c r="D5" s="85"/>
      <c r="E5" s="85"/>
      <c r="F5" s="81" t="s">
        <v>46</v>
      </c>
    </row>
    <row r="6" spans="1:9" ht="12.75">
      <c r="A6" s="398">
        <v>40969</v>
      </c>
      <c r="B6" s="398"/>
      <c r="C6" s="398"/>
      <c r="D6" s="85"/>
      <c r="E6" s="85"/>
      <c r="F6" s="80"/>
    </row>
    <row r="7" spans="1:9">
      <c r="B7" s="84"/>
      <c r="D7" s="86" t="s">
        <v>47</v>
      </c>
      <c r="E7" s="86"/>
      <c r="F7" s="87" t="s">
        <v>48</v>
      </c>
      <c r="G7" s="87" t="s">
        <v>48</v>
      </c>
      <c r="H7" s="87"/>
      <c r="I7" s="87"/>
    </row>
    <row r="8" spans="1:9" s="86" customFormat="1">
      <c r="A8" s="78"/>
      <c r="B8" s="78"/>
      <c r="C8" s="78"/>
      <c r="D8" s="88" t="s">
        <v>171</v>
      </c>
      <c r="E8" s="89"/>
      <c r="F8" s="90" t="s">
        <v>49</v>
      </c>
      <c r="G8" s="90" t="s">
        <v>12</v>
      </c>
      <c r="H8" s="90" t="s">
        <v>50</v>
      </c>
      <c r="I8" s="90" t="s">
        <v>51</v>
      </c>
    </row>
    <row r="9" spans="1:9">
      <c r="A9" s="78" t="s">
        <v>52</v>
      </c>
      <c r="F9" s="91"/>
      <c r="G9" s="91"/>
      <c r="H9" s="91"/>
      <c r="I9" s="91"/>
    </row>
    <row r="10" spans="1:9" ht="12.75">
      <c r="B10" s="79" t="s">
        <v>53</v>
      </c>
      <c r="D10" s="78">
        <v>13316300</v>
      </c>
      <c r="E10" s="92"/>
      <c r="F10" s="78">
        <v>13316300</v>
      </c>
      <c r="G10" s="79"/>
      <c r="H10" s="79"/>
      <c r="I10" s="79"/>
    </row>
    <row r="11" spans="1:9" ht="12.75">
      <c r="B11" s="79"/>
      <c r="D11" s="92"/>
      <c r="E11" s="92"/>
      <c r="F11" s="93"/>
      <c r="G11" s="91"/>
      <c r="H11" s="91"/>
      <c r="I11" s="91"/>
    </row>
    <row r="12" spans="1:9" ht="12.75">
      <c r="B12" s="79" t="s">
        <v>54</v>
      </c>
      <c r="D12" s="78">
        <v>163438640.13999999</v>
      </c>
      <c r="E12" s="92"/>
      <c r="F12" s="93"/>
      <c r="G12" s="91"/>
      <c r="H12" s="91"/>
      <c r="I12" s="78">
        <v>163438640.13999999</v>
      </c>
    </row>
    <row r="13" spans="1:9" ht="12.75" hidden="1">
      <c r="B13" s="79"/>
      <c r="D13" s="92"/>
      <c r="E13" s="92"/>
      <c r="F13" s="93"/>
      <c r="G13" s="91"/>
      <c r="H13" s="91"/>
      <c r="I13" s="91"/>
    </row>
    <row r="14" spans="1:9" ht="12.75" hidden="1">
      <c r="B14" s="79" t="s">
        <v>55</v>
      </c>
      <c r="D14" s="78">
        <v>0</v>
      </c>
      <c r="E14" s="92"/>
      <c r="F14" s="78">
        <v>0</v>
      </c>
      <c r="G14" s="91"/>
      <c r="H14" s="91"/>
      <c r="I14" s="91"/>
    </row>
    <row r="15" spans="1:9" ht="12.75" hidden="1">
      <c r="C15" s="79"/>
      <c r="D15" s="92"/>
      <c r="E15" s="92"/>
      <c r="F15" s="91"/>
      <c r="G15" s="91"/>
      <c r="H15" s="91"/>
      <c r="I15" s="91"/>
    </row>
    <row r="16" spans="1:9" ht="12.75" hidden="1">
      <c r="B16" s="78" t="s">
        <v>56</v>
      </c>
      <c r="C16" s="79"/>
      <c r="D16" s="78">
        <v>0</v>
      </c>
      <c r="E16" s="92"/>
      <c r="F16" s="91"/>
      <c r="G16" s="91"/>
      <c r="H16" s="78">
        <v>0</v>
      </c>
      <c r="I16" s="91"/>
    </row>
    <row r="17" spans="1:9">
      <c r="D17" s="86" t="s">
        <v>57</v>
      </c>
      <c r="E17" s="94" t="s">
        <v>58</v>
      </c>
      <c r="F17" s="86" t="s">
        <v>57</v>
      </c>
      <c r="G17" s="86" t="s">
        <v>57</v>
      </c>
      <c r="H17" s="86" t="s">
        <v>57</v>
      </c>
      <c r="I17" s="86" t="s">
        <v>57</v>
      </c>
    </row>
    <row r="18" spans="1:9">
      <c r="A18" s="78" t="s">
        <v>59</v>
      </c>
      <c r="D18" s="78">
        <v>176754940.13999999</v>
      </c>
      <c r="E18" s="92"/>
      <c r="F18" s="78">
        <v>13316300</v>
      </c>
      <c r="G18" s="78">
        <v>0</v>
      </c>
      <c r="H18" s="78">
        <v>0</v>
      </c>
      <c r="I18" s="78">
        <v>163438640.13999999</v>
      </c>
    </row>
    <row r="19" spans="1:9">
      <c r="D19" s="92"/>
      <c r="E19" s="92"/>
      <c r="F19" s="92"/>
      <c r="G19" s="92"/>
      <c r="H19" s="92"/>
      <c r="I19" s="92"/>
    </row>
    <row r="20" spans="1:9" ht="12.75">
      <c r="D20" s="79"/>
      <c r="E20" s="91"/>
      <c r="F20" s="91"/>
      <c r="G20" s="91"/>
      <c r="H20" s="91"/>
      <c r="I20" s="91"/>
    </row>
    <row r="21" spans="1:9">
      <c r="A21" s="78" t="s">
        <v>60</v>
      </c>
      <c r="D21" s="92"/>
      <c r="E21" s="92"/>
      <c r="F21" s="95"/>
      <c r="G21" s="91"/>
      <c r="H21" s="91"/>
      <c r="I21" s="91"/>
    </row>
    <row r="22" spans="1:9" ht="12.75">
      <c r="B22" s="79"/>
      <c r="C22" s="78" t="s">
        <v>61</v>
      </c>
      <c r="D22" s="78">
        <v>24006250</v>
      </c>
      <c r="E22" s="92"/>
      <c r="F22" s="78">
        <v>24006250</v>
      </c>
      <c r="G22" s="91"/>
      <c r="H22" s="91"/>
      <c r="I22" s="91"/>
    </row>
    <row r="23" spans="1:9" ht="12.75">
      <c r="B23" s="79"/>
      <c r="C23" s="78" t="s">
        <v>62</v>
      </c>
      <c r="D23" s="78">
        <v>0</v>
      </c>
      <c r="E23" s="92"/>
      <c r="F23" s="78">
        <v>0</v>
      </c>
      <c r="G23" s="78">
        <v>0</v>
      </c>
      <c r="H23" s="91"/>
      <c r="I23" s="91"/>
    </row>
    <row r="24" spans="1:9" ht="12.75">
      <c r="B24" s="79"/>
      <c r="C24" s="78" t="s">
        <v>63</v>
      </c>
      <c r="D24" s="78">
        <v>4191788.689999999</v>
      </c>
      <c r="E24" s="92"/>
      <c r="F24" s="78">
        <v>1257536.6069999996</v>
      </c>
      <c r="G24" s="78">
        <v>2934252.0829999992</v>
      </c>
      <c r="H24" s="91"/>
      <c r="I24" s="91"/>
    </row>
    <row r="25" spans="1:9" ht="12.75">
      <c r="B25" s="79"/>
      <c r="C25" s="78" t="s">
        <v>64</v>
      </c>
      <c r="D25" s="78">
        <v>6326799.7800000003</v>
      </c>
      <c r="E25" s="92"/>
      <c r="F25" s="78">
        <v>1311942.9174201842</v>
      </c>
      <c r="G25" s="78">
        <v>5014856.862579816</v>
      </c>
      <c r="H25" s="91"/>
      <c r="I25" s="91"/>
    </row>
    <row r="26" spans="1:9" ht="12.75">
      <c r="B26" s="79"/>
      <c r="C26" s="78" t="s">
        <v>65</v>
      </c>
      <c r="D26" s="78">
        <v>3054402.51</v>
      </c>
      <c r="E26" s="92"/>
      <c r="F26" s="96">
        <v>0</v>
      </c>
      <c r="G26" s="96">
        <v>0</v>
      </c>
      <c r="H26" s="91"/>
      <c r="I26" s="96">
        <v>3054402.51</v>
      </c>
    </row>
    <row r="27" spans="1:9">
      <c r="B27" s="97" t="s">
        <v>66</v>
      </c>
      <c r="C27" s="94"/>
      <c r="D27" s="86" t="s">
        <v>57</v>
      </c>
      <c r="E27" s="94" t="s">
        <v>58</v>
      </c>
      <c r="F27" s="86" t="s">
        <v>57</v>
      </c>
      <c r="G27" s="86" t="s">
        <v>57</v>
      </c>
      <c r="H27" s="86" t="s">
        <v>57</v>
      </c>
      <c r="I27" s="86" t="s">
        <v>57</v>
      </c>
    </row>
    <row r="28" spans="1:9" ht="12.75">
      <c r="B28" s="78" t="s">
        <v>67</v>
      </c>
      <c r="C28" s="79"/>
      <c r="D28" s="78">
        <v>37579240.979999997</v>
      </c>
      <c r="E28" s="92"/>
      <c r="F28" s="78">
        <v>26575729.524420187</v>
      </c>
      <c r="G28" s="78">
        <v>7949108.9455798157</v>
      </c>
      <c r="H28" s="78">
        <v>0</v>
      </c>
      <c r="I28" s="78">
        <v>3054402.51</v>
      </c>
    </row>
    <row r="29" spans="1:9" ht="12.75">
      <c r="D29" s="93"/>
      <c r="E29" s="92"/>
      <c r="F29" s="93"/>
      <c r="G29" s="93"/>
      <c r="H29" s="91"/>
      <c r="I29" s="91"/>
    </row>
    <row r="30" spans="1:9" ht="12.75" hidden="1">
      <c r="B30" s="79"/>
      <c r="C30" s="78" t="s">
        <v>68</v>
      </c>
      <c r="D30" s="78">
        <v>0</v>
      </c>
      <c r="E30" s="92"/>
      <c r="G30" s="78">
        <v>0</v>
      </c>
      <c r="H30" s="91"/>
      <c r="I30" s="91"/>
    </row>
    <row r="31" spans="1:9" ht="12.75" hidden="1">
      <c r="B31" s="79"/>
      <c r="C31" s="78" t="s">
        <v>69</v>
      </c>
      <c r="D31" s="78">
        <v>0</v>
      </c>
      <c r="E31" s="92"/>
      <c r="G31" s="78">
        <v>0</v>
      </c>
      <c r="H31" s="91"/>
      <c r="I31" s="91"/>
    </row>
    <row r="32" spans="1:9" ht="12.75" hidden="1">
      <c r="B32" s="79"/>
      <c r="C32" s="78" t="s">
        <v>70</v>
      </c>
      <c r="D32" s="78">
        <v>0</v>
      </c>
      <c r="E32" s="92"/>
      <c r="F32" s="96">
        <v>0</v>
      </c>
      <c r="G32" s="96">
        <v>0</v>
      </c>
      <c r="H32" s="91"/>
      <c r="I32" s="96">
        <v>0</v>
      </c>
    </row>
    <row r="33" spans="2:9" ht="12.75" hidden="1">
      <c r="B33" s="79"/>
      <c r="C33" s="78" t="s">
        <v>71</v>
      </c>
      <c r="D33" s="78">
        <v>0</v>
      </c>
      <c r="E33" s="92"/>
      <c r="F33" s="78">
        <v>0</v>
      </c>
      <c r="G33" s="78">
        <v>0</v>
      </c>
      <c r="H33" s="91"/>
      <c r="I33" s="91"/>
    </row>
    <row r="34" spans="2:9" ht="12.75" hidden="1">
      <c r="B34" s="79"/>
      <c r="C34" s="78" t="s">
        <v>72</v>
      </c>
      <c r="D34" s="78">
        <v>0</v>
      </c>
      <c r="E34" s="92"/>
      <c r="F34" s="78">
        <v>0</v>
      </c>
      <c r="G34" s="78">
        <v>0</v>
      </c>
      <c r="H34" s="91"/>
      <c r="I34" s="91"/>
    </row>
    <row r="35" spans="2:9" hidden="1">
      <c r="B35" s="97" t="s">
        <v>66</v>
      </c>
      <c r="C35" s="94"/>
      <c r="D35" s="86" t="s">
        <v>57</v>
      </c>
      <c r="E35" s="94" t="s">
        <v>58</v>
      </c>
      <c r="F35" s="86" t="s">
        <v>57</v>
      </c>
      <c r="G35" s="86" t="s">
        <v>57</v>
      </c>
      <c r="H35" s="86" t="s">
        <v>57</v>
      </c>
      <c r="I35" s="86" t="s">
        <v>57</v>
      </c>
    </row>
    <row r="36" spans="2:9" ht="12.75" hidden="1">
      <c r="B36" s="78" t="s">
        <v>73</v>
      </c>
      <c r="C36" s="79"/>
      <c r="D36" s="78">
        <v>0</v>
      </c>
      <c r="E36" s="92"/>
      <c r="F36" s="78">
        <v>0</v>
      </c>
      <c r="G36" s="78">
        <v>0</v>
      </c>
      <c r="H36" s="78">
        <v>0</v>
      </c>
      <c r="I36" s="78">
        <v>0</v>
      </c>
    </row>
    <row r="37" spans="2:9" hidden="1">
      <c r="D37" s="92"/>
      <c r="E37" s="92"/>
      <c r="F37" s="91"/>
      <c r="G37" s="91"/>
      <c r="H37" s="91"/>
      <c r="I37" s="91"/>
    </row>
    <row r="38" spans="2:9" ht="12.75" hidden="1">
      <c r="B38" s="79"/>
      <c r="C38" s="78" t="s">
        <v>106</v>
      </c>
      <c r="D38" s="78">
        <v>0</v>
      </c>
      <c r="E38" s="92"/>
      <c r="F38" s="91"/>
      <c r="G38" s="91"/>
      <c r="H38" s="91"/>
      <c r="I38" s="78">
        <v>0</v>
      </c>
    </row>
    <row r="39" spans="2:9" ht="10.5" hidden="1" customHeight="1">
      <c r="B39" s="79"/>
      <c r="C39" s="78" t="s">
        <v>105</v>
      </c>
      <c r="D39" s="78">
        <v>0</v>
      </c>
      <c r="E39" s="92"/>
      <c r="F39" s="91"/>
      <c r="G39" s="91"/>
      <c r="H39" s="91"/>
      <c r="I39" s="78">
        <v>0</v>
      </c>
    </row>
    <row r="40" spans="2:9" ht="12.75" hidden="1">
      <c r="B40" s="79"/>
      <c r="C40" s="78" t="s">
        <v>107</v>
      </c>
      <c r="D40" s="78">
        <v>0</v>
      </c>
      <c r="E40" s="92"/>
      <c r="F40" s="91"/>
      <c r="G40" s="91"/>
      <c r="H40" s="91"/>
      <c r="I40" s="78">
        <v>0</v>
      </c>
    </row>
    <row r="41" spans="2:9" ht="12.75">
      <c r="B41" s="79"/>
      <c r="C41" s="78" t="s">
        <v>108</v>
      </c>
      <c r="D41" s="78">
        <v>240496.22</v>
      </c>
      <c r="E41" s="92"/>
      <c r="F41" s="91"/>
      <c r="G41" s="91"/>
      <c r="H41" s="91"/>
      <c r="I41" s="78">
        <v>240496.22</v>
      </c>
    </row>
    <row r="42" spans="2:9" ht="12.75">
      <c r="B42" s="79"/>
      <c r="C42" s="78" t="s">
        <v>109</v>
      </c>
      <c r="D42" s="78">
        <v>138193.71</v>
      </c>
      <c r="E42" s="92"/>
      <c r="F42" s="91"/>
      <c r="G42" s="91"/>
      <c r="H42" s="91"/>
      <c r="I42" s="78">
        <v>138193.71</v>
      </c>
    </row>
    <row r="43" spans="2:9" ht="12.75">
      <c r="B43" s="79"/>
      <c r="C43" s="78" t="s">
        <v>110</v>
      </c>
      <c r="D43" s="78">
        <v>4676841.32</v>
      </c>
      <c r="E43" s="92"/>
      <c r="F43" s="91"/>
      <c r="G43" s="91"/>
      <c r="H43" s="91"/>
      <c r="I43" s="78">
        <v>4676841.32</v>
      </c>
    </row>
    <row r="44" spans="2:9" ht="12.75" hidden="1">
      <c r="B44" s="79"/>
      <c r="C44" s="78" t="s">
        <v>74</v>
      </c>
      <c r="D44" s="78">
        <v>0</v>
      </c>
      <c r="E44" s="92"/>
      <c r="F44" s="91"/>
      <c r="G44" s="91"/>
      <c r="H44" s="91"/>
      <c r="I44" s="78">
        <v>0</v>
      </c>
    </row>
    <row r="45" spans="2:9" ht="12.75" hidden="1">
      <c r="B45" s="79"/>
      <c r="C45" s="78" t="s">
        <v>75</v>
      </c>
      <c r="D45" s="78">
        <v>0</v>
      </c>
      <c r="E45" s="92"/>
      <c r="F45" s="91"/>
      <c r="G45" s="91"/>
      <c r="H45" s="91"/>
      <c r="I45" s="78">
        <v>0</v>
      </c>
    </row>
    <row r="46" spans="2:9" ht="12.75" hidden="1">
      <c r="B46" s="79"/>
      <c r="C46" s="78" t="s">
        <v>76</v>
      </c>
      <c r="D46" s="78">
        <v>0</v>
      </c>
      <c r="E46" s="92"/>
      <c r="F46" s="91"/>
      <c r="G46" s="91"/>
      <c r="H46" s="91"/>
      <c r="I46" s="78">
        <v>0</v>
      </c>
    </row>
    <row r="47" spans="2:9" ht="12.75" hidden="1">
      <c r="B47" s="79"/>
      <c r="C47" s="78" t="s">
        <v>111</v>
      </c>
      <c r="D47" s="78">
        <v>0</v>
      </c>
      <c r="E47" s="92"/>
      <c r="F47" s="91"/>
      <c r="G47" s="91"/>
      <c r="H47" s="91"/>
      <c r="I47" s="78">
        <v>0</v>
      </c>
    </row>
    <row r="48" spans="2:9" ht="12.75">
      <c r="B48" s="79"/>
      <c r="C48" s="78" t="s">
        <v>77</v>
      </c>
      <c r="D48" s="78">
        <v>6908388.9000000004</v>
      </c>
      <c r="E48" s="92"/>
      <c r="F48" s="91"/>
      <c r="G48" s="91"/>
      <c r="H48" s="91"/>
      <c r="I48" s="78">
        <v>6908388.9000000004</v>
      </c>
    </row>
    <row r="49" spans="2:9" ht="12.75">
      <c r="B49" s="79"/>
      <c r="C49" s="78" t="s">
        <v>112</v>
      </c>
      <c r="D49" s="78">
        <v>94202856.370000005</v>
      </c>
      <c r="E49" s="92"/>
      <c r="F49" s="91"/>
      <c r="G49" s="91"/>
      <c r="H49" s="91"/>
      <c r="I49" s="78">
        <v>94202856.370000005</v>
      </c>
    </row>
    <row r="50" spans="2:9" ht="12.75" hidden="1">
      <c r="B50" s="79"/>
      <c r="C50" s="78" t="s">
        <v>113</v>
      </c>
      <c r="D50" s="78">
        <v>0</v>
      </c>
      <c r="E50" s="92"/>
      <c r="F50" s="91"/>
      <c r="G50" s="91"/>
      <c r="H50" s="91"/>
      <c r="I50" s="78">
        <v>0</v>
      </c>
    </row>
    <row r="51" spans="2:9" ht="10.5" hidden="1" customHeight="1">
      <c r="B51" s="79"/>
      <c r="C51" s="78" t="s">
        <v>114</v>
      </c>
      <c r="D51" s="78">
        <v>0</v>
      </c>
      <c r="E51" s="92"/>
      <c r="F51" s="91"/>
      <c r="G51" s="91"/>
      <c r="H51" s="91"/>
      <c r="I51" s="78">
        <v>0</v>
      </c>
    </row>
    <row r="52" spans="2:9" ht="12.75" hidden="1">
      <c r="B52" s="79"/>
      <c r="C52" s="78" t="s">
        <v>78</v>
      </c>
      <c r="D52" s="78">
        <v>0</v>
      </c>
      <c r="E52" s="92"/>
      <c r="F52" s="91"/>
      <c r="G52" s="91"/>
      <c r="H52" s="91"/>
      <c r="I52" s="78">
        <v>0</v>
      </c>
    </row>
    <row r="53" spans="2:9" ht="12.75" hidden="1">
      <c r="B53" s="79"/>
      <c r="C53" s="98" t="s">
        <v>115</v>
      </c>
      <c r="D53" s="78">
        <v>0</v>
      </c>
      <c r="E53" s="92"/>
      <c r="F53" s="91"/>
      <c r="G53" s="91"/>
      <c r="H53" s="91"/>
      <c r="I53" s="78">
        <v>0</v>
      </c>
    </row>
    <row r="54" spans="2:9" ht="12.75" hidden="1">
      <c r="B54" s="79"/>
      <c r="C54" s="78" t="s">
        <v>116</v>
      </c>
      <c r="D54" s="78">
        <v>0</v>
      </c>
      <c r="E54" s="92"/>
      <c r="F54" s="91"/>
      <c r="G54" s="91"/>
      <c r="H54" s="91"/>
      <c r="I54" s="78">
        <v>0</v>
      </c>
    </row>
    <row r="55" spans="2:9" ht="12.75" hidden="1">
      <c r="B55" s="79"/>
      <c r="C55" s="78" t="s">
        <v>117</v>
      </c>
      <c r="D55" s="78">
        <v>0</v>
      </c>
      <c r="E55" s="92"/>
      <c r="F55" s="91"/>
      <c r="G55" s="91"/>
      <c r="H55" s="91"/>
      <c r="I55" s="78">
        <v>0</v>
      </c>
    </row>
    <row r="56" spans="2:9" ht="12.75" hidden="1">
      <c r="B56" s="79"/>
      <c r="C56" s="78" t="s">
        <v>79</v>
      </c>
      <c r="D56" s="78">
        <v>0</v>
      </c>
      <c r="E56" s="92"/>
      <c r="F56" s="91"/>
      <c r="G56" s="91"/>
      <c r="H56" s="91"/>
      <c r="I56" s="78">
        <v>0</v>
      </c>
    </row>
    <row r="57" spans="2:9" ht="12.75" hidden="1">
      <c r="B57" s="79"/>
      <c r="C57" s="78" t="s">
        <v>82</v>
      </c>
      <c r="D57" s="78">
        <v>0</v>
      </c>
      <c r="E57" s="92"/>
      <c r="F57" s="91"/>
      <c r="G57" s="91"/>
      <c r="H57" s="91"/>
      <c r="I57" s="78">
        <v>0</v>
      </c>
    </row>
    <row r="58" spans="2:9" ht="12.75" hidden="1">
      <c r="B58" s="79"/>
      <c r="C58" s="78" t="s">
        <v>83</v>
      </c>
      <c r="D58" s="78">
        <v>0</v>
      </c>
      <c r="E58" s="92"/>
      <c r="F58" s="91"/>
      <c r="G58" s="91"/>
      <c r="H58" s="91"/>
      <c r="I58" s="78">
        <v>0</v>
      </c>
    </row>
    <row r="59" spans="2:9" ht="10.5" hidden="1" customHeight="1">
      <c r="B59" s="79"/>
      <c r="C59" s="78" t="s">
        <v>118</v>
      </c>
      <c r="D59" s="78">
        <v>0</v>
      </c>
      <c r="E59" s="92"/>
      <c r="F59" s="91"/>
      <c r="G59" s="91"/>
      <c r="H59" s="91"/>
      <c r="I59" s="78">
        <v>0</v>
      </c>
    </row>
    <row r="60" spans="2:9" ht="12.75" hidden="1">
      <c r="B60" s="79"/>
      <c r="C60" s="78" t="s">
        <v>119</v>
      </c>
      <c r="D60" s="78">
        <v>0</v>
      </c>
      <c r="E60" s="92"/>
      <c r="F60" s="91"/>
      <c r="G60" s="91"/>
      <c r="H60" s="91"/>
      <c r="I60" s="78">
        <v>0</v>
      </c>
    </row>
    <row r="61" spans="2:9" ht="12.75" hidden="1">
      <c r="B61" s="79"/>
      <c r="C61" s="78" t="s">
        <v>120</v>
      </c>
      <c r="D61" s="78">
        <v>0</v>
      </c>
      <c r="E61" s="92"/>
      <c r="F61" s="91"/>
      <c r="G61" s="91"/>
      <c r="H61" s="91"/>
      <c r="I61" s="78">
        <v>0</v>
      </c>
    </row>
    <row r="62" spans="2:9" ht="12.75" hidden="1">
      <c r="B62" s="79"/>
      <c r="C62" s="78" t="s">
        <v>121</v>
      </c>
      <c r="D62" s="78">
        <v>0</v>
      </c>
      <c r="E62" s="92"/>
      <c r="F62" s="91"/>
      <c r="G62" s="91"/>
      <c r="H62" s="91"/>
      <c r="I62" s="78">
        <v>0</v>
      </c>
    </row>
    <row r="63" spans="2:9" ht="12.75">
      <c r="B63" s="79"/>
      <c r="C63" s="78" t="s">
        <v>122</v>
      </c>
      <c r="D63" s="78">
        <v>5041532.5</v>
      </c>
      <c r="E63" s="92"/>
      <c r="F63" s="91"/>
      <c r="G63" s="91"/>
      <c r="H63" s="91"/>
      <c r="I63" s="78">
        <v>5041532.5</v>
      </c>
    </row>
    <row r="64" spans="2:9" ht="12.75" hidden="1">
      <c r="B64" s="79"/>
      <c r="C64" s="82" t="s">
        <v>123</v>
      </c>
      <c r="D64" s="78">
        <v>0</v>
      </c>
      <c r="E64" s="92"/>
      <c r="F64" s="91"/>
      <c r="G64" s="91"/>
      <c r="H64" s="91"/>
      <c r="I64" s="78">
        <v>0</v>
      </c>
    </row>
    <row r="65" spans="2:9" ht="12.75" hidden="1">
      <c r="B65" s="79"/>
      <c r="C65" s="82" t="s">
        <v>124</v>
      </c>
      <c r="D65" s="78">
        <v>0</v>
      </c>
      <c r="E65" s="92"/>
      <c r="F65" s="91"/>
      <c r="G65" s="91"/>
      <c r="H65" s="91"/>
      <c r="I65" s="78">
        <v>0</v>
      </c>
    </row>
    <row r="66" spans="2:9" ht="12.75" hidden="1">
      <c r="B66" s="79"/>
      <c r="C66" s="78" t="s">
        <v>125</v>
      </c>
      <c r="D66" s="78">
        <v>0</v>
      </c>
      <c r="E66" s="92"/>
      <c r="F66" s="91"/>
      <c r="G66" s="91"/>
      <c r="H66" s="91"/>
      <c r="I66" s="78">
        <v>0</v>
      </c>
    </row>
    <row r="67" spans="2:9" ht="10.5" hidden="1" customHeight="1">
      <c r="B67" s="79"/>
      <c r="C67" s="78" t="s">
        <v>126</v>
      </c>
      <c r="D67" s="78">
        <v>0</v>
      </c>
      <c r="E67" s="92"/>
      <c r="F67" s="91"/>
      <c r="G67" s="91"/>
      <c r="H67" s="91"/>
      <c r="I67" s="78">
        <v>0</v>
      </c>
    </row>
    <row r="68" spans="2:9" ht="12.75" hidden="1">
      <c r="B68" s="79"/>
      <c r="C68" s="78" t="s">
        <v>127</v>
      </c>
      <c r="D68" s="78">
        <v>0</v>
      </c>
      <c r="E68" s="92"/>
      <c r="F68" s="91"/>
      <c r="G68" s="91"/>
      <c r="H68" s="91"/>
      <c r="I68" s="78">
        <v>0</v>
      </c>
    </row>
    <row r="69" spans="2:9" ht="10.5" hidden="1" customHeight="1">
      <c r="B69" s="79"/>
      <c r="C69" s="78" t="s">
        <v>86</v>
      </c>
      <c r="D69" s="78">
        <v>0</v>
      </c>
      <c r="E69" s="92"/>
      <c r="F69" s="91"/>
      <c r="G69" s="91"/>
      <c r="H69" s="91"/>
      <c r="I69" s="78">
        <v>0</v>
      </c>
    </row>
    <row r="70" spans="2:9" ht="12.75" hidden="1">
      <c r="B70" s="79"/>
      <c r="C70" s="78" t="s">
        <v>128</v>
      </c>
      <c r="D70" s="78">
        <v>0</v>
      </c>
      <c r="E70" s="92"/>
      <c r="F70" s="91"/>
      <c r="G70" s="91"/>
      <c r="H70" s="91"/>
      <c r="I70" s="78">
        <v>0</v>
      </c>
    </row>
    <row r="71" spans="2:9" ht="10.5" hidden="1" customHeight="1">
      <c r="B71" s="79"/>
      <c r="C71" s="78" t="s">
        <v>87</v>
      </c>
      <c r="D71" s="78">
        <v>0</v>
      </c>
      <c r="E71" s="92"/>
      <c r="F71" s="91"/>
      <c r="G71" s="91"/>
      <c r="H71" s="91"/>
      <c r="I71" s="78">
        <v>0</v>
      </c>
    </row>
    <row r="72" spans="2:9" ht="12.75" hidden="1">
      <c r="B72" s="79"/>
      <c r="C72" s="82" t="s">
        <v>129</v>
      </c>
      <c r="D72" s="78">
        <v>0</v>
      </c>
      <c r="E72" s="92"/>
      <c r="F72" s="91"/>
      <c r="G72" s="91"/>
      <c r="H72" s="91"/>
      <c r="I72" s="78">
        <v>0</v>
      </c>
    </row>
    <row r="73" spans="2:9" ht="12.75" hidden="1">
      <c r="B73" s="79"/>
      <c r="C73" s="82" t="s">
        <v>88</v>
      </c>
      <c r="D73" s="78">
        <v>0</v>
      </c>
      <c r="E73" s="92"/>
      <c r="F73" s="91"/>
      <c r="G73" s="91"/>
      <c r="H73" s="91"/>
      <c r="I73" s="78">
        <v>0</v>
      </c>
    </row>
    <row r="74" spans="2:9" ht="12.75" hidden="1">
      <c r="B74" s="79"/>
      <c r="C74" s="82"/>
      <c r="E74" s="92"/>
      <c r="F74" s="91"/>
      <c r="G74" s="91"/>
      <c r="H74" s="91"/>
    </row>
    <row r="75" spans="2:9" ht="12.75" hidden="1">
      <c r="B75" s="98" t="s">
        <v>130</v>
      </c>
      <c r="C75" s="82"/>
      <c r="E75" s="92"/>
      <c r="F75" s="91"/>
      <c r="G75" s="91"/>
      <c r="H75" s="91"/>
    </row>
    <row r="76" spans="2:9" ht="12.75" hidden="1">
      <c r="B76" s="79"/>
      <c r="C76" s="78" t="s">
        <v>80</v>
      </c>
      <c r="D76" s="78">
        <v>0</v>
      </c>
      <c r="E76" s="92"/>
      <c r="F76" s="91"/>
      <c r="G76" s="91"/>
      <c r="H76" s="91"/>
      <c r="I76" s="78">
        <v>0</v>
      </c>
    </row>
    <row r="77" spans="2:9" ht="12.75" hidden="1">
      <c r="B77" s="79"/>
      <c r="C77" s="78" t="s">
        <v>81</v>
      </c>
      <c r="D77" s="78">
        <v>0</v>
      </c>
      <c r="E77" s="92"/>
      <c r="F77" s="91"/>
      <c r="G77" s="91"/>
      <c r="H77" s="91"/>
      <c r="I77" s="78">
        <v>0</v>
      </c>
    </row>
    <row r="78" spans="2:9" ht="12.75" hidden="1">
      <c r="B78" s="79"/>
      <c r="C78" s="78" t="s">
        <v>84</v>
      </c>
      <c r="D78" s="78">
        <v>0</v>
      </c>
      <c r="E78" s="92"/>
      <c r="F78" s="91"/>
      <c r="G78" s="91"/>
      <c r="H78" s="91"/>
      <c r="I78" s="78">
        <v>0</v>
      </c>
    </row>
    <row r="79" spans="2:9" ht="12.75" hidden="1">
      <c r="B79" s="79"/>
      <c r="C79" s="78" t="s">
        <v>85</v>
      </c>
      <c r="D79" s="78">
        <v>0</v>
      </c>
      <c r="E79" s="92"/>
      <c r="F79" s="91"/>
      <c r="G79" s="91"/>
      <c r="H79" s="91"/>
      <c r="I79" s="78">
        <v>0</v>
      </c>
    </row>
    <row r="80" spans="2:9" ht="12.75">
      <c r="B80" s="79"/>
      <c r="D80" s="92"/>
      <c r="E80" s="92"/>
      <c r="F80" s="91"/>
      <c r="G80" s="91"/>
      <c r="H80" s="91"/>
      <c r="I80" s="91"/>
    </row>
    <row r="81" spans="1:9" ht="12.75">
      <c r="B81" s="79"/>
      <c r="C81" s="79" t="s">
        <v>134</v>
      </c>
      <c r="D81" s="78">
        <v>152511794.24000001</v>
      </c>
      <c r="E81" s="92"/>
      <c r="F81" s="91"/>
      <c r="G81" s="91"/>
      <c r="H81" s="91"/>
      <c r="I81" s="78">
        <v>152511794.24000001</v>
      </c>
    </row>
    <row r="82" spans="1:9">
      <c r="B82" s="97" t="s">
        <v>66</v>
      </c>
      <c r="C82" s="94"/>
      <c r="D82" s="86" t="s">
        <v>57</v>
      </c>
      <c r="E82" s="94" t="s">
        <v>58</v>
      </c>
      <c r="F82" s="86" t="s">
        <v>57</v>
      </c>
      <c r="G82" s="86" t="s">
        <v>57</v>
      </c>
      <c r="H82" s="86" t="s">
        <v>57</v>
      </c>
      <c r="I82" s="86" t="s">
        <v>57</v>
      </c>
    </row>
    <row r="83" spans="1:9" ht="12.75">
      <c r="B83" s="78" t="s">
        <v>89</v>
      </c>
      <c r="C83" s="79"/>
      <c r="D83" s="78">
        <v>263720103.26000002</v>
      </c>
      <c r="E83" s="92"/>
      <c r="F83" s="78">
        <v>0</v>
      </c>
      <c r="G83" s="78">
        <v>0</v>
      </c>
      <c r="H83" s="78">
        <v>0</v>
      </c>
      <c r="I83" s="78">
        <v>263720103.26000002</v>
      </c>
    </row>
    <row r="84" spans="1:9">
      <c r="B84" s="78" t="s">
        <v>135</v>
      </c>
      <c r="D84" s="78">
        <v>11379603.43</v>
      </c>
      <c r="E84" s="92"/>
      <c r="F84" s="94"/>
      <c r="I84" s="78">
        <v>11379603.43</v>
      </c>
    </row>
    <row r="85" spans="1:9" ht="12.75">
      <c r="B85" s="78" t="s">
        <v>90</v>
      </c>
      <c r="C85" s="79"/>
      <c r="D85" s="78">
        <v>0</v>
      </c>
      <c r="E85" s="92"/>
      <c r="H85" s="78">
        <v>0</v>
      </c>
      <c r="I85" s="91"/>
    </row>
    <row r="86" spans="1:9">
      <c r="D86" s="86" t="s">
        <v>57</v>
      </c>
      <c r="E86" s="94" t="s">
        <v>58</v>
      </c>
      <c r="F86" s="86" t="s">
        <v>57</v>
      </c>
      <c r="G86" s="86" t="s">
        <v>57</v>
      </c>
      <c r="H86" s="86" t="s">
        <v>57</v>
      </c>
      <c r="I86" s="86" t="s">
        <v>57</v>
      </c>
    </row>
    <row r="87" spans="1:9">
      <c r="A87" s="78" t="s">
        <v>91</v>
      </c>
      <c r="D87" s="78">
        <v>312678947.67000002</v>
      </c>
      <c r="E87" s="92"/>
      <c r="F87" s="78">
        <v>26575729.524420187</v>
      </c>
      <c r="G87" s="78">
        <v>7949108.9455798157</v>
      </c>
      <c r="H87" s="78">
        <v>0</v>
      </c>
      <c r="I87" s="78">
        <v>278154109.19999999</v>
      </c>
    </row>
    <row r="88" spans="1:9">
      <c r="D88" s="92"/>
      <c r="E88" s="92"/>
      <c r="F88" s="92"/>
      <c r="G88" s="92"/>
      <c r="H88" s="92"/>
      <c r="I88" s="92"/>
    </row>
    <row r="89" spans="1:9">
      <c r="D89" s="92"/>
      <c r="E89" s="92"/>
      <c r="F89" s="92"/>
      <c r="G89" s="92"/>
      <c r="H89" s="92"/>
      <c r="I89" s="92"/>
    </row>
    <row r="90" spans="1:9">
      <c r="A90" s="78" t="s">
        <v>92</v>
      </c>
      <c r="F90" s="91"/>
      <c r="G90" s="91"/>
      <c r="H90" s="91"/>
      <c r="I90" s="91"/>
    </row>
    <row r="91" spans="1:9">
      <c r="F91" s="91"/>
      <c r="G91" s="91"/>
      <c r="H91" s="91"/>
      <c r="I91" s="91"/>
    </row>
    <row r="92" spans="1:9" s="79" customFormat="1" ht="12.75">
      <c r="A92" s="78"/>
      <c r="B92" s="78" t="s">
        <v>93</v>
      </c>
      <c r="D92" s="78">
        <v>27492324.290000007</v>
      </c>
      <c r="E92" s="92"/>
      <c r="F92" s="78">
        <v>27492324.290000007</v>
      </c>
      <c r="G92" s="91"/>
      <c r="H92" s="91"/>
      <c r="I92" s="91"/>
    </row>
    <row r="93" spans="1:9" ht="12.75" hidden="1">
      <c r="A93" s="79"/>
      <c r="B93" s="79"/>
      <c r="C93" s="79"/>
      <c r="D93" s="79"/>
      <c r="E93" s="79"/>
      <c r="F93" s="79"/>
      <c r="G93" s="79"/>
      <c r="H93" s="79"/>
      <c r="I93" s="79"/>
    </row>
    <row r="94" spans="1:9" ht="12.75" hidden="1">
      <c r="B94" s="78" t="s">
        <v>94</v>
      </c>
      <c r="C94" s="79"/>
      <c r="D94" s="78">
        <v>0</v>
      </c>
      <c r="E94" s="92"/>
      <c r="F94" s="78">
        <v>0</v>
      </c>
      <c r="G94" s="91"/>
      <c r="H94" s="91"/>
      <c r="I94" s="91"/>
    </row>
    <row r="95" spans="1:9" ht="12.75">
      <c r="C95" s="79"/>
      <c r="D95" s="92"/>
      <c r="E95" s="92"/>
      <c r="F95" s="91"/>
      <c r="G95" s="91"/>
      <c r="H95" s="91"/>
      <c r="I95" s="91"/>
    </row>
    <row r="96" spans="1:9" ht="12.75">
      <c r="B96" s="78" t="s">
        <v>54</v>
      </c>
      <c r="C96" s="79"/>
      <c r="D96" s="78">
        <v>80078614.709999993</v>
      </c>
      <c r="E96" s="92"/>
      <c r="F96" s="100"/>
      <c r="G96" s="91"/>
      <c r="H96" s="91"/>
      <c r="I96" s="78">
        <v>80078614.709999993</v>
      </c>
    </row>
    <row r="97" spans="1:9">
      <c r="F97" s="91"/>
      <c r="G97" s="91"/>
      <c r="H97" s="91"/>
      <c r="I97" s="91"/>
    </row>
    <row r="98" spans="1:9" s="79" customFormat="1" ht="12.75" hidden="1">
      <c r="A98" s="78"/>
      <c r="B98" s="79" t="s">
        <v>95</v>
      </c>
      <c r="C98" s="78"/>
      <c r="D98" s="78">
        <v>0</v>
      </c>
      <c r="E98" s="92"/>
      <c r="F98" s="91"/>
      <c r="H98" s="78">
        <v>0</v>
      </c>
      <c r="I98" s="91"/>
    </row>
    <row r="99" spans="1:9" ht="12.75" hidden="1">
      <c r="A99" s="79"/>
      <c r="B99" s="79"/>
      <c r="C99" s="79"/>
      <c r="D99" s="79"/>
      <c r="E99" s="79"/>
      <c r="F99" s="79"/>
      <c r="G99" s="79"/>
      <c r="H99" s="79"/>
      <c r="I99" s="79"/>
    </row>
    <row r="100" spans="1:9">
      <c r="D100" s="86" t="s">
        <v>57</v>
      </c>
      <c r="E100" s="94" t="s">
        <v>58</v>
      </c>
      <c r="F100" s="86" t="s">
        <v>57</v>
      </c>
      <c r="G100" s="86" t="s">
        <v>57</v>
      </c>
      <c r="H100" s="86" t="s">
        <v>57</v>
      </c>
      <c r="I100" s="86" t="s">
        <v>57</v>
      </c>
    </row>
    <row r="101" spans="1:9" s="79" customFormat="1" ht="12.75">
      <c r="A101" s="78" t="s">
        <v>96</v>
      </c>
      <c r="B101" s="78"/>
      <c r="C101" s="78"/>
      <c r="D101" s="78">
        <v>107570939</v>
      </c>
      <c r="E101" s="92"/>
      <c r="F101" s="78">
        <v>27492324.290000007</v>
      </c>
      <c r="G101" s="78">
        <v>0</v>
      </c>
      <c r="H101" s="78">
        <v>0</v>
      </c>
      <c r="I101" s="78">
        <v>80078614.709999993</v>
      </c>
    </row>
    <row r="102" spans="1:9" s="79" customFormat="1" ht="12.75">
      <c r="A102" s="78"/>
      <c r="B102" s="78"/>
      <c r="C102" s="78"/>
      <c r="D102" s="78"/>
      <c r="E102" s="78"/>
      <c r="G102" s="78"/>
      <c r="H102" s="78"/>
      <c r="I102" s="78"/>
    </row>
    <row r="103" spans="1:9" s="79" customFormat="1" ht="12.75">
      <c r="A103" s="78" t="s">
        <v>97</v>
      </c>
      <c r="B103" s="78"/>
      <c r="C103" s="78"/>
      <c r="D103" s="78"/>
      <c r="E103" s="78"/>
      <c r="G103" s="78"/>
      <c r="H103" s="78"/>
      <c r="I103" s="78"/>
    </row>
    <row r="104" spans="1:9" s="79" customFormat="1" ht="12.75" hidden="1">
      <c r="A104" s="78"/>
      <c r="B104" s="92" t="s">
        <v>136</v>
      </c>
      <c r="C104" s="78"/>
      <c r="D104" s="78">
        <v>0</v>
      </c>
      <c r="E104" s="92"/>
      <c r="G104" s="78"/>
      <c r="H104" s="78">
        <v>0</v>
      </c>
      <c r="I104" s="99"/>
    </row>
    <row r="105" spans="1:9" s="79" customFormat="1" ht="12.75" hidden="1">
      <c r="A105" s="78"/>
      <c r="B105" s="92" t="s">
        <v>137</v>
      </c>
      <c r="C105" s="78"/>
      <c r="D105" s="78">
        <v>0</v>
      </c>
      <c r="E105" s="92"/>
      <c r="G105" s="78"/>
      <c r="H105" s="78">
        <v>0</v>
      </c>
      <c r="I105" s="99"/>
    </row>
    <row r="106" spans="1:9" s="79" customFormat="1" ht="12.75">
      <c r="A106" s="78"/>
      <c r="B106" s="92" t="s">
        <v>138</v>
      </c>
      <c r="C106" s="78"/>
      <c r="D106" s="78">
        <v>6515112.7199999997</v>
      </c>
      <c r="E106" s="92"/>
      <c r="G106" s="78"/>
      <c r="H106" s="78">
        <v>6515112.7199999997</v>
      </c>
      <c r="I106" s="99"/>
    </row>
    <row r="107" spans="1:9" s="79" customFormat="1" ht="12.75" hidden="1">
      <c r="A107" s="78"/>
      <c r="B107" s="92" t="s">
        <v>139</v>
      </c>
      <c r="C107" s="78"/>
      <c r="D107" s="78">
        <v>0</v>
      </c>
      <c r="E107" s="92"/>
      <c r="G107" s="78"/>
      <c r="H107" s="78">
        <v>0</v>
      </c>
      <c r="I107" s="99"/>
    </row>
    <row r="108" spans="1:9" s="79" customFormat="1" ht="12.75">
      <c r="A108" s="78"/>
      <c r="B108" s="92" t="s">
        <v>98</v>
      </c>
      <c r="C108" s="78"/>
      <c r="D108" s="78">
        <v>79960709.337342098</v>
      </c>
      <c r="E108" s="92"/>
      <c r="G108" s="78"/>
      <c r="H108" s="78">
        <v>79960709.337342098</v>
      </c>
      <c r="I108" s="99"/>
    </row>
    <row r="109" spans="1:9" s="79" customFormat="1" ht="12.75" hidden="1">
      <c r="A109" s="78"/>
      <c r="B109" s="92" t="s">
        <v>99</v>
      </c>
      <c r="C109" s="78"/>
      <c r="D109" s="78">
        <v>0</v>
      </c>
      <c r="E109" s="92"/>
      <c r="G109" s="78"/>
      <c r="H109" s="78">
        <v>0</v>
      </c>
      <c r="I109" s="99"/>
    </row>
    <row r="110" spans="1:9" s="79" customFormat="1" ht="12.75" hidden="1">
      <c r="A110" s="78"/>
      <c r="B110" s="92" t="s">
        <v>140</v>
      </c>
      <c r="C110" s="78"/>
      <c r="D110" s="78">
        <v>0</v>
      </c>
      <c r="E110" s="92"/>
      <c r="G110" s="78"/>
      <c r="H110" s="78">
        <v>0</v>
      </c>
      <c r="I110" s="99"/>
    </row>
    <row r="111" spans="1:9" s="79" customFormat="1" ht="12.75" hidden="1">
      <c r="A111" s="78"/>
      <c r="B111" s="92" t="s">
        <v>141</v>
      </c>
      <c r="C111" s="78"/>
      <c r="D111" s="78">
        <v>0</v>
      </c>
      <c r="E111" s="92"/>
      <c r="G111" s="78"/>
      <c r="H111" s="78">
        <v>0</v>
      </c>
      <c r="I111" s="99"/>
    </row>
    <row r="112" spans="1:9" s="79" customFormat="1" ht="12.75" hidden="1">
      <c r="A112" s="78"/>
      <c r="B112" s="92" t="s">
        <v>142</v>
      </c>
      <c r="C112" s="78"/>
      <c r="D112" s="78">
        <v>0</v>
      </c>
      <c r="E112" s="92"/>
      <c r="G112" s="78"/>
      <c r="H112" s="78">
        <v>0</v>
      </c>
      <c r="I112" s="99"/>
    </row>
    <row r="113" spans="1:9" s="79" customFormat="1" ht="12.75" hidden="1">
      <c r="A113" s="78"/>
      <c r="B113" s="92" t="s">
        <v>143</v>
      </c>
      <c r="C113" s="78"/>
      <c r="D113" s="78">
        <v>0</v>
      </c>
      <c r="E113" s="92"/>
      <c r="F113" s="94"/>
      <c r="G113" s="78"/>
      <c r="H113" s="78">
        <v>0</v>
      </c>
      <c r="I113" s="99"/>
    </row>
    <row r="114" spans="1:9" s="79" customFormat="1" ht="12.75">
      <c r="A114" s="78"/>
      <c r="B114" s="92" t="s">
        <v>144</v>
      </c>
      <c r="C114" s="78"/>
      <c r="D114" s="78">
        <v>72500936.25112085</v>
      </c>
      <c r="E114" s="92"/>
      <c r="F114" s="94"/>
      <c r="G114" s="78"/>
      <c r="H114" s="78">
        <v>72500936.25112085</v>
      </c>
      <c r="I114" s="99"/>
    </row>
    <row r="115" spans="1:9" s="79" customFormat="1" ht="12.75" hidden="1">
      <c r="A115" s="78"/>
      <c r="B115" s="92" t="s">
        <v>145</v>
      </c>
      <c r="C115" s="78"/>
      <c r="D115" s="78">
        <v>0</v>
      </c>
      <c r="E115" s="92"/>
      <c r="F115" s="94"/>
      <c r="G115" s="78"/>
      <c r="H115" s="78">
        <v>0</v>
      </c>
      <c r="I115" s="99"/>
    </row>
    <row r="116" spans="1:9" s="79" customFormat="1" ht="12.75" hidden="1">
      <c r="A116" s="78"/>
      <c r="B116" s="92" t="s">
        <v>146</v>
      </c>
      <c r="C116" s="78"/>
      <c r="D116" s="78">
        <v>0</v>
      </c>
      <c r="E116" s="92"/>
      <c r="F116" s="94"/>
      <c r="G116" s="78"/>
      <c r="H116" s="78">
        <v>0</v>
      </c>
      <c r="I116" s="99"/>
    </row>
    <row r="117" spans="1:9" s="79" customFormat="1" ht="12.75">
      <c r="A117" s="78"/>
      <c r="B117" s="92" t="s">
        <v>147</v>
      </c>
      <c r="C117" s="78"/>
      <c r="D117" s="78">
        <v>167442395.97999999</v>
      </c>
      <c r="E117" s="92"/>
      <c r="F117" s="94"/>
      <c r="G117" s="78"/>
      <c r="H117" s="78">
        <v>167442395.97999999</v>
      </c>
      <c r="I117" s="99"/>
    </row>
    <row r="118" spans="1:9" s="79" customFormat="1" ht="12.75" hidden="1">
      <c r="A118" s="78"/>
      <c r="B118" s="92" t="s">
        <v>148</v>
      </c>
      <c r="C118" s="78"/>
      <c r="D118" s="78">
        <v>0</v>
      </c>
      <c r="E118" s="92"/>
      <c r="F118" s="94"/>
      <c r="G118" s="78"/>
      <c r="H118" s="78">
        <v>0</v>
      </c>
      <c r="I118" s="99"/>
    </row>
    <row r="119" spans="1:9" s="79" customFormat="1" ht="12.75" hidden="1">
      <c r="A119" s="78"/>
      <c r="B119" s="92" t="s">
        <v>149</v>
      </c>
      <c r="C119" s="78"/>
      <c r="D119" s="78">
        <v>0</v>
      </c>
      <c r="E119" s="92"/>
      <c r="F119" s="94"/>
      <c r="G119" s="78"/>
      <c r="H119" s="78">
        <v>0</v>
      </c>
      <c r="I119" s="99"/>
    </row>
    <row r="120" spans="1:9" s="79" customFormat="1" ht="12.75" hidden="1">
      <c r="A120" s="78"/>
      <c r="B120" s="92" t="s">
        <v>150</v>
      </c>
      <c r="C120" s="78"/>
      <c r="D120" s="78">
        <v>0</v>
      </c>
      <c r="E120" s="92"/>
      <c r="F120" s="94"/>
      <c r="G120" s="78"/>
      <c r="H120" s="78">
        <v>0</v>
      </c>
      <c r="I120" s="99"/>
    </row>
    <row r="121" spans="1:9" s="79" customFormat="1" ht="12.75" hidden="1" customHeight="1">
      <c r="A121" s="78"/>
      <c r="B121" s="92" t="s">
        <v>151</v>
      </c>
      <c r="C121" s="78"/>
      <c r="D121" s="78">
        <v>0</v>
      </c>
      <c r="E121" s="92"/>
      <c r="F121" s="94"/>
      <c r="G121" s="78"/>
      <c r="H121" s="78">
        <v>0</v>
      </c>
      <c r="I121" s="99"/>
    </row>
    <row r="122" spans="1:9" s="79" customFormat="1" ht="12.75" hidden="1">
      <c r="A122" s="78"/>
      <c r="B122" s="92" t="s">
        <v>152</v>
      </c>
      <c r="C122" s="78"/>
      <c r="D122" s="78">
        <v>0</v>
      </c>
      <c r="E122" s="92"/>
      <c r="F122" s="94"/>
      <c r="G122" s="78"/>
      <c r="H122" s="78">
        <v>0</v>
      </c>
      <c r="I122" s="99"/>
    </row>
    <row r="123" spans="1:9" s="79" customFormat="1" ht="12.75">
      <c r="A123" s="78"/>
      <c r="B123" s="78"/>
      <c r="C123" s="78"/>
      <c r="D123" s="86" t="s">
        <v>57</v>
      </c>
      <c r="E123" s="94" t="s">
        <v>58</v>
      </c>
      <c r="F123" s="86" t="s">
        <v>57</v>
      </c>
      <c r="G123" s="86" t="s">
        <v>57</v>
      </c>
      <c r="H123" s="86" t="s">
        <v>57</v>
      </c>
      <c r="I123" s="86" t="s">
        <v>57</v>
      </c>
    </row>
    <row r="124" spans="1:9" s="79" customFormat="1" ht="12.75">
      <c r="A124" s="78" t="s">
        <v>100</v>
      </c>
      <c r="B124" s="78"/>
      <c r="C124" s="78"/>
      <c r="D124" s="78">
        <v>326419154.28846294</v>
      </c>
      <c r="E124" s="92"/>
      <c r="F124" s="78">
        <v>0</v>
      </c>
      <c r="G124" s="78">
        <v>0</v>
      </c>
      <c r="H124" s="78">
        <v>326419154.28846294</v>
      </c>
      <c r="I124" s="78">
        <v>0</v>
      </c>
    </row>
    <row r="125" spans="1:9" s="79" customFormat="1" ht="12.75" hidden="1">
      <c r="A125" s="78"/>
      <c r="B125" s="78"/>
      <c r="C125" s="78"/>
      <c r="D125" s="101"/>
      <c r="E125" s="92"/>
      <c r="F125" s="92"/>
      <c r="G125" s="92"/>
      <c r="H125" s="92"/>
      <c r="I125" s="92"/>
    </row>
    <row r="126" spans="1:9" s="79" customFormat="1" ht="12.75" hidden="1">
      <c r="A126" s="78" t="s">
        <v>101</v>
      </c>
      <c r="B126" s="78"/>
      <c r="C126" s="78"/>
      <c r="D126" s="101"/>
      <c r="E126" s="92"/>
      <c r="F126" s="92"/>
      <c r="G126" s="92"/>
      <c r="H126" s="92"/>
      <c r="I126" s="92"/>
    </row>
    <row r="127" spans="1:9" s="79" customFormat="1" ht="12.75" hidden="1">
      <c r="A127" s="78"/>
      <c r="B127" s="92" t="s">
        <v>153</v>
      </c>
      <c r="C127" s="78"/>
      <c r="D127" s="78">
        <v>0</v>
      </c>
      <c r="E127" s="92"/>
      <c r="F127" s="94"/>
      <c r="G127" s="78"/>
      <c r="H127" s="78">
        <v>0</v>
      </c>
      <c r="I127" s="99"/>
    </row>
    <row r="128" spans="1:9" hidden="1">
      <c r="D128" s="86" t="s">
        <v>57</v>
      </c>
      <c r="E128" s="94" t="s">
        <v>58</v>
      </c>
      <c r="F128" s="86" t="s">
        <v>57</v>
      </c>
      <c r="G128" s="86" t="s">
        <v>57</v>
      </c>
      <c r="H128" s="86" t="s">
        <v>57</v>
      </c>
      <c r="I128" s="86" t="s">
        <v>57</v>
      </c>
    </row>
    <row r="129" spans="1:9" hidden="1">
      <c r="A129" s="78" t="s">
        <v>102</v>
      </c>
      <c r="D129" s="78">
        <v>0</v>
      </c>
      <c r="E129" s="92"/>
      <c r="F129" s="78">
        <v>0</v>
      </c>
      <c r="G129" s="78">
        <v>0</v>
      </c>
      <c r="H129" s="78">
        <v>0</v>
      </c>
      <c r="I129" s="78">
        <v>0</v>
      </c>
    </row>
    <row r="130" spans="1:9">
      <c r="D130" s="102" t="s">
        <v>103</v>
      </c>
      <c r="E130" s="94" t="s">
        <v>58</v>
      </c>
      <c r="F130" s="102" t="s">
        <v>103</v>
      </c>
      <c r="G130" s="102" t="s">
        <v>103</v>
      </c>
      <c r="H130" s="102" t="s">
        <v>103</v>
      </c>
      <c r="I130" s="102" t="s">
        <v>103</v>
      </c>
    </row>
    <row r="131" spans="1:9">
      <c r="A131" s="78" t="s">
        <v>104</v>
      </c>
      <c r="D131" s="78">
        <v>569914100.81846297</v>
      </c>
      <c r="E131" s="92" t="s">
        <v>58</v>
      </c>
      <c r="F131" s="78">
        <v>40751753.814420193</v>
      </c>
      <c r="G131" s="78">
        <v>7949108.9455798157</v>
      </c>
      <c r="H131" s="78">
        <v>326419154.28846294</v>
      </c>
      <c r="I131" s="78">
        <v>194794083.76999998</v>
      </c>
    </row>
    <row r="132" spans="1:9">
      <c r="D132" s="102" t="s">
        <v>103</v>
      </c>
      <c r="E132" s="94" t="s">
        <v>58</v>
      </c>
      <c r="F132" s="102" t="s">
        <v>103</v>
      </c>
      <c r="G132" s="102" t="s">
        <v>103</v>
      </c>
      <c r="H132" s="102" t="s">
        <v>103</v>
      </c>
      <c r="I132" s="102" t="s">
        <v>103</v>
      </c>
    </row>
    <row r="133" spans="1:9">
      <c r="D133" s="80" t="s">
        <v>188</v>
      </c>
    </row>
  </sheetData>
  <mergeCells count="1">
    <mergeCell ref="A6:C6"/>
  </mergeCells>
  <printOptions horizontalCentered="1"/>
  <pageMargins left="0.75" right="0.75" top="0.75" bottom="0.5" header="0.25" footer="0.25"/>
  <pageSetup scale="68" orientation="portrait" r:id="rId1"/>
  <headerFooter alignWithMargins="0">
    <oddHeader xml:space="preserve">&amp;RPage 5.2.&amp;P+3
</oddHeader>
  </headerFooter>
</worksheet>
</file>

<file path=xl/worksheets/sheet4.xml><?xml version="1.0" encoding="utf-8"?>
<worksheet xmlns="http://schemas.openxmlformats.org/spreadsheetml/2006/main" xmlns:r="http://schemas.openxmlformats.org/officeDocument/2006/relationships">
  <sheetPr codeName="Sheet21"/>
  <dimension ref="A1:S133"/>
  <sheetViews>
    <sheetView zoomScale="75" zoomScaleNormal="75" workbookViewId="0">
      <selection activeCell="K4" sqref="K4"/>
    </sheetView>
  </sheetViews>
  <sheetFormatPr defaultColWidth="9.42578125" defaultRowHeight="10.5"/>
  <cols>
    <col min="1" max="1" width="2.5703125" style="152" customWidth="1"/>
    <col min="2" max="2" width="2.28515625" style="152" customWidth="1"/>
    <col min="3" max="3" width="28.42578125" style="152" customWidth="1"/>
    <col min="4" max="4" width="11.85546875" style="152" customWidth="1"/>
    <col min="5" max="5" width="2" style="152" customWidth="1"/>
    <col min="6" max="6" width="13.5703125" style="152" customWidth="1"/>
    <col min="7" max="8" width="11.42578125" style="152" bestFit="1" customWidth="1"/>
    <col min="9" max="9" width="11.85546875" style="152" bestFit="1" customWidth="1"/>
    <col min="10" max="10" width="9.42578125" style="152" customWidth="1"/>
    <col min="11" max="11" width="12.42578125" style="152" customWidth="1"/>
    <col min="12" max="12" width="9.42578125" style="152" customWidth="1"/>
    <col min="13" max="13" width="12.140625" style="152" bestFit="1" customWidth="1"/>
    <col min="14" max="14" width="17.28515625" style="156" bestFit="1" customWidth="1"/>
    <col min="15" max="15" width="12.85546875" style="152" bestFit="1" customWidth="1"/>
    <col min="16" max="16" width="12.5703125" style="152" bestFit="1" customWidth="1"/>
    <col min="17" max="16384" width="9.42578125" style="152"/>
  </cols>
  <sheetData>
    <row r="1" spans="1:14" ht="20.25">
      <c r="A1" s="366" t="s">
        <v>446</v>
      </c>
      <c r="B1" s="366"/>
      <c r="C1" s="366"/>
      <c r="D1" s="366"/>
      <c r="E1" s="366"/>
      <c r="F1" s="366"/>
      <c r="G1" s="366"/>
      <c r="H1" s="366"/>
      <c r="I1" s="366"/>
    </row>
    <row r="4" spans="1:14" ht="12.75">
      <c r="A4" s="151" t="s">
        <v>0</v>
      </c>
      <c r="D4" s="153"/>
      <c r="E4" s="154"/>
      <c r="F4" s="155" t="s">
        <v>43</v>
      </c>
    </row>
    <row r="5" spans="1:14" ht="12.75">
      <c r="A5" s="157"/>
      <c r="D5" s="153"/>
      <c r="E5" s="154"/>
      <c r="F5" s="154" t="s">
        <v>44</v>
      </c>
    </row>
    <row r="6" spans="1:14" ht="12.75">
      <c r="A6" s="158" t="s">
        <v>45</v>
      </c>
      <c r="D6" s="159"/>
      <c r="E6" s="159"/>
      <c r="F6" s="155" t="s">
        <v>46</v>
      </c>
    </row>
    <row r="7" spans="1:14" ht="12.75">
      <c r="A7" s="396">
        <v>40969</v>
      </c>
      <c r="B7" s="396"/>
      <c r="C7" s="396"/>
      <c r="D7" s="159"/>
      <c r="E7" s="159"/>
      <c r="F7" s="154"/>
    </row>
    <row r="8" spans="1:14">
      <c r="B8" s="158"/>
      <c r="D8" s="160" t="s">
        <v>47</v>
      </c>
      <c r="E8" s="160"/>
      <c r="F8" s="161" t="s">
        <v>48</v>
      </c>
      <c r="G8" s="161" t="s">
        <v>48</v>
      </c>
      <c r="H8" s="161"/>
      <c r="I8" s="161"/>
    </row>
    <row r="9" spans="1:14" s="160" customFormat="1">
      <c r="A9" s="152"/>
      <c r="B9" s="152"/>
      <c r="C9" s="152"/>
      <c r="D9" s="162" t="s">
        <v>171</v>
      </c>
      <c r="E9" s="163"/>
      <c r="F9" s="164" t="s">
        <v>49</v>
      </c>
      <c r="G9" s="164" t="s">
        <v>12</v>
      </c>
      <c r="H9" s="164" t="s">
        <v>50</v>
      </c>
      <c r="I9" s="164" t="s">
        <v>51</v>
      </c>
      <c r="N9" s="165"/>
    </row>
    <row r="10" spans="1:14">
      <c r="A10" s="152" t="s">
        <v>52</v>
      </c>
      <c r="F10" s="166"/>
      <c r="G10" s="166"/>
      <c r="H10" s="166"/>
      <c r="I10" s="166"/>
    </row>
    <row r="11" spans="1:14" ht="12.75">
      <c r="B11" s="153" t="s">
        <v>53</v>
      </c>
      <c r="D11" s="152">
        <v>12964800</v>
      </c>
      <c r="E11" s="167"/>
      <c r="F11" s="152">
        <v>12964800</v>
      </c>
      <c r="G11" s="153"/>
      <c r="H11" s="153"/>
      <c r="I11" s="153"/>
    </row>
    <row r="12" spans="1:14" ht="12.75" hidden="1">
      <c r="B12" s="153"/>
      <c r="D12" s="167"/>
      <c r="E12" s="167"/>
      <c r="F12" s="168"/>
      <c r="G12" s="166"/>
      <c r="H12" s="166"/>
      <c r="I12" s="166"/>
    </row>
    <row r="13" spans="1:14" ht="12.75">
      <c r="B13" s="153" t="s">
        <v>54</v>
      </c>
      <c r="D13" s="152">
        <v>151728308.34</v>
      </c>
      <c r="E13" s="167"/>
      <c r="F13" s="168"/>
      <c r="G13" s="166"/>
      <c r="H13" s="166"/>
      <c r="I13" s="152">
        <v>151728308.34</v>
      </c>
    </row>
    <row r="14" spans="1:14" ht="12.75" hidden="1">
      <c r="B14" s="153"/>
      <c r="D14" s="167"/>
      <c r="E14" s="167"/>
      <c r="F14" s="168"/>
      <c r="G14" s="166"/>
      <c r="H14" s="166"/>
      <c r="I14" s="166"/>
    </row>
    <row r="15" spans="1:14" ht="12.75" hidden="1">
      <c r="B15" s="153" t="s">
        <v>55</v>
      </c>
      <c r="D15" s="152">
        <v>0</v>
      </c>
      <c r="E15" s="167"/>
      <c r="F15" s="152">
        <v>0</v>
      </c>
      <c r="G15" s="166"/>
      <c r="H15" s="166"/>
      <c r="I15" s="166"/>
    </row>
    <row r="16" spans="1:14" ht="12.75" hidden="1">
      <c r="C16" s="153"/>
      <c r="D16" s="167"/>
      <c r="E16" s="167"/>
      <c r="F16" s="166"/>
      <c r="G16" s="166"/>
      <c r="H16" s="166"/>
      <c r="I16" s="166"/>
    </row>
    <row r="17" spans="1:19" ht="12.75" hidden="1">
      <c r="B17" s="152" t="s">
        <v>56</v>
      </c>
      <c r="C17" s="153"/>
      <c r="D17" s="152">
        <v>0</v>
      </c>
      <c r="E17" s="167"/>
      <c r="F17" s="166"/>
      <c r="G17" s="166"/>
      <c r="H17" s="152">
        <v>0</v>
      </c>
      <c r="I17" s="166"/>
    </row>
    <row r="18" spans="1:19" ht="11.25" thickBot="1">
      <c r="D18" s="160" t="s">
        <v>57</v>
      </c>
      <c r="E18" s="169" t="s">
        <v>58</v>
      </c>
      <c r="F18" s="160" t="s">
        <v>57</v>
      </c>
      <c r="G18" s="160" t="s">
        <v>57</v>
      </c>
      <c r="H18" s="160" t="s">
        <v>57</v>
      </c>
      <c r="I18" s="160" t="s">
        <v>57</v>
      </c>
    </row>
    <row r="19" spans="1:19" ht="11.25" thickBot="1">
      <c r="A19" s="152" t="s">
        <v>59</v>
      </c>
      <c r="D19" s="152">
        <v>164693108.34</v>
      </c>
      <c r="E19" s="167"/>
      <c r="F19" s="152">
        <v>12964800</v>
      </c>
      <c r="G19" s="152">
        <v>0</v>
      </c>
      <c r="H19" s="152">
        <v>0</v>
      </c>
      <c r="I19" s="152">
        <v>151728308.34</v>
      </c>
      <c r="K19" s="170">
        <v>0</v>
      </c>
      <c r="L19" s="171" t="s">
        <v>237</v>
      </c>
      <c r="M19" s="172">
        <v>0</v>
      </c>
    </row>
    <row r="20" spans="1:19">
      <c r="D20" s="167"/>
      <c r="E20" s="167"/>
      <c r="F20" s="167"/>
      <c r="G20" s="167"/>
      <c r="H20" s="167"/>
      <c r="I20" s="167"/>
      <c r="P20" s="155" t="s">
        <v>238</v>
      </c>
    </row>
    <row r="21" spans="1:19" ht="12.75">
      <c r="D21" s="153"/>
      <c r="E21" s="166"/>
      <c r="F21" s="166"/>
      <c r="G21" s="166"/>
      <c r="H21" s="166"/>
      <c r="I21" s="166"/>
      <c r="N21" s="173"/>
      <c r="O21" s="174"/>
      <c r="P21" s="175" t="s">
        <v>239</v>
      </c>
    </row>
    <row r="22" spans="1:19" ht="11.25">
      <c r="A22" s="152" t="s">
        <v>60</v>
      </c>
      <c r="D22" s="167"/>
      <c r="E22" s="167"/>
      <c r="F22" s="176"/>
      <c r="G22" s="166"/>
      <c r="H22" s="166"/>
      <c r="I22" s="166"/>
      <c r="N22" s="177" t="s">
        <v>240</v>
      </c>
      <c r="O22" s="178">
        <v>0</v>
      </c>
      <c r="P22" s="167">
        <v>118852.68003491126</v>
      </c>
      <c r="Q22" s="179"/>
      <c r="R22" s="180"/>
      <c r="S22" s="167"/>
    </row>
    <row r="23" spans="1:19" ht="12.75">
      <c r="B23" s="153"/>
      <c r="C23" s="152" t="s">
        <v>61</v>
      </c>
      <c r="D23" s="152">
        <v>24006250</v>
      </c>
      <c r="E23" s="167"/>
      <c r="F23" s="152">
        <v>24006250</v>
      </c>
      <c r="G23" s="166"/>
      <c r="H23" s="166"/>
      <c r="I23" s="166"/>
      <c r="N23" s="177" t="s">
        <v>241</v>
      </c>
      <c r="O23" s="178">
        <v>1</v>
      </c>
      <c r="P23" s="167">
        <v>150411.50342716277</v>
      </c>
      <c r="Q23" s="179"/>
      <c r="R23" s="180"/>
      <c r="S23" s="167"/>
    </row>
    <row r="24" spans="1:19" ht="12.75" hidden="1">
      <c r="B24" s="153"/>
      <c r="C24" s="152" t="s">
        <v>62</v>
      </c>
      <c r="D24" s="152">
        <v>0</v>
      </c>
      <c r="E24" s="167"/>
      <c r="F24" s="152">
        <v>0</v>
      </c>
      <c r="G24" s="152">
        <v>0</v>
      </c>
      <c r="H24" s="166"/>
      <c r="I24" s="166"/>
      <c r="N24" s="177" t="s">
        <v>242</v>
      </c>
      <c r="O24" s="178">
        <v>0.72529428754325931</v>
      </c>
      <c r="P24" s="167">
        <v>84326.79059405328</v>
      </c>
      <c r="Q24" s="179"/>
      <c r="R24" s="180"/>
      <c r="S24" s="167"/>
    </row>
    <row r="25" spans="1:19" ht="12.75">
      <c r="B25" s="153"/>
      <c r="C25" s="152" t="s">
        <v>63</v>
      </c>
      <c r="D25" s="152">
        <v>7458680.4700000025</v>
      </c>
      <c r="E25" s="167"/>
      <c r="F25" s="152">
        <v>2237604.1410000008</v>
      </c>
      <c r="G25" s="152">
        <v>5221076.3290000018</v>
      </c>
      <c r="H25" s="166"/>
      <c r="I25" s="166"/>
      <c r="N25" s="177" t="s">
        <v>243</v>
      </c>
      <c r="O25" s="178">
        <v>0.27470571245674069</v>
      </c>
      <c r="P25" s="167">
        <v>31938.830192355734</v>
      </c>
      <c r="Q25" s="179"/>
      <c r="R25" s="180"/>
      <c r="S25" s="167"/>
    </row>
    <row r="26" spans="1:19" ht="12.75">
      <c r="B26" s="153"/>
      <c r="C26" s="152" t="s">
        <v>64</v>
      </c>
      <c r="D26" s="152">
        <v>6316074.2400000002</v>
      </c>
      <c r="E26" s="167"/>
      <c r="F26" s="152">
        <v>1309718.8394142722</v>
      </c>
      <c r="G26" s="152">
        <v>5006355.4005857278</v>
      </c>
      <c r="H26" s="166"/>
      <c r="I26" s="166"/>
    </row>
    <row r="27" spans="1:19" ht="12.75">
      <c r="B27" s="153"/>
      <c r="C27" s="152" t="s">
        <v>65</v>
      </c>
      <c r="D27" s="152">
        <v>3054402.51</v>
      </c>
      <c r="E27" s="167"/>
      <c r="F27" s="181">
        <v>0</v>
      </c>
      <c r="G27" s="181">
        <v>0</v>
      </c>
      <c r="H27" s="166"/>
      <c r="I27" s="181">
        <v>3054402.51</v>
      </c>
      <c r="K27" s="182">
        <v>0.17029549999999999</v>
      </c>
      <c r="L27" s="182">
        <v>0.82970450000000007</v>
      </c>
      <c r="N27" s="152">
        <v>3033776.57</v>
      </c>
      <c r="O27" s="153" t="s">
        <v>244</v>
      </c>
    </row>
    <row r="28" spans="1:19" ht="12.75">
      <c r="B28" s="183" t="s">
        <v>66</v>
      </c>
      <c r="C28" s="169"/>
      <c r="D28" s="160" t="s">
        <v>57</v>
      </c>
      <c r="E28" s="169" t="s">
        <v>58</v>
      </c>
      <c r="F28" s="160" t="s">
        <v>57</v>
      </c>
      <c r="G28" s="160" t="s">
        <v>57</v>
      </c>
      <c r="H28" s="160" t="s">
        <v>57</v>
      </c>
      <c r="I28" s="160" t="s">
        <v>57</v>
      </c>
      <c r="K28" s="182"/>
      <c r="L28" s="182"/>
      <c r="N28" s="152">
        <v>0</v>
      </c>
      <c r="O28" s="153" t="s">
        <v>245</v>
      </c>
    </row>
    <row r="29" spans="1:19" ht="12.75">
      <c r="B29" s="152" t="s">
        <v>67</v>
      </c>
      <c r="C29" s="153"/>
      <c r="D29" s="152">
        <v>40835407.219999999</v>
      </c>
      <c r="E29" s="167"/>
      <c r="F29" s="152">
        <v>27553572.980414275</v>
      </c>
      <c r="G29" s="152">
        <v>10227431.72958573</v>
      </c>
      <c r="H29" s="152">
        <v>0</v>
      </c>
      <c r="I29" s="152">
        <v>3054402.51</v>
      </c>
      <c r="K29" s="182"/>
      <c r="L29" s="182"/>
      <c r="N29" s="184">
        <v>20625.939999999999</v>
      </c>
      <c r="O29" s="153" t="s">
        <v>246</v>
      </c>
    </row>
    <row r="30" spans="1:19" ht="12.75">
      <c r="D30" s="168"/>
      <c r="E30" s="167"/>
      <c r="F30" s="168"/>
      <c r="G30" s="168"/>
      <c r="H30" s="166"/>
      <c r="I30" s="166"/>
      <c r="K30" s="182"/>
      <c r="L30" s="182"/>
      <c r="N30" s="152">
        <v>3054402.51</v>
      </c>
      <c r="O30" s="153"/>
    </row>
    <row r="31" spans="1:19" ht="12.75" hidden="1">
      <c r="B31" s="153"/>
      <c r="C31" s="152" t="s">
        <v>68</v>
      </c>
      <c r="D31" s="152">
        <v>0</v>
      </c>
      <c r="E31" s="167"/>
      <c r="G31" s="152">
        <v>0</v>
      </c>
      <c r="H31" s="166"/>
      <c r="I31" s="166"/>
      <c r="K31" s="182"/>
      <c r="L31" s="182"/>
      <c r="N31" s="185"/>
      <c r="O31" s="186"/>
    </row>
    <row r="32" spans="1:19" ht="12.75" hidden="1">
      <c r="B32" s="153"/>
      <c r="C32" s="152" t="s">
        <v>69</v>
      </c>
      <c r="D32" s="152">
        <v>0</v>
      </c>
      <c r="E32" s="167"/>
      <c r="G32" s="152">
        <v>0</v>
      </c>
      <c r="H32" s="166"/>
      <c r="I32" s="166"/>
      <c r="K32" s="182"/>
      <c r="L32" s="182"/>
      <c r="M32" s="187"/>
      <c r="N32" s="152">
        <v>0</v>
      </c>
      <c r="O32" s="153" t="s">
        <v>247</v>
      </c>
    </row>
    <row r="33" spans="2:18" ht="12.75" hidden="1">
      <c r="B33" s="153"/>
      <c r="C33" s="152" t="s">
        <v>70</v>
      </c>
      <c r="D33" s="152">
        <v>0</v>
      </c>
      <c r="E33" s="167"/>
      <c r="F33" s="181">
        <v>0</v>
      </c>
      <c r="G33" s="181">
        <v>0</v>
      </c>
      <c r="H33" s="166"/>
      <c r="I33" s="181">
        <v>0</v>
      </c>
      <c r="K33" s="182">
        <v>0.7</v>
      </c>
      <c r="L33" s="182">
        <v>0.30000000000000004</v>
      </c>
      <c r="N33" s="152">
        <v>0</v>
      </c>
      <c r="O33" s="153" t="s">
        <v>248</v>
      </c>
    </row>
    <row r="34" spans="2:18" ht="12.75" hidden="1">
      <c r="B34" s="153"/>
      <c r="C34" s="152" t="s">
        <v>71</v>
      </c>
      <c r="D34" s="152">
        <v>0</v>
      </c>
      <c r="E34" s="167"/>
      <c r="F34" s="152">
        <v>0</v>
      </c>
      <c r="G34" s="152">
        <v>0</v>
      </c>
      <c r="H34" s="166"/>
      <c r="I34" s="166"/>
      <c r="N34" s="184">
        <v>0</v>
      </c>
      <c r="O34" s="153" t="s">
        <v>249</v>
      </c>
    </row>
    <row r="35" spans="2:18" ht="12.75" hidden="1">
      <c r="B35" s="153"/>
      <c r="C35" s="152" t="s">
        <v>72</v>
      </c>
      <c r="D35" s="152">
        <v>0</v>
      </c>
      <c r="E35" s="167"/>
      <c r="F35" s="152">
        <v>0</v>
      </c>
      <c r="G35" s="152">
        <v>0</v>
      </c>
      <c r="H35" s="166"/>
      <c r="I35" s="166"/>
      <c r="N35" s="153">
        <v>0</v>
      </c>
      <c r="O35" s="153"/>
    </row>
    <row r="36" spans="2:18" hidden="1">
      <c r="B36" s="183" t="s">
        <v>66</v>
      </c>
      <c r="C36" s="169"/>
      <c r="D36" s="160" t="s">
        <v>57</v>
      </c>
      <c r="E36" s="169" t="s">
        <v>58</v>
      </c>
      <c r="F36" s="160" t="s">
        <v>57</v>
      </c>
      <c r="G36" s="160" t="s">
        <v>57</v>
      </c>
      <c r="H36" s="160" t="s">
        <v>57</v>
      </c>
      <c r="I36" s="160" t="s">
        <v>57</v>
      </c>
      <c r="R36" s="180"/>
    </row>
    <row r="37" spans="2:18" ht="12.75" hidden="1">
      <c r="B37" s="152" t="s">
        <v>73</v>
      </c>
      <c r="C37" s="153"/>
      <c r="D37" s="152">
        <v>0</v>
      </c>
      <c r="E37" s="167"/>
      <c r="F37" s="152">
        <v>0</v>
      </c>
      <c r="G37" s="152">
        <v>0</v>
      </c>
      <c r="H37" s="152">
        <v>0</v>
      </c>
      <c r="I37" s="152">
        <v>0</v>
      </c>
    </row>
    <row r="38" spans="2:18">
      <c r="D38" s="167"/>
      <c r="E38" s="167"/>
      <c r="F38" s="166"/>
      <c r="G38" s="166"/>
      <c r="H38" s="166"/>
      <c r="I38" s="166"/>
    </row>
    <row r="39" spans="2:18" ht="12.75" hidden="1">
      <c r="B39" s="153"/>
      <c r="C39" s="152" t="s">
        <v>106</v>
      </c>
      <c r="D39" s="152">
        <v>0</v>
      </c>
      <c r="E39" s="167"/>
      <c r="F39" s="166"/>
      <c r="G39" s="166"/>
      <c r="H39" s="166"/>
      <c r="I39" s="152">
        <v>0</v>
      </c>
      <c r="K39" s="152" t="s">
        <v>54</v>
      </c>
    </row>
    <row r="40" spans="2:18" ht="12.75" hidden="1">
      <c r="B40" s="153"/>
      <c r="C40" s="152" t="s">
        <v>105</v>
      </c>
      <c r="D40" s="152">
        <v>0</v>
      </c>
      <c r="E40" s="167"/>
      <c r="F40" s="166"/>
      <c r="G40" s="166"/>
      <c r="H40" s="166"/>
      <c r="I40" s="152">
        <v>0</v>
      </c>
      <c r="K40" s="152" t="s">
        <v>54</v>
      </c>
    </row>
    <row r="41" spans="2:18" ht="12.75" hidden="1">
      <c r="B41" s="153"/>
      <c r="C41" s="152" t="s">
        <v>107</v>
      </c>
      <c r="D41" s="152">
        <v>0</v>
      </c>
      <c r="E41" s="167"/>
      <c r="F41" s="166"/>
      <c r="G41" s="166"/>
      <c r="H41" s="166"/>
      <c r="I41" s="152">
        <v>0</v>
      </c>
      <c r="K41" s="152" t="s">
        <v>54</v>
      </c>
    </row>
    <row r="42" spans="2:18" ht="12.75">
      <c r="B42" s="153"/>
      <c r="C42" s="152" t="s">
        <v>108</v>
      </c>
      <c r="D42" s="152">
        <v>240496.22</v>
      </c>
      <c r="E42" s="167"/>
      <c r="F42" s="166"/>
      <c r="G42" s="166"/>
      <c r="H42" s="166"/>
      <c r="I42" s="152">
        <v>240496.22</v>
      </c>
      <c r="K42" s="152" t="s">
        <v>54</v>
      </c>
    </row>
    <row r="43" spans="2:18" ht="12.75">
      <c r="B43" s="153"/>
      <c r="C43" s="152" t="s">
        <v>109</v>
      </c>
      <c r="D43" s="152">
        <v>138193.71</v>
      </c>
      <c r="E43" s="167"/>
      <c r="F43" s="166"/>
      <c r="G43" s="166"/>
      <c r="H43" s="166"/>
      <c r="I43" s="152">
        <v>138193.71</v>
      </c>
      <c r="K43" s="152" t="s">
        <v>54</v>
      </c>
    </row>
    <row r="44" spans="2:18" ht="12.75">
      <c r="B44" s="153"/>
      <c r="C44" s="152" t="s">
        <v>110</v>
      </c>
      <c r="D44" s="152">
        <v>4676841.32</v>
      </c>
      <c r="E44" s="167"/>
      <c r="F44" s="166"/>
      <c r="G44" s="166"/>
      <c r="H44" s="166"/>
      <c r="I44" s="152">
        <v>4676841.32</v>
      </c>
      <c r="K44" s="152" t="s">
        <v>54</v>
      </c>
    </row>
    <row r="45" spans="2:18" ht="12.75" hidden="1">
      <c r="B45" s="153"/>
      <c r="C45" s="152" t="s">
        <v>74</v>
      </c>
      <c r="D45" s="152">
        <v>0</v>
      </c>
      <c r="E45" s="167"/>
      <c r="F45" s="166"/>
      <c r="G45" s="166"/>
      <c r="H45" s="166"/>
      <c r="I45" s="152">
        <v>0</v>
      </c>
      <c r="K45" s="152" t="s">
        <v>54</v>
      </c>
    </row>
    <row r="46" spans="2:18" ht="12.75" hidden="1">
      <c r="B46" s="153"/>
      <c r="C46" s="152" t="s">
        <v>75</v>
      </c>
      <c r="D46" s="152">
        <v>0</v>
      </c>
      <c r="E46" s="167"/>
      <c r="F46" s="166"/>
      <c r="G46" s="166"/>
      <c r="H46" s="166"/>
      <c r="I46" s="152">
        <v>0</v>
      </c>
      <c r="K46" s="152" t="s">
        <v>54</v>
      </c>
    </row>
    <row r="47" spans="2:18" ht="12.75" hidden="1">
      <c r="B47" s="153"/>
      <c r="C47" s="152" t="s">
        <v>76</v>
      </c>
      <c r="D47" s="152">
        <v>0</v>
      </c>
      <c r="E47" s="167"/>
      <c r="F47" s="166"/>
      <c r="G47" s="166"/>
      <c r="H47" s="166"/>
      <c r="I47" s="152">
        <v>0</v>
      </c>
      <c r="K47" s="152" t="s">
        <v>54</v>
      </c>
    </row>
    <row r="48" spans="2:18" ht="12.75" hidden="1">
      <c r="B48" s="153"/>
      <c r="C48" s="152" t="s">
        <v>111</v>
      </c>
      <c r="D48" s="152">
        <v>0</v>
      </c>
      <c r="E48" s="167"/>
      <c r="F48" s="166"/>
      <c r="G48" s="166"/>
      <c r="H48" s="166"/>
      <c r="I48" s="152">
        <v>0</v>
      </c>
      <c r="K48" s="152" t="s">
        <v>54</v>
      </c>
    </row>
    <row r="49" spans="2:11" ht="12.75">
      <c r="B49" s="153"/>
      <c r="C49" s="152" t="s">
        <v>77</v>
      </c>
      <c r="D49" s="152">
        <v>6908388.9000000004</v>
      </c>
      <c r="E49" s="167"/>
      <c r="F49" s="166"/>
      <c r="G49" s="166"/>
      <c r="H49" s="166"/>
      <c r="I49" s="152">
        <v>6908388.9000000004</v>
      </c>
      <c r="K49" s="152" t="s">
        <v>54</v>
      </c>
    </row>
    <row r="50" spans="2:11" ht="12.75">
      <c r="B50" s="153"/>
      <c r="C50" s="152" t="s">
        <v>112</v>
      </c>
      <c r="D50" s="152">
        <v>93441701.099999994</v>
      </c>
      <c r="E50" s="167"/>
      <c r="F50" s="166"/>
      <c r="G50" s="166"/>
      <c r="H50" s="166"/>
      <c r="I50" s="152">
        <v>93441701.099999994</v>
      </c>
      <c r="K50" s="152" t="s">
        <v>54</v>
      </c>
    </row>
    <row r="51" spans="2:11" ht="12.75" hidden="1">
      <c r="B51" s="153"/>
      <c r="C51" s="152" t="s">
        <v>113</v>
      </c>
      <c r="D51" s="152">
        <v>0</v>
      </c>
      <c r="E51" s="167"/>
      <c r="F51" s="166"/>
      <c r="G51" s="166"/>
      <c r="H51" s="166"/>
      <c r="I51" s="152">
        <v>0</v>
      </c>
      <c r="K51" s="152" t="s">
        <v>54</v>
      </c>
    </row>
    <row r="52" spans="2:11" ht="12.75" hidden="1">
      <c r="B52" s="153"/>
      <c r="C52" s="152" t="s">
        <v>114</v>
      </c>
      <c r="D52" s="152">
        <v>0</v>
      </c>
      <c r="E52" s="167"/>
      <c r="F52" s="166"/>
      <c r="G52" s="166"/>
      <c r="H52" s="166"/>
      <c r="I52" s="152">
        <v>0</v>
      </c>
      <c r="K52" s="152" t="s">
        <v>54</v>
      </c>
    </row>
    <row r="53" spans="2:11" ht="12.75" hidden="1">
      <c r="B53" s="153"/>
      <c r="C53" s="152" t="s">
        <v>78</v>
      </c>
      <c r="D53" s="152">
        <v>0</v>
      </c>
      <c r="E53" s="167"/>
      <c r="F53" s="166"/>
      <c r="G53" s="166"/>
      <c r="H53" s="166"/>
      <c r="I53" s="152">
        <v>0</v>
      </c>
      <c r="K53" s="152" t="s">
        <v>54</v>
      </c>
    </row>
    <row r="54" spans="2:11" ht="12.75" hidden="1">
      <c r="B54" s="153"/>
      <c r="C54" s="188" t="s">
        <v>115</v>
      </c>
      <c r="D54" s="152">
        <v>0</v>
      </c>
      <c r="E54" s="167"/>
      <c r="F54" s="166"/>
      <c r="G54" s="166"/>
      <c r="H54" s="166"/>
      <c r="I54" s="152">
        <v>0</v>
      </c>
      <c r="K54" s="152" t="s">
        <v>54</v>
      </c>
    </row>
    <row r="55" spans="2:11" ht="12.75" hidden="1">
      <c r="B55" s="153"/>
      <c r="C55" s="152" t="s">
        <v>116</v>
      </c>
      <c r="D55" s="152">
        <v>0</v>
      </c>
      <c r="E55" s="167"/>
      <c r="F55" s="166"/>
      <c r="G55" s="166"/>
      <c r="H55" s="166"/>
      <c r="I55" s="152">
        <v>0</v>
      </c>
      <c r="K55" s="152" t="s">
        <v>54</v>
      </c>
    </row>
    <row r="56" spans="2:11" ht="12.75" hidden="1">
      <c r="B56" s="153"/>
      <c r="C56" s="152" t="s">
        <v>117</v>
      </c>
      <c r="D56" s="152">
        <v>0</v>
      </c>
      <c r="E56" s="167"/>
      <c r="F56" s="166"/>
      <c r="G56" s="166"/>
      <c r="H56" s="166"/>
      <c r="I56" s="152">
        <v>0</v>
      </c>
      <c r="K56" s="152" t="s">
        <v>54</v>
      </c>
    </row>
    <row r="57" spans="2:11" ht="12.75" hidden="1">
      <c r="B57" s="153"/>
      <c r="C57" s="152" t="s">
        <v>79</v>
      </c>
      <c r="D57" s="152">
        <v>0</v>
      </c>
      <c r="E57" s="167"/>
      <c r="F57" s="166"/>
      <c r="G57" s="166"/>
      <c r="H57" s="166"/>
      <c r="I57" s="152">
        <v>0</v>
      </c>
      <c r="K57" s="152" t="s">
        <v>54</v>
      </c>
    </row>
    <row r="58" spans="2:11" ht="12.75" hidden="1">
      <c r="B58" s="153"/>
      <c r="C58" s="152" t="s">
        <v>82</v>
      </c>
      <c r="D58" s="152">
        <v>0</v>
      </c>
      <c r="E58" s="167"/>
      <c r="F58" s="166"/>
      <c r="G58" s="166"/>
      <c r="H58" s="166"/>
      <c r="I58" s="152">
        <v>0</v>
      </c>
      <c r="K58" s="152" t="s">
        <v>54</v>
      </c>
    </row>
    <row r="59" spans="2:11" ht="12.75" hidden="1">
      <c r="B59" s="153"/>
      <c r="C59" s="152" t="s">
        <v>83</v>
      </c>
      <c r="D59" s="152">
        <v>0</v>
      </c>
      <c r="E59" s="167"/>
      <c r="F59" s="166"/>
      <c r="G59" s="166"/>
      <c r="H59" s="166"/>
      <c r="I59" s="152">
        <v>0</v>
      </c>
      <c r="K59" s="152" t="s">
        <v>54</v>
      </c>
    </row>
    <row r="60" spans="2:11" ht="12.75" hidden="1">
      <c r="B60" s="153"/>
      <c r="C60" s="152" t="s">
        <v>118</v>
      </c>
      <c r="D60" s="152">
        <v>0</v>
      </c>
      <c r="E60" s="167"/>
      <c r="F60" s="166"/>
      <c r="G60" s="166"/>
      <c r="H60" s="166"/>
      <c r="I60" s="152">
        <v>0</v>
      </c>
      <c r="K60" s="152" t="s">
        <v>54</v>
      </c>
    </row>
    <row r="61" spans="2:11" ht="12.75" hidden="1">
      <c r="B61" s="153"/>
      <c r="C61" s="152" t="s">
        <v>119</v>
      </c>
      <c r="D61" s="152">
        <v>0</v>
      </c>
      <c r="E61" s="167"/>
      <c r="F61" s="166"/>
      <c r="G61" s="166"/>
      <c r="H61" s="166"/>
      <c r="I61" s="152">
        <v>0</v>
      </c>
      <c r="K61" s="152" t="s">
        <v>54</v>
      </c>
    </row>
    <row r="62" spans="2:11" ht="12.75" hidden="1">
      <c r="B62" s="153"/>
      <c r="C62" s="152" t="s">
        <v>120</v>
      </c>
      <c r="D62" s="152">
        <v>0</v>
      </c>
      <c r="E62" s="167"/>
      <c r="F62" s="166"/>
      <c r="G62" s="166"/>
      <c r="H62" s="166"/>
      <c r="I62" s="152">
        <v>0</v>
      </c>
      <c r="K62" s="152" t="s">
        <v>54</v>
      </c>
    </row>
    <row r="63" spans="2:11" ht="12.75" hidden="1">
      <c r="B63" s="153"/>
      <c r="C63" s="152" t="s">
        <v>121</v>
      </c>
      <c r="D63" s="152">
        <v>0</v>
      </c>
      <c r="E63" s="167"/>
      <c r="F63" s="166"/>
      <c r="G63" s="166"/>
      <c r="H63" s="166"/>
      <c r="I63" s="152">
        <v>0</v>
      </c>
      <c r="K63" s="152" t="s">
        <v>54</v>
      </c>
    </row>
    <row r="64" spans="2:11" ht="13.5" thickBot="1">
      <c r="B64" s="153"/>
      <c r="C64" s="152" t="s">
        <v>122</v>
      </c>
      <c r="D64" s="152">
        <v>5041532.5</v>
      </c>
      <c r="E64" s="167"/>
      <c r="F64" s="166"/>
      <c r="G64" s="166"/>
      <c r="H64" s="166"/>
      <c r="I64" s="152">
        <v>5041532.5</v>
      </c>
      <c r="K64" s="152" t="s">
        <v>54</v>
      </c>
    </row>
    <row r="65" spans="2:12" ht="12.75" hidden="1">
      <c r="B65" s="153"/>
      <c r="C65" s="156" t="s">
        <v>123</v>
      </c>
      <c r="D65" s="152">
        <v>0</v>
      </c>
      <c r="E65" s="167"/>
      <c r="F65" s="166"/>
      <c r="G65" s="166"/>
      <c r="H65" s="166"/>
      <c r="I65" s="152">
        <v>0</v>
      </c>
      <c r="K65" s="152" t="s">
        <v>54</v>
      </c>
    </row>
    <row r="66" spans="2:12" ht="12.75" hidden="1">
      <c r="B66" s="153"/>
      <c r="C66" s="156" t="s">
        <v>124</v>
      </c>
      <c r="D66" s="152">
        <v>0</v>
      </c>
      <c r="E66" s="167"/>
      <c r="F66" s="166"/>
      <c r="G66" s="166"/>
      <c r="H66" s="166"/>
      <c r="I66" s="152">
        <v>0</v>
      </c>
      <c r="K66" s="152" t="s">
        <v>54</v>
      </c>
    </row>
    <row r="67" spans="2:12" ht="12.75" hidden="1">
      <c r="B67" s="153"/>
      <c r="C67" s="152" t="s">
        <v>125</v>
      </c>
      <c r="D67" s="152">
        <v>0</v>
      </c>
      <c r="E67" s="167"/>
      <c r="F67" s="166"/>
      <c r="G67" s="166"/>
      <c r="H67" s="166"/>
      <c r="I67" s="152">
        <v>0</v>
      </c>
      <c r="K67" s="152" t="s">
        <v>54</v>
      </c>
    </row>
    <row r="68" spans="2:12" ht="12.75" hidden="1">
      <c r="B68" s="153"/>
      <c r="C68" s="152" t="s">
        <v>126</v>
      </c>
      <c r="D68" s="152">
        <v>0</v>
      </c>
      <c r="E68" s="167"/>
      <c r="F68" s="166"/>
      <c r="G68" s="166"/>
      <c r="H68" s="166"/>
      <c r="I68" s="152">
        <v>0</v>
      </c>
      <c r="K68" s="152" t="s">
        <v>54</v>
      </c>
    </row>
    <row r="69" spans="2:12" ht="12.75" hidden="1">
      <c r="B69" s="153"/>
      <c r="C69" s="152" t="s">
        <v>127</v>
      </c>
      <c r="D69" s="152">
        <v>0</v>
      </c>
      <c r="E69" s="167"/>
      <c r="F69" s="166"/>
      <c r="G69" s="166"/>
      <c r="H69" s="166"/>
      <c r="I69" s="152">
        <v>0</v>
      </c>
      <c r="K69" s="152" t="s">
        <v>54</v>
      </c>
    </row>
    <row r="70" spans="2:12" ht="12.75" hidden="1">
      <c r="B70" s="153"/>
      <c r="C70" s="152" t="s">
        <v>86</v>
      </c>
      <c r="D70" s="152">
        <v>0</v>
      </c>
      <c r="E70" s="167"/>
      <c r="F70" s="166"/>
      <c r="G70" s="166"/>
      <c r="H70" s="166"/>
      <c r="I70" s="152">
        <v>0</v>
      </c>
      <c r="K70" s="152" t="s">
        <v>54</v>
      </c>
      <c r="L70" s="152" t="s">
        <v>58</v>
      </c>
    </row>
    <row r="71" spans="2:12" ht="12.75" hidden="1">
      <c r="B71" s="153"/>
      <c r="C71" s="152" t="s">
        <v>128</v>
      </c>
      <c r="D71" s="152">
        <v>0</v>
      </c>
      <c r="E71" s="167"/>
      <c r="F71" s="166"/>
      <c r="G71" s="166"/>
      <c r="H71" s="166"/>
      <c r="I71" s="152">
        <v>0</v>
      </c>
      <c r="K71" s="152" t="s">
        <v>54</v>
      </c>
    </row>
    <row r="72" spans="2:12" ht="12.75" hidden="1">
      <c r="B72" s="153"/>
      <c r="C72" s="152" t="s">
        <v>87</v>
      </c>
      <c r="D72" s="152">
        <v>0</v>
      </c>
      <c r="E72" s="167"/>
      <c r="F72" s="166"/>
      <c r="G72" s="166"/>
      <c r="H72" s="166"/>
      <c r="I72" s="152">
        <v>0</v>
      </c>
      <c r="K72" s="152" t="s">
        <v>54</v>
      </c>
    </row>
    <row r="73" spans="2:12" ht="12.75" hidden="1">
      <c r="B73" s="153"/>
      <c r="C73" s="156" t="s">
        <v>129</v>
      </c>
      <c r="D73" s="152">
        <v>0</v>
      </c>
      <c r="E73" s="167"/>
      <c r="F73" s="166"/>
      <c r="G73" s="166"/>
      <c r="H73" s="166"/>
      <c r="I73" s="152">
        <v>0</v>
      </c>
      <c r="K73" s="152" t="s">
        <v>54</v>
      </c>
    </row>
    <row r="74" spans="2:12" ht="12.75" hidden="1">
      <c r="B74" s="153"/>
      <c r="C74" s="156" t="s">
        <v>88</v>
      </c>
      <c r="D74" s="152">
        <v>0</v>
      </c>
      <c r="E74" s="167"/>
      <c r="F74" s="166"/>
      <c r="G74" s="166"/>
      <c r="H74" s="166"/>
      <c r="I74" s="152">
        <v>0</v>
      </c>
      <c r="K74" s="152" t="s">
        <v>54</v>
      </c>
    </row>
    <row r="75" spans="2:12" ht="12.75" hidden="1">
      <c r="B75" s="153"/>
      <c r="C75" s="156"/>
      <c r="E75" s="167"/>
      <c r="F75" s="166"/>
      <c r="G75" s="166"/>
      <c r="H75" s="166"/>
    </row>
    <row r="76" spans="2:12" ht="12.75" hidden="1">
      <c r="B76" s="188" t="s">
        <v>130</v>
      </c>
      <c r="C76" s="156"/>
      <c r="E76" s="167"/>
      <c r="F76" s="166"/>
      <c r="G76" s="166"/>
      <c r="H76" s="166"/>
    </row>
    <row r="77" spans="2:12" ht="12.75" hidden="1">
      <c r="B77" s="153"/>
      <c r="C77" s="152" t="s">
        <v>80</v>
      </c>
      <c r="D77" s="152">
        <v>0</v>
      </c>
      <c r="E77" s="167"/>
      <c r="F77" s="166"/>
      <c r="G77" s="166"/>
      <c r="H77" s="166"/>
      <c r="I77" s="152">
        <v>0</v>
      </c>
      <c r="K77" s="152" t="s">
        <v>54</v>
      </c>
    </row>
    <row r="78" spans="2:12" ht="12.75" hidden="1">
      <c r="B78" s="153"/>
      <c r="C78" s="152" t="s">
        <v>81</v>
      </c>
      <c r="D78" s="152">
        <v>0</v>
      </c>
      <c r="E78" s="167"/>
      <c r="F78" s="166"/>
      <c r="G78" s="166"/>
      <c r="H78" s="166"/>
      <c r="I78" s="152">
        <v>0</v>
      </c>
      <c r="K78" s="152" t="s">
        <v>54</v>
      </c>
    </row>
    <row r="79" spans="2:12" ht="12.75" hidden="1">
      <c r="B79" s="153"/>
      <c r="C79" s="152" t="s">
        <v>84</v>
      </c>
      <c r="D79" s="152">
        <v>0</v>
      </c>
      <c r="E79" s="167"/>
      <c r="F79" s="166"/>
      <c r="G79" s="166"/>
      <c r="H79" s="166"/>
      <c r="I79" s="152">
        <v>0</v>
      </c>
      <c r="K79" s="152" t="s">
        <v>54</v>
      </c>
    </row>
    <row r="80" spans="2:12" ht="13.5" hidden="1" thickBot="1">
      <c r="B80" s="153"/>
      <c r="C80" s="152" t="s">
        <v>85</v>
      </c>
      <c r="D80" s="152">
        <v>0</v>
      </c>
      <c r="E80" s="167"/>
      <c r="F80" s="166"/>
      <c r="G80" s="166"/>
      <c r="H80" s="166"/>
      <c r="I80" s="152">
        <v>0</v>
      </c>
      <c r="K80" s="152" t="s">
        <v>54</v>
      </c>
    </row>
    <row r="81" spans="1:16" ht="13.5" thickBot="1">
      <c r="B81" s="153"/>
      <c r="D81" s="167"/>
      <c r="E81" s="167"/>
      <c r="F81" s="166"/>
      <c r="G81" s="166"/>
      <c r="H81" s="166"/>
      <c r="I81" s="166"/>
      <c r="K81" s="170">
        <v>0</v>
      </c>
      <c r="L81" s="171" t="s">
        <v>237</v>
      </c>
      <c r="M81" s="172">
        <v>0</v>
      </c>
    </row>
    <row r="82" spans="1:16" ht="12.75">
      <c r="B82" s="153"/>
      <c r="C82" s="153" t="s">
        <v>134</v>
      </c>
      <c r="D82" s="152">
        <v>91050358.670000002</v>
      </c>
      <c r="E82" s="167"/>
      <c r="F82" s="166"/>
      <c r="G82" s="166"/>
      <c r="H82" s="166"/>
      <c r="I82" s="152">
        <v>91050358.670000002</v>
      </c>
    </row>
    <row r="83" spans="1:16" ht="11.25" thickBot="1">
      <c r="B83" s="183" t="s">
        <v>66</v>
      </c>
      <c r="C83" s="169"/>
      <c r="D83" s="160" t="s">
        <v>57</v>
      </c>
      <c r="E83" s="169" t="s">
        <v>58</v>
      </c>
      <c r="F83" s="160" t="s">
        <v>57</v>
      </c>
      <c r="G83" s="160" t="s">
        <v>57</v>
      </c>
      <c r="H83" s="160" t="s">
        <v>57</v>
      </c>
      <c r="I83" s="160" t="s">
        <v>57</v>
      </c>
    </row>
    <row r="84" spans="1:16" ht="13.5" thickBot="1">
      <c r="B84" s="152" t="s">
        <v>89</v>
      </c>
      <c r="C84" s="153"/>
      <c r="D84" s="152">
        <v>201497512.42000002</v>
      </c>
      <c r="E84" s="167"/>
      <c r="F84" s="152">
        <v>0</v>
      </c>
      <c r="G84" s="152">
        <v>0</v>
      </c>
      <c r="H84" s="152">
        <v>0</v>
      </c>
      <c r="I84" s="152">
        <v>201497512.42000002</v>
      </c>
      <c r="K84" s="170"/>
      <c r="L84" s="171" t="s">
        <v>237</v>
      </c>
      <c r="M84" s="172">
        <v>0</v>
      </c>
    </row>
    <row r="85" spans="1:16" ht="12.75">
      <c r="B85" s="152" t="s">
        <v>135</v>
      </c>
      <c r="D85" s="152">
        <v>9815883.5399999991</v>
      </c>
      <c r="E85" s="167"/>
      <c r="F85" s="169"/>
      <c r="I85" s="152">
        <v>9815883.5399999991</v>
      </c>
      <c r="J85" s="153"/>
      <c r="K85" s="153"/>
      <c r="L85" s="153"/>
      <c r="M85" s="153"/>
    </row>
    <row r="86" spans="1:16" ht="12.75">
      <c r="B86" s="152" t="s">
        <v>90</v>
      </c>
      <c r="C86" s="153"/>
      <c r="D86" s="152">
        <v>0</v>
      </c>
      <c r="E86" s="167"/>
      <c r="H86" s="152">
        <v>0</v>
      </c>
      <c r="I86" s="166"/>
    </row>
    <row r="87" spans="1:16" ht="11.25" thickBot="1">
      <c r="D87" s="160" t="s">
        <v>57</v>
      </c>
      <c r="E87" s="169" t="s">
        <v>58</v>
      </c>
      <c r="F87" s="160" t="s">
        <v>57</v>
      </c>
      <c r="G87" s="160" t="s">
        <v>57</v>
      </c>
      <c r="H87" s="160" t="s">
        <v>57</v>
      </c>
      <c r="I87" s="160" t="s">
        <v>57</v>
      </c>
    </row>
    <row r="88" spans="1:16" ht="11.25" thickBot="1">
      <c r="A88" s="152" t="s">
        <v>91</v>
      </c>
      <c r="D88" s="152">
        <v>252148803.18000001</v>
      </c>
      <c r="E88" s="167"/>
      <c r="F88" s="152">
        <v>27553572.980414275</v>
      </c>
      <c r="G88" s="152">
        <v>10227431.72958573</v>
      </c>
      <c r="H88" s="152">
        <v>0</v>
      </c>
      <c r="I88" s="152">
        <v>214367798.47</v>
      </c>
      <c r="K88" s="170">
        <v>0</v>
      </c>
      <c r="L88" s="171" t="s">
        <v>237</v>
      </c>
      <c r="M88" s="172">
        <v>0</v>
      </c>
    </row>
    <row r="89" spans="1:16">
      <c r="D89" s="167"/>
      <c r="E89" s="167"/>
      <c r="F89" s="167"/>
      <c r="G89" s="167"/>
      <c r="H89" s="167"/>
      <c r="I89" s="167"/>
    </row>
    <row r="90" spans="1:16">
      <c r="D90" s="167"/>
      <c r="E90" s="167"/>
      <c r="F90" s="167"/>
      <c r="G90" s="167"/>
      <c r="H90" s="167"/>
      <c r="I90" s="167"/>
    </row>
    <row r="91" spans="1:16" ht="11.25">
      <c r="A91" s="152" t="s">
        <v>92</v>
      </c>
      <c r="F91" s="166"/>
      <c r="G91" s="166"/>
      <c r="H91" s="166"/>
      <c r="I91" s="166"/>
      <c r="N91" s="177" t="s">
        <v>250</v>
      </c>
      <c r="O91" s="186">
        <v>26704393.870000012</v>
      </c>
    </row>
    <row r="92" spans="1:16" ht="11.25" hidden="1">
      <c r="F92" s="166"/>
      <c r="G92" s="166"/>
      <c r="H92" s="166"/>
      <c r="I92" s="166"/>
      <c r="N92" s="177" t="s">
        <v>251</v>
      </c>
      <c r="O92" s="189">
        <v>0</v>
      </c>
    </row>
    <row r="93" spans="1:16" s="153" customFormat="1" ht="13.5" thickBot="1">
      <c r="A93" s="152"/>
      <c r="B93" s="152" t="s">
        <v>93</v>
      </c>
      <c r="D93" s="152">
        <v>26704393.870000012</v>
      </c>
      <c r="E93" s="167"/>
      <c r="F93" s="152">
        <v>26704393.870000012</v>
      </c>
      <c r="G93" s="166"/>
      <c r="H93" s="166"/>
      <c r="I93" s="166"/>
      <c r="J93" s="152"/>
      <c r="K93" s="190"/>
      <c r="L93" s="152"/>
      <c r="M93" s="152"/>
      <c r="N93" s="177" t="s">
        <v>252</v>
      </c>
      <c r="O93" s="186">
        <v>83378827.5833617</v>
      </c>
      <c r="P93" s="191"/>
    </row>
    <row r="94" spans="1:16" ht="12.75" hidden="1">
      <c r="A94" s="153"/>
      <c r="B94" s="153"/>
      <c r="C94" s="153"/>
      <c r="D94" s="153"/>
      <c r="E94" s="153"/>
      <c r="F94" s="153"/>
      <c r="G94" s="153"/>
      <c r="H94" s="153"/>
      <c r="I94" s="153"/>
      <c r="J94" s="153"/>
      <c r="K94" s="192"/>
      <c r="L94" s="153"/>
      <c r="M94" s="153"/>
      <c r="N94" s="177" t="s">
        <v>253</v>
      </c>
      <c r="O94" s="186">
        <v>2475899.4299999997</v>
      </c>
    </row>
    <row r="95" spans="1:16" ht="13.5" hidden="1" thickBot="1">
      <c r="B95" s="152" t="s">
        <v>94</v>
      </c>
      <c r="C95" s="153"/>
      <c r="D95" s="152">
        <v>0</v>
      </c>
      <c r="E95" s="167"/>
      <c r="F95" s="152">
        <v>0</v>
      </c>
      <c r="G95" s="166"/>
      <c r="H95" s="166"/>
      <c r="I95" s="166"/>
      <c r="N95" s="177" t="s">
        <v>254</v>
      </c>
      <c r="O95" s="186">
        <v>192038</v>
      </c>
    </row>
    <row r="96" spans="1:16" ht="13.5" hidden="1" thickBot="1">
      <c r="C96" s="153"/>
      <c r="D96" s="167"/>
      <c r="E96" s="167"/>
      <c r="F96" s="166"/>
      <c r="G96" s="166"/>
      <c r="H96" s="166"/>
      <c r="I96" s="166"/>
      <c r="O96" s="186">
        <v>110742562.8833617</v>
      </c>
    </row>
    <row r="97" spans="1:16" ht="13.5" thickBot="1">
      <c r="B97" s="152" t="s">
        <v>54</v>
      </c>
      <c r="C97" s="153"/>
      <c r="D97" s="152">
        <v>81562269.199999988</v>
      </c>
      <c r="E97" s="167"/>
      <c r="F97" s="193"/>
      <c r="G97" s="166"/>
      <c r="H97" s="166"/>
      <c r="I97" s="152">
        <v>81562269.199999988</v>
      </c>
      <c r="N97" s="194" t="s">
        <v>237</v>
      </c>
      <c r="O97" s="172">
        <v>0.38336169719696045</v>
      </c>
      <c r="P97" s="191"/>
    </row>
    <row r="98" spans="1:16" hidden="1">
      <c r="F98" s="166"/>
      <c r="G98" s="166"/>
      <c r="H98" s="166"/>
      <c r="I98" s="166"/>
    </row>
    <row r="99" spans="1:16" s="153" customFormat="1" ht="12.75">
      <c r="A99" s="152"/>
      <c r="B99" s="153" t="s">
        <v>95</v>
      </c>
      <c r="C99" s="152"/>
      <c r="D99" s="152">
        <v>2475899.4299999997</v>
      </c>
      <c r="E99" s="167"/>
      <c r="F99" s="166"/>
      <c r="H99" s="152">
        <v>2475899.4299999997</v>
      </c>
      <c r="I99" s="166"/>
      <c r="J99" s="152"/>
      <c r="K99" s="152"/>
      <c r="L99" s="152"/>
      <c r="M99" s="152"/>
      <c r="N99" s="156"/>
    </row>
    <row r="100" spans="1:16" ht="12.75" hidden="1">
      <c r="A100" s="153"/>
      <c r="B100" s="153"/>
      <c r="C100" s="153"/>
      <c r="D100" s="153"/>
      <c r="E100" s="153"/>
      <c r="F100" s="153"/>
      <c r="G100" s="153"/>
      <c r="H100" s="153"/>
      <c r="I100" s="153"/>
      <c r="J100" s="153"/>
      <c r="K100" s="153"/>
      <c r="L100" s="153"/>
      <c r="M100" s="153"/>
    </row>
    <row r="101" spans="1:16" ht="11.25" thickBot="1">
      <c r="D101" s="160" t="s">
        <v>57</v>
      </c>
      <c r="E101" s="169" t="s">
        <v>58</v>
      </c>
      <c r="F101" s="160" t="s">
        <v>57</v>
      </c>
      <c r="G101" s="160" t="s">
        <v>57</v>
      </c>
      <c r="H101" s="160" t="s">
        <v>57</v>
      </c>
      <c r="I101" s="160" t="s">
        <v>57</v>
      </c>
    </row>
    <row r="102" spans="1:16" s="153" customFormat="1" ht="13.5" thickBot="1">
      <c r="A102" s="152" t="s">
        <v>96</v>
      </c>
      <c r="B102" s="152"/>
      <c r="C102" s="152"/>
      <c r="D102" s="152">
        <v>110742562.5</v>
      </c>
      <c r="E102" s="167"/>
      <c r="F102" s="152">
        <v>26704393.870000012</v>
      </c>
      <c r="G102" s="152">
        <v>0</v>
      </c>
      <c r="H102" s="152">
        <v>2475899.4299999997</v>
      </c>
      <c r="I102" s="152">
        <v>81562269.199999988</v>
      </c>
      <c r="J102" s="152"/>
      <c r="K102" s="170">
        <v>0</v>
      </c>
      <c r="L102" s="171" t="s">
        <v>237</v>
      </c>
      <c r="M102" s="172">
        <v>0</v>
      </c>
      <c r="N102" s="156"/>
    </row>
    <row r="103" spans="1:16" s="153" customFormat="1" ht="12.75">
      <c r="A103" s="152"/>
      <c r="B103" s="152"/>
      <c r="C103" s="152"/>
      <c r="D103" s="152"/>
      <c r="E103" s="152"/>
      <c r="G103" s="152"/>
      <c r="H103" s="152"/>
      <c r="I103" s="152"/>
      <c r="N103" s="156"/>
    </row>
    <row r="104" spans="1:16" s="153" customFormat="1" ht="12.75">
      <c r="A104" s="152" t="s">
        <v>97</v>
      </c>
      <c r="B104" s="152"/>
      <c r="C104" s="152"/>
      <c r="D104" s="152"/>
      <c r="E104" s="152"/>
      <c r="G104" s="152"/>
      <c r="H104" s="152"/>
      <c r="I104" s="152"/>
      <c r="N104" s="156"/>
    </row>
    <row r="105" spans="1:16" s="153" customFormat="1" ht="12.75" hidden="1">
      <c r="A105" s="152"/>
      <c r="B105" s="167" t="s">
        <v>136</v>
      </c>
      <c r="C105" s="152"/>
      <c r="D105" s="152">
        <v>0</v>
      </c>
      <c r="E105" s="167"/>
      <c r="G105" s="152"/>
      <c r="H105" s="152">
        <v>0</v>
      </c>
      <c r="I105" s="195"/>
      <c r="N105" s="156"/>
    </row>
    <row r="106" spans="1:16" s="153" customFormat="1" ht="12.75" hidden="1">
      <c r="A106" s="152"/>
      <c r="B106" s="167" t="s">
        <v>137</v>
      </c>
      <c r="C106" s="152"/>
      <c r="D106" s="152">
        <v>0</v>
      </c>
      <c r="E106" s="167"/>
      <c r="G106" s="152"/>
      <c r="H106" s="152">
        <v>0</v>
      </c>
      <c r="I106" s="195"/>
      <c r="N106" s="156"/>
    </row>
    <row r="107" spans="1:16" s="153" customFormat="1" ht="12.75">
      <c r="A107" s="152"/>
      <c r="B107" s="167" t="s">
        <v>138</v>
      </c>
      <c r="C107" s="152"/>
      <c r="D107" s="152">
        <v>6887333.6600000001</v>
      </c>
      <c r="E107" s="167"/>
      <c r="G107" s="152"/>
      <c r="H107" s="152">
        <v>6887333.6600000001</v>
      </c>
      <c r="I107" s="195"/>
      <c r="N107" s="156"/>
    </row>
    <row r="108" spans="1:16" s="153" customFormat="1" ht="12.75" hidden="1">
      <c r="A108" s="152"/>
      <c r="B108" s="167" t="s">
        <v>139</v>
      </c>
      <c r="C108" s="152"/>
      <c r="D108" s="152">
        <v>0</v>
      </c>
      <c r="E108" s="167"/>
      <c r="G108" s="152"/>
      <c r="H108" s="152">
        <v>0</v>
      </c>
      <c r="I108" s="195"/>
      <c r="N108" s="156"/>
    </row>
    <row r="109" spans="1:16" s="153" customFormat="1" ht="12.75">
      <c r="A109" s="152"/>
      <c r="B109" s="167" t="s">
        <v>98</v>
      </c>
      <c r="C109" s="152"/>
      <c r="D109" s="152">
        <v>108746950.59780073</v>
      </c>
      <c r="E109" s="167"/>
      <c r="G109" s="152"/>
      <c r="H109" s="152">
        <v>108746950.59780073</v>
      </c>
      <c r="I109" s="195"/>
      <c r="N109" s="156"/>
    </row>
    <row r="110" spans="1:16" s="153" customFormat="1" ht="12.75" hidden="1">
      <c r="A110" s="152"/>
      <c r="B110" s="167" t="s">
        <v>99</v>
      </c>
      <c r="C110" s="152"/>
      <c r="D110" s="152">
        <v>0</v>
      </c>
      <c r="E110" s="167"/>
      <c r="G110" s="152"/>
      <c r="H110" s="152">
        <v>0</v>
      </c>
      <c r="I110" s="195"/>
      <c r="N110" s="156"/>
    </row>
    <row r="111" spans="1:16" s="153" customFormat="1" ht="12.75" hidden="1">
      <c r="A111" s="152"/>
      <c r="B111" s="167" t="s">
        <v>140</v>
      </c>
      <c r="C111" s="152"/>
      <c r="D111" s="152">
        <v>0</v>
      </c>
      <c r="E111" s="167"/>
      <c r="G111" s="152"/>
      <c r="H111" s="152">
        <v>0</v>
      </c>
      <c r="I111" s="195"/>
      <c r="N111" s="156"/>
    </row>
    <row r="112" spans="1:16" s="153" customFormat="1" ht="12.75" hidden="1">
      <c r="A112" s="152"/>
      <c r="B112" s="167" t="s">
        <v>141</v>
      </c>
      <c r="C112" s="152"/>
      <c r="D112" s="152">
        <v>0</v>
      </c>
      <c r="E112" s="167"/>
      <c r="G112" s="152"/>
      <c r="H112" s="152">
        <v>0</v>
      </c>
      <c r="I112" s="195"/>
      <c r="N112" s="156"/>
    </row>
    <row r="113" spans="1:14" s="153" customFormat="1" ht="12.75" hidden="1">
      <c r="A113" s="152"/>
      <c r="B113" s="167" t="s">
        <v>142</v>
      </c>
      <c r="C113" s="152"/>
      <c r="D113" s="152">
        <v>0</v>
      </c>
      <c r="E113" s="167"/>
      <c r="G113" s="152"/>
      <c r="H113" s="152">
        <v>0</v>
      </c>
      <c r="I113" s="195"/>
      <c r="N113" s="156"/>
    </row>
    <row r="114" spans="1:14" s="153" customFormat="1" ht="12.75" hidden="1">
      <c r="A114" s="152"/>
      <c r="B114" s="167" t="s">
        <v>143</v>
      </c>
      <c r="C114" s="152"/>
      <c r="D114" s="152">
        <v>0</v>
      </c>
      <c r="E114" s="167"/>
      <c r="F114" s="169"/>
      <c r="G114" s="152"/>
      <c r="H114" s="152">
        <v>0</v>
      </c>
      <c r="I114" s="195"/>
      <c r="N114" s="156"/>
    </row>
    <row r="115" spans="1:14" s="153" customFormat="1" ht="12.75">
      <c r="A115" s="152"/>
      <c r="B115" s="167" t="s">
        <v>144</v>
      </c>
      <c r="C115" s="152"/>
      <c r="D115" s="152">
        <v>77993183.61553517</v>
      </c>
      <c r="E115" s="167"/>
      <c r="F115" s="169"/>
      <c r="G115" s="152"/>
      <c r="H115" s="152">
        <v>77993183.61553517</v>
      </c>
      <c r="I115" s="195"/>
      <c r="N115" s="156"/>
    </row>
    <row r="116" spans="1:14" s="153" customFormat="1" ht="12.75" hidden="1">
      <c r="A116" s="152"/>
      <c r="B116" s="167" t="s">
        <v>145</v>
      </c>
      <c r="C116" s="152"/>
      <c r="D116" s="152">
        <v>0</v>
      </c>
      <c r="E116" s="167"/>
      <c r="F116" s="169"/>
      <c r="G116" s="152"/>
      <c r="H116" s="152">
        <v>0</v>
      </c>
      <c r="I116" s="195"/>
      <c r="N116" s="156"/>
    </row>
    <row r="117" spans="1:14" s="153" customFormat="1" ht="12.75" hidden="1">
      <c r="A117" s="152"/>
      <c r="B117" s="167" t="s">
        <v>146</v>
      </c>
      <c r="C117" s="152"/>
      <c r="D117" s="152">
        <v>0</v>
      </c>
      <c r="E117" s="167"/>
      <c r="F117" s="169"/>
      <c r="G117" s="152"/>
      <c r="H117" s="152">
        <v>0</v>
      </c>
      <c r="I117" s="195"/>
      <c r="N117" s="156"/>
    </row>
    <row r="118" spans="1:14" s="153" customFormat="1" ht="12.75">
      <c r="A118" s="152"/>
      <c r="B118" s="167" t="s">
        <v>147</v>
      </c>
      <c r="C118" s="152"/>
      <c r="D118" s="152">
        <v>165729950.81</v>
      </c>
      <c r="E118" s="167"/>
      <c r="F118" s="169"/>
      <c r="G118" s="152"/>
      <c r="H118" s="152">
        <v>165729950.81</v>
      </c>
      <c r="I118" s="195"/>
      <c r="N118" s="156"/>
    </row>
    <row r="119" spans="1:14" s="153" customFormat="1" ht="12.75" hidden="1">
      <c r="A119" s="152"/>
      <c r="B119" s="167" t="s">
        <v>148</v>
      </c>
      <c r="C119" s="152"/>
      <c r="D119" s="152">
        <v>0</v>
      </c>
      <c r="E119" s="167"/>
      <c r="F119" s="169"/>
      <c r="G119" s="152"/>
      <c r="H119" s="152">
        <v>0</v>
      </c>
      <c r="I119" s="195"/>
      <c r="N119" s="156"/>
    </row>
    <row r="120" spans="1:14" s="153" customFormat="1" ht="12.75" hidden="1">
      <c r="A120" s="152"/>
      <c r="B120" s="167" t="s">
        <v>149</v>
      </c>
      <c r="C120" s="152"/>
      <c r="D120" s="152">
        <v>0</v>
      </c>
      <c r="E120" s="167"/>
      <c r="F120" s="169"/>
      <c r="G120" s="152"/>
      <c r="H120" s="152">
        <v>0</v>
      </c>
      <c r="I120" s="195"/>
      <c r="N120" s="156"/>
    </row>
    <row r="121" spans="1:14" s="153" customFormat="1" ht="12.75" hidden="1">
      <c r="A121" s="152"/>
      <c r="B121" s="167" t="s">
        <v>150</v>
      </c>
      <c r="C121" s="152"/>
      <c r="D121" s="152">
        <v>0</v>
      </c>
      <c r="E121" s="167"/>
      <c r="F121" s="169"/>
      <c r="G121" s="152"/>
      <c r="H121" s="152">
        <v>0</v>
      </c>
      <c r="I121" s="195"/>
      <c r="N121" s="156"/>
    </row>
    <row r="122" spans="1:14" s="153" customFormat="1" ht="12.75" hidden="1" customHeight="1">
      <c r="A122" s="152"/>
      <c r="B122" s="167" t="s">
        <v>151</v>
      </c>
      <c r="C122" s="152"/>
      <c r="D122" s="152">
        <v>0</v>
      </c>
      <c r="E122" s="167"/>
      <c r="F122" s="169"/>
      <c r="G122" s="152"/>
      <c r="H122" s="152">
        <v>0</v>
      </c>
      <c r="I122" s="195"/>
      <c r="N122" s="156"/>
    </row>
    <row r="123" spans="1:14" s="153" customFormat="1" ht="12.75" hidden="1">
      <c r="A123" s="152"/>
      <c r="B123" s="167" t="s">
        <v>152</v>
      </c>
      <c r="C123" s="152"/>
      <c r="D123" s="152">
        <v>0</v>
      </c>
      <c r="E123" s="167"/>
      <c r="F123" s="169"/>
      <c r="G123" s="152"/>
      <c r="H123" s="152">
        <v>0</v>
      </c>
      <c r="I123" s="195"/>
      <c r="N123" s="156"/>
    </row>
    <row r="124" spans="1:14" s="153" customFormat="1" ht="13.5" thickBot="1">
      <c r="A124" s="152"/>
      <c r="B124" s="152"/>
      <c r="C124" s="152"/>
      <c r="D124" s="160" t="s">
        <v>57</v>
      </c>
      <c r="E124" s="169" t="s">
        <v>58</v>
      </c>
      <c r="F124" s="160" t="s">
        <v>57</v>
      </c>
      <c r="G124" s="160" t="s">
        <v>57</v>
      </c>
      <c r="H124" s="160" t="s">
        <v>57</v>
      </c>
      <c r="I124" s="160" t="s">
        <v>57</v>
      </c>
      <c r="N124" s="156"/>
    </row>
    <row r="125" spans="1:14" s="153" customFormat="1" ht="13.5" thickBot="1">
      <c r="A125" s="152" t="s">
        <v>100</v>
      </c>
      <c r="B125" s="152"/>
      <c r="C125" s="152"/>
      <c r="D125" s="152">
        <v>359357418.6833359</v>
      </c>
      <c r="E125" s="167"/>
      <c r="F125" s="152">
        <v>0</v>
      </c>
      <c r="G125" s="152">
        <v>0</v>
      </c>
      <c r="H125" s="152">
        <v>359357418.6833359</v>
      </c>
      <c r="I125" s="152">
        <v>0</v>
      </c>
      <c r="K125" s="170">
        <v>0</v>
      </c>
      <c r="L125" s="171" t="s">
        <v>237</v>
      </c>
      <c r="M125" s="172">
        <v>0</v>
      </c>
      <c r="N125" s="156"/>
    </row>
    <row r="126" spans="1:14" s="153" customFormat="1" ht="12.75">
      <c r="A126" s="152"/>
      <c r="B126" s="152"/>
      <c r="C126" s="152"/>
      <c r="D126" s="196"/>
      <c r="E126" s="167"/>
      <c r="F126" s="167"/>
      <c r="G126" s="167"/>
      <c r="H126" s="167"/>
      <c r="I126" s="167"/>
      <c r="N126" s="156"/>
    </row>
    <row r="127" spans="1:14" s="153" customFormat="1" ht="12.75" hidden="1">
      <c r="A127" s="152" t="s">
        <v>101</v>
      </c>
      <c r="B127" s="152"/>
      <c r="C127" s="152"/>
      <c r="D127" s="196"/>
      <c r="E127" s="167"/>
      <c r="F127" s="167"/>
      <c r="G127" s="167"/>
      <c r="H127" s="167"/>
      <c r="I127" s="167"/>
      <c r="N127" s="156"/>
    </row>
    <row r="128" spans="1:14" s="153" customFormat="1" ht="12.75" hidden="1">
      <c r="A128" s="152"/>
      <c r="B128" s="167" t="s">
        <v>153</v>
      </c>
      <c r="C128" s="152"/>
      <c r="D128" s="152">
        <v>0</v>
      </c>
      <c r="E128" s="167"/>
      <c r="F128" s="169"/>
      <c r="G128" s="152"/>
      <c r="H128" s="152">
        <v>0</v>
      </c>
      <c r="I128" s="195"/>
      <c r="N128" s="156"/>
    </row>
    <row r="129" spans="1:13" hidden="1">
      <c r="D129" s="160" t="s">
        <v>57</v>
      </c>
      <c r="E129" s="169" t="s">
        <v>58</v>
      </c>
      <c r="F129" s="160" t="s">
        <v>57</v>
      </c>
      <c r="G129" s="160" t="s">
        <v>57</v>
      </c>
      <c r="H129" s="160" t="s">
        <v>57</v>
      </c>
      <c r="I129" s="160" t="s">
        <v>57</v>
      </c>
    </row>
    <row r="130" spans="1:13" hidden="1">
      <c r="A130" s="152" t="s">
        <v>102</v>
      </c>
      <c r="D130" s="152">
        <v>0</v>
      </c>
      <c r="E130" s="167"/>
      <c r="F130" s="152">
        <v>0</v>
      </c>
      <c r="G130" s="152">
        <v>0</v>
      </c>
      <c r="H130" s="152">
        <v>0</v>
      </c>
      <c r="I130" s="152">
        <v>0</v>
      </c>
    </row>
    <row r="131" spans="1:13" ht="11.25" thickBot="1">
      <c r="D131" s="197" t="s">
        <v>103</v>
      </c>
      <c r="E131" s="169" t="s">
        <v>58</v>
      </c>
      <c r="F131" s="197" t="s">
        <v>103</v>
      </c>
      <c r="G131" s="197" t="s">
        <v>103</v>
      </c>
      <c r="H131" s="197" t="s">
        <v>103</v>
      </c>
      <c r="I131" s="197" t="s">
        <v>103</v>
      </c>
    </row>
    <row r="132" spans="1:13" ht="11.25" thickBot="1">
      <c r="A132" s="152" t="s">
        <v>104</v>
      </c>
      <c r="D132" s="152">
        <v>557555676.02333581</v>
      </c>
      <c r="E132" s="167" t="s">
        <v>58</v>
      </c>
      <c r="F132" s="152">
        <v>41293166.850414291</v>
      </c>
      <c r="G132" s="152">
        <v>10227431.72958573</v>
      </c>
      <c r="H132" s="152">
        <v>361833318.11333591</v>
      </c>
      <c r="I132" s="152">
        <v>144201759.32999995</v>
      </c>
      <c r="K132" s="170">
        <v>0</v>
      </c>
      <c r="L132" s="171" t="s">
        <v>237</v>
      </c>
      <c r="M132" s="172">
        <v>0</v>
      </c>
    </row>
    <row r="133" spans="1:13">
      <c r="D133" s="197" t="s">
        <v>103</v>
      </c>
      <c r="E133" s="169" t="s">
        <v>58</v>
      </c>
      <c r="F133" s="197" t="s">
        <v>103</v>
      </c>
      <c r="G133" s="197" t="s">
        <v>103</v>
      </c>
      <c r="H133" s="197" t="s">
        <v>103</v>
      </c>
      <c r="I133" s="197" t="s">
        <v>103</v>
      </c>
    </row>
  </sheetData>
  <mergeCells count="1">
    <mergeCell ref="A7:C7"/>
  </mergeCells>
  <pageMargins left="0.88" right="0.7" top="1.18" bottom="0.75" header="0.83" footer="0.3"/>
  <pageSetup scale="75" orientation="portrait" r:id="rId1"/>
  <headerFooter>
    <oddHeader>&amp;RExhibit No.___(RBD-6) - Revised 12/10/10
Page 12.6.2</oddHeader>
  </headerFooter>
  <legacyDrawing r:id="rId2"/>
</worksheet>
</file>

<file path=xl/worksheets/sheet5.xml><?xml version="1.0" encoding="utf-8"?>
<worksheet xmlns="http://schemas.openxmlformats.org/spreadsheetml/2006/main" xmlns:r="http://schemas.openxmlformats.org/officeDocument/2006/relationships">
  <sheetPr codeName="Sheet26">
    <tabColor indexed="44"/>
    <pageSetUpPr fitToPage="1"/>
  </sheetPr>
  <dimension ref="A1:M44"/>
  <sheetViews>
    <sheetView zoomScale="85" zoomScaleNormal="85" workbookViewId="0">
      <selection activeCell="I15" sqref="I15"/>
    </sheetView>
  </sheetViews>
  <sheetFormatPr defaultRowHeight="12.75"/>
  <cols>
    <col min="1" max="1" width="29.28515625" style="59" customWidth="1"/>
    <col min="2" max="2" width="9" style="58" bestFit="1" customWidth="1"/>
    <col min="3" max="3" width="8.140625" style="58" bestFit="1" customWidth="1"/>
    <col min="4" max="4" width="9.42578125" style="58" bestFit="1" customWidth="1"/>
    <col min="5" max="5" width="1.85546875" style="70" customWidth="1"/>
    <col min="6" max="7" width="13.85546875" style="58" customWidth="1"/>
    <col min="8" max="8" width="1.85546875" style="70" customWidth="1"/>
    <col min="9" max="10" width="13.85546875" style="58" customWidth="1"/>
    <col min="11" max="11" width="1.85546875" style="70" customWidth="1"/>
    <col min="12" max="13" width="13.85546875" style="58" customWidth="1"/>
    <col min="14" max="16384" width="9.140625" style="59"/>
  </cols>
  <sheetData>
    <row r="1" spans="1:13">
      <c r="A1" s="57" t="s">
        <v>0</v>
      </c>
    </row>
    <row r="2" spans="1:13">
      <c r="A2" s="60" t="s">
        <v>132</v>
      </c>
    </row>
    <row r="3" spans="1:13">
      <c r="A3" s="57" t="s">
        <v>21</v>
      </c>
    </row>
    <row r="4" spans="1:13">
      <c r="A4" s="365" t="s">
        <v>445</v>
      </c>
    </row>
    <row r="5" spans="1:13" s="139" customFormat="1" ht="12">
      <c r="A5" s="138"/>
      <c r="B5" s="145"/>
      <c r="C5" s="145"/>
      <c r="D5" s="145"/>
      <c r="E5" s="147"/>
      <c r="F5" s="146"/>
      <c r="G5" s="146"/>
      <c r="H5" s="147"/>
      <c r="I5" s="146"/>
      <c r="J5" s="146"/>
      <c r="K5" s="147"/>
      <c r="L5" s="146"/>
      <c r="M5" s="146"/>
    </row>
    <row r="6" spans="1:13" s="141" customFormat="1" ht="12" thickBot="1">
      <c r="A6" s="140"/>
      <c r="D6" s="142"/>
      <c r="E6" s="144"/>
      <c r="F6" s="143"/>
      <c r="G6" s="143"/>
      <c r="H6" s="144"/>
      <c r="I6" s="143"/>
      <c r="J6" s="143"/>
      <c r="K6" s="144"/>
      <c r="L6" s="142"/>
      <c r="M6" s="142"/>
    </row>
    <row r="7" spans="1:13" s="62" customFormat="1">
      <c r="A7" s="61"/>
      <c r="E7" s="111"/>
      <c r="F7" s="112" t="s">
        <v>442</v>
      </c>
      <c r="G7" s="113"/>
      <c r="H7" s="111"/>
      <c r="I7" s="199" t="s">
        <v>236</v>
      </c>
      <c r="J7" s="200"/>
      <c r="K7" s="111"/>
      <c r="L7" s="262" t="s">
        <v>443</v>
      </c>
      <c r="M7" s="262"/>
    </row>
    <row r="8" spans="1:13" s="62" customFormat="1">
      <c r="A8" s="61"/>
      <c r="E8" s="111"/>
      <c r="F8" s="148" t="s">
        <v>229</v>
      </c>
      <c r="G8" s="115"/>
      <c r="H8" s="111"/>
      <c r="I8" s="148" t="s">
        <v>229</v>
      </c>
      <c r="J8" s="115"/>
      <c r="K8" s="111"/>
      <c r="L8" s="198"/>
      <c r="M8" s="198"/>
    </row>
    <row r="9" spans="1:13" s="62" customFormat="1">
      <c r="A9" s="61"/>
      <c r="E9" s="111"/>
      <c r="F9" s="116"/>
      <c r="G9" s="117"/>
      <c r="H9" s="111"/>
      <c r="I9" s="116"/>
      <c r="J9" s="117"/>
      <c r="K9" s="111"/>
      <c r="L9" s="111"/>
      <c r="M9" s="111"/>
    </row>
    <row r="10" spans="1:13" s="62" customFormat="1">
      <c r="C10" s="62" t="s">
        <v>22</v>
      </c>
      <c r="D10" s="62" t="s">
        <v>15</v>
      </c>
      <c r="E10" s="111"/>
      <c r="F10" s="118"/>
      <c r="G10" s="119"/>
      <c r="H10" s="111"/>
      <c r="I10" s="118"/>
      <c r="J10" s="119"/>
      <c r="K10" s="111"/>
      <c r="L10" s="110"/>
      <c r="M10" s="110"/>
    </row>
    <row r="11" spans="1:13" s="62" customFormat="1">
      <c r="B11" s="62" t="s">
        <v>24</v>
      </c>
      <c r="C11" s="62" t="s">
        <v>230</v>
      </c>
      <c r="D11" s="62" t="s">
        <v>230</v>
      </c>
      <c r="E11" s="111"/>
      <c r="F11" s="116" t="s">
        <v>200</v>
      </c>
      <c r="G11" s="117" t="s">
        <v>23</v>
      </c>
      <c r="H11" s="111"/>
      <c r="I11" s="116" t="s">
        <v>200</v>
      </c>
      <c r="J11" s="117" t="s">
        <v>23</v>
      </c>
      <c r="K11" s="111"/>
      <c r="L11" s="111" t="s">
        <v>200</v>
      </c>
      <c r="M11" s="111" t="s">
        <v>23</v>
      </c>
    </row>
    <row r="12" spans="1:13" s="62" customFormat="1">
      <c r="A12" s="63" t="s">
        <v>26</v>
      </c>
      <c r="B12" s="63" t="s">
        <v>232</v>
      </c>
      <c r="C12" s="63" t="s">
        <v>27</v>
      </c>
      <c r="D12" s="63" t="s">
        <v>231</v>
      </c>
      <c r="E12" s="137"/>
      <c r="F12" s="120" t="s">
        <v>201</v>
      </c>
      <c r="G12" s="121" t="s">
        <v>25</v>
      </c>
      <c r="H12" s="137"/>
      <c r="I12" s="120" t="s">
        <v>201</v>
      </c>
      <c r="J12" s="121" t="s">
        <v>25</v>
      </c>
      <c r="K12" s="137"/>
      <c r="L12" s="63" t="s">
        <v>201</v>
      </c>
      <c r="M12" s="63" t="s">
        <v>25</v>
      </c>
    </row>
    <row r="13" spans="1:13">
      <c r="F13" s="122"/>
      <c r="G13" s="123"/>
      <c r="I13" s="122"/>
      <c r="J13" s="123"/>
      <c r="L13" s="70"/>
      <c r="M13" s="70"/>
    </row>
    <row r="14" spans="1:13">
      <c r="A14" s="59" t="s">
        <v>9</v>
      </c>
      <c r="F14" s="122"/>
      <c r="G14" s="123"/>
      <c r="I14" s="122"/>
      <c r="J14" s="123"/>
      <c r="L14" s="70"/>
      <c r="M14" s="70"/>
    </row>
    <row r="15" spans="1:13">
      <c r="A15" s="64" t="s">
        <v>28</v>
      </c>
      <c r="B15" s="65" t="s">
        <v>166</v>
      </c>
      <c r="C15" s="58" t="s">
        <v>10</v>
      </c>
      <c r="D15" s="66">
        <v>0.220870814871235</v>
      </c>
      <c r="E15" s="71"/>
      <c r="F15" s="124">
        <f>'Adjustments to Initial Forecast'!F15</f>
        <v>13316300</v>
      </c>
      <c r="G15" s="125">
        <f>F15*$D15</f>
        <v>2941182.0320698265</v>
      </c>
      <c r="H15" s="71"/>
      <c r="I15" s="124">
        <f>'Proforma 3-2012 (Rebuttal)'!F11</f>
        <v>12964800</v>
      </c>
      <c r="J15" s="125">
        <f>I15*$D15</f>
        <v>2863545.9406425874</v>
      </c>
      <c r="K15" s="71"/>
      <c r="L15" s="71">
        <f>I15-F15</f>
        <v>-351500</v>
      </c>
      <c r="M15" s="71">
        <f>L15*D15</f>
        <v>-77636.091427239109</v>
      </c>
    </row>
    <row r="16" spans="1:13">
      <c r="A16" s="64" t="s">
        <v>29</v>
      </c>
      <c r="B16" s="65" t="s">
        <v>166</v>
      </c>
      <c r="C16" s="58" t="s">
        <v>10</v>
      </c>
      <c r="D16" s="66">
        <v>0.220870814871235</v>
      </c>
      <c r="E16" s="71"/>
      <c r="F16" s="124">
        <f>'Adjustments to Initial Forecast'!F16</f>
        <v>163438640.13999999</v>
      </c>
      <c r="G16" s="125">
        <f t="shared" ref="G16:G17" si="0">F16*$D16</f>
        <v>36098825.629168332</v>
      </c>
      <c r="H16" s="71"/>
      <c r="I16" s="124">
        <f>'Proforma 3-2012 (Rebuttal)'!I19</f>
        <v>151728308.34</v>
      </c>
      <c r="J16" s="125">
        <f t="shared" ref="J16:J17" si="1">I16*$D16</f>
        <v>33512355.102089804</v>
      </c>
      <c r="K16" s="71"/>
      <c r="L16" s="71">
        <f t="shared" ref="L16:L17" si="2">I16-F16</f>
        <v>-11710331.799999982</v>
      </c>
      <c r="M16" s="71">
        <f t="shared" ref="M16:M17" si="3">L16*D16</f>
        <v>-2586470.5270785321</v>
      </c>
    </row>
    <row r="17" spans="1:13">
      <c r="A17" s="64" t="s">
        <v>30</v>
      </c>
      <c r="B17" s="65" t="s">
        <v>166</v>
      </c>
      <c r="C17" s="58" t="s">
        <v>13</v>
      </c>
      <c r="D17" s="66">
        <v>0.22270549443887661</v>
      </c>
      <c r="E17" s="71"/>
      <c r="F17" s="124">
        <f>'Adjustments to Initial Forecast'!F17</f>
        <v>0</v>
      </c>
      <c r="G17" s="125">
        <f t="shared" si="0"/>
        <v>0</v>
      </c>
      <c r="H17" s="71"/>
      <c r="I17" s="124">
        <v>0</v>
      </c>
      <c r="J17" s="125">
        <f t="shared" si="1"/>
        <v>0</v>
      </c>
      <c r="K17" s="71"/>
      <c r="L17" s="71">
        <f t="shared" si="2"/>
        <v>0</v>
      </c>
      <c r="M17" s="71">
        <f t="shared" si="3"/>
        <v>0</v>
      </c>
    </row>
    <row r="18" spans="1:13">
      <c r="A18" s="59" t="s">
        <v>31</v>
      </c>
      <c r="E18" s="69"/>
      <c r="F18" s="126">
        <f>SUM(F15:F17)</f>
        <v>176754940.13999999</v>
      </c>
      <c r="G18" s="127">
        <f>SUM(G15:G17)</f>
        <v>39040007.661238156</v>
      </c>
      <c r="H18" s="69"/>
      <c r="I18" s="126">
        <f>SUM(I15:I17)</f>
        <v>164693108.34</v>
      </c>
      <c r="J18" s="127">
        <f>SUM(J15:J17)</f>
        <v>36375901.042732388</v>
      </c>
      <c r="K18" s="69"/>
      <c r="L18" s="68">
        <f>SUM(L15:L17)</f>
        <v>-12061831.799999982</v>
      </c>
      <c r="M18" s="68">
        <f>SUM(M15:M17)</f>
        <v>-2664106.6185057713</v>
      </c>
    </row>
    <row r="19" spans="1:13">
      <c r="F19" s="122"/>
      <c r="G19" s="123"/>
      <c r="I19" s="122"/>
      <c r="J19" s="123"/>
      <c r="L19" s="70"/>
      <c r="M19" s="70"/>
    </row>
    <row r="20" spans="1:13">
      <c r="A20" s="59" t="s">
        <v>11</v>
      </c>
      <c r="F20" s="122"/>
      <c r="G20" s="123"/>
      <c r="I20" s="122"/>
      <c r="J20" s="123"/>
      <c r="L20" s="70"/>
      <c r="M20" s="70"/>
    </row>
    <row r="21" spans="1:13">
      <c r="A21" s="64" t="s">
        <v>32</v>
      </c>
      <c r="B21" s="65" t="s">
        <v>167</v>
      </c>
      <c r="C21" s="58" t="s">
        <v>10</v>
      </c>
      <c r="D21" s="66">
        <v>0.220870814871235</v>
      </c>
      <c r="E21" s="71"/>
      <c r="F21" s="124">
        <f>'Adjustments to Initial Forecast'!F21</f>
        <v>26575729.524420187</v>
      </c>
      <c r="G21" s="125">
        <f t="shared" ref="G21:G25" si="4">F21*$D21</f>
        <v>5869803.0358562255</v>
      </c>
      <c r="H21" s="71"/>
      <c r="I21" s="124">
        <f>'Proforma 3-2012 (Rebuttal)'!F29</f>
        <v>27553572.980414275</v>
      </c>
      <c r="J21" s="125">
        <f t="shared" ref="J21:J25" si="5">I21*$D21</f>
        <v>6085780.1167981438</v>
      </c>
      <c r="K21" s="71"/>
      <c r="L21" s="71">
        <f t="shared" ref="L21:L25" si="6">I21-F21</f>
        <v>977843.4559940882</v>
      </c>
      <c r="M21" s="71">
        <f t="shared" ref="M21:M25" si="7">L21*D21</f>
        <v>215977.08094191889</v>
      </c>
    </row>
    <row r="22" spans="1:13">
      <c r="A22" s="64" t="s">
        <v>33</v>
      </c>
      <c r="B22" s="65" t="s">
        <v>167</v>
      </c>
      <c r="C22" s="58" t="s">
        <v>13</v>
      </c>
      <c r="D22" s="66">
        <v>0.22270549443887661</v>
      </c>
      <c r="E22" s="71"/>
      <c r="F22" s="124">
        <f>'Adjustments to Initial Forecast'!F22</f>
        <v>7949108.9455798157</v>
      </c>
      <c r="G22" s="125">
        <f t="shared" si="4"/>
        <v>1770310.2380738498</v>
      </c>
      <c r="H22" s="71"/>
      <c r="I22" s="124">
        <f>'Proforma 3-2012 (Rebuttal)'!G29</f>
        <v>10227431.72958573</v>
      </c>
      <c r="J22" s="125">
        <f t="shared" si="5"/>
        <v>2277705.2401772449</v>
      </c>
      <c r="K22" s="71"/>
      <c r="L22" s="71">
        <f t="shared" si="6"/>
        <v>2278322.7840059139</v>
      </c>
      <c r="M22" s="71">
        <f t="shared" si="7"/>
        <v>507395.00210339495</v>
      </c>
    </row>
    <row r="23" spans="1:13">
      <c r="A23" s="64" t="s">
        <v>14</v>
      </c>
      <c r="B23" s="65" t="s">
        <v>167</v>
      </c>
      <c r="C23" s="58" t="s">
        <v>15</v>
      </c>
      <c r="D23" s="67">
        <v>1</v>
      </c>
      <c r="E23" s="71"/>
      <c r="F23" s="124">
        <f>'Adjustments to Initial Forecast'!F23</f>
        <v>3054402.51</v>
      </c>
      <c r="G23" s="125">
        <f t="shared" si="4"/>
        <v>3054402.51</v>
      </c>
      <c r="H23" s="71"/>
      <c r="I23" s="124">
        <f>'Proforma 3-2012 (Rebuttal)'!I29</f>
        <v>3054402.51</v>
      </c>
      <c r="J23" s="125">
        <f t="shared" si="5"/>
        <v>3054402.51</v>
      </c>
      <c r="K23" s="71"/>
      <c r="L23" s="71">
        <f t="shared" si="6"/>
        <v>0</v>
      </c>
      <c r="M23" s="71">
        <f t="shared" si="7"/>
        <v>0</v>
      </c>
    </row>
    <row r="24" spans="1:13">
      <c r="A24" s="64" t="s">
        <v>34</v>
      </c>
      <c r="B24" s="65" t="s">
        <v>167</v>
      </c>
      <c r="C24" s="58" t="s">
        <v>10</v>
      </c>
      <c r="D24" s="66">
        <v>0.220870814871235</v>
      </c>
      <c r="E24" s="71"/>
      <c r="F24" s="124">
        <f>'Adjustments to Initial Forecast'!F24</f>
        <v>263720103.25999999</v>
      </c>
      <c r="G24" s="125">
        <f t="shared" si="4"/>
        <v>58248074.104962438</v>
      </c>
      <c r="H24" s="71"/>
      <c r="I24" s="124">
        <f>'Proforma 3-2012 (Rebuttal)'!I84</f>
        <v>201497512.42000002</v>
      </c>
      <c r="J24" s="125">
        <f t="shared" si="5"/>
        <v>44504919.7627322</v>
      </c>
      <c r="K24" s="71"/>
      <c r="L24" s="71">
        <f t="shared" si="6"/>
        <v>-62222590.839999974</v>
      </c>
      <c r="M24" s="71">
        <f t="shared" si="7"/>
        <v>-13743154.342230236</v>
      </c>
    </row>
    <row r="25" spans="1:13">
      <c r="A25" s="64" t="s">
        <v>35</v>
      </c>
      <c r="B25" s="65" t="s">
        <v>167</v>
      </c>
      <c r="C25" s="58" t="s">
        <v>10</v>
      </c>
      <c r="D25" s="66">
        <v>0.220870814871235</v>
      </c>
      <c r="E25" s="71"/>
      <c r="F25" s="124">
        <f>'Adjustments to Initial Forecast'!F25</f>
        <v>11379603.43</v>
      </c>
      <c r="G25" s="125">
        <f t="shared" si="4"/>
        <v>2513422.2824956006</v>
      </c>
      <c r="H25" s="71"/>
      <c r="I25" s="124">
        <f>'Proforma 3-2012 (Rebuttal)'!I85</f>
        <v>9815883.5399999991</v>
      </c>
      <c r="J25" s="125">
        <f t="shared" si="5"/>
        <v>2168042.1961609428</v>
      </c>
      <c r="K25" s="71"/>
      <c r="L25" s="71">
        <f t="shared" si="6"/>
        <v>-1563719.8900000006</v>
      </c>
      <c r="M25" s="71">
        <f t="shared" si="7"/>
        <v>-345380.08633465809</v>
      </c>
    </row>
    <row r="26" spans="1:13">
      <c r="A26" s="72" t="s">
        <v>36</v>
      </c>
      <c r="B26" s="65"/>
      <c r="E26" s="69"/>
      <c r="F26" s="126">
        <f>SUM(F21:F25)</f>
        <v>312678947.67000002</v>
      </c>
      <c r="G26" s="127">
        <f>SUM(G21:G25)</f>
        <v>71456012.171388119</v>
      </c>
      <c r="H26" s="69"/>
      <c r="I26" s="126">
        <f>SUM(I21:I25)</f>
        <v>252148803.18000001</v>
      </c>
      <c r="J26" s="127">
        <f>SUM(J21:J25)</f>
        <v>58090849.825868532</v>
      </c>
      <c r="K26" s="69"/>
      <c r="L26" s="68">
        <f>SUM(L21:L25)</f>
        <v>-60530144.489999972</v>
      </c>
      <c r="M26" s="68">
        <f>SUM(M21:M25)</f>
        <v>-13365162.345519582</v>
      </c>
    </row>
    <row r="27" spans="1:13">
      <c r="F27" s="122"/>
      <c r="G27" s="123"/>
      <c r="I27" s="122"/>
      <c r="J27" s="123"/>
      <c r="L27" s="70"/>
      <c r="M27" s="70"/>
    </row>
    <row r="28" spans="1:13">
      <c r="A28" s="59" t="s">
        <v>16</v>
      </c>
      <c r="F28" s="122"/>
      <c r="G28" s="123"/>
      <c r="I28" s="122"/>
      <c r="J28" s="123"/>
      <c r="L28" s="70"/>
      <c r="M28" s="70"/>
    </row>
    <row r="29" spans="1:13">
      <c r="A29" s="64" t="s">
        <v>37</v>
      </c>
      <c r="B29" s="65" t="s">
        <v>168</v>
      </c>
      <c r="C29" s="58" t="s">
        <v>10</v>
      </c>
      <c r="D29" s="66">
        <v>0.220870814871235</v>
      </c>
      <c r="E29" s="71"/>
      <c r="F29" s="124">
        <f>'Adjustments to Initial Forecast'!F29</f>
        <v>27492324.290000007</v>
      </c>
      <c r="G29" s="125">
        <f t="shared" ref="G29:G31" si="8">F29*$D29</f>
        <v>6072252.0686365487</v>
      </c>
      <c r="H29" s="71"/>
      <c r="I29" s="124">
        <f>'Proforma 3-2012 (Rebuttal)'!F93</f>
        <v>26704393.870000012</v>
      </c>
      <c r="J29" s="125">
        <f t="shared" ref="J29:J31" si="9">I29*$D29</f>
        <v>5898221.234709315</v>
      </c>
      <c r="K29" s="71"/>
      <c r="L29" s="71">
        <f t="shared" ref="L29:L31" si="10">I29-F29</f>
        <v>-787930.41999999434</v>
      </c>
      <c r="M29" s="71">
        <f t="shared" ref="M29:M31" si="11">L29*D29</f>
        <v>-174030.83392723318</v>
      </c>
    </row>
    <row r="30" spans="1:13">
      <c r="A30" s="64" t="s">
        <v>38</v>
      </c>
      <c r="B30" s="65" t="s">
        <v>168</v>
      </c>
      <c r="C30" s="58" t="s">
        <v>10</v>
      </c>
      <c r="D30" s="66">
        <v>0.220870814871235</v>
      </c>
      <c r="E30" s="71"/>
      <c r="F30" s="124">
        <f>'Adjustments to Initial Forecast'!F30</f>
        <v>80078614.709999993</v>
      </c>
      <c r="G30" s="125">
        <f t="shared" si="8"/>
        <v>17687028.884757366</v>
      </c>
      <c r="H30" s="71"/>
      <c r="I30" s="124">
        <f>'Proforma 3-2012 (Rebuttal)'!I97</f>
        <v>81562269.199999988</v>
      </c>
      <c r="J30" s="125">
        <f t="shared" si="9"/>
        <v>18014724.860951029</v>
      </c>
      <c r="K30" s="71"/>
      <c r="L30" s="71">
        <f t="shared" si="10"/>
        <v>1483654.4899999946</v>
      </c>
      <c r="M30" s="71">
        <f t="shared" si="11"/>
        <v>327695.97619366541</v>
      </c>
    </row>
    <row r="31" spans="1:13">
      <c r="A31" s="64" t="s">
        <v>39</v>
      </c>
      <c r="B31" s="65" t="s">
        <v>168</v>
      </c>
      <c r="C31" s="58" t="s">
        <v>13</v>
      </c>
      <c r="D31" s="66">
        <v>0.22270549443887661</v>
      </c>
      <c r="E31" s="71"/>
      <c r="F31" s="124">
        <f>'Adjustments to Initial Forecast'!F31</f>
        <v>0</v>
      </c>
      <c r="G31" s="125">
        <f t="shared" si="8"/>
        <v>0</v>
      </c>
      <c r="H31" s="71"/>
      <c r="I31" s="124">
        <f>'Proforma 3-2012 (Rebuttal)'!H102</f>
        <v>2475899.4299999997</v>
      </c>
      <c r="J31" s="125">
        <f t="shared" si="9"/>
        <v>551396.40673908265</v>
      </c>
      <c r="K31" s="71"/>
      <c r="L31" s="71">
        <f t="shared" si="10"/>
        <v>2475899.4299999997</v>
      </c>
      <c r="M31" s="71">
        <f t="shared" si="11"/>
        <v>551396.40673908265</v>
      </c>
    </row>
    <row r="32" spans="1:13">
      <c r="A32" s="59" t="s">
        <v>40</v>
      </c>
      <c r="E32" s="69"/>
      <c r="F32" s="126">
        <f>SUM(F29:F31)</f>
        <v>107570939</v>
      </c>
      <c r="G32" s="127">
        <f>SUM(G29:G31)</f>
        <v>23759280.953393914</v>
      </c>
      <c r="H32" s="69"/>
      <c r="I32" s="126">
        <f>SUM(I29:I31)</f>
        <v>110742562.5</v>
      </c>
      <c r="J32" s="127">
        <f>SUM(J29:J31)</f>
        <v>24464342.502399426</v>
      </c>
      <c r="K32" s="69"/>
      <c r="L32" s="68">
        <f>SUM(L29:L31)</f>
        <v>3171623.5</v>
      </c>
      <c r="M32" s="68">
        <f>SUM(M29:M31)</f>
        <v>705061.54900551494</v>
      </c>
    </row>
    <row r="33" spans="1:13">
      <c r="F33" s="122"/>
      <c r="G33" s="123"/>
      <c r="I33" s="122"/>
      <c r="J33" s="123"/>
      <c r="L33" s="70"/>
      <c r="M33" s="70"/>
    </row>
    <row r="34" spans="1:13">
      <c r="A34" s="59" t="s">
        <v>17</v>
      </c>
      <c r="F34" s="122"/>
      <c r="G34" s="123"/>
      <c r="I34" s="122"/>
      <c r="J34" s="123"/>
      <c r="L34" s="70"/>
      <c r="M34" s="70"/>
    </row>
    <row r="35" spans="1:13">
      <c r="A35" s="64" t="s">
        <v>18</v>
      </c>
      <c r="B35" s="65" t="s">
        <v>169</v>
      </c>
      <c r="C35" s="58" t="s">
        <v>13</v>
      </c>
      <c r="D35" s="66">
        <v>0.22270549443887661</v>
      </c>
      <c r="E35" s="71"/>
      <c r="F35" s="124">
        <f>'Adjustments to Initial Forecast'!F35</f>
        <v>173957508.69999999</v>
      </c>
      <c r="G35" s="125">
        <f t="shared" ref="G35:G36" si="12">F35*$D35</f>
        <v>38741292.986388676</v>
      </c>
      <c r="H35" s="71"/>
      <c r="I35" s="124">
        <f>'Proforma 3-2012 (Rebuttal)'!D107+'Proforma 3-2012 (Rebuttal)'!D118</f>
        <v>172617284.47</v>
      </c>
      <c r="J35" s="125">
        <f t="shared" ref="J35:J36" si="13">I35*$D35</f>
        <v>38442817.686587565</v>
      </c>
      <c r="K35" s="71"/>
      <c r="L35" s="71">
        <f t="shared" ref="L35:L36" si="14">I35-F35</f>
        <v>-1340224.2299999893</v>
      </c>
      <c r="M35" s="71">
        <f t="shared" ref="M35:M36" si="15">L35*D35</f>
        <v>-298475.29980111029</v>
      </c>
    </row>
    <row r="36" spans="1:13">
      <c r="A36" s="64" t="s">
        <v>19</v>
      </c>
      <c r="B36" s="65" t="s">
        <v>170</v>
      </c>
      <c r="C36" s="58" t="s">
        <v>13</v>
      </c>
      <c r="D36" s="66">
        <v>0.22270549443887661</v>
      </c>
      <c r="E36" s="71"/>
      <c r="F36" s="124">
        <f>'Adjustments to Initial Forecast'!F36</f>
        <v>152461645.58846295</v>
      </c>
      <c r="G36" s="125">
        <f t="shared" si="12"/>
        <v>33954046.163743414</v>
      </c>
      <c r="H36" s="71"/>
      <c r="I36" s="124">
        <f>'Proforma 3-2012 (Rebuttal)'!D115+'Proforma 3-2012 (Rebuttal)'!D109</f>
        <v>186740134.2133359</v>
      </c>
      <c r="J36" s="125">
        <f t="shared" si="13"/>
        <v>41588053.921563148</v>
      </c>
      <c r="K36" s="71"/>
      <c r="L36" s="71">
        <f t="shared" si="14"/>
        <v>34278488.624872953</v>
      </c>
      <c r="M36" s="71">
        <f t="shared" si="15"/>
        <v>7634007.7578197382</v>
      </c>
    </row>
    <row r="37" spans="1:13">
      <c r="A37" s="59" t="s">
        <v>41</v>
      </c>
      <c r="E37" s="69"/>
      <c r="F37" s="126">
        <f>SUM(F35:F36)</f>
        <v>326419154.28846294</v>
      </c>
      <c r="G37" s="127">
        <f>SUM(G35:G36)</f>
        <v>72695339.15013209</v>
      </c>
      <c r="H37" s="69"/>
      <c r="I37" s="126">
        <f>SUM(I35:I36)</f>
        <v>359357418.6833359</v>
      </c>
      <c r="J37" s="127">
        <f>SUM(J35:J36)</f>
        <v>80030871.608150721</v>
      </c>
      <c r="K37" s="69"/>
      <c r="L37" s="68">
        <f>SUM(L35:L36)</f>
        <v>32938264.394872963</v>
      </c>
      <c r="M37" s="68">
        <f>SUM(M35:M36)</f>
        <v>7335532.4580186279</v>
      </c>
    </row>
    <row r="38" spans="1:13">
      <c r="E38" s="69"/>
      <c r="F38" s="128"/>
      <c r="G38" s="129"/>
      <c r="H38" s="69"/>
      <c r="I38" s="128"/>
      <c r="J38" s="129"/>
      <c r="K38" s="69"/>
      <c r="L38" s="69"/>
      <c r="M38" s="69"/>
    </row>
    <row r="39" spans="1:13" s="60" customFormat="1" ht="13.5" thickBot="1">
      <c r="A39" s="62" t="s">
        <v>42</v>
      </c>
      <c r="B39" s="62"/>
      <c r="C39" s="62"/>
      <c r="D39" s="62"/>
      <c r="E39" s="74"/>
      <c r="F39" s="130">
        <f>SUM(-F18,F26,F32,F37)</f>
        <v>569914100.81846297</v>
      </c>
      <c r="G39" s="131">
        <f>SUM(-G18,G26,G32,G37)</f>
        <v>128870624.61367597</v>
      </c>
      <c r="H39" s="74"/>
      <c r="I39" s="130">
        <f>SUM(-I18,I26,I32,I37)</f>
        <v>557555676.02333593</v>
      </c>
      <c r="J39" s="131">
        <f>SUM(-J18,J26,J32,J37)</f>
        <v>126210162.89368629</v>
      </c>
      <c r="K39" s="74"/>
      <c r="L39" s="73">
        <f>SUM(-L18,L26,L32,L37)</f>
        <v>-12358424.795127027</v>
      </c>
      <c r="M39" s="73">
        <f>SUM(-M18,M26,M32,M37)</f>
        <v>-2660461.7199896676</v>
      </c>
    </row>
    <row r="40" spans="1:13" ht="13.5" thickTop="1">
      <c r="C40" s="103"/>
      <c r="D40" s="103"/>
      <c r="E40" s="136"/>
      <c r="F40" s="224" t="s">
        <v>444</v>
      </c>
      <c r="G40" s="225"/>
      <c r="H40" s="136"/>
      <c r="I40" s="224" t="s">
        <v>255</v>
      </c>
      <c r="J40" s="225"/>
      <c r="K40" s="136"/>
      <c r="L40" s="201"/>
      <c r="M40" s="201"/>
    </row>
    <row r="41" spans="1:13">
      <c r="F41" s="122"/>
      <c r="G41" s="123"/>
      <c r="I41" s="122"/>
      <c r="J41" s="123"/>
      <c r="L41" s="70"/>
      <c r="M41" s="70"/>
    </row>
    <row r="42" spans="1:13" ht="13.5" thickBot="1">
      <c r="A42" s="59" t="s">
        <v>202</v>
      </c>
      <c r="F42" s="134"/>
      <c r="G42" s="135"/>
      <c r="I42" s="134"/>
      <c r="J42" s="135"/>
      <c r="L42" s="70"/>
      <c r="M42" s="70"/>
    </row>
    <row r="44" spans="1:13">
      <c r="B44" s="62"/>
      <c r="E44" s="111"/>
      <c r="F44" s="62"/>
      <c r="G44" s="62"/>
      <c r="H44" s="111"/>
      <c r="I44" s="62"/>
      <c r="J44" s="62"/>
      <c r="K44" s="111"/>
      <c r="L44" s="62"/>
      <c r="M44" s="62"/>
    </row>
  </sheetData>
  <pageMargins left="0.65" right="0.72" top="1" bottom="1" header="0.82" footer="0.5"/>
  <pageSetup scale="64" orientation="portrait" r:id="rId1"/>
  <headerFooter alignWithMargins="0">
    <oddHeader xml:space="preserve">&amp;R&amp;12Exhibit No.___(RBD-6 ) - Revised 12/10/10
Page12.6.3&amp;14 </oddHeader>
    <oddFooter xml:space="preserve">&amp;C&amp;14 </oddFooter>
  </headerFooter>
</worksheet>
</file>

<file path=xl/worksheets/sheet6.xml><?xml version="1.0" encoding="utf-8"?>
<worksheet xmlns="http://schemas.openxmlformats.org/spreadsheetml/2006/main" xmlns:r="http://schemas.openxmlformats.org/officeDocument/2006/relationships">
  <sheetPr>
    <pageSetUpPr fitToPage="1"/>
  </sheetPr>
  <dimension ref="B2:J52"/>
  <sheetViews>
    <sheetView zoomScale="85" zoomScaleNormal="85" zoomScaleSheetLayoutView="80" workbookViewId="0">
      <selection activeCell="D57" sqref="D57"/>
    </sheetView>
  </sheetViews>
  <sheetFormatPr defaultRowHeight="12.75"/>
  <cols>
    <col min="1" max="1" width="3.42578125" style="230" customWidth="1"/>
    <col min="2" max="2" width="18.7109375" style="259" customWidth="1"/>
    <col min="3" max="3" width="56.7109375" style="230" customWidth="1"/>
    <col min="4" max="4" width="18.28515625" style="230" customWidth="1"/>
    <col min="5" max="5" width="15.42578125" style="230" customWidth="1"/>
    <col min="6" max="6" width="2.28515625" style="230" customWidth="1"/>
    <col min="7" max="8" width="16.5703125" style="230" customWidth="1"/>
    <col min="9" max="9" width="2.28515625" style="230" customWidth="1"/>
    <col min="10" max="10" width="16.28515625" style="230" customWidth="1"/>
    <col min="11" max="16384" width="9.140625" style="230"/>
  </cols>
  <sheetData>
    <row r="2" spans="2:10">
      <c r="D2" s="368" t="s">
        <v>447</v>
      </c>
      <c r="E2" s="368"/>
      <c r="G2" s="391" t="s">
        <v>448</v>
      </c>
      <c r="H2" s="392"/>
    </row>
    <row r="3" spans="2:10" ht="15.75">
      <c r="B3" s="226" t="s">
        <v>279</v>
      </c>
      <c r="C3" s="227"/>
      <c r="D3" s="228" t="s">
        <v>280</v>
      </c>
      <c r="E3" s="229">
        <v>569914100.82433188</v>
      </c>
      <c r="G3" s="394" t="s">
        <v>280</v>
      </c>
      <c r="H3" s="393">
        <f>'Variance Sum. from Init Forcast'!G39</f>
        <v>128870624.61367597</v>
      </c>
    </row>
    <row r="4" spans="2:10">
      <c r="B4" s="231"/>
      <c r="C4" s="232"/>
      <c r="D4" s="233" t="s">
        <v>281</v>
      </c>
      <c r="E4" s="234">
        <v>28.213736369427039</v>
      </c>
      <c r="G4" s="372"/>
      <c r="H4" s="241"/>
    </row>
    <row r="5" spans="2:10">
      <c r="B5" s="235"/>
      <c r="D5" s="236"/>
      <c r="E5" s="237"/>
      <c r="G5" s="372"/>
      <c r="H5" s="241"/>
    </row>
    <row r="6" spans="2:10" ht="15.75">
      <c r="B6" s="226" t="s">
        <v>282</v>
      </c>
      <c r="C6" s="227"/>
      <c r="D6" s="227"/>
      <c r="E6" s="238"/>
      <c r="G6" s="371"/>
      <c r="H6" s="238"/>
      <c r="J6" s="381"/>
    </row>
    <row r="7" spans="2:10" ht="15.75">
      <c r="B7" s="239"/>
      <c r="C7" s="240"/>
      <c r="D7" s="240"/>
      <c r="E7" s="241"/>
      <c r="G7" s="372"/>
      <c r="H7" s="241"/>
      <c r="J7" s="382" t="s">
        <v>450</v>
      </c>
    </row>
    <row r="8" spans="2:10">
      <c r="B8" s="242" t="s">
        <v>283</v>
      </c>
      <c r="C8" s="240"/>
      <c r="D8" s="369" t="s">
        <v>284</v>
      </c>
      <c r="E8" s="370" t="s">
        <v>285</v>
      </c>
      <c r="G8" s="255" t="s">
        <v>284</v>
      </c>
      <c r="H8" s="373" t="s">
        <v>285</v>
      </c>
      <c r="J8" s="383" t="s">
        <v>449</v>
      </c>
    </row>
    <row r="9" spans="2:10">
      <c r="B9" s="245">
        <v>1</v>
      </c>
      <c r="C9" s="246" t="s">
        <v>286</v>
      </c>
      <c r="D9" s="247">
        <f>+E9-$E$3</f>
        <v>-341642.15111923218</v>
      </c>
      <c r="E9" s="248">
        <v>569572458.67321265</v>
      </c>
      <c r="G9" s="374">
        <f>-'RevReq impact of Rebuttal Adj'!D74</f>
        <v>-76162.936761149875</v>
      </c>
      <c r="H9" s="375">
        <f>H3+G9</f>
        <v>128794461.67691481</v>
      </c>
      <c r="J9" s="389">
        <f>'RevReq impact of Rebuttal Adj'!D71</f>
        <v>-79863.697642684754</v>
      </c>
    </row>
    <row r="10" spans="2:10">
      <c r="B10" s="245">
        <f>MAX($B$2:B9)+1</f>
        <v>2</v>
      </c>
      <c r="C10" s="246" t="s">
        <v>287</v>
      </c>
      <c r="D10" s="247">
        <f>+E10-$E$9</f>
        <v>-10725.509999990463</v>
      </c>
      <c r="E10" s="248">
        <v>569561733.16321266</v>
      </c>
      <c r="G10" s="374">
        <f>-'RevReq impact of Rebuttal Adj'!E74</f>
        <v>-2384.5495485985193</v>
      </c>
      <c r="H10" s="376">
        <f>H9+G10</f>
        <v>128792077.12736621</v>
      </c>
      <c r="J10" s="390">
        <f>'RevReq impact of Rebuttal Adj'!E71</f>
        <v>-2500.414929646121</v>
      </c>
    </row>
    <row r="11" spans="2:10">
      <c r="B11" s="245">
        <f>MAX($B$2:B10)+1</f>
        <v>3</v>
      </c>
      <c r="C11" s="246" t="s">
        <v>288</v>
      </c>
      <c r="D11" s="247">
        <f>+E11-$E$10</f>
        <v>8556.4124670028687</v>
      </c>
      <c r="E11" s="248">
        <v>569570289.57567966</v>
      </c>
      <c r="G11" s="374">
        <f>-'RevReq impact of Rebuttal Adj'!F74</f>
        <v>1875.4871471939318</v>
      </c>
      <c r="H11" s="376">
        <f>H10+G11</f>
        <v>128793952.61451341</v>
      </c>
      <c r="J11" s="390">
        <f>'RevReq impact of Rebuttal Adj'!F71</f>
        <v>1966.6171608634829</v>
      </c>
    </row>
    <row r="12" spans="2:10">
      <c r="B12" s="245"/>
      <c r="C12" s="240"/>
      <c r="D12" s="247"/>
      <c r="E12" s="249"/>
      <c r="G12" s="374"/>
      <c r="H12" s="241"/>
      <c r="J12" s="390"/>
    </row>
    <row r="13" spans="2:10">
      <c r="B13" s="242" t="s">
        <v>289</v>
      </c>
      <c r="C13" s="240"/>
      <c r="D13" s="243"/>
      <c r="E13" s="244"/>
      <c r="G13" s="245"/>
      <c r="H13" s="241"/>
      <c r="J13" s="382"/>
    </row>
    <row r="14" spans="2:10">
      <c r="B14" s="245">
        <f>MAX($B$2:B13)+1</f>
        <v>4</v>
      </c>
      <c r="C14" s="250" t="s">
        <v>290</v>
      </c>
      <c r="D14" s="247">
        <f>+E14-$E$11</f>
        <v>-3064081.3995243311</v>
      </c>
      <c r="E14" s="248">
        <v>566506208.17615533</v>
      </c>
      <c r="G14" s="374">
        <f>-'RevReq impact of Rebuttal Adj'!G74</f>
        <v>-620386.85236558272</v>
      </c>
      <c r="H14" s="249">
        <f>H11+G14</f>
        <v>128173565.76214783</v>
      </c>
      <c r="J14" s="390">
        <f>'RevReq impact of Rebuttal Adj'!G71</f>
        <v>-650531.48034721042</v>
      </c>
    </row>
    <row r="15" spans="2:10">
      <c r="B15" s="245">
        <f>MAX($B$2:B14)+1</f>
        <v>5</v>
      </c>
      <c r="C15" s="250" t="s">
        <v>291</v>
      </c>
      <c r="D15" s="247">
        <f t="shared" ref="D15:D18" si="0">+E15-$E$11</f>
        <v>-1681327.4800000191</v>
      </c>
      <c r="E15" s="248">
        <v>567888962.09567964</v>
      </c>
      <c r="G15" s="374">
        <f>-'RevReq impact of Rebuttal Adj'!H74</f>
        <v>-373515.45859484898</v>
      </c>
      <c r="H15" s="249">
        <f>H14+G15</f>
        <v>127800050.30355299</v>
      </c>
      <c r="J15" s="390">
        <f>'RevReq impact of Rebuttal Adj'!H71</f>
        <v>-391664.5932868488</v>
      </c>
    </row>
    <row r="16" spans="2:10">
      <c r="B16" s="245">
        <f>MAX($B$2:B15)+1</f>
        <v>6</v>
      </c>
      <c r="C16" s="250" t="s">
        <v>292</v>
      </c>
      <c r="D16" s="247">
        <f t="shared" si="0"/>
        <v>1995837.2062977552</v>
      </c>
      <c r="E16" s="248">
        <v>571566126.78197742</v>
      </c>
      <c r="G16" s="374">
        <f>-'RevReq impact of Rebuttal Adj'!I74</f>
        <v>446121.00235534128</v>
      </c>
      <c r="H16" s="249">
        <f t="shared" ref="H16:H18" si="1">H15+G16</f>
        <v>128246171.30590832</v>
      </c>
      <c r="J16" s="390">
        <f>'RevReq impact of Rebuttal Adj'!I71</f>
        <v>467798.04402621766</v>
      </c>
    </row>
    <row r="17" spans="2:10">
      <c r="B17" s="245">
        <f>MAX($B$2:B16)+1</f>
        <v>7</v>
      </c>
      <c r="C17" s="250" t="s">
        <v>293</v>
      </c>
      <c r="D17" s="247">
        <f t="shared" si="0"/>
        <v>753840</v>
      </c>
      <c r="E17" s="248">
        <v>570324129.57567966</v>
      </c>
      <c r="G17" s="374">
        <f>-'RevReq impact of Rebuttal Adj'!J74</f>
        <v>166501.2550825318</v>
      </c>
      <c r="H17" s="249">
        <f t="shared" si="1"/>
        <v>128412672.56099086</v>
      </c>
      <c r="J17" s="390">
        <f>'RevReq impact of Rebuttal Adj'!J71</f>
        <v>174591.55933994593</v>
      </c>
    </row>
    <row r="18" spans="2:10">
      <c r="B18" s="245">
        <f>MAX($B$2:B17)+1</f>
        <v>8</v>
      </c>
      <c r="C18" s="250" t="s">
        <v>294</v>
      </c>
      <c r="D18" s="247">
        <f t="shared" si="0"/>
        <v>-54012</v>
      </c>
      <c r="E18" s="248">
        <v>569516277.57567966</v>
      </c>
      <c r="G18" s="374">
        <f>-'RevReq impact of Rebuttal Adj'!K74</f>
        <v>-12028.769165632602</v>
      </c>
      <c r="H18" s="249">
        <f t="shared" si="1"/>
        <v>128400643.79182522</v>
      </c>
      <c r="J18" s="390">
        <f>'RevReq impact of Rebuttal Adj'!K71</f>
        <v>-12613.247657064579</v>
      </c>
    </row>
    <row r="19" spans="2:10">
      <c r="B19" s="245">
        <f>MAX($B$2:B18)+1</f>
        <v>9</v>
      </c>
      <c r="C19" s="250" t="s">
        <v>295</v>
      </c>
      <c r="D19" s="247"/>
      <c r="E19" s="248"/>
      <c r="G19" s="374"/>
      <c r="H19" s="241"/>
      <c r="J19" s="390"/>
    </row>
    <row r="20" spans="2:10">
      <c r="B20" s="245"/>
      <c r="C20" s="251" t="s">
        <v>296</v>
      </c>
      <c r="D20" s="247">
        <f>-SUM(D9:D19)-E3+E24</f>
        <v>1308776.7274297476</v>
      </c>
      <c r="E20" s="252"/>
      <c r="G20" s="374">
        <f>-'RevReq impact of Rebuttal Adj'!M74</f>
        <v>259301.63246118967</v>
      </c>
      <c r="H20" s="249"/>
      <c r="J20" s="390">
        <f>'RevReq impact of Rebuttal Adj'!M71</f>
        <v>271901.11166640848</v>
      </c>
    </row>
    <row r="21" spans="2:10">
      <c r="B21" s="245"/>
      <c r="C21" s="251"/>
      <c r="D21" s="247"/>
      <c r="E21" s="252"/>
      <c r="G21" s="374"/>
      <c r="H21" s="241"/>
      <c r="J21" s="390"/>
    </row>
    <row r="22" spans="2:10">
      <c r="B22" s="245"/>
      <c r="C22" s="253" t="s">
        <v>297</v>
      </c>
      <c r="D22" s="254">
        <f>SUM(D9:D20)</f>
        <v>-1084778.1944490671</v>
      </c>
      <c r="E22" s="252"/>
      <c r="G22" s="377">
        <f>SUM(G9:G20)</f>
        <v>-210679.18938955609</v>
      </c>
      <c r="H22" s="241"/>
      <c r="J22" s="386">
        <f>SUM(J9:J20)</f>
        <v>-220916.10167001921</v>
      </c>
    </row>
    <row r="23" spans="2:10">
      <c r="B23" s="245"/>
      <c r="C23" s="253"/>
      <c r="D23" s="247"/>
      <c r="E23" s="252"/>
      <c r="G23" s="372"/>
      <c r="H23" s="241"/>
      <c r="J23" s="384"/>
    </row>
    <row r="24" spans="2:10">
      <c r="B24" s="255">
        <f>MAX($B$2:B23)+1</f>
        <v>10</v>
      </c>
      <c r="C24" s="256" t="s">
        <v>298</v>
      </c>
      <c r="D24" s="256"/>
      <c r="E24" s="257">
        <v>568829322.62988281</v>
      </c>
      <c r="F24" s="261"/>
      <c r="G24" s="372"/>
      <c r="H24" s="378">
        <f>H18+G20</f>
        <v>128659945.42428641</v>
      </c>
      <c r="J24" s="385"/>
    </row>
    <row r="25" spans="2:10">
      <c r="G25" s="372"/>
      <c r="H25" s="241"/>
      <c r="J25" s="384"/>
    </row>
    <row r="26" spans="2:10" ht="15.75">
      <c r="B26" s="226" t="s">
        <v>299</v>
      </c>
      <c r="C26" s="227"/>
      <c r="D26" s="227"/>
      <c r="E26" s="238"/>
      <c r="G26" s="372"/>
      <c r="H26" s="241"/>
      <c r="J26" s="384"/>
    </row>
    <row r="27" spans="2:10" ht="15.75">
      <c r="B27" s="239"/>
      <c r="C27" s="240"/>
      <c r="D27" s="240"/>
      <c r="E27" s="241"/>
      <c r="G27" s="372"/>
      <c r="H27" s="241"/>
      <c r="J27" s="384"/>
    </row>
    <row r="28" spans="2:10">
      <c r="B28" s="242" t="s">
        <v>300</v>
      </c>
      <c r="C28" s="240"/>
      <c r="D28" s="243" t="s">
        <v>284</v>
      </c>
      <c r="E28" s="244" t="s">
        <v>285</v>
      </c>
      <c r="G28" s="372"/>
      <c r="H28" s="241"/>
      <c r="J28" s="384"/>
    </row>
    <row r="29" spans="2:10">
      <c r="B29" s="245">
        <f>MAX($B$2:B28)+1</f>
        <v>11</v>
      </c>
      <c r="C29" s="250" t="s">
        <v>301</v>
      </c>
      <c r="D29" s="247">
        <f>+E29-$E$24</f>
        <v>-12789121.955544949</v>
      </c>
      <c r="E29" s="248">
        <v>556040200.67433786</v>
      </c>
      <c r="G29" s="374">
        <f>-'RevReq impact of Rebuttal Adj'!N74</f>
        <v>-2865353.2690872904</v>
      </c>
      <c r="H29" s="249">
        <f>H24+G29</f>
        <v>125794592.15519913</v>
      </c>
      <c r="J29" s="390">
        <f>'RevReq impact of Rebuttal Adj'!N71</f>
        <v>-3004580.9268031544</v>
      </c>
    </row>
    <row r="30" spans="2:10">
      <c r="B30" s="245">
        <f>MAX($B$2:B29)+1</f>
        <v>12</v>
      </c>
      <c r="C30" s="250" t="s">
        <v>302</v>
      </c>
      <c r="D30" s="247">
        <v>1063123.8855553567</v>
      </c>
      <c r="E30" s="248">
        <f>+D30+E24</f>
        <v>569892446.5154382</v>
      </c>
      <c r="G30" s="374">
        <f>-'RevReq impact of Rebuttal Adj'!O74</f>
        <v>236763.53157223531</v>
      </c>
      <c r="H30" s="249">
        <f>H29+G30</f>
        <v>126031355.68677136</v>
      </c>
      <c r="J30" s="390">
        <f>'RevReq impact of Rebuttal Adj'!O71</f>
        <v>248267.88333540843</v>
      </c>
    </row>
    <row r="31" spans="2:10">
      <c r="B31" s="245"/>
      <c r="C31" s="250"/>
      <c r="D31" s="247"/>
      <c r="E31" s="248"/>
      <c r="G31" s="374"/>
      <c r="H31" s="241"/>
      <c r="J31" s="390"/>
    </row>
    <row r="32" spans="2:10">
      <c r="B32" s="245">
        <f>MAX($B$2:B31)+1</f>
        <v>13</v>
      </c>
      <c r="C32" s="250" t="s">
        <v>303</v>
      </c>
      <c r="D32" s="247">
        <f>+E32-$E$24</f>
        <v>-1498877.7038674355</v>
      </c>
      <c r="E32" s="248">
        <v>567330444.92601538</v>
      </c>
      <c r="G32" s="374">
        <f>-'RevReq impact of Rebuttal Adj'!P74</f>
        <v>-239635.5854621944</v>
      </c>
      <c r="H32" s="249">
        <f>H30+G32</f>
        <v>125791720.10130917</v>
      </c>
      <c r="J32" s="390">
        <f>'RevReq impact of Rebuttal Adj'!P71</f>
        <v>-251279.49046658457</v>
      </c>
    </row>
    <row r="33" spans="2:10">
      <c r="B33" s="245">
        <f>MAX($B$2:B32)+1</f>
        <v>14</v>
      </c>
      <c r="C33" s="250" t="s">
        <v>304</v>
      </c>
      <c r="D33" s="247">
        <f>+E33-$E$24</f>
        <v>-86174.789124369621</v>
      </c>
      <c r="E33" s="248">
        <v>568743147.84075844</v>
      </c>
      <c r="G33" s="374">
        <f>-'RevReq impact of Rebuttal Adj'!Q74</f>
        <v>-19038.902082089131</v>
      </c>
      <c r="H33" s="249">
        <f>H32+G33</f>
        <v>125772681.19922708</v>
      </c>
      <c r="J33" s="390">
        <f>'RevReq impact of Rebuttal Adj'!Q71</f>
        <v>-19964.003280244462</v>
      </c>
    </row>
    <row r="34" spans="2:10">
      <c r="B34" s="245">
        <f>MAX($B$2:B33)+1</f>
        <v>15</v>
      </c>
      <c r="C34" s="250" t="s">
        <v>305</v>
      </c>
      <c r="D34" s="247">
        <f>+E34-$E$24</f>
        <v>-1000508.7736785412</v>
      </c>
      <c r="E34" s="248">
        <v>567828813.85620427</v>
      </c>
      <c r="G34" s="374">
        <f>-'RevReq impact of Rebuttal Adj'!R74</f>
        <v>-220983.18731571693</v>
      </c>
      <c r="H34" s="249">
        <f>H33+G34</f>
        <v>125551698.01191136</v>
      </c>
      <c r="J34" s="390">
        <f>'RevReq impact of Rebuttal Adj'!R71</f>
        <v>-231720.77136738723</v>
      </c>
    </row>
    <row r="35" spans="2:10">
      <c r="B35" s="245"/>
      <c r="C35" s="250"/>
      <c r="D35" s="247"/>
      <c r="E35" s="248"/>
      <c r="G35" s="374"/>
      <c r="H35" s="241"/>
      <c r="J35" s="390"/>
    </row>
    <row r="36" spans="2:10">
      <c r="B36" s="245">
        <f>MAX($B$2:B35)+1</f>
        <v>16</v>
      </c>
      <c r="C36" s="250" t="s">
        <v>306</v>
      </c>
      <c r="D36" s="247">
        <f t="shared" ref="D36:D40" si="2">+E36-$E$24</f>
        <v>-1581152.3338071108</v>
      </c>
      <c r="E36" s="248">
        <v>567248170.2960757</v>
      </c>
      <c r="G36" s="374">
        <f>-'RevReq impact of Rebuttal Adj'!S74</f>
        <v>-349229.28189460747</v>
      </c>
      <c r="H36" s="249">
        <f>G36+H34</f>
        <v>125202468.73001675</v>
      </c>
      <c r="J36" s="390">
        <f>'RevReq impact of Rebuttal Adj'!S71</f>
        <v>-366198.35005403444</v>
      </c>
    </row>
    <row r="37" spans="2:10">
      <c r="B37" s="245">
        <f>MAX($B$2:B36)+1</f>
        <v>17</v>
      </c>
      <c r="C37" s="250" t="s">
        <v>307</v>
      </c>
      <c r="D37" s="247">
        <f>+E37-$E$24</f>
        <v>-58116</v>
      </c>
      <c r="E37" s="248">
        <v>568771206.62988281</v>
      </c>
      <c r="G37" s="374">
        <f>-'RevReq impact of Rebuttal Adj'!T74</f>
        <v>-12836.128277056694</v>
      </c>
      <c r="H37" s="249">
        <f>G37+H36</f>
        <v>125189632.60173969</v>
      </c>
      <c r="J37" s="390">
        <f>'RevReq impact of Rebuttal Adj'!T71</f>
        <v>-13459.836387828049</v>
      </c>
    </row>
    <row r="38" spans="2:10">
      <c r="B38" s="245">
        <f>MAX($B$2:B37)+1</f>
        <v>18</v>
      </c>
      <c r="C38" s="250" t="s">
        <v>308</v>
      </c>
      <c r="D38" s="247">
        <f t="shared" si="2"/>
        <v>1216293.2881760597</v>
      </c>
      <c r="E38" s="248">
        <v>570045615.91805887</v>
      </c>
      <c r="G38" s="374">
        <f>-'RevReq impact of Rebuttal Adj'!U74</f>
        <v>274088.70870542643</v>
      </c>
      <c r="H38" s="249">
        <f t="shared" ref="H38:H40" si="3">G38+H37</f>
        <v>125463721.31044511</v>
      </c>
      <c r="J38" s="390">
        <f>'RevReq impact of Rebuttal Adj'!U71</f>
        <v>287406.69268007868</v>
      </c>
    </row>
    <row r="39" spans="2:10">
      <c r="B39" s="245">
        <f>MAX($B$2:B38)+1</f>
        <v>19</v>
      </c>
      <c r="C39" s="250" t="s">
        <v>309</v>
      </c>
      <c r="D39" s="247">
        <f>+E39-$E$24</f>
        <v>-563428.22019040585</v>
      </c>
      <c r="E39" s="248">
        <v>568265894.40969241</v>
      </c>
      <c r="G39" s="374">
        <f>-'RevReq impact of Rebuttal Adj'!V74</f>
        <v>-124445.24615472263</v>
      </c>
      <c r="H39" s="249">
        <f t="shared" si="3"/>
        <v>125339276.06429039</v>
      </c>
      <c r="J39" s="390">
        <f>'RevReq impact of Rebuttal Adj'!V71</f>
        <v>-130492.04684869606</v>
      </c>
    </row>
    <row r="40" spans="2:10">
      <c r="B40" s="245">
        <f>MAX($B$2:B39)+1</f>
        <v>20</v>
      </c>
      <c r="C40" s="250" t="s">
        <v>310</v>
      </c>
      <c r="D40" s="247">
        <f t="shared" si="2"/>
        <v>-540010.58256494999</v>
      </c>
      <c r="E40" s="258">
        <v>568289312.04731786</v>
      </c>
      <c r="G40" s="374">
        <f>-'RevReq impact of Rebuttal Adj'!W74</f>
        <v>-119286.48903537798</v>
      </c>
      <c r="H40" s="249">
        <f t="shared" si="3"/>
        <v>125219989.57525501</v>
      </c>
      <c r="J40" s="390">
        <f>'RevReq impact of Rebuttal Adj'!W71</f>
        <v>-125082.62546459908</v>
      </c>
    </row>
    <row r="41" spans="2:10">
      <c r="B41" s="245"/>
      <c r="C41" s="250"/>
      <c r="D41" s="247"/>
      <c r="E41" s="248"/>
      <c r="G41" s="374"/>
      <c r="H41" s="241"/>
      <c r="J41" s="390"/>
    </row>
    <row r="42" spans="2:10">
      <c r="B42" s="245"/>
      <c r="C42" s="251" t="s">
        <v>296</v>
      </c>
      <c r="D42" s="247">
        <f>-SUM(D29:D40)-E24+E48</f>
        <v>4564326.5851752758</v>
      </c>
      <c r="E42" s="252"/>
      <c r="G42" s="374">
        <f>-'RevReq impact of Rebuttal Adj'!X74</f>
        <v>990173.31843128207</v>
      </c>
      <c r="H42" s="249"/>
      <c r="J42" s="390">
        <f>'RevReq impact of Rebuttal Adj'!X71</f>
        <v>1038285.8891726356</v>
      </c>
    </row>
    <row r="43" spans="2:10">
      <c r="B43" s="245"/>
      <c r="C43" s="251"/>
      <c r="D43" s="247"/>
      <c r="E43" s="252"/>
      <c r="G43" s="372"/>
      <c r="H43" s="241"/>
      <c r="J43" s="384"/>
    </row>
    <row r="44" spans="2:10">
      <c r="B44" s="245"/>
      <c r="C44" s="253" t="s">
        <v>311</v>
      </c>
      <c r="D44" s="254">
        <f>SUM(D29:D42)</f>
        <v>-11273646.599871069</v>
      </c>
      <c r="E44" s="252"/>
      <c r="G44" s="377">
        <f>SUM(G29:G42)</f>
        <v>-2449782.5306001124</v>
      </c>
      <c r="H44" s="241"/>
      <c r="J44" s="386">
        <f>SUM(J29:J42)</f>
        <v>-2568817.585484406</v>
      </c>
    </row>
    <row r="45" spans="2:10">
      <c r="B45" s="245"/>
      <c r="C45" s="251"/>
      <c r="D45" s="247"/>
      <c r="E45" s="252"/>
      <c r="G45" s="372"/>
      <c r="H45" s="241"/>
      <c r="J45" s="384"/>
    </row>
    <row r="46" spans="2:10">
      <c r="B46" s="245"/>
      <c r="C46" s="253" t="s">
        <v>312</v>
      </c>
      <c r="D46" s="254">
        <f>E48-E3</f>
        <v>-12358424.794320107</v>
      </c>
      <c r="E46" s="252"/>
      <c r="G46" s="374">
        <f>G44+G22</f>
        <v>-2660461.7199896686</v>
      </c>
      <c r="H46" s="241"/>
      <c r="J46" s="388">
        <f>J44+J22</f>
        <v>-2789733.6871544253</v>
      </c>
    </row>
    <row r="47" spans="2:10">
      <c r="B47" s="245"/>
      <c r="C47" s="253"/>
      <c r="D47" s="247"/>
      <c r="E47" s="252"/>
      <c r="G47" s="372"/>
      <c r="H47" s="241"/>
      <c r="J47" s="384"/>
    </row>
    <row r="48" spans="2:10">
      <c r="B48" s="255">
        <f>MAX($B$2:B47)+1</f>
        <v>21</v>
      </c>
      <c r="C48" s="256" t="s">
        <v>313</v>
      </c>
      <c r="D48" s="256"/>
      <c r="E48" s="257">
        <v>557555676.03001177</v>
      </c>
      <c r="G48" s="379"/>
      <c r="H48" s="380">
        <f>H40+G42</f>
        <v>126210162.89368629</v>
      </c>
      <c r="J48" s="387"/>
    </row>
    <row r="52" spans="2:5">
      <c r="B52" s="367" t="s">
        <v>452</v>
      </c>
      <c r="C52" s="367"/>
      <c r="D52" s="367"/>
      <c r="E52" s="367"/>
    </row>
  </sheetData>
  <conditionalFormatting sqref="C14:C21 C9:C11 C45 C29:C43">
    <cfRule type="cellIs" dxfId="0" priority="1" stopIfTrue="1" operator="equal">
      <formula>#REF!</formula>
    </cfRule>
  </conditionalFormatting>
  <pageMargins left="0.75" right="0.75" top="1" bottom="1" header="0.75" footer="0.81"/>
  <pageSetup scale="68" orientation="landscape" r:id="rId1"/>
  <headerFooter alignWithMargins="0">
    <oddHeader xml:space="preserve">&amp;RExhibit No.___(RBD-6) - Revised 12/10/10
</oddHeader>
    <oddFooter>&amp;CPage 12.6.4</oddFooter>
  </headerFooter>
  <drawing r:id="rId2"/>
</worksheet>
</file>

<file path=xl/worksheets/sheet7.xml><?xml version="1.0" encoding="utf-8"?>
<worksheet xmlns="http://schemas.openxmlformats.org/spreadsheetml/2006/main" xmlns:r="http://schemas.openxmlformats.org/officeDocument/2006/relationships">
  <dimension ref="A1:AA94"/>
  <sheetViews>
    <sheetView view="pageBreakPreview" zoomScale="85" zoomScaleNormal="100" zoomScaleSheetLayoutView="85" workbookViewId="0">
      <pane xSplit="1" ySplit="9" topLeftCell="S10" activePane="bottomRight" state="frozen"/>
      <selection activeCell="U44" sqref="U44"/>
      <selection pane="topRight" activeCell="U44" sqref="U44"/>
      <selection pane="bottomLeft" activeCell="U44" sqref="U44"/>
      <selection pane="bottomRight" activeCell="AA20" sqref="AA20"/>
    </sheetView>
  </sheetViews>
  <sheetFormatPr defaultRowHeight="12.75"/>
  <cols>
    <col min="1" max="1" width="40.42578125" style="315" customWidth="1"/>
    <col min="2" max="2" width="13.7109375" style="319" customWidth="1"/>
    <col min="3" max="3" width="1.7109375" style="319" customWidth="1"/>
    <col min="4" max="23" width="13.7109375" style="319" customWidth="1"/>
    <col min="24" max="24" width="15" style="319" customWidth="1"/>
    <col min="25" max="25" width="14.5703125" style="319" bestFit="1" customWidth="1"/>
    <col min="26" max="26" width="1.7109375" style="315" customWidth="1"/>
    <col min="27" max="27" width="13.7109375" style="319" customWidth="1"/>
    <col min="28" max="16384" width="9.140625" style="315"/>
  </cols>
  <sheetData>
    <row r="1" spans="1:27">
      <c r="A1" s="314" t="s">
        <v>0</v>
      </c>
    </row>
    <row r="2" spans="1:27">
      <c r="A2" s="316" t="s">
        <v>132</v>
      </c>
    </row>
    <row r="3" spans="1:27">
      <c r="A3" s="317" t="s">
        <v>427</v>
      </c>
    </row>
    <row r="4" spans="1:27">
      <c r="A4" s="318"/>
    </row>
    <row r="5" spans="1:27">
      <c r="A5" s="316"/>
    </row>
    <row r="7" spans="1:27">
      <c r="A7" s="314"/>
      <c r="B7" s="354"/>
      <c r="C7" s="354"/>
      <c r="D7" s="354"/>
      <c r="E7" s="354"/>
      <c r="F7" s="354"/>
      <c r="G7" s="354"/>
      <c r="H7" s="354"/>
      <c r="I7" s="354"/>
      <c r="J7" s="354"/>
      <c r="K7" s="354"/>
      <c r="L7" s="354"/>
      <c r="M7" s="354"/>
      <c r="N7" s="354"/>
      <c r="O7" s="354"/>
      <c r="P7" s="354"/>
      <c r="Q7" s="354"/>
      <c r="R7" s="354"/>
      <c r="S7" s="354"/>
      <c r="T7" s="354"/>
      <c r="U7" s="354"/>
      <c r="V7" s="354"/>
      <c r="W7" s="355"/>
      <c r="X7" s="355"/>
      <c r="Y7" s="355"/>
      <c r="AA7" s="354"/>
    </row>
    <row r="8" spans="1:27">
      <c r="B8" s="320"/>
      <c r="C8" s="320"/>
      <c r="D8" s="357" t="s">
        <v>429</v>
      </c>
      <c r="E8" s="357" t="s">
        <v>430</v>
      </c>
      <c r="F8" s="357" t="s">
        <v>431</v>
      </c>
      <c r="G8" s="357" t="s">
        <v>432</v>
      </c>
      <c r="H8" s="357" t="s">
        <v>433</v>
      </c>
      <c r="I8" s="357" t="s">
        <v>434</v>
      </c>
      <c r="J8" s="357" t="s">
        <v>435</v>
      </c>
      <c r="K8" s="357" t="s">
        <v>436</v>
      </c>
      <c r="L8" s="357" t="s">
        <v>437</v>
      </c>
      <c r="M8" s="357" t="s">
        <v>438</v>
      </c>
      <c r="N8" s="357" t="s">
        <v>267</v>
      </c>
      <c r="O8" s="357" t="s">
        <v>268</v>
      </c>
      <c r="P8" s="357" t="s">
        <v>269</v>
      </c>
      <c r="Q8" s="357" t="s">
        <v>270</v>
      </c>
      <c r="R8" s="357" t="s">
        <v>271</v>
      </c>
      <c r="S8" s="357" t="s">
        <v>272</v>
      </c>
      <c r="T8" s="357" t="s">
        <v>273</v>
      </c>
      <c r="U8" s="357" t="s">
        <v>274</v>
      </c>
      <c r="V8" s="357" t="s">
        <v>275</v>
      </c>
      <c r="W8" s="357" t="s">
        <v>276</v>
      </c>
      <c r="X8" s="357" t="s">
        <v>439</v>
      </c>
      <c r="Y8" s="357"/>
      <c r="AA8" s="320"/>
    </row>
    <row r="9" spans="1:27" s="314" customFormat="1" ht="86.25" customHeight="1">
      <c r="B9" s="321" t="s">
        <v>428</v>
      </c>
      <c r="C9" s="321"/>
      <c r="D9" s="356" t="s">
        <v>286</v>
      </c>
      <c r="E9" s="356" t="s">
        <v>287</v>
      </c>
      <c r="F9" s="356" t="s">
        <v>288</v>
      </c>
      <c r="G9" s="356" t="s">
        <v>290</v>
      </c>
      <c r="H9" s="356" t="s">
        <v>291</v>
      </c>
      <c r="I9" s="356" t="s">
        <v>292</v>
      </c>
      <c r="J9" s="356" t="s">
        <v>293</v>
      </c>
      <c r="K9" s="356" t="s">
        <v>294</v>
      </c>
      <c r="L9" s="356" t="s">
        <v>295</v>
      </c>
      <c r="M9" s="356" t="s">
        <v>324</v>
      </c>
      <c r="N9" s="356" t="s">
        <v>301</v>
      </c>
      <c r="O9" s="356" t="s">
        <v>302</v>
      </c>
      <c r="P9" s="356" t="s">
        <v>303</v>
      </c>
      <c r="Q9" s="356" t="s">
        <v>304</v>
      </c>
      <c r="R9" s="356" t="s">
        <v>305</v>
      </c>
      <c r="S9" s="356" t="s">
        <v>306</v>
      </c>
      <c r="T9" s="356" t="s">
        <v>307</v>
      </c>
      <c r="U9" s="356" t="s">
        <v>308</v>
      </c>
      <c r="V9" s="356" t="s">
        <v>309</v>
      </c>
      <c r="W9" s="356" t="s">
        <v>310</v>
      </c>
      <c r="X9" s="356" t="s">
        <v>324</v>
      </c>
      <c r="Y9" s="321" t="s">
        <v>441</v>
      </c>
      <c r="AA9" s="321" t="s">
        <v>440</v>
      </c>
    </row>
    <row r="10" spans="1:27">
      <c r="A10" s="319"/>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58"/>
      <c r="AA10" s="358"/>
    </row>
    <row r="11" spans="1:27">
      <c r="A11" s="324" t="s">
        <v>342</v>
      </c>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58"/>
      <c r="AA11" s="358"/>
    </row>
    <row r="12" spans="1:27">
      <c r="A12" s="324" t="s">
        <v>343</v>
      </c>
      <c r="B12" s="325">
        <v>0</v>
      </c>
      <c r="C12" s="325"/>
      <c r="D12" s="325">
        <v>0</v>
      </c>
      <c r="E12" s="325">
        <v>0</v>
      </c>
      <c r="F12" s="325">
        <v>0</v>
      </c>
      <c r="G12" s="325">
        <v>0</v>
      </c>
      <c r="H12" s="325">
        <v>0</v>
      </c>
      <c r="I12" s="325">
        <v>0</v>
      </c>
      <c r="J12" s="325">
        <v>0</v>
      </c>
      <c r="K12" s="325">
        <v>0</v>
      </c>
      <c r="L12" s="325">
        <v>0</v>
      </c>
      <c r="M12" s="325">
        <v>0</v>
      </c>
      <c r="N12" s="325">
        <v>0</v>
      </c>
      <c r="O12" s="325">
        <v>0</v>
      </c>
      <c r="P12" s="325">
        <v>0</v>
      </c>
      <c r="Q12" s="325">
        <v>0</v>
      </c>
      <c r="R12" s="325">
        <v>0</v>
      </c>
      <c r="S12" s="325">
        <v>0</v>
      </c>
      <c r="T12" s="325">
        <v>0</v>
      </c>
      <c r="U12" s="325">
        <v>0</v>
      </c>
      <c r="V12" s="325">
        <v>0</v>
      </c>
      <c r="W12" s="325">
        <v>0</v>
      </c>
      <c r="X12" s="325">
        <v>0</v>
      </c>
      <c r="Y12" s="359">
        <f>SUM(D12:X12)</f>
        <v>0</v>
      </c>
      <c r="AA12" s="359">
        <f>B12+Y12</f>
        <v>0</v>
      </c>
    </row>
    <row r="13" spans="1:27">
      <c r="A13" s="324" t="s">
        <v>344</v>
      </c>
      <c r="B13" s="326">
        <v>0</v>
      </c>
      <c r="C13" s="326"/>
      <c r="D13" s="326">
        <v>0</v>
      </c>
      <c r="E13" s="326">
        <v>0</v>
      </c>
      <c r="F13" s="326">
        <v>0</v>
      </c>
      <c r="G13" s="326">
        <v>0</v>
      </c>
      <c r="H13" s="326">
        <v>0</v>
      </c>
      <c r="I13" s="326">
        <v>0</v>
      </c>
      <c r="J13" s="326">
        <v>0</v>
      </c>
      <c r="K13" s="326">
        <v>0</v>
      </c>
      <c r="L13" s="326">
        <v>0</v>
      </c>
      <c r="M13" s="326">
        <v>0</v>
      </c>
      <c r="N13" s="326">
        <v>0</v>
      </c>
      <c r="O13" s="326">
        <v>0</v>
      </c>
      <c r="P13" s="326">
        <v>0</v>
      </c>
      <c r="Q13" s="326">
        <v>0</v>
      </c>
      <c r="R13" s="326">
        <v>0</v>
      </c>
      <c r="S13" s="326">
        <v>0</v>
      </c>
      <c r="T13" s="326">
        <v>0</v>
      </c>
      <c r="U13" s="326">
        <v>0</v>
      </c>
      <c r="V13" s="326">
        <v>0</v>
      </c>
      <c r="W13" s="326">
        <v>0</v>
      </c>
      <c r="X13" s="326">
        <v>0</v>
      </c>
      <c r="Y13" s="359">
        <f t="shared" ref="Y13:Y15" si="0">SUM(D13:X13)</f>
        <v>0</v>
      </c>
      <c r="AA13" s="364">
        <f t="shared" ref="AA13:AA15" si="1">B13+Y13</f>
        <v>0</v>
      </c>
    </row>
    <row r="14" spans="1:27">
      <c r="A14" s="324" t="s">
        <v>345</v>
      </c>
      <c r="B14" s="326">
        <f>'Adjustments to Initial Forecast'!$G$18</f>
        <v>39040007.661238156</v>
      </c>
      <c r="C14" s="326"/>
      <c r="D14" s="326">
        <f>'Adjustments to Initial Forecast'!$J$18</f>
        <v>2.2087126247873471E-3</v>
      </c>
      <c r="E14" s="326">
        <f>'Adjustments to Initial Forecast'!$P$18</f>
        <v>0</v>
      </c>
      <c r="F14" s="326">
        <f>'Adjustments to Initial Forecast'!$V$18</f>
        <v>-1691.9124073679591</v>
      </c>
      <c r="G14" s="326">
        <f>'Adjustments to Initial Forecast'!$AB$18</f>
        <v>-47298.102353375987</v>
      </c>
      <c r="H14" s="326">
        <f>'Adjustments to Initial Forecast'!$AH$18</f>
        <v>0</v>
      </c>
      <c r="I14" s="326">
        <f>'Adjustments to Initial Forecast'!$AN$18</f>
        <v>27710.242606467065</v>
      </c>
      <c r="J14" s="326">
        <f>'Adjustments to Initial Forecast'!$AT$18</f>
        <v>0</v>
      </c>
      <c r="K14" s="326">
        <f>'Adjustments to Initial Forecast'!$AZ$18</f>
        <v>0</v>
      </c>
      <c r="L14" s="326">
        <v>0</v>
      </c>
      <c r="M14" s="326">
        <f>'Adjustments to Initial Forecast'!$BF$18</f>
        <v>-437890.57922336622</v>
      </c>
      <c r="N14" s="326">
        <f>'Adjustments to Initial Forecast'!$BL$18</f>
        <v>-4273040.0164262913</v>
      </c>
      <c r="O14" s="326">
        <f>'Adjustments to Initial Forecast'!$BR$18</f>
        <v>0</v>
      </c>
      <c r="P14" s="326">
        <f>'Adjustments to Initial Forecast'!$BX$18</f>
        <v>2925339.8299152921</v>
      </c>
      <c r="Q14" s="326">
        <f>'Adjustments to Initial Forecast'!$CD$18</f>
        <v>11283.119316456534</v>
      </c>
      <c r="R14" s="326">
        <f>'Adjustments to Initial Forecast'!$CJ$18</f>
        <v>0</v>
      </c>
      <c r="S14" s="326">
        <f>'Adjustments to Initial Forecast'!$CP$18</f>
        <v>5631.1676863826478</v>
      </c>
      <c r="T14" s="326">
        <f>'Adjustments to Initial Forecast'!$CV$18</f>
        <v>0</v>
      </c>
      <c r="U14" s="326">
        <f>'Adjustments to Initial Forecast'!$DB$18</f>
        <v>108411.93259579822</v>
      </c>
      <c r="V14" s="326">
        <f>'Adjustments to Initial Forecast'!$DH$18</f>
        <v>0</v>
      </c>
      <c r="W14" s="326">
        <f>'Adjustments to Initial Forecast'!$DN$18</f>
        <v>63805.699924790126</v>
      </c>
      <c r="X14" s="326">
        <f>'Adjustments to Initial Forecast'!$DT$18</f>
        <v>-1046368.0023492691</v>
      </c>
      <c r="Y14" s="359">
        <f t="shared" si="0"/>
        <v>-2664106.6185057713</v>
      </c>
      <c r="AA14" s="364">
        <f t="shared" si="1"/>
        <v>36375901.042732388</v>
      </c>
    </row>
    <row r="15" spans="1:27">
      <c r="A15" s="324" t="s">
        <v>346</v>
      </c>
      <c r="B15" s="326">
        <v>0</v>
      </c>
      <c r="C15" s="326"/>
      <c r="D15" s="326">
        <v>0</v>
      </c>
      <c r="E15" s="326">
        <v>0</v>
      </c>
      <c r="F15" s="326">
        <v>0</v>
      </c>
      <c r="G15" s="326">
        <v>0</v>
      </c>
      <c r="H15" s="326">
        <v>0</v>
      </c>
      <c r="I15" s="326">
        <v>0</v>
      </c>
      <c r="J15" s="326">
        <v>0</v>
      </c>
      <c r="K15" s="326">
        <v>0</v>
      </c>
      <c r="L15" s="326">
        <v>0</v>
      </c>
      <c r="M15" s="326">
        <v>0</v>
      </c>
      <c r="N15" s="326">
        <v>0</v>
      </c>
      <c r="O15" s="326">
        <v>0</v>
      </c>
      <c r="P15" s="326">
        <v>0</v>
      </c>
      <c r="Q15" s="326">
        <v>0</v>
      </c>
      <c r="R15" s="326">
        <v>0</v>
      </c>
      <c r="S15" s="326">
        <v>0</v>
      </c>
      <c r="T15" s="326">
        <v>0</v>
      </c>
      <c r="U15" s="326">
        <v>0</v>
      </c>
      <c r="V15" s="326">
        <v>0</v>
      </c>
      <c r="W15" s="326">
        <v>0</v>
      </c>
      <c r="X15" s="326">
        <v>0</v>
      </c>
      <c r="Y15" s="359">
        <f t="shared" si="0"/>
        <v>0</v>
      </c>
      <c r="AA15" s="364">
        <f t="shared" si="1"/>
        <v>0</v>
      </c>
    </row>
    <row r="16" spans="1:27">
      <c r="A16" s="324" t="s">
        <v>347</v>
      </c>
      <c r="B16" s="327">
        <f t="shared" ref="B16" si="2">SUM(B12:B15)</f>
        <v>39040007.661238156</v>
      </c>
      <c r="C16" s="327"/>
      <c r="D16" s="327">
        <f t="shared" ref="D16:W16" si="3">SUM(D12:D15)</f>
        <v>2.2087126247873471E-3</v>
      </c>
      <c r="E16" s="327">
        <f t="shared" si="3"/>
        <v>0</v>
      </c>
      <c r="F16" s="327">
        <f t="shared" si="3"/>
        <v>-1691.9124073679591</v>
      </c>
      <c r="G16" s="327">
        <f t="shared" si="3"/>
        <v>-47298.102353375987</v>
      </c>
      <c r="H16" s="327">
        <f t="shared" si="3"/>
        <v>0</v>
      </c>
      <c r="I16" s="327">
        <f t="shared" si="3"/>
        <v>27710.242606467065</v>
      </c>
      <c r="J16" s="327">
        <f t="shared" si="3"/>
        <v>0</v>
      </c>
      <c r="K16" s="327">
        <f t="shared" si="3"/>
        <v>0</v>
      </c>
      <c r="L16" s="327">
        <f t="shared" si="3"/>
        <v>0</v>
      </c>
      <c r="M16" s="327">
        <f t="shared" si="3"/>
        <v>-437890.57922336622</v>
      </c>
      <c r="N16" s="327">
        <f t="shared" si="3"/>
        <v>-4273040.0164262913</v>
      </c>
      <c r="O16" s="327">
        <f t="shared" si="3"/>
        <v>0</v>
      </c>
      <c r="P16" s="327">
        <f t="shared" si="3"/>
        <v>2925339.8299152921</v>
      </c>
      <c r="Q16" s="327">
        <f t="shared" si="3"/>
        <v>11283.119316456534</v>
      </c>
      <c r="R16" s="327">
        <f t="shared" si="3"/>
        <v>0</v>
      </c>
      <c r="S16" s="327">
        <f t="shared" si="3"/>
        <v>5631.1676863826478</v>
      </c>
      <c r="T16" s="327">
        <f t="shared" si="3"/>
        <v>0</v>
      </c>
      <c r="U16" s="327">
        <f t="shared" si="3"/>
        <v>108411.93259579822</v>
      </c>
      <c r="V16" s="327">
        <f t="shared" si="3"/>
        <v>0</v>
      </c>
      <c r="W16" s="327">
        <f t="shared" si="3"/>
        <v>63805.699924790126</v>
      </c>
      <c r="X16" s="327">
        <f t="shared" ref="X16:Y16" si="4">SUM(X12:X15)</f>
        <v>-1046368.0023492691</v>
      </c>
      <c r="Y16" s="360">
        <f t="shared" si="4"/>
        <v>-2664106.6185057713</v>
      </c>
      <c r="AA16" s="360">
        <f t="shared" ref="AA16" si="5">SUM(AA12:AA15)</f>
        <v>36375901.042732388</v>
      </c>
    </row>
    <row r="17" spans="1:27">
      <c r="A17" s="324"/>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58"/>
      <c r="AA17" s="358"/>
    </row>
    <row r="18" spans="1:27">
      <c r="A18" s="324" t="s">
        <v>348</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58"/>
      <c r="AA18" s="358"/>
    </row>
    <row r="19" spans="1:27">
      <c r="A19" s="324" t="s">
        <v>349</v>
      </c>
      <c r="B19" s="326">
        <f>'Adjustments to Initial Forecast'!$G$35</f>
        <v>38741292.986388676</v>
      </c>
      <c r="C19" s="326"/>
      <c r="D19" s="326">
        <f>'Adjustments to Initial Forecast'!$J$35</f>
        <v>-85475.179413637408</v>
      </c>
      <c r="E19" s="326">
        <f>'Adjustments to Initial Forecast'!$P$35</f>
        <v>0</v>
      </c>
      <c r="F19" s="326">
        <f>'Adjustments to Initial Forecast'!$V$35</f>
        <v>-454.17445008259557</v>
      </c>
      <c r="G19" s="326">
        <f>'Adjustments to Initial Forecast'!$AB$35</f>
        <v>-172318.4342255072</v>
      </c>
      <c r="H19" s="326">
        <f>'Adjustments to Initial Forecast'!$AH$35</f>
        <v>0</v>
      </c>
      <c r="I19" s="326">
        <f>'Adjustments to Initial Forecast'!$AN$35</f>
        <v>-242568.95381667643</v>
      </c>
      <c r="J19" s="326">
        <f>'Adjustments to Initial Forecast'!$AT$35</f>
        <v>0</v>
      </c>
      <c r="K19" s="326">
        <f>'Adjustments to Initial Forecast'!$AZ$35</f>
        <v>0</v>
      </c>
      <c r="L19" s="326">
        <v>0</v>
      </c>
      <c r="M19" s="326">
        <f>'Adjustments to Initial Forecast'!$BF$35</f>
        <v>-34422.089467441976</v>
      </c>
      <c r="N19" s="326">
        <f>'Adjustments to Initial Forecast'!$BL$35</f>
        <v>-899550.24703944265</v>
      </c>
      <c r="O19" s="326">
        <f>'Adjustments to Initial Forecast'!$BR$35</f>
        <v>236763.53157223531</v>
      </c>
      <c r="P19" s="326">
        <f>'Adjustments to Initial Forecast'!$BX$35</f>
        <v>-163783.0145374249</v>
      </c>
      <c r="Q19" s="326">
        <f>'Adjustments to Initial Forecast'!$CD$35</f>
        <v>-650.86794276835656</v>
      </c>
      <c r="R19" s="326">
        <f>'Adjustments to Initial Forecast'!$CJ$35</f>
        <v>0</v>
      </c>
      <c r="S19" s="326">
        <f>'Adjustments to Initial Forecast'!$CP$35</f>
        <v>-70.005245122712935</v>
      </c>
      <c r="T19" s="326">
        <f>'Adjustments to Initial Forecast'!$CV$35</f>
        <v>0</v>
      </c>
      <c r="U19" s="326">
        <f>'Adjustments to Initial Forecast'!$DB$35</f>
        <v>65929.485143530197</v>
      </c>
      <c r="V19" s="326">
        <f>'Adjustments to Initial Forecast'!$DH$35</f>
        <v>-48.347135781895041</v>
      </c>
      <c r="W19" s="326">
        <f>'Adjustments to Initial Forecast'!$DN$35</f>
        <v>6746.9809879380846</v>
      </c>
      <c r="X19" s="326">
        <f>'Adjustments to Initial Forecast'!$DT$35</f>
        <v>991426.01576907223</v>
      </c>
      <c r="Y19" s="359">
        <f t="shared" ref="Y19:Y27" si="6">SUM(D19:X19)</f>
        <v>-298475.29980111064</v>
      </c>
      <c r="AA19" s="364">
        <f t="shared" ref="AA19:AA28" si="7">B19+Y19</f>
        <v>38442817.686587565</v>
      </c>
    </row>
    <row r="20" spans="1:27">
      <c r="A20" s="324" t="s">
        <v>350</v>
      </c>
      <c r="B20" s="326">
        <v>0</v>
      </c>
      <c r="C20" s="326"/>
      <c r="D20" s="326">
        <v>0</v>
      </c>
      <c r="E20" s="326">
        <v>0</v>
      </c>
      <c r="F20" s="326">
        <v>0</v>
      </c>
      <c r="G20" s="326">
        <v>0</v>
      </c>
      <c r="H20" s="326">
        <v>0</v>
      </c>
      <c r="I20" s="326">
        <v>0</v>
      </c>
      <c r="J20" s="326">
        <v>0</v>
      </c>
      <c r="K20" s="326">
        <v>0</v>
      </c>
      <c r="L20" s="326">
        <v>0</v>
      </c>
      <c r="M20" s="326">
        <v>0</v>
      </c>
      <c r="N20" s="326">
        <v>0</v>
      </c>
      <c r="O20" s="326">
        <v>0</v>
      </c>
      <c r="P20" s="326">
        <v>0</v>
      </c>
      <c r="Q20" s="326">
        <v>0</v>
      </c>
      <c r="R20" s="326">
        <v>0</v>
      </c>
      <c r="S20" s="326">
        <v>0</v>
      </c>
      <c r="T20" s="326">
        <v>0</v>
      </c>
      <c r="U20" s="326">
        <v>0</v>
      </c>
      <c r="V20" s="326">
        <v>0</v>
      </c>
      <c r="W20" s="326">
        <v>0</v>
      </c>
      <c r="X20" s="326">
        <v>0</v>
      </c>
      <c r="Y20" s="359">
        <f t="shared" si="6"/>
        <v>0</v>
      </c>
      <c r="AA20" s="364">
        <f t="shared" si="7"/>
        <v>0</v>
      </c>
    </row>
    <row r="21" spans="1:27">
      <c r="A21" s="324" t="s">
        <v>351</v>
      </c>
      <c r="B21" s="326">
        <v>0</v>
      </c>
      <c r="C21" s="326"/>
      <c r="D21" s="326">
        <v>0</v>
      </c>
      <c r="E21" s="326">
        <v>0</v>
      </c>
      <c r="F21" s="326">
        <v>0</v>
      </c>
      <c r="G21" s="326">
        <v>0</v>
      </c>
      <c r="H21" s="326">
        <v>0</v>
      </c>
      <c r="I21" s="326">
        <v>0</v>
      </c>
      <c r="J21" s="326">
        <v>0</v>
      </c>
      <c r="K21" s="326">
        <v>0</v>
      </c>
      <c r="L21" s="326">
        <v>0</v>
      </c>
      <c r="M21" s="326">
        <v>0</v>
      </c>
      <c r="N21" s="326">
        <v>0</v>
      </c>
      <c r="O21" s="326">
        <v>0</v>
      </c>
      <c r="P21" s="326">
        <v>0</v>
      </c>
      <c r="Q21" s="326">
        <v>0</v>
      </c>
      <c r="R21" s="326">
        <v>0</v>
      </c>
      <c r="S21" s="326">
        <v>0</v>
      </c>
      <c r="T21" s="326">
        <v>0</v>
      </c>
      <c r="U21" s="326">
        <v>0</v>
      </c>
      <c r="V21" s="326">
        <v>0</v>
      </c>
      <c r="W21" s="326">
        <v>0</v>
      </c>
      <c r="X21" s="326">
        <v>0</v>
      </c>
      <c r="Y21" s="359">
        <f t="shared" si="6"/>
        <v>0</v>
      </c>
      <c r="AA21" s="364">
        <f t="shared" si="7"/>
        <v>0</v>
      </c>
    </row>
    <row r="22" spans="1:27">
      <c r="A22" s="324" t="s">
        <v>352</v>
      </c>
      <c r="B22" s="323">
        <f>SUM('Adjustments to Initial Forecast'!$G$36,'Adjustments to Initial Forecast'!$G$26)</f>
        <v>105410058.33513153</v>
      </c>
      <c r="C22" s="326"/>
      <c r="D22" s="323">
        <f>SUM('Adjustments to Initial Forecast'!$J$36,'Adjustments to Initial Forecast'!$J$26)</f>
        <v>9312.2448612001572</v>
      </c>
      <c r="E22" s="323">
        <f>SUM('Adjustments to Initial Forecast'!$P$36,'Adjustments to Initial Forecast'!$P$26)</f>
        <v>-2384.5495485985193</v>
      </c>
      <c r="F22" s="323">
        <f>SUM('Adjustments to Initial Forecast'!$V$36,'Adjustments to Initial Forecast'!$V$26)</f>
        <v>637.74918990856827</v>
      </c>
      <c r="G22" s="323">
        <f>SUM('Adjustments to Initial Forecast'!$AB$36,'Adjustments to Initial Forecast'!$AB$26)</f>
        <v>-495366.52049345151</v>
      </c>
      <c r="H22" s="323">
        <f>SUM('Adjustments to Initial Forecast'!$AH$36,'Adjustments to Initial Forecast'!$AH$26)</f>
        <v>-373515.45859484898</v>
      </c>
      <c r="I22" s="323">
        <f>SUM('Adjustments to Initial Forecast'!$AN$36,'Adjustments to Initial Forecast'!$AN$26)</f>
        <v>716400.19877848472</v>
      </c>
      <c r="J22" s="323">
        <f>SUM('Adjustments to Initial Forecast'!$AT$36,'Adjustments to Initial Forecast'!$AT$26)</f>
        <v>0</v>
      </c>
      <c r="K22" s="323">
        <f>SUM('Adjustments to Initial Forecast'!$AZ$36,'Adjustments to Initial Forecast'!$AZ$26)</f>
        <v>-12028.769165632602</v>
      </c>
      <c r="L22" s="323">
        <v>0</v>
      </c>
      <c r="M22" s="323">
        <f>SUM('Adjustments to Initial Forecast'!$BF$36,'Adjustments to Initial Forecast'!$BF$26)</f>
        <v>-144166.85729473457</v>
      </c>
      <c r="N22" s="323">
        <f>SUM('Adjustments to Initial Forecast'!$BL$36,'Adjustments to Initial Forecast'!$BL$26)</f>
        <v>-6238843.0384741388</v>
      </c>
      <c r="O22" s="323">
        <f>SUM('Adjustments to Initial Forecast'!$BR$36,'Adjustments to Initial Forecast'!$BR$26)</f>
        <v>0</v>
      </c>
      <c r="P22" s="323">
        <f>SUM('Adjustments to Initial Forecast'!$BX$36,'Adjustments to Initial Forecast'!$BX$26)</f>
        <v>2849487.2589905225</v>
      </c>
      <c r="Q22" s="323">
        <f>SUM('Adjustments to Initial Forecast'!$CD$36,'Adjustments to Initial Forecast'!$CD$26)</f>
        <v>-7104.9148228642425</v>
      </c>
      <c r="R22" s="323">
        <f>SUM('Adjustments to Initial Forecast'!$CJ$36,'Adjustments to Initial Forecast'!$CJ$26)</f>
        <v>-220983.18731571693</v>
      </c>
      <c r="S22" s="323">
        <f>SUM('Adjustments to Initial Forecast'!$CP$36,'Adjustments to Initial Forecast'!$CP$26)</f>
        <v>-343528.1089631021</v>
      </c>
      <c r="T22" s="323">
        <f>SUM('Adjustments to Initial Forecast'!$CV$36,'Adjustments to Initial Forecast'!$CV$26)</f>
        <v>0</v>
      </c>
      <c r="U22" s="323">
        <f>SUM('Adjustments to Initial Forecast'!$DB$36,'Adjustments to Initial Forecast'!$DB$26)</f>
        <v>-234825.26604234689</v>
      </c>
      <c r="V22" s="323">
        <f>SUM('Adjustments to Initial Forecast'!$DH$36,'Adjustments to Initial Forecast'!$DH$26)</f>
        <v>-124396.89901894073</v>
      </c>
      <c r="W22" s="323">
        <f>SUM('Adjustments to Initial Forecast'!$DN$36,'Adjustments to Initial Forecast'!$DN$26)</f>
        <v>-62227.770098525936</v>
      </c>
      <c r="X22" s="323">
        <f>SUM('Adjustments to Initial Forecast'!$DT$36,'Adjustments to Initial Forecast'!$DT$26)</f>
        <v>-1047620.6996870576</v>
      </c>
      <c r="Y22" s="359">
        <f t="shared" si="6"/>
        <v>-5731154.5876998436</v>
      </c>
      <c r="AA22" s="357">
        <f t="shared" si="7"/>
        <v>99678903.747431681</v>
      </c>
    </row>
    <row r="23" spans="1:27">
      <c r="A23" s="324" t="s">
        <v>353</v>
      </c>
      <c r="B23" s="326">
        <f>'Adjustments to Initial Forecast'!$G$32</f>
        <v>23759280.953393914</v>
      </c>
      <c r="C23" s="326"/>
      <c r="D23" s="326">
        <f>'Adjustments to Initial Forecast'!$J$32</f>
        <v>0</v>
      </c>
      <c r="E23" s="326">
        <f>'Adjustments to Initial Forecast'!$P$32</f>
        <v>0</v>
      </c>
      <c r="F23" s="326">
        <f>'Adjustments to Initial Forecast'!$V$32</f>
        <v>0</v>
      </c>
      <c r="G23" s="326">
        <f>'Adjustments to Initial Forecast'!$AB$32</f>
        <v>0</v>
      </c>
      <c r="H23" s="326">
        <f>'Adjustments to Initial Forecast'!$AH$32</f>
        <v>0</v>
      </c>
      <c r="I23" s="326">
        <f>'Adjustments to Initial Forecast'!$AN$32</f>
        <v>0</v>
      </c>
      <c r="J23" s="326">
        <f>'Adjustments to Initial Forecast'!$AT$32</f>
        <v>166501.2550825318</v>
      </c>
      <c r="K23" s="326">
        <f>'Adjustments to Initial Forecast'!$AZ$32</f>
        <v>0</v>
      </c>
      <c r="L23" s="326">
        <v>0</v>
      </c>
      <c r="M23" s="326">
        <f>'Adjustments to Initial Forecast'!$BF$32</f>
        <v>0</v>
      </c>
      <c r="N23" s="326">
        <f>'Adjustments to Initial Forecast'!$BL$32</f>
        <v>0</v>
      </c>
      <c r="O23" s="326">
        <f>'Adjustments to Initial Forecast'!$BR$32</f>
        <v>0</v>
      </c>
      <c r="P23" s="326">
        <f>'Adjustments to Initial Forecast'!$BX$32</f>
        <v>0</v>
      </c>
      <c r="Q23" s="326">
        <f>'Adjustments to Initial Forecast'!$CD$32</f>
        <v>0</v>
      </c>
      <c r="R23" s="326">
        <f>'Adjustments to Initial Forecast'!$CJ$32</f>
        <v>0</v>
      </c>
      <c r="S23" s="326">
        <f>'Adjustments to Initial Forecast'!$CP$32</f>
        <v>0</v>
      </c>
      <c r="T23" s="326">
        <f>'Adjustments to Initial Forecast'!$CV$32</f>
        <v>-12836.128277056694</v>
      </c>
      <c r="U23" s="326">
        <f>'Adjustments to Initial Forecast'!$DB$32</f>
        <v>551396.42220004136</v>
      </c>
      <c r="V23" s="326">
        <f>'Adjustments to Initial Forecast'!$DH$32</f>
        <v>0</v>
      </c>
      <c r="W23" s="326">
        <f>'Adjustments to Initial Forecast'!$DN$32</f>
        <v>0</v>
      </c>
      <c r="X23" s="326">
        <f>'Adjustments to Initial Forecast'!$DT$32</f>
        <v>-1.6298145055770874E-9</v>
      </c>
      <c r="Y23" s="359">
        <f t="shared" si="6"/>
        <v>705061.54900551483</v>
      </c>
      <c r="AA23" s="364">
        <f t="shared" si="7"/>
        <v>24464342.50239943</v>
      </c>
    </row>
    <row r="24" spans="1:27">
      <c r="A24" s="324" t="s">
        <v>354</v>
      </c>
      <c r="B24" s="326">
        <v>0</v>
      </c>
      <c r="C24" s="326"/>
      <c r="D24" s="326">
        <v>0</v>
      </c>
      <c r="E24" s="326">
        <v>0</v>
      </c>
      <c r="F24" s="326">
        <v>0</v>
      </c>
      <c r="G24" s="326">
        <v>0</v>
      </c>
      <c r="H24" s="326">
        <v>0</v>
      </c>
      <c r="I24" s="326">
        <v>0</v>
      </c>
      <c r="J24" s="326">
        <v>0</v>
      </c>
      <c r="K24" s="326">
        <v>0</v>
      </c>
      <c r="L24" s="326">
        <v>0</v>
      </c>
      <c r="M24" s="326">
        <v>0</v>
      </c>
      <c r="N24" s="326">
        <v>0</v>
      </c>
      <c r="O24" s="326">
        <v>0</v>
      </c>
      <c r="P24" s="326">
        <v>0</v>
      </c>
      <c r="Q24" s="326">
        <v>0</v>
      </c>
      <c r="R24" s="326">
        <v>0</v>
      </c>
      <c r="S24" s="326">
        <v>0</v>
      </c>
      <c r="T24" s="326">
        <v>0</v>
      </c>
      <c r="U24" s="326">
        <v>0</v>
      </c>
      <c r="V24" s="326">
        <v>0</v>
      </c>
      <c r="W24" s="326">
        <v>0</v>
      </c>
      <c r="X24" s="326">
        <v>0</v>
      </c>
      <c r="Y24" s="359">
        <f t="shared" si="6"/>
        <v>0</v>
      </c>
      <c r="AA24" s="364">
        <f t="shared" si="7"/>
        <v>0</v>
      </c>
    </row>
    <row r="25" spans="1:27">
      <c r="A25" s="324" t="s">
        <v>355</v>
      </c>
      <c r="B25" s="326">
        <v>0</v>
      </c>
      <c r="C25" s="326"/>
      <c r="D25" s="326">
        <v>0</v>
      </c>
      <c r="E25" s="326">
        <v>0</v>
      </c>
      <c r="F25" s="326">
        <v>0</v>
      </c>
      <c r="G25" s="326">
        <v>0</v>
      </c>
      <c r="H25" s="326">
        <v>0</v>
      </c>
      <c r="I25" s="326">
        <v>0</v>
      </c>
      <c r="J25" s="326">
        <v>0</v>
      </c>
      <c r="K25" s="326">
        <v>0</v>
      </c>
      <c r="L25" s="326">
        <v>0</v>
      </c>
      <c r="M25" s="326">
        <v>0</v>
      </c>
      <c r="N25" s="326">
        <v>0</v>
      </c>
      <c r="O25" s="326">
        <v>0</v>
      </c>
      <c r="P25" s="326">
        <v>0</v>
      </c>
      <c r="Q25" s="326">
        <v>0</v>
      </c>
      <c r="R25" s="326">
        <v>0</v>
      </c>
      <c r="S25" s="326">
        <v>0</v>
      </c>
      <c r="T25" s="326">
        <v>0</v>
      </c>
      <c r="U25" s="326">
        <v>0</v>
      </c>
      <c r="V25" s="326">
        <v>0</v>
      </c>
      <c r="W25" s="326">
        <v>0</v>
      </c>
      <c r="X25" s="326">
        <v>0</v>
      </c>
      <c r="Y25" s="359">
        <f t="shared" si="6"/>
        <v>0</v>
      </c>
      <c r="AA25" s="364">
        <f t="shared" si="7"/>
        <v>0</v>
      </c>
    </row>
    <row r="26" spans="1:27">
      <c r="A26" s="324" t="s">
        <v>356</v>
      </c>
      <c r="B26" s="326">
        <v>0</v>
      </c>
      <c r="C26" s="326"/>
      <c r="D26" s="326">
        <v>0</v>
      </c>
      <c r="E26" s="326">
        <v>0</v>
      </c>
      <c r="F26" s="326">
        <v>0</v>
      </c>
      <c r="G26" s="326">
        <v>0</v>
      </c>
      <c r="H26" s="326">
        <v>0</v>
      </c>
      <c r="I26" s="326">
        <v>0</v>
      </c>
      <c r="J26" s="326">
        <v>0</v>
      </c>
      <c r="K26" s="326">
        <v>0</v>
      </c>
      <c r="L26" s="326">
        <v>0</v>
      </c>
      <c r="M26" s="326">
        <v>0</v>
      </c>
      <c r="N26" s="326">
        <v>0</v>
      </c>
      <c r="O26" s="326">
        <v>0</v>
      </c>
      <c r="P26" s="326">
        <v>0</v>
      </c>
      <c r="Q26" s="326">
        <v>0</v>
      </c>
      <c r="R26" s="326">
        <v>0</v>
      </c>
      <c r="S26" s="326">
        <v>0</v>
      </c>
      <c r="T26" s="326">
        <v>0</v>
      </c>
      <c r="U26" s="326">
        <v>0</v>
      </c>
      <c r="V26" s="326">
        <v>0</v>
      </c>
      <c r="W26" s="326">
        <v>0</v>
      </c>
      <c r="X26" s="326">
        <v>0</v>
      </c>
      <c r="Y26" s="359">
        <f t="shared" si="6"/>
        <v>0</v>
      </c>
      <c r="AA26" s="364">
        <f t="shared" si="7"/>
        <v>0</v>
      </c>
    </row>
    <row r="27" spans="1:27">
      <c r="A27" s="324" t="s">
        <v>357</v>
      </c>
      <c r="B27" s="326">
        <v>0</v>
      </c>
      <c r="C27" s="326"/>
      <c r="D27" s="326">
        <v>0</v>
      </c>
      <c r="E27" s="326">
        <v>0</v>
      </c>
      <c r="F27" s="326">
        <v>0</v>
      </c>
      <c r="G27" s="326">
        <v>0</v>
      </c>
      <c r="H27" s="326">
        <v>0</v>
      </c>
      <c r="I27" s="326">
        <v>0</v>
      </c>
      <c r="J27" s="326">
        <v>0</v>
      </c>
      <c r="K27" s="326">
        <v>0</v>
      </c>
      <c r="L27" s="326">
        <v>0</v>
      </c>
      <c r="M27" s="326">
        <v>0</v>
      </c>
      <c r="N27" s="326">
        <v>0</v>
      </c>
      <c r="O27" s="326">
        <v>0</v>
      </c>
      <c r="P27" s="326">
        <v>0</v>
      </c>
      <c r="Q27" s="326">
        <v>0</v>
      </c>
      <c r="R27" s="326">
        <v>0</v>
      </c>
      <c r="S27" s="326">
        <v>0</v>
      </c>
      <c r="T27" s="326">
        <v>0</v>
      </c>
      <c r="U27" s="326">
        <v>0</v>
      </c>
      <c r="V27" s="326">
        <v>0</v>
      </c>
      <c r="W27" s="326">
        <v>0</v>
      </c>
      <c r="X27" s="326">
        <v>0</v>
      </c>
      <c r="Y27" s="359">
        <f t="shared" si="6"/>
        <v>0</v>
      </c>
      <c r="AA27" s="364">
        <f t="shared" si="7"/>
        <v>0</v>
      </c>
    </row>
    <row r="28" spans="1:27">
      <c r="A28" s="324" t="s">
        <v>358</v>
      </c>
      <c r="B28" s="326">
        <v>0</v>
      </c>
      <c r="C28" s="326"/>
      <c r="D28" s="326">
        <v>0</v>
      </c>
      <c r="E28" s="326">
        <v>0</v>
      </c>
      <c r="F28" s="326">
        <v>0</v>
      </c>
      <c r="G28" s="326">
        <v>0</v>
      </c>
      <c r="H28" s="326">
        <v>0</v>
      </c>
      <c r="I28" s="326">
        <v>0</v>
      </c>
      <c r="J28" s="326">
        <v>0</v>
      </c>
      <c r="K28" s="326">
        <v>0</v>
      </c>
      <c r="L28" s="326">
        <v>0</v>
      </c>
      <c r="M28" s="326">
        <v>0</v>
      </c>
      <c r="N28" s="326">
        <v>0</v>
      </c>
      <c r="O28" s="326">
        <v>0</v>
      </c>
      <c r="P28" s="326">
        <v>0</v>
      </c>
      <c r="Q28" s="326">
        <v>0</v>
      </c>
      <c r="R28" s="326">
        <v>0</v>
      </c>
      <c r="S28" s="326">
        <v>0</v>
      </c>
      <c r="T28" s="326">
        <v>0</v>
      </c>
      <c r="U28" s="326">
        <v>0</v>
      </c>
      <c r="V28" s="326">
        <v>0</v>
      </c>
      <c r="W28" s="326">
        <v>0</v>
      </c>
      <c r="X28" s="326">
        <v>0</v>
      </c>
      <c r="Y28" s="359">
        <f>SUM(D28:X28)</f>
        <v>0</v>
      </c>
      <c r="AA28" s="364">
        <f t="shared" si="7"/>
        <v>0</v>
      </c>
    </row>
    <row r="29" spans="1:27">
      <c r="A29" s="324" t="s">
        <v>359</v>
      </c>
      <c r="B29" s="327">
        <f t="shared" ref="B29" si="8">SUM(B19:B28)</f>
        <v>167910632.27491412</v>
      </c>
      <c r="C29" s="327"/>
      <c r="D29" s="327">
        <f t="shared" ref="D29:W29" si="9">SUM(D19:D28)</f>
        <v>-76162.934552437247</v>
      </c>
      <c r="E29" s="327">
        <f t="shared" si="9"/>
        <v>-2384.5495485985193</v>
      </c>
      <c r="F29" s="327">
        <f t="shared" si="9"/>
        <v>183.5747398259727</v>
      </c>
      <c r="G29" s="327">
        <f t="shared" si="9"/>
        <v>-667684.9547189587</v>
      </c>
      <c r="H29" s="327">
        <f t="shared" si="9"/>
        <v>-373515.45859484898</v>
      </c>
      <c r="I29" s="327">
        <f t="shared" si="9"/>
        <v>473831.24496180832</v>
      </c>
      <c r="J29" s="327">
        <f t="shared" si="9"/>
        <v>166501.2550825318</v>
      </c>
      <c r="K29" s="327">
        <f t="shared" si="9"/>
        <v>-12028.769165632602</v>
      </c>
      <c r="L29" s="327">
        <f t="shared" si="9"/>
        <v>0</v>
      </c>
      <c r="M29" s="327">
        <f t="shared" si="9"/>
        <v>-178588.94676217655</v>
      </c>
      <c r="N29" s="327">
        <f t="shared" si="9"/>
        <v>-7138393.2855135817</v>
      </c>
      <c r="O29" s="327">
        <f t="shared" si="9"/>
        <v>236763.53157223531</v>
      </c>
      <c r="P29" s="327">
        <f t="shared" si="9"/>
        <v>2685704.2444530977</v>
      </c>
      <c r="Q29" s="327">
        <f t="shared" si="9"/>
        <v>-7755.782765632599</v>
      </c>
      <c r="R29" s="327">
        <f t="shared" si="9"/>
        <v>-220983.18731571693</v>
      </c>
      <c r="S29" s="327">
        <f t="shared" si="9"/>
        <v>-343598.11420822481</v>
      </c>
      <c r="T29" s="327">
        <f t="shared" si="9"/>
        <v>-12836.128277056694</v>
      </c>
      <c r="U29" s="327">
        <f t="shared" si="9"/>
        <v>382500.64130122465</v>
      </c>
      <c r="V29" s="327">
        <f t="shared" si="9"/>
        <v>-124445.24615472263</v>
      </c>
      <c r="W29" s="327">
        <f t="shared" si="9"/>
        <v>-55480.789110587852</v>
      </c>
      <c r="X29" s="327">
        <f t="shared" ref="X29:Y29" si="10">SUM(X19:X28)</f>
        <v>-56194.683917987044</v>
      </c>
      <c r="Y29" s="360">
        <f t="shared" si="10"/>
        <v>-5324568.3384954389</v>
      </c>
      <c r="AA29" s="360">
        <f t="shared" ref="AA29" si="11">SUM(AA19:AA28)</f>
        <v>162586063.93641865</v>
      </c>
    </row>
    <row r="30" spans="1:27">
      <c r="A30" s="324" t="s">
        <v>360</v>
      </c>
      <c r="B30" s="326">
        <v>0</v>
      </c>
      <c r="C30" s="326"/>
      <c r="D30" s="326">
        <v>0</v>
      </c>
      <c r="E30" s="326">
        <v>0</v>
      </c>
      <c r="F30" s="326">
        <v>0</v>
      </c>
      <c r="G30" s="326">
        <v>0</v>
      </c>
      <c r="H30" s="326">
        <v>0</v>
      </c>
      <c r="I30" s="326">
        <v>0</v>
      </c>
      <c r="J30" s="326">
        <v>0</v>
      </c>
      <c r="K30" s="326">
        <v>0</v>
      </c>
      <c r="L30" s="326">
        <v>0</v>
      </c>
      <c r="M30" s="326">
        <v>0</v>
      </c>
      <c r="N30" s="326">
        <v>0</v>
      </c>
      <c r="O30" s="326">
        <v>0</v>
      </c>
      <c r="P30" s="326">
        <v>0</v>
      </c>
      <c r="Q30" s="326">
        <v>0</v>
      </c>
      <c r="R30" s="326">
        <v>0</v>
      </c>
      <c r="S30" s="326">
        <v>0</v>
      </c>
      <c r="T30" s="326">
        <v>0</v>
      </c>
      <c r="U30" s="326">
        <v>0</v>
      </c>
      <c r="V30" s="326">
        <v>0</v>
      </c>
      <c r="W30" s="326">
        <v>0</v>
      </c>
      <c r="X30" s="326">
        <v>0</v>
      </c>
      <c r="Y30" s="359">
        <f t="shared" ref="Y30:Y37" si="12">SUM(D30:X30)</f>
        <v>0</v>
      </c>
      <c r="AA30" s="364">
        <f t="shared" ref="AA30:AA38" si="13">B30+Y30</f>
        <v>0</v>
      </c>
    </row>
    <row r="31" spans="1:27">
      <c r="A31" s="324" t="s">
        <v>361</v>
      </c>
      <c r="B31" s="326">
        <v>0</v>
      </c>
      <c r="C31" s="326"/>
      <c r="D31" s="326">
        <v>0</v>
      </c>
      <c r="E31" s="326">
        <v>0</v>
      </c>
      <c r="F31" s="326">
        <v>0</v>
      </c>
      <c r="G31" s="326">
        <v>0</v>
      </c>
      <c r="H31" s="326">
        <v>0</v>
      </c>
      <c r="I31" s="326">
        <v>0</v>
      </c>
      <c r="J31" s="326">
        <v>0</v>
      </c>
      <c r="K31" s="326">
        <v>0</v>
      </c>
      <c r="L31" s="326">
        <v>0</v>
      </c>
      <c r="M31" s="326">
        <v>0</v>
      </c>
      <c r="N31" s="326">
        <v>0</v>
      </c>
      <c r="O31" s="326">
        <v>0</v>
      </c>
      <c r="P31" s="326">
        <v>0</v>
      </c>
      <c r="Q31" s="326">
        <v>0</v>
      </c>
      <c r="R31" s="326">
        <v>0</v>
      </c>
      <c r="S31" s="326">
        <v>0</v>
      </c>
      <c r="T31" s="326">
        <v>0</v>
      </c>
      <c r="U31" s="326">
        <v>0</v>
      </c>
      <c r="V31" s="326">
        <v>0</v>
      </c>
      <c r="W31" s="326">
        <v>0</v>
      </c>
      <c r="X31" s="326">
        <v>0</v>
      </c>
      <c r="Y31" s="359">
        <f t="shared" si="12"/>
        <v>0</v>
      </c>
      <c r="AA31" s="364">
        <f t="shared" si="13"/>
        <v>0</v>
      </c>
    </row>
    <row r="32" spans="1:27">
      <c r="A32" s="324" t="s">
        <v>362</v>
      </c>
      <c r="B32" s="326">
        <v>0</v>
      </c>
      <c r="C32" s="326"/>
      <c r="D32" s="326">
        <v>0</v>
      </c>
      <c r="E32" s="326">
        <v>0</v>
      </c>
      <c r="F32" s="326">
        <v>0</v>
      </c>
      <c r="G32" s="326">
        <v>0</v>
      </c>
      <c r="H32" s="326">
        <v>0</v>
      </c>
      <c r="I32" s="326">
        <v>0</v>
      </c>
      <c r="J32" s="326">
        <v>0</v>
      </c>
      <c r="K32" s="326">
        <v>0</v>
      </c>
      <c r="L32" s="326">
        <v>0</v>
      </c>
      <c r="M32" s="326">
        <v>0</v>
      </c>
      <c r="N32" s="326">
        <v>0</v>
      </c>
      <c r="O32" s="326">
        <v>0</v>
      </c>
      <c r="P32" s="326">
        <v>0</v>
      </c>
      <c r="Q32" s="326">
        <v>0</v>
      </c>
      <c r="R32" s="326">
        <v>0</v>
      </c>
      <c r="S32" s="326">
        <v>0</v>
      </c>
      <c r="T32" s="326">
        <v>0</v>
      </c>
      <c r="U32" s="326">
        <v>0</v>
      </c>
      <c r="V32" s="326">
        <v>0</v>
      </c>
      <c r="W32" s="326">
        <v>0</v>
      </c>
      <c r="X32" s="326">
        <v>0</v>
      </c>
      <c r="Y32" s="359">
        <f t="shared" si="12"/>
        <v>0</v>
      </c>
      <c r="AA32" s="364">
        <f t="shared" si="13"/>
        <v>0</v>
      </c>
    </row>
    <row r="33" spans="1:27">
      <c r="A33" s="324" t="s">
        <v>363</v>
      </c>
      <c r="B33" s="325">
        <f>B87</f>
        <v>-45104718.61478658</v>
      </c>
      <c r="C33" s="325"/>
      <c r="D33" s="325">
        <f>D87</f>
        <v>26657.027866402455</v>
      </c>
      <c r="E33" s="325">
        <f t="shared" ref="E33:X33" si="14">E87</f>
        <v>834.59234200948174</v>
      </c>
      <c r="F33" s="325">
        <f t="shared" si="14"/>
        <v>-656.42050151787612</v>
      </c>
      <c r="G33" s="325">
        <f t="shared" si="14"/>
        <v>217135.39832795394</v>
      </c>
      <c r="H33" s="325">
        <f t="shared" si="14"/>
        <v>130730.41050819714</v>
      </c>
      <c r="I33" s="325">
        <f t="shared" si="14"/>
        <v>-156142.35082436944</v>
      </c>
      <c r="J33" s="325">
        <f t="shared" si="14"/>
        <v>-58275.43927888613</v>
      </c>
      <c r="K33" s="325">
        <f t="shared" si="14"/>
        <v>4210.0692079714108</v>
      </c>
      <c r="L33" s="325">
        <f t="shared" si="14"/>
        <v>0</v>
      </c>
      <c r="M33" s="325">
        <f t="shared" si="14"/>
        <v>-90755.571361416383</v>
      </c>
      <c r="N33" s="325">
        <f t="shared" si="14"/>
        <v>1002873.6441805515</v>
      </c>
      <c r="O33" s="325">
        <f t="shared" si="14"/>
        <v>-82867.236050282358</v>
      </c>
      <c r="P33" s="325">
        <f t="shared" si="14"/>
        <v>83872.454911768029</v>
      </c>
      <c r="Q33" s="325">
        <f t="shared" si="14"/>
        <v>6663.6157287311953</v>
      </c>
      <c r="R33" s="325">
        <f t="shared" si="14"/>
        <v>77344.115560500926</v>
      </c>
      <c r="S33" s="325">
        <f t="shared" si="14"/>
        <v>122230.24866311261</v>
      </c>
      <c r="T33" s="325">
        <f t="shared" si="14"/>
        <v>4492.6448969698422</v>
      </c>
      <c r="U33" s="325">
        <f t="shared" si="14"/>
        <v>-95931.048046899246</v>
      </c>
      <c r="V33" s="325">
        <f t="shared" si="14"/>
        <v>43555.836154152916</v>
      </c>
      <c r="W33" s="325">
        <f t="shared" si="14"/>
        <v>41750.271162382291</v>
      </c>
      <c r="X33" s="325">
        <f t="shared" si="14"/>
        <v>-346560.66145094868</v>
      </c>
      <c r="Y33" s="359">
        <f t="shared" si="12"/>
        <v>931161.60199638351</v>
      </c>
      <c r="AA33" s="359">
        <f t="shared" si="13"/>
        <v>-44173557.012790196</v>
      </c>
    </row>
    <row r="34" spans="1:27">
      <c r="A34" s="324" t="s">
        <v>364</v>
      </c>
      <c r="B34" s="325">
        <v>0</v>
      </c>
      <c r="C34" s="325"/>
      <c r="D34" s="325">
        <v>0</v>
      </c>
      <c r="E34" s="325">
        <v>0</v>
      </c>
      <c r="F34" s="325">
        <v>0</v>
      </c>
      <c r="G34" s="325">
        <v>0</v>
      </c>
      <c r="H34" s="325">
        <v>0</v>
      </c>
      <c r="I34" s="325">
        <v>0</v>
      </c>
      <c r="J34" s="325">
        <v>0</v>
      </c>
      <c r="K34" s="325">
        <v>0</v>
      </c>
      <c r="L34" s="325">
        <v>0</v>
      </c>
      <c r="M34" s="325">
        <v>0</v>
      </c>
      <c r="N34" s="325">
        <v>0</v>
      </c>
      <c r="O34" s="325">
        <v>0</v>
      </c>
      <c r="P34" s="325">
        <v>0</v>
      </c>
      <c r="Q34" s="325">
        <v>0</v>
      </c>
      <c r="R34" s="325">
        <v>0</v>
      </c>
      <c r="S34" s="325">
        <v>0</v>
      </c>
      <c r="T34" s="325">
        <v>0</v>
      </c>
      <c r="U34" s="325">
        <v>0</v>
      </c>
      <c r="V34" s="325">
        <v>0</v>
      </c>
      <c r="W34" s="325">
        <v>0</v>
      </c>
      <c r="X34" s="325">
        <v>0</v>
      </c>
      <c r="Y34" s="359">
        <f t="shared" si="12"/>
        <v>0</v>
      </c>
      <c r="AA34" s="359">
        <f t="shared" si="13"/>
        <v>0</v>
      </c>
    </row>
    <row r="35" spans="1:27">
      <c r="A35" s="324" t="s">
        <v>365</v>
      </c>
      <c r="B35" s="326">
        <v>0</v>
      </c>
      <c r="C35" s="326"/>
      <c r="D35" s="326">
        <v>0</v>
      </c>
      <c r="E35" s="326">
        <v>0</v>
      </c>
      <c r="F35" s="326">
        <v>0</v>
      </c>
      <c r="G35" s="326">
        <v>0</v>
      </c>
      <c r="H35" s="326">
        <v>0</v>
      </c>
      <c r="I35" s="326">
        <v>0</v>
      </c>
      <c r="J35" s="326">
        <v>0</v>
      </c>
      <c r="K35" s="326">
        <v>0</v>
      </c>
      <c r="L35" s="326">
        <v>0</v>
      </c>
      <c r="M35" s="326">
        <v>0</v>
      </c>
      <c r="N35" s="326">
        <v>0</v>
      </c>
      <c r="O35" s="326">
        <v>0</v>
      </c>
      <c r="P35" s="326">
        <v>0</v>
      </c>
      <c r="Q35" s="326">
        <v>0</v>
      </c>
      <c r="R35" s="326">
        <v>0</v>
      </c>
      <c r="S35" s="326">
        <v>0</v>
      </c>
      <c r="T35" s="326">
        <v>0</v>
      </c>
      <c r="U35" s="326">
        <v>0</v>
      </c>
      <c r="V35" s="326">
        <v>0</v>
      </c>
      <c r="W35" s="326">
        <v>0</v>
      </c>
      <c r="X35" s="326">
        <v>0</v>
      </c>
      <c r="Y35" s="359">
        <f t="shared" si="12"/>
        <v>0</v>
      </c>
      <c r="AA35" s="364">
        <f t="shared" si="13"/>
        <v>0</v>
      </c>
    </row>
    <row r="36" spans="1:27">
      <c r="A36" s="324" t="s">
        <v>366</v>
      </c>
      <c r="B36" s="326">
        <v>0</v>
      </c>
      <c r="C36" s="326"/>
      <c r="D36" s="326">
        <v>0</v>
      </c>
      <c r="E36" s="326">
        <v>0</v>
      </c>
      <c r="F36" s="326">
        <v>0</v>
      </c>
      <c r="G36" s="326">
        <v>0</v>
      </c>
      <c r="H36" s="326">
        <v>0</v>
      </c>
      <c r="I36" s="326">
        <v>0</v>
      </c>
      <c r="J36" s="326">
        <v>0</v>
      </c>
      <c r="K36" s="326">
        <v>0</v>
      </c>
      <c r="L36" s="326">
        <v>0</v>
      </c>
      <c r="M36" s="326">
        <v>0</v>
      </c>
      <c r="N36" s="326">
        <v>0</v>
      </c>
      <c r="O36" s="326">
        <v>0</v>
      </c>
      <c r="P36" s="326">
        <v>0</v>
      </c>
      <c r="Q36" s="326">
        <v>0</v>
      </c>
      <c r="R36" s="326">
        <v>0</v>
      </c>
      <c r="S36" s="326">
        <v>0</v>
      </c>
      <c r="T36" s="326">
        <v>0</v>
      </c>
      <c r="U36" s="326">
        <v>0</v>
      </c>
      <c r="V36" s="326">
        <v>0</v>
      </c>
      <c r="W36" s="326">
        <v>0</v>
      </c>
      <c r="X36" s="326">
        <v>0</v>
      </c>
      <c r="Y36" s="359">
        <f t="shared" si="12"/>
        <v>0</v>
      </c>
      <c r="AA36" s="364">
        <f t="shared" si="13"/>
        <v>0</v>
      </c>
    </row>
    <row r="37" spans="1:27">
      <c r="A37" s="324" t="s">
        <v>367</v>
      </c>
      <c r="B37" s="326">
        <v>0</v>
      </c>
      <c r="C37" s="326"/>
      <c r="D37" s="326">
        <v>0</v>
      </c>
      <c r="E37" s="326">
        <v>0</v>
      </c>
      <c r="F37" s="326">
        <v>0</v>
      </c>
      <c r="G37" s="326">
        <v>0</v>
      </c>
      <c r="H37" s="326">
        <v>0</v>
      </c>
      <c r="I37" s="326">
        <v>0</v>
      </c>
      <c r="J37" s="326">
        <v>0</v>
      </c>
      <c r="K37" s="326">
        <v>0</v>
      </c>
      <c r="L37" s="326">
        <v>0</v>
      </c>
      <c r="M37" s="326">
        <v>0</v>
      </c>
      <c r="N37" s="326">
        <v>0</v>
      </c>
      <c r="O37" s="326">
        <v>0</v>
      </c>
      <c r="P37" s="326">
        <v>0</v>
      </c>
      <c r="Q37" s="326">
        <v>0</v>
      </c>
      <c r="R37" s="326">
        <v>0</v>
      </c>
      <c r="S37" s="326">
        <v>0</v>
      </c>
      <c r="T37" s="326">
        <v>0</v>
      </c>
      <c r="U37" s="326">
        <v>0</v>
      </c>
      <c r="V37" s="326">
        <v>0</v>
      </c>
      <c r="W37" s="326">
        <v>0</v>
      </c>
      <c r="X37" s="326">
        <v>0</v>
      </c>
      <c r="Y37" s="359">
        <f t="shared" si="12"/>
        <v>0</v>
      </c>
      <c r="AA37" s="364">
        <f t="shared" si="13"/>
        <v>0</v>
      </c>
    </row>
    <row r="38" spans="1:27">
      <c r="A38" s="324" t="s">
        <v>368</v>
      </c>
      <c r="B38" s="322">
        <f t="shared" ref="B38" si="15">SUM(B29:B37)</f>
        <v>122805913.66012754</v>
      </c>
      <c r="C38" s="322"/>
      <c r="D38" s="322">
        <f t="shared" ref="D38:W38" si="16">SUM(D29:D37)</f>
        <v>-49505.906686034796</v>
      </c>
      <c r="E38" s="322">
        <f t="shared" si="16"/>
        <v>-1549.9572065890375</v>
      </c>
      <c r="F38" s="322">
        <f t="shared" si="16"/>
        <v>-472.84576169190342</v>
      </c>
      <c r="G38" s="322">
        <f t="shared" si="16"/>
        <v>-450549.55639100476</v>
      </c>
      <c r="H38" s="322">
        <f t="shared" si="16"/>
        <v>-242785.04808665183</v>
      </c>
      <c r="I38" s="322">
        <f t="shared" si="16"/>
        <v>317688.89413743885</v>
      </c>
      <c r="J38" s="322">
        <f t="shared" si="16"/>
        <v>108225.81580364567</v>
      </c>
      <c r="K38" s="322">
        <f t="shared" si="16"/>
        <v>-7818.6999576611915</v>
      </c>
      <c r="L38" s="322">
        <f t="shared" si="16"/>
        <v>0</v>
      </c>
      <c r="M38" s="322">
        <f t="shared" si="16"/>
        <v>-269344.51812359295</v>
      </c>
      <c r="N38" s="322">
        <f t="shared" si="16"/>
        <v>-6135519.6413330305</v>
      </c>
      <c r="O38" s="322">
        <f t="shared" si="16"/>
        <v>153896.29552195297</v>
      </c>
      <c r="P38" s="322">
        <f t="shared" si="16"/>
        <v>2769576.6993648657</v>
      </c>
      <c r="Q38" s="322">
        <f t="shared" si="16"/>
        <v>-1092.1670369014037</v>
      </c>
      <c r="R38" s="322">
        <f t="shared" si="16"/>
        <v>-143639.07175521599</v>
      </c>
      <c r="S38" s="322">
        <f t="shared" si="16"/>
        <v>-221367.8655451122</v>
      </c>
      <c r="T38" s="322">
        <f t="shared" si="16"/>
        <v>-8343.483380086851</v>
      </c>
      <c r="U38" s="322">
        <f t="shared" si="16"/>
        <v>286569.59325432539</v>
      </c>
      <c r="V38" s="322">
        <f t="shared" si="16"/>
        <v>-80889.410000569711</v>
      </c>
      <c r="W38" s="322">
        <f t="shared" si="16"/>
        <v>-13730.517948205561</v>
      </c>
      <c r="X38" s="322">
        <f t="shared" ref="X38" si="17">SUM(X29:X37)</f>
        <v>-402755.34536893573</v>
      </c>
      <c r="Y38" s="358">
        <f>SUM(Y29:Y37)</f>
        <v>-4393406.7364990553</v>
      </c>
      <c r="AA38" s="358">
        <f t="shared" si="13"/>
        <v>118412506.92362848</v>
      </c>
    </row>
    <row r="39" spans="1:27">
      <c r="A39" s="324"/>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58"/>
      <c r="AA39" s="358"/>
    </row>
    <row r="40" spans="1:27">
      <c r="A40" s="324" t="s">
        <v>369</v>
      </c>
      <c r="B40" s="327">
        <f t="shared" ref="B40" si="18">B16-B38</f>
        <v>-83765905.998889387</v>
      </c>
      <c r="C40" s="327"/>
      <c r="D40" s="327">
        <f t="shared" ref="D40:W40" si="19">D16-D38</f>
        <v>49505.908894747423</v>
      </c>
      <c r="E40" s="327">
        <f t="shared" si="19"/>
        <v>1549.9572065890375</v>
      </c>
      <c r="F40" s="327">
        <f t="shared" si="19"/>
        <v>-1219.0666456760557</v>
      </c>
      <c r="G40" s="327">
        <f t="shared" si="19"/>
        <v>403251.45403762878</v>
      </c>
      <c r="H40" s="327">
        <f t="shared" si="19"/>
        <v>242785.04808665183</v>
      </c>
      <c r="I40" s="327">
        <f t="shared" si="19"/>
        <v>-289978.65153097181</v>
      </c>
      <c r="J40" s="327">
        <f t="shared" si="19"/>
        <v>-108225.81580364567</v>
      </c>
      <c r="K40" s="327">
        <f t="shared" si="19"/>
        <v>7818.6999576611915</v>
      </c>
      <c r="L40" s="327">
        <f t="shared" si="19"/>
        <v>0</v>
      </c>
      <c r="M40" s="327">
        <f t="shared" si="19"/>
        <v>-168546.06109977327</v>
      </c>
      <c r="N40" s="327">
        <f t="shared" si="19"/>
        <v>1862479.6249067392</v>
      </c>
      <c r="O40" s="327">
        <f t="shared" si="19"/>
        <v>-153896.29552195297</v>
      </c>
      <c r="P40" s="327">
        <f t="shared" si="19"/>
        <v>155763.13055042643</v>
      </c>
      <c r="Q40" s="327">
        <f t="shared" si="19"/>
        <v>12375.286353357937</v>
      </c>
      <c r="R40" s="327">
        <f t="shared" si="19"/>
        <v>143639.07175521599</v>
      </c>
      <c r="S40" s="327">
        <f t="shared" si="19"/>
        <v>226999.03323149486</v>
      </c>
      <c r="T40" s="327">
        <f t="shared" si="19"/>
        <v>8343.483380086851</v>
      </c>
      <c r="U40" s="327">
        <f t="shared" si="19"/>
        <v>-178157.66065852717</v>
      </c>
      <c r="V40" s="327">
        <f t="shared" si="19"/>
        <v>80889.410000569711</v>
      </c>
      <c r="W40" s="327">
        <f t="shared" si="19"/>
        <v>77536.217872995679</v>
      </c>
      <c r="X40" s="327">
        <f t="shared" ref="X40:Y40" si="20">X16-X38</f>
        <v>-643612.65698033338</v>
      </c>
      <c r="Y40" s="360">
        <f t="shared" si="20"/>
        <v>1729300.117993284</v>
      </c>
      <c r="AA40" s="360">
        <f t="shared" ref="AA40" si="21">AA16-AA38</f>
        <v>-82036605.880896091</v>
      </c>
    </row>
    <row r="41" spans="1:27">
      <c r="A41" s="324"/>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58"/>
      <c r="AA41" s="358"/>
    </row>
    <row r="42" spans="1:27">
      <c r="A42" s="324" t="s">
        <v>370</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58"/>
      <c r="AA42" s="358"/>
    </row>
    <row r="43" spans="1:27">
      <c r="A43" s="324" t="s">
        <v>371</v>
      </c>
      <c r="B43" s="326">
        <v>0</v>
      </c>
      <c r="C43" s="326"/>
      <c r="D43" s="326">
        <v>0</v>
      </c>
      <c r="E43" s="326">
        <v>0</v>
      </c>
      <c r="F43" s="326">
        <v>0</v>
      </c>
      <c r="G43" s="326">
        <v>0</v>
      </c>
      <c r="H43" s="326">
        <v>0</v>
      </c>
      <c r="I43" s="326">
        <v>0</v>
      </c>
      <c r="J43" s="326">
        <v>0</v>
      </c>
      <c r="K43" s="326">
        <v>0</v>
      </c>
      <c r="L43" s="326">
        <v>0</v>
      </c>
      <c r="M43" s="326">
        <v>0</v>
      </c>
      <c r="N43" s="326">
        <v>0</v>
      </c>
      <c r="O43" s="326">
        <v>0</v>
      </c>
      <c r="P43" s="326">
        <v>0</v>
      </c>
      <c r="Q43" s="326">
        <v>0</v>
      </c>
      <c r="R43" s="326">
        <v>0</v>
      </c>
      <c r="S43" s="326">
        <v>0</v>
      </c>
      <c r="T43" s="326">
        <v>0</v>
      </c>
      <c r="U43" s="326">
        <v>0</v>
      </c>
      <c r="V43" s="326">
        <v>0</v>
      </c>
      <c r="W43" s="326">
        <v>0</v>
      </c>
      <c r="X43" s="326">
        <v>0</v>
      </c>
      <c r="Y43" s="359">
        <f t="shared" ref="Y43:Y53" si="22">SUM(D43:X43)</f>
        <v>0</v>
      </c>
      <c r="AA43" s="364">
        <f t="shared" ref="AA43:AA53" si="23">B43+Y43</f>
        <v>0</v>
      </c>
    </row>
    <row r="44" spans="1:27">
      <c r="A44" s="324" t="s">
        <v>372</v>
      </c>
      <c r="B44" s="326">
        <v>0</v>
      </c>
      <c r="C44" s="326"/>
      <c r="D44" s="326">
        <v>0</v>
      </c>
      <c r="E44" s="326">
        <v>0</v>
      </c>
      <c r="F44" s="326">
        <v>0</v>
      </c>
      <c r="G44" s="326">
        <v>0</v>
      </c>
      <c r="H44" s="326">
        <v>0</v>
      </c>
      <c r="I44" s="326">
        <v>0</v>
      </c>
      <c r="J44" s="326">
        <v>0</v>
      </c>
      <c r="K44" s="326">
        <v>0</v>
      </c>
      <c r="L44" s="326">
        <v>0</v>
      </c>
      <c r="M44" s="326">
        <v>0</v>
      </c>
      <c r="N44" s="326">
        <v>0</v>
      </c>
      <c r="O44" s="326">
        <v>0</v>
      </c>
      <c r="P44" s="326">
        <v>0</v>
      </c>
      <c r="Q44" s="326">
        <v>0</v>
      </c>
      <c r="R44" s="326">
        <v>0</v>
      </c>
      <c r="S44" s="326">
        <v>0</v>
      </c>
      <c r="T44" s="326">
        <v>0</v>
      </c>
      <c r="U44" s="326">
        <v>0</v>
      </c>
      <c r="V44" s="326">
        <v>0</v>
      </c>
      <c r="W44" s="326">
        <v>0</v>
      </c>
      <c r="X44" s="326">
        <v>0</v>
      </c>
      <c r="Y44" s="359">
        <f t="shared" si="22"/>
        <v>0</v>
      </c>
      <c r="AA44" s="364">
        <f t="shared" si="23"/>
        <v>0</v>
      </c>
    </row>
    <row r="45" spans="1:27">
      <c r="A45" s="324" t="s">
        <v>373</v>
      </c>
      <c r="B45" s="326">
        <v>0</v>
      </c>
      <c r="C45" s="326"/>
      <c r="D45" s="326">
        <v>0</v>
      </c>
      <c r="E45" s="326">
        <v>0</v>
      </c>
      <c r="F45" s="326">
        <v>0</v>
      </c>
      <c r="G45" s="326">
        <v>0</v>
      </c>
      <c r="H45" s="326">
        <v>0</v>
      </c>
      <c r="I45" s="326">
        <v>0</v>
      </c>
      <c r="J45" s="326">
        <v>0</v>
      </c>
      <c r="K45" s="326">
        <v>0</v>
      </c>
      <c r="L45" s="326">
        <v>0</v>
      </c>
      <c r="M45" s="326">
        <v>0</v>
      </c>
      <c r="N45" s="326">
        <v>0</v>
      </c>
      <c r="O45" s="326">
        <v>0</v>
      </c>
      <c r="P45" s="326">
        <v>0</v>
      </c>
      <c r="Q45" s="326">
        <v>0</v>
      </c>
      <c r="R45" s="326">
        <v>0</v>
      </c>
      <c r="S45" s="326">
        <v>0</v>
      </c>
      <c r="T45" s="326">
        <v>0</v>
      </c>
      <c r="U45" s="326">
        <v>0</v>
      </c>
      <c r="V45" s="326">
        <v>0</v>
      </c>
      <c r="W45" s="326">
        <v>0</v>
      </c>
      <c r="X45" s="326">
        <v>0</v>
      </c>
      <c r="Y45" s="359">
        <f t="shared" si="22"/>
        <v>0</v>
      </c>
      <c r="AA45" s="364">
        <f t="shared" si="23"/>
        <v>0</v>
      </c>
    </row>
    <row r="46" spans="1:27">
      <c r="A46" s="324" t="s">
        <v>374</v>
      </c>
      <c r="B46" s="326">
        <v>0</v>
      </c>
      <c r="C46" s="326"/>
      <c r="D46" s="326">
        <v>0</v>
      </c>
      <c r="E46" s="326">
        <v>0</v>
      </c>
      <c r="F46" s="326">
        <v>0</v>
      </c>
      <c r="G46" s="326">
        <v>0</v>
      </c>
      <c r="H46" s="326">
        <v>0</v>
      </c>
      <c r="I46" s="326">
        <v>0</v>
      </c>
      <c r="J46" s="326">
        <v>0</v>
      </c>
      <c r="K46" s="326">
        <v>0</v>
      </c>
      <c r="L46" s="326">
        <v>0</v>
      </c>
      <c r="M46" s="326">
        <v>0</v>
      </c>
      <c r="N46" s="326">
        <v>0</v>
      </c>
      <c r="O46" s="326">
        <v>0</v>
      </c>
      <c r="P46" s="326">
        <v>0</v>
      </c>
      <c r="Q46" s="326">
        <v>0</v>
      </c>
      <c r="R46" s="326">
        <v>0</v>
      </c>
      <c r="S46" s="326">
        <v>0</v>
      </c>
      <c r="T46" s="326">
        <v>0</v>
      </c>
      <c r="U46" s="326">
        <v>0</v>
      </c>
      <c r="V46" s="326">
        <v>0</v>
      </c>
      <c r="W46" s="326">
        <v>0</v>
      </c>
      <c r="X46" s="326">
        <v>0</v>
      </c>
      <c r="Y46" s="359">
        <f t="shared" si="22"/>
        <v>0</v>
      </c>
      <c r="AA46" s="364">
        <f t="shared" si="23"/>
        <v>0</v>
      </c>
    </row>
    <row r="47" spans="1:27">
      <c r="A47" s="324" t="s">
        <v>375</v>
      </c>
      <c r="B47" s="326">
        <v>0</v>
      </c>
      <c r="C47" s="326"/>
      <c r="D47" s="326">
        <v>0</v>
      </c>
      <c r="E47" s="326">
        <v>0</v>
      </c>
      <c r="F47" s="326">
        <v>0</v>
      </c>
      <c r="G47" s="326">
        <v>0</v>
      </c>
      <c r="H47" s="326">
        <v>0</v>
      </c>
      <c r="I47" s="326">
        <v>0</v>
      </c>
      <c r="J47" s="326">
        <v>0</v>
      </c>
      <c r="K47" s="326">
        <v>0</v>
      </c>
      <c r="L47" s="326">
        <v>0</v>
      </c>
      <c r="M47" s="326">
        <v>0</v>
      </c>
      <c r="N47" s="326">
        <v>0</v>
      </c>
      <c r="O47" s="326">
        <v>0</v>
      </c>
      <c r="P47" s="326">
        <v>0</v>
      </c>
      <c r="Q47" s="326">
        <v>0</v>
      </c>
      <c r="R47" s="326">
        <v>0</v>
      </c>
      <c r="S47" s="326">
        <v>0</v>
      </c>
      <c r="T47" s="326">
        <v>0</v>
      </c>
      <c r="U47" s="326">
        <v>0</v>
      </c>
      <c r="V47" s="326">
        <v>0</v>
      </c>
      <c r="W47" s="326">
        <v>0</v>
      </c>
      <c r="X47" s="326">
        <v>0</v>
      </c>
      <c r="Y47" s="359">
        <f t="shared" si="22"/>
        <v>0</v>
      </c>
      <c r="AA47" s="364">
        <f t="shared" si="23"/>
        <v>0</v>
      </c>
    </row>
    <row r="48" spans="1:27">
      <c r="A48" s="324" t="s">
        <v>376</v>
      </c>
      <c r="B48" s="326">
        <v>0</v>
      </c>
      <c r="C48" s="326"/>
      <c r="D48" s="326">
        <v>0</v>
      </c>
      <c r="E48" s="326">
        <v>0</v>
      </c>
      <c r="F48" s="326">
        <v>0</v>
      </c>
      <c r="G48" s="326">
        <v>0</v>
      </c>
      <c r="H48" s="326">
        <v>0</v>
      </c>
      <c r="I48" s="326">
        <v>0</v>
      </c>
      <c r="J48" s="326">
        <v>0</v>
      </c>
      <c r="K48" s="326">
        <v>0</v>
      </c>
      <c r="L48" s="326">
        <v>0</v>
      </c>
      <c r="M48" s="326">
        <v>0</v>
      </c>
      <c r="N48" s="326">
        <v>0</v>
      </c>
      <c r="O48" s="326">
        <v>0</v>
      </c>
      <c r="P48" s="326">
        <v>0</v>
      </c>
      <c r="Q48" s="326">
        <v>0</v>
      </c>
      <c r="R48" s="326">
        <v>0</v>
      </c>
      <c r="S48" s="326">
        <v>0</v>
      </c>
      <c r="T48" s="326">
        <v>0</v>
      </c>
      <c r="U48" s="326">
        <v>0</v>
      </c>
      <c r="V48" s="326">
        <v>0</v>
      </c>
      <c r="W48" s="326">
        <v>0</v>
      </c>
      <c r="X48" s="326">
        <v>0</v>
      </c>
      <c r="Y48" s="359">
        <f t="shared" si="22"/>
        <v>0</v>
      </c>
      <c r="AA48" s="364">
        <f t="shared" si="23"/>
        <v>0</v>
      </c>
    </row>
    <row r="49" spans="1:27">
      <c r="A49" s="324" t="s">
        <v>377</v>
      </c>
      <c r="B49" s="326">
        <v>0</v>
      </c>
      <c r="C49" s="326"/>
      <c r="D49" s="326">
        <v>0</v>
      </c>
      <c r="E49" s="326">
        <v>0</v>
      </c>
      <c r="F49" s="326">
        <v>0</v>
      </c>
      <c r="G49" s="326">
        <v>0</v>
      </c>
      <c r="H49" s="326">
        <v>0</v>
      </c>
      <c r="I49" s="326">
        <v>0</v>
      </c>
      <c r="J49" s="326">
        <v>0</v>
      </c>
      <c r="K49" s="326">
        <v>0</v>
      </c>
      <c r="L49" s="326">
        <v>0</v>
      </c>
      <c r="M49" s="326">
        <v>0</v>
      </c>
      <c r="N49" s="326">
        <v>0</v>
      </c>
      <c r="O49" s="326">
        <v>0</v>
      </c>
      <c r="P49" s="326">
        <v>0</v>
      </c>
      <c r="Q49" s="326">
        <v>0</v>
      </c>
      <c r="R49" s="326">
        <v>0</v>
      </c>
      <c r="S49" s="326">
        <v>0</v>
      </c>
      <c r="T49" s="326">
        <v>0</v>
      </c>
      <c r="U49" s="326">
        <v>0</v>
      </c>
      <c r="V49" s="326">
        <v>0</v>
      </c>
      <c r="W49" s="326">
        <v>0</v>
      </c>
      <c r="X49" s="326">
        <v>0</v>
      </c>
      <c r="Y49" s="359">
        <f t="shared" si="22"/>
        <v>0</v>
      </c>
      <c r="AA49" s="364">
        <f t="shared" si="23"/>
        <v>0</v>
      </c>
    </row>
    <row r="50" spans="1:27">
      <c r="A50" s="324" t="s">
        <v>378</v>
      </c>
      <c r="B50" s="326">
        <v>0</v>
      </c>
      <c r="C50" s="326"/>
      <c r="D50" s="326">
        <v>0</v>
      </c>
      <c r="E50" s="326">
        <v>0</v>
      </c>
      <c r="F50" s="326">
        <v>0</v>
      </c>
      <c r="G50" s="326">
        <v>0</v>
      </c>
      <c r="H50" s="326">
        <v>0</v>
      </c>
      <c r="I50" s="326">
        <v>0</v>
      </c>
      <c r="J50" s="326">
        <v>0</v>
      </c>
      <c r="K50" s="326">
        <v>0</v>
      </c>
      <c r="L50" s="326">
        <v>0</v>
      </c>
      <c r="M50" s="326">
        <v>0</v>
      </c>
      <c r="N50" s="326">
        <v>0</v>
      </c>
      <c r="O50" s="326">
        <v>0</v>
      </c>
      <c r="P50" s="326">
        <v>0</v>
      </c>
      <c r="Q50" s="326">
        <v>0</v>
      </c>
      <c r="R50" s="326">
        <v>0</v>
      </c>
      <c r="S50" s="326">
        <v>0</v>
      </c>
      <c r="T50" s="326">
        <v>0</v>
      </c>
      <c r="U50" s="326">
        <v>0</v>
      </c>
      <c r="V50" s="326">
        <v>0</v>
      </c>
      <c r="W50" s="326">
        <v>0</v>
      </c>
      <c r="X50" s="326">
        <v>0</v>
      </c>
      <c r="Y50" s="359">
        <f t="shared" si="22"/>
        <v>0</v>
      </c>
      <c r="AA50" s="364">
        <f t="shared" si="23"/>
        <v>0</v>
      </c>
    </row>
    <row r="51" spans="1:27">
      <c r="A51" s="324" t="s">
        <v>379</v>
      </c>
      <c r="B51" s="326">
        <v>0</v>
      </c>
      <c r="C51" s="326"/>
      <c r="D51" s="326">
        <v>0</v>
      </c>
      <c r="E51" s="326">
        <v>0</v>
      </c>
      <c r="F51" s="326">
        <v>0</v>
      </c>
      <c r="G51" s="326">
        <v>0</v>
      </c>
      <c r="H51" s="326">
        <v>0</v>
      </c>
      <c r="I51" s="326">
        <v>0</v>
      </c>
      <c r="J51" s="326">
        <v>0</v>
      </c>
      <c r="K51" s="326">
        <v>0</v>
      </c>
      <c r="L51" s="326">
        <v>0</v>
      </c>
      <c r="M51" s="326">
        <v>0</v>
      </c>
      <c r="N51" s="326">
        <v>0</v>
      </c>
      <c r="O51" s="326">
        <v>0</v>
      </c>
      <c r="P51" s="326">
        <v>0</v>
      </c>
      <c r="Q51" s="326">
        <v>0</v>
      </c>
      <c r="R51" s="326">
        <v>0</v>
      </c>
      <c r="S51" s="326">
        <v>0</v>
      </c>
      <c r="T51" s="326">
        <v>0</v>
      </c>
      <c r="U51" s="326">
        <v>0</v>
      </c>
      <c r="V51" s="326">
        <v>0</v>
      </c>
      <c r="W51" s="326">
        <v>0</v>
      </c>
      <c r="X51" s="326">
        <v>0</v>
      </c>
      <c r="Y51" s="359">
        <f t="shared" si="22"/>
        <v>0</v>
      </c>
      <c r="AA51" s="364">
        <f t="shared" si="23"/>
        <v>0</v>
      </c>
    </row>
    <row r="52" spans="1:27">
      <c r="A52" s="324" t="s">
        <v>380</v>
      </c>
      <c r="B52" s="326">
        <v>0</v>
      </c>
      <c r="C52" s="326"/>
      <c r="D52" s="326">
        <v>0</v>
      </c>
      <c r="E52" s="326">
        <v>0</v>
      </c>
      <c r="F52" s="326">
        <v>0</v>
      </c>
      <c r="G52" s="326">
        <v>0</v>
      </c>
      <c r="H52" s="326">
        <v>0</v>
      </c>
      <c r="I52" s="326">
        <v>0</v>
      </c>
      <c r="J52" s="326">
        <v>0</v>
      </c>
      <c r="K52" s="326">
        <v>0</v>
      </c>
      <c r="L52" s="326">
        <v>0</v>
      </c>
      <c r="M52" s="326">
        <v>0</v>
      </c>
      <c r="N52" s="326">
        <v>0</v>
      </c>
      <c r="O52" s="326">
        <v>0</v>
      </c>
      <c r="P52" s="326">
        <v>0</v>
      </c>
      <c r="Q52" s="326">
        <v>0</v>
      </c>
      <c r="R52" s="326">
        <v>0</v>
      </c>
      <c r="S52" s="326">
        <v>0</v>
      </c>
      <c r="T52" s="326">
        <v>0</v>
      </c>
      <c r="U52" s="326">
        <v>0</v>
      </c>
      <c r="V52" s="326">
        <v>0</v>
      </c>
      <c r="W52" s="326">
        <v>0</v>
      </c>
      <c r="X52" s="326">
        <v>0</v>
      </c>
      <c r="Y52" s="359">
        <f t="shared" si="22"/>
        <v>0</v>
      </c>
      <c r="AA52" s="364">
        <f t="shared" si="23"/>
        <v>0</v>
      </c>
    </row>
    <row r="53" spans="1:27">
      <c r="A53" s="324" t="s">
        <v>381</v>
      </c>
      <c r="B53" s="326">
        <v>0</v>
      </c>
      <c r="C53" s="326"/>
      <c r="D53" s="326">
        <v>0</v>
      </c>
      <c r="E53" s="326">
        <v>0</v>
      </c>
      <c r="F53" s="326">
        <v>0</v>
      </c>
      <c r="G53" s="326">
        <v>0</v>
      </c>
      <c r="H53" s="326">
        <v>0</v>
      </c>
      <c r="I53" s="326">
        <v>0</v>
      </c>
      <c r="J53" s="326">
        <v>0</v>
      </c>
      <c r="K53" s="326">
        <v>0</v>
      </c>
      <c r="L53" s="326">
        <v>0</v>
      </c>
      <c r="M53" s="326">
        <v>0</v>
      </c>
      <c r="N53" s="326">
        <v>0</v>
      </c>
      <c r="O53" s="326">
        <v>0</v>
      </c>
      <c r="P53" s="326">
        <v>0</v>
      </c>
      <c r="Q53" s="326">
        <v>0</v>
      </c>
      <c r="R53" s="326">
        <v>0</v>
      </c>
      <c r="S53" s="326">
        <v>0</v>
      </c>
      <c r="T53" s="326">
        <v>0</v>
      </c>
      <c r="U53" s="326">
        <v>0</v>
      </c>
      <c r="V53" s="326">
        <v>0</v>
      </c>
      <c r="W53" s="326">
        <v>0</v>
      </c>
      <c r="X53" s="326">
        <v>0</v>
      </c>
      <c r="Y53" s="359">
        <f t="shared" si="22"/>
        <v>0</v>
      </c>
      <c r="AA53" s="364">
        <f t="shared" si="23"/>
        <v>0</v>
      </c>
    </row>
    <row r="54" spans="1:27">
      <c r="A54" s="324" t="s">
        <v>382</v>
      </c>
      <c r="B54" s="327">
        <f t="shared" ref="B54" si="24">SUM(B43:B53)</f>
        <v>0</v>
      </c>
      <c r="C54" s="327"/>
      <c r="D54" s="327">
        <f t="shared" ref="D54:W54" si="25">SUM(D43:D53)</f>
        <v>0</v>
      </c>
      <c r="E54" s="327">
        <f t="shared" si="25"/>
        <v>0</v>
      </c>
      <c r="F54" s="327">
        <f t="shared" si="25"/>
        <v>0</v>
      </c>
      <c r="G54" s="327">
        <f t="shared" si="25"/>
        <v>0</v>
      </c>
      <c r="H54" s="327">
        <f t="shared" si="25"/>
        <v>0</v>
      </c>
      <c r="I54" s="327">
        <f t="shared" si="25"/>
        <v>0</v>
      </c>
      <c r="J54" s="327">
        <f t="shared" si="25"/>
        <v>0</v>
      </c>
      <c r="K54" s="327">
        <f t="shared" si="25"/>
        <v>0</v>
      </c>
      <c r="L54" s="327">
        <f t="shared" si="25"/>
        <v>0</v>
      </c>
      <c r="M54" s="327">
        <f t="shared" si="25"/>
        <v>0</v>
      </c>
      <c r="N54" s="327">
        <f t="shared" si="25"/>
        <v>0</v>
      </c>
      <c r="O54" s="327">
        <f t="shared" si="25"/>
        <v>0</v>
      </c>
      <c r="P54" s="327">
        <f t="shared" si="25"/>
        <v>0</v>
      </c>
      <c r="Q54" s="327">
        <f t="shared" si="25"/>
        <v>0</v>
      </c>
      <c r="R54" s="327">
        <f t="shared" si="25"/>
        <v>0</v>
      </c>
      <c r="S54" s="327">
        <f t="shared" si="25"/>
        <v>0</v>
      </c>
      <c r="T54" s="327">
        <f t="shared" si="25"/>
        <v>0</v>
      </c>
      <c r="U54" s="327">
        <f t="shared" si="25"/>
        <v>0</v>
      </c>
      <c r="V54" s="327">
        <f t="shared" si="25"/>
        <v>0</v>
      </c>
      <c r="W54" s="327">
        <f t="shared" si="25"/>
        <v>0</v>
      </c>
      <c r="X54" s="327">
        <f t="shared" ref="X54:Y54" si="26">SUM(X43:X53)</f>
        <v>0</v>
      </c>
      <c r="Y54" s="360">
        <f t="shared" si="26"/>
        <v>0</v>
      </c>
      <c r="AA54" s="360">
        <f t="shared" ref="AA54" si="27">SUM(AA43:AA53)</f>
        <v>0</v>
      </c>
    </row>
    <row r="55" spans="1:27">
      <c r="A55" s="324"/>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58"/>
      <c r="AA55" s="358"/>
    </row>
    <row r="56" spans="1:27">
      <c r="A56" s="324" t="s">
        <v>383</v>
      </c>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58"/>
      <c r="AA56" s="358"/>
    </row>
    <row r="57" spans="1:27">
      <c r="A57" s="324" t="s">
        <v>384</v>
      </c>
      <c r="B57" s="326">
        <v>0</v>
      </c>
      <c r="C57" s="326"/>
      <c r="D57" s="326">
        <v>0</v>
      </c>
      <c r="E57" s="326">
        <v>0</v>
      </c>
      <c r="F57" s="326">
        <v>0</v>
      </c>
      <c r="G57" s="326">
        <v>0</v>
      </c>
      <c r="H57" s="326">
        <v>0</v>
      </c>
      <c r="I57" s="326">
        <v>0</v>
      </c>
      <c r="J57" s="326">
        <v>0</v>
      </c>
      <c r="K57" s="326">
        <v>0</v>
      </c>
      <c r="L57" s="326">
        <v>0</v>
      </c>
      <c r="M57" s="326">
        <v>0</v>
      </c>
      <c r="N57" s="326">
        <v>0</v>
      </c>
      <c r="O57" s="326">
        <v>0</v>
      </c>
      <c r="P57" s="326">
        <v>0</v>
      </c>
      <c r="Q57" s="326">
        <v>0</v>
      </c>
      <c r="R57" s="326">
        <v>0</v>
      </c>
      <c r="S57" s="326">
        <v>0</v>
      </c>
      <c r="T57" s="326">
        <v>0</v>
      </c>
      <c r="U57" s="326">
        <v>0</v>
      </c>
      <c r="V57" s="326">
        <v>0</v>
      </c>
      <c r="W57" s="326">
        <v>0</v>
      </c>
      <c r="X57" s="326">
        <v>0</v>
      </c>
      <c r="Y57" s="359">
        <f t="shared" ref="Y57:Y64" si="28">SUM(D57:X57)</f>
        <v>0</v>
      </c>
      <c r="AA57" s="364">
        <f t="shared" ref="AA57:AA64" si="29">B57+Y57</f>
        <v>0</v>
      </c>
    </row>
    <row r="58" spans="1:27">
      <c r="A58" s="324" t="s">
        <v>385</v>
      </c>
      <c r="B58" s="326">
        <v>0</v>
      </c>
      <c r="C58" s="326"/>
      <c r="D58" s="326">
        <v>0</v>
      </c>
      <c r="E58" s="326">
        <v>0</v>
      </c>
      <c r="F58" s="326">
        <v>0</v>
      </c>
      <c r="G58" s="326">
        <v>0</v>
      </c>
      <c r="H58" s="326">
        <v>0</v>
      </c>
      <c r="I58" s="326">
        <v>0</v>
      </c>
      <c r="J58" s="326">
        <v>0</v>
      </c>
      <c r="K58" s="326">
        <v>0</v>
      </c>
      <c r="L58" s="326">
        <v>0</v>
      </c>
      <c r="M58" s="326">
        <v>0</v>
      </c>
      <c r="N58" s="326">
        <v>0</v>
      </c>
      <c r="O58" s="326">
        <v>0</v>
      </c>
      <c r="P58" s="326">
        <v>0</v>
      </c>
      <c r="Q58" s="326">
        <v>0</v>
      </c>
      <c r="R58" s="326">
        <v>0</v>
      </c>
      <c r="S58" s="326">
        <v>0</v>
      </c>
      <c r="T58" s="326">
        <v>0</v>
      </c>
      <c r="U58" s="326">
        <v>0</v>
      </c>
      <c r="V58" s="326">
        <v>0</v>
      </c>
      <c r="W58" s="326">
        <v>0</v>
      </c>
      <c r="X58" s="326">
        <v>0</v>
      </c>
      <c r="Y58" s="359">
        <f t="shared" si="28"/>
        <v>0</v>
      </c>
      <c r="AA58" s="364">
        <f t="shared" si="29"/>
        <v>0</v>
      </c>
    </row>
    <row r="59" spans="1:27">
      <c r="A59" s="324" t="s">
        <v>386</v>
      </c>
      <c r="B59" s="326">
        <v>0</v>
      </c>
      <c r="C59" s="326"/>
      <c r="D59" s="326">
        <v>0</v>
      </c>
      <c r="E59" s="326">
        <v>0</v>
      </c>
      <c r="F59" s="326">
        <v>0</v>
      </c>
      <c r="G59" s="326">
        <v>0</v>
      </c>
      <c r="H59" s="326">
        <v>0</v>
      </c>
      <c r="I59" s="326">
        <v>0</v>
      </c>
      <c r="J59" s="326">
        <v>0</v>
      </c>
      <c r="K59" s="326">
        <v>0</v>
      </c>
      <c r="L59" s="326">
        <v>0</v>
      </c>
      <c r="M59" s="326">
        <v>0</v>
      </c>
      <c r="N59" s="326">
        <v>0</v>
      </c>
      <c r="O59" s="326">
        <v>0</v>
      </c>
      <c r="P59" s="326">
        <v>0</v>
      </c>
      <c r="Q59" s="326">
        <v>0</v>
      </c>
      <c r="R59" s="326">
        <v>0</v>
      </c>
      <c r="S59" s="326">
        <v>0</v>
      </c>
      <c r="T59" s="326">
        <v>0</v>
      </c>
      <c r="U59" s="326">
        <v>0</v>
      </c>
      <c r="V59" s="326">
        <v>0</v>
      </c>
      <c r="W59" s="326">
        <v>0</v>
      </c>
      <c r="X59" s="326">
        <v>0</v>
      </c>
      <c r="Y59" s="359">
        <f t="shared" si="28"/>
        <v>0</v>
      </c>
      <c r="AA59" s="364">
        <f t="shared" si="29"/>
        <v>0</v>
      </c>
    </row>
    <row r="60" spans="1:27">
      <c r="A60" s="324" t="s">
        <v>387</v>
      </c>
      <c r="B60" s="326">
        <v>0</v>
      </c>
      <c r="C60" s="326"/>
      <c r="D60" s="326">
        <v>0</v>
      </c>
      <c r="E60" s="326">
        <v>0</v>
      </c>
      <c r="F60" s="326">
        <v>0</v>
      </c>
      <c r="G60" s="326">
        <v>0</v>
      </c>
      <c r="H60" s="326">
        <v>0</v>
      </c>
      <c r="I60" s="326">
        <v>0</v>
      </c>
      <c r="J60" s="326">
        <v>0</v>
      </c>
      <c r="K60" s="326">
        <v>0</v>
      </c>
      <c r="L60" s="326">
        <v>0</v>
      </c>
      <c r="M60" s="326">
        <v>0</v>
      </c>
      <c r="N60" s="326">
        <v>0</v>
      </c>
      <c r="O60" s="326">
        <v>0</v>
      </c>
      <c r="P60" s="326">
        <v>0</v>
      </c>
      <c r="Q60" s="326">
        <v>0</v>
      </c>
      <c r="R60" s="326">
        <v>0</v>
      </c>
      <c r="S60" s="326">
        <v>0</v>
      </c>
      <c r="T60" s="326">
        <v>0</v>
      </c>
      <c r="U60" s="326">
        <v>0</v>
      </c>
      <c r="V60" s="326">
        <v>0</v>
      </c>
      <c r="W60" s="326">
        <v>0</v>
      </c>
      <c r="X60" s="326">
        <v>0</v>
      </c>
      <c r="Y60" s="359">
        <f t="shared" si="28"/>
        <v>0</v>
      </c>
      <c r="AA60" s="364">
        <f t="shared" si="29"/>
        <v>0</v>
      </c>
    </row>
    <row r="61" spans="1:27">
      <c r="A61" s="324" t="s">
        <v>388</v>
      </c>
      <c r="B61" s="326">
        <v>0</v>
      </c>
      <c r="C61" s="326"/>
      <c r="D61" s="326">
        <v>0</v>
      </c>
      <c r="E61" s="326">
        <v>0</v>
      </c>
      <c r="F61" s="326">
        <v>0</v>
      </c>
      <c r="G61" s="326">
        <v>0</v>
      </c>
      <c r="H61" s="326">
        <v>0</v>
      </c>
      <c r="I61" s="326">
        <v>0</v>
      </c>
      <c r="J61" s="326">
        <v>0</v>
      </c>
      <c r="K61" s="326">
        <v>0</v>
      </c>
      <c r="L61" s="326">
        <v>0</v>
      </c>
      <c r="M61" s="326">
        <v>0</v>
      </c>
      <c r="N61" s="326">
        <v>0</v>
      </c>
      <c r="O61" s="326">
        <v>0</v>
      </c>
      <c r="P61" s="326">
        <v>0</v>
      </c>
      <c r="Q61" s="326">
        <v>0</v>
      </c>
      <c r="R61" s="326">
        <v>0</v>
      </c>
      <c r="S61" s="326">
        <v>0</v>
      </c>
      <c r="T61" s="326">
        <v>0</v>
      </c>
      <c r="U61" s="326">
        <v>0</v>
      </c>
      <c r="V61" s="326">
        <v>0</v>
      </c>
      <c r="W61" s="326">
        <v>0</v>
      </c>
      <c r="X61" s="326">
        <v>0</v>
      </c>
      <c r="Y61" s="359">
        <f t="shared" si="28"/>
        <v>0</v>
      </c>
      <c r="AA61" s="364">
        <f t="shared" si="29"/>
        <v>0</v>
      </c>
    </row>
    <row r="62" spans="1:27">
      <c r="A62" s="324" t="s">
        <v>389</v>
      </c>
      <c r="B62" s="326">
        <v>0</v>
      </c>
      <c r="C62" s="326"/>
      <c r="D62" s="326">
        <v>0</v>
      </c>
      <c r="E62" s="326">
        <v>0</v>
      </c>
      <c r="F62" s="326">
        <v>0</v>
      </c>
      <c r="G62" s="326">
        <v>0</v>
      </c>
      <c r="H62" s="326">
        <v>0</v>
      </c>
      <c r="I62" s="326">
        <v>0</v>
      </c>
      <c r="J62" s="326">
        <v>0</v>
      </c>
      <c r="K62" s="326">
        <v>0</v>
      </c>
      <c r="L62" s="326">
        <v>0</v>
      </c>
      <c r="M62" s="326">
        <v>0</v>
      </c>
      <c r="N62" s="326">
        <v>0</v>
      </c>
      <c r="O62" s="326">
        <v>0</v>
      </c>
      <c r="P62" s="326">
        <v>0</v>
      </c>
      <c r="Q62" s="326">
        <v>0</v>
      </c>
      <c r="R62" s="326">
        <v>0</v>
      </c>
      <c r="S62" s="326">
        <v>0</v>
      </c>
      <c r="T62" s="326">
        <v>0</v>
      </c>
      <c r="U62" s="326">
        <v>0</v>
      </c>
      <c r="V62" s="326">
        <v>0</v>
      </c>
      <c r="W62" s="326">
        <v>0</v>
      </c>
      <c r="X62" s="326">
        <v>0</v>
      </c>
      <c r="Y62" s="359">
        <f t="shared" si="28"/>
        <v>0</v>
      </c>
      <c r="AA62" s="364">
        <f t="shared" si="29"/>
        <v>0</v>
      </c>
    </row>
    <row r="63" spans="1:27">
      <c r="A63" s="324" t="s">
        <v>390</v>
      </c>
      <c r="B63" s="326">
        <v>0</v>
      </c>
      <c r="C63" s="326"/>
      <c r="D63" s="326">
        <v>0</v>
      </c>
      <c r="E63" s="326">
        <v>0</v>
      </c>
      <c r="F63" s="326">
        <v>0</v>
      </c>
      <c r="G63" s="326">
        <v>0</v>
      </c>
      <c r="H63" s="326">
        <v>0</v>
      </c>
      <c r="I63" s="326">
        <v>0</v>
      </c>
      <c r="J63" s="326">
        <v>0</v>
      </c>
      <c r="K63" s="326">
        <v>0</v>
      </c>
      <c r="L63" s="326">
        <v>0</v>
      </c>
      <c r="M63" s="326">
        <v>0</v>
      </c>
      <c r="N63" s="326">
        <v>0</v>
      </c>
      <c r="O63" s="326">
        <v>0</v>
      </c>
      <c r="P63" s="326">
        <v>0</v>
      </c>
      <c r="Q63" s="326">
        <v>0</v>
      </c>
      <c r="R63" s="326">
        <v>0</v>
      </c>
      <c r="S63" s="326">
        <v>0</v>
      </c>
      <c r="T63" s="326">
        <v>0</v>
      </c>
      <c r="U63" s="326">
        <v>0</v>
      </c>
      <c r="V63" s="326">
        <v>0</v>
      </c>
      <c r="W63" s="326">
        <v>0</v>
      </c>
      <c r="X63" s="326">
        <v>0</v>
      </c>
      <c r="Y63" s="359">
        <f t="shared" si="28"/>
        <v>0</v>
      </c>
      <c r="AA63" s="364">
        <f t="shared" si="29"/>
        <v>0</v>
      </c>
    </row>
    <row r="64" spans="1:27">
      <c r="A64" s="324"/>
      <c r="B64" s="322">
        <v>0</v>
      </c>
      <c r="C64" s="322"/>
      <c r="D64" s="322">
        <v>0</v>
      </c>
      <c r="E64" s="322">
        <v>0</v>
      </c>
      <c r="F64" s="322">
        <v>0</v>
      </c>
      <c r="G64" s="322">
        <v>0</v>
      </c>
      <c r="H64" s="322">
        <v>0</v>
      </c>
      <c r="I64" s="322">
        <v>0</v>
      </c>
      <c r="J64" s="322">
        <v>0</v>
      </c>
      <c r="K64" s="322">
        <v>0</v>
      </c>
      <c r="L64" s="322">
        <v>0</v>
      </c>
      <c r="M64" s="322">
        <v>0</v>
      </c>
      <c r="N64" s="322">
        <v>0</v>
      </c>
      <c r="O64" s="322">
        <v>0</v>
      </c>
      <c r="P64" s="322">
        <v>0</v>
      </c>
      <c r="Q64" s="322">
        <v>0</v>
      </c>
      <c r="R64" s="322">
        <v>0</v>
      </c>
      <c r="S64" s="322">
        <v>0</v>
      </c>
      <c r="T64" s="322">
        <v>0</v>
      </c>
      <c r="U64" s="322">
        <v>0</v>
      </c>
      <c r="V64" s="322">
        <v>0</v>
      </c>
      <c r="W64" s="322">
        <v>0</v>
      </c>
      <c r="X64" s="322">
        <v>0</v>
      </c>
      <c r="Y64" s="359">
        <f t="shared" si="28"/>
        <v>0</v>
      </c>
      <c r="AA64" s="358">
        <f t="shared" si="29"/>
        <v>0</v>
      </c>
    </row>
    <row r="65" spans="1:27">
      <c r="A65" s="324" t="s">
        <v>391</v>
      </c>
      <c r="B65" s="327">
        <f>SUM(W65:W65)</f>
        <v>0</v>
      </c>
      <c r="C65" s="327"/>
      <c r="D65" s="327">
        <f t="shared" ref="D65:Y65" si="30">SUM(Y65:Y65)</f>
        <v>0</v>
      </c>
      <c r="E65" s="327">
        <f t="shared" si="30"/>
        <v>0</v>
      </c>
      <c r="F65" s="327">
        <f t="shared" si="30"/>
        <v>0</v>
      </c>
      <c r="G65" s="327">
        <f t="shared" si="30"/>
        <v>0</v>
      </c>
      <c r="H65" s="327">
        <f t="shared" si="30"/>
        <v>0</v>
      </c>
      <c r="I65" s="327">
        <f t="shared" si="30"/>
        <v>0</v>
      </c>
      <c r="J65" s="327">
        <f t="shared" si="30"/>
        <v>0</v>
      </c>
      <c r="K65" s="327">
        <f t="shared" si="30"/>
        <v>0</v>
      </c>
      <c r="L65" s="327">
        <f t="shared" si="30"/>
        <v>0</v>
      </c>
      <c r="M65" s="327">
        <f t="shared" si="30"/>
        <v>0</v>
      </c>
      <c r="N65" s="327">
        <f t="shared" si="30"/>
        <v>0</v>
      </c>
      <c r="O65" s="327">
        <f t="shared" si="30"/>
        <v>0</v>
      </c>
      <c r="P65" s="327">
        <f t="shared" si="30"/>
        <v>0</v>
      </c>
      <c r="Q65" s="327">
        <f t="shared" si="30"/>
        <v>0</v>
      </c>
      <c r="R65" s="327">
        <f t="shared" si="30"/>
        <v>0</v>
      </c>
      <c r="S65" s="327">
        <f t="shared" si="30"/>
        <v>0</v>
      </c>
      <c r="T65" s="327">
        <f t="shared" si="30"/>
        <v>0</v>
      </c>
      <c r="U65" s="327">
        <f t="shared" si="30"/>
        <v>0</v>
      </c>
      <c r="V65" s="327">
        <f t="shared" si="30"/>
        <v>0</v>
      </c>
      <c r="W65" s="327">
        <f t="shared" si="30"/>
        <v>0</v>
      </c>
      <c r="X65" s="327">
        <f t="shared" si="30"/>
        <v>0</v>
      </c>
      <c r="Y65" s="360">
        <f t="shared" si="30"/>
        <v>0</v>
      </c>
      <c r="AA65" s="360">
        <f>SUM(AV65:AV65)</f>
        <v>0</v>
      </c>
    </row>
    <row r="66" spans="1:27">
      <c r="A66" s="324"/>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58"/>
      <c r="AA66" s="358"/>
    </row>
    <row r="67" spans="1:27">
      <c r="A67" s="324" t="s">
        <v>392</v>
      </c>
      <c r="B67" s="327">
        <f>SUM(W67:W67)</f>
        <v>0</v>
      </c>
      <c r="C67" s="327"/>
      <c r="D67" s="327">
        <f t="shared" ref="D67:Y67" si="31">SUM(Y67:Y67)</f>
        <v>0</v>
      </c>
      <c r="E67" s="327">
        <f t="shared" si="31"/>
        <v>0</v>
      </c>
      <c r="F67" s="327">
        <f t="shared" si="31"/>
        <v>0</v>
      </c>
      <c r="G67" s="327">
        <f t="shared" si="31"/>
        <v>0</v>
      </c>
      <c r="H67" s="327">
        <f t="shared" si="31"/>
        <v>0</v>
      </c>
      <c r="I67" s="327">
        <f t="shared" si="31"/>
        <v>0</v>
      </c>
      <c r="J67" s="327">
        <f t="shared" si="31"/>
        <v>0</v>
      </c>
      <c r="K67" s="327">
        <f t="shared" si="31"/>
        <v>0</v>
      </c>
      <c r="L67" s="327">
        <f t="shared" si="31"/>
        <v>0</v>
      </c>
      <c r="M67" s="327">
        <f t="shared" si="31"/>
        <v>0</v>
      </c>
      <c r="N67" s="327">
        <f t="shared" si="31"/>
        <v>0</v>
      </c>
      <c r="O67" s="327">
        <f t="shared" si="31"/>
        <v>0</v>
      </c>
      <c r="P67" s="327">
        <f t="shared" si="31"/>
        <v>0</v>
      </c>
      <c r="Q67" s="327">
        <f t="shared" si="31"/>
        <v>0</v>
      </c>
      <c r="R67" s="327">
        <f t="shared" si="31"/>
        <v>0</v>
      </c>
      <c r="S67" s="327">
        <f t="shared" si="31"/>
        <v>0</v>
      </c>
      <c r="T67" s="327">
        <f t="shared" si="31"/>
        <v>0</v>
      </c>
      <c r="U67" s="327">
        <f t="shared" si="31"/>
        <v>0</v>
      </c>
      <c r="V67" s="327">
        <f t="shared" si="31"/>
        <v>0</v>
      </c>
      <c r="W67" s="327">
        <f t="shared" si="31"/>
        <v>0</v>
      </c>
      <c r="X67" s="327">
        <f t="shared" si="31"/>
        <v>0</v>
      </c>
      <c r="Y67" s="360">
        <f t="shared" si="31"/>
        <v>0</v>
      </c>
      <c r="AA67" s="360">
        <f>SUM(AV67:AV67)</f>
        <v>0</v>
      </c>
    </row>
    <row r="68" spans="1:27">
      <c r="A68" s="324"/>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58"/>
      <c r="AA68" s="358"/>
    </row>
    <row r="69" spans="1:27">
      <c r="A69" s="324"/>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58"/>
      <c r="AA69" s="358"/>
    </row>
    <row r="70" spans="1:27">
      <c r="A70" s="324" t="s">
        <v>393</v>
      </c>
      <c r="B70" s="328"/>
      <c r="C70" s="328"/>
      <c r="D70" s="328">
        <f t="shared" ref="D70:Y70" si="32">(((D40+40184285.3813589)/(D67+766131032.529915))-Weighted_cost_debt-Weighted_cost_pref)/Percent_common-0.0465493863559894</f>
        <v>1.2402700627320989E-4</v>
      </c>
      <c r="E70" s="328">
        <f t="shared" si="32"/>
        <v>3.8831031785868664E-6</v>
      </c>
      <c r="F70" s="328">
        <f t="shared" si="32"/>
        <v>-3.0541240405995707E-6</v>
      </c>
      <c r="G70" s="328">
        <f t="shared" si="32"/>
        <v>1.0102646681210067E-3</v>
      </c>
      <c r="H70" s="328">
        <f t="shared" si="32"/>
        <v>6.0824865868214228E-4</v>
      </c>
      <c r="I70" s="328">
        <f t="shared" si="32"/>
        <v>-7.2648265298935061E-4</v>
      </c>
      <c r="J70" s="328">
        <f t="shared" si="32"/>
        <v>-2.7113781435927908E-4</v>
      </c>
      <c r="K70" s="328">
        <f t="shared" si="32"/>
        <v>1.9588165743239516E-5</v>
      </c>
      <c r="L70" s="328">
        <f t="shared" si="32"/>
        <v>6.2450045135165055E-17</v>
      </c>
      <c r="M70" s="328">
        <f t="shared" si="32"/>
        <v>-4.2225794544596684E-4</v>
      </c>
      <c r="N70" s="328">
        <f t="shared" si="32"/>
        <v>4.6660646633722158E-3</v>
      </c>
      <c r="O70" s="328">
        <f t="shared" si="32"/>
        <v>-3.8555593132712923E-4</v>
      </c>
      <c r="P70" s="328">
        <f t="shared" si="32"/>
        <v>3.9023290757025236E-4</v>
      </c>
      <c r="Q70" s="328">
        <f t="shared" si="32"/>
        <v>3.1003768084451877E-5</v>
      </c>
      <c r="R70" s="328">
        <f t="shared" si="32"/>
        <v>3.5985853913986232E-4</v>
      </c>
      <c r="S70" s="328">
        <f t="shared" si="32"/>
        <v>5.6870000262917303E-4</v>
      </c>
      <c r="T70" s="328">
        <f t="shared" si="32"/>
        <v>2.0902904090208674E-5</v>
      </c>
      <c r="U70" s="328">
        <f t="shared" si="32"/>
        <v>-4.4633785722586472E-4</v>
      </c>
      <c r="V70" s="328">
        <f t="shared" si="32"/>
        <v>2.0265199822720042E-4</v>
      </c>
      <c r="W70" s="328">
        <f t="shared" si="32"/>
        <v>1.9425125596578274E-4</v>
      </c>
      <c r="X70" s="328">
        <f t="shared" si="32"/>
        <v>-1.6124408747748079E-3</v>
      </c>
      <c r="Y70" s="361">
        <f t="shared" si="32"/>
        <v>4.3324104409131065E-3</v>
      </c>
      <c r="AA70" s="361"/>
    </row>
    <row r="71" spans="1:27">
      <c r="A71" s="324" t="s">
        <v>394</v>
      </c>
      <c r="B71" s="322"/>
      <c r="C71" s="322"/>
      <c r="D71" s="322">
        <f t="shared" ref="D71:Y71" si="33">-(D40-(D67*Overall_ROR))/gross_up_factor</f>
        <v>-79863.697642684754</v>
      </c>
      <c r="E71" s="322">
        <f t="shared" si="33"/>
        <v>-2500.414929646121</v>
      </c>
      <c r="F71" s="322">
        <f t="shared" si="33"/>
        <v>1966.6171608634829</v>
      </c>
      <c r="G71" s="322">
        <f t="shared" si="33"/>
        <v>-650531.48034721042</v>
      </c>
      <c r="H71" s="322">
        <f t="shared" si="33"/>
        <v>-391664.5932868488</v>
      </c>
      <c r="I71" s="322">
        <f t="shared" si="33"/>
        <v>467798.04402621766</v>
      </c>
      <c r="J71" s="322">
        <f t="shared" si="33"/>
        <v>174591.55933994593</v>
      </c>
      <c r="K71" s="322">
        <f t="shared" si="33"/>
        <v>-12613.247657064579</v>
      </c>
      <c r="L71" s="322">
        <f t="shared" si="33"/>
        <v>0</v>
      </c>
      <c r="M71" s="322">
        <f t="shared" si="33"/>
        <v>271901.11166640848</v>
      </c>
      <c r="N71" s="322">
        <f t="shared" si="33"/>
        <v>-3004580.9268031544</v>
      </c>
      <c r="O71" s="322">
        <f t="shared" si="33"/>
        <v>248267.88333540843</v>
      </c>
      <c r="P71" s="322">
        <f t="shared" si="33"/>
        <v>-251279.49046658457</v>
      </c>
      <c r="Q71" s="322">
        <f t="shared" si="33"/>
        <v>-19964.003280244462</v>
      </c>
      <c r="R71" s="322">
        <f t="shared" si="33"/>
        <v>-231720.77136738723</v>
      </c>
      <c r="S71" s="322">
        <f t="shared" si="33"/>
        <v>-366198.35005403444</v>
      </c>
      <c r="T71" s="322">
        <f t="shared" si="33"/>
        <v>-13459.836387828049</v>
      </c>
      <c r="U71" s="322">
        <f t="shared" si="33"/>
        <v>287406.69268007868</v>
      </c>
      <c r="V71" s="322">
        <f t="shared" si="33"/>
        <v>-130492.04684869606</v>
      </c>
      <c r="W71" s="322">
        <f t="shared" si="33"/>
        <v>-125082.62546459908</v>
      </c>
      <c r="X71" s="322">
        <f t="shared" si="33"/>
        <v>1038285.8891726356</v>
      </c>
      <c r="Y71" s="358">
        <f t="shared" si="33"/>
        <v>-2789733.6871544234</v>
      </c>
      <c r="AA71" s="358"/>
    </row>
    <row r="72" spans="1:27">
      <c r="A72" s="324"/>
      <c r="B72" s="329"/>
      <c r="C72" s="329"/>
      <c r="D72" s="329"/>
      <c r="E72" s="329"/>
      <c r="F72" s="329"/>
      <c r="G72" s="329"/>
      <c r="H72" s="329"/>
      <c r="I72" s="329"/>
      <c r="J72" s="329"/>
      <c r="K72" s="329"/>
      <c r="L72" s="329"/>
      <c r="M72" s="329"/>
      <c r="N72" s="329"/>
      <c r="O72" s="329"/>
      <c r="P72" s="329"/>
      <c r="Q72" s="329"/>
      <c r="R72" s="329"/>
      <c r="S72" s="329"/>
      <c r="T72" s="329"/>
      <c r="U72" s="329"/>
      <c r="V72" s="329"/>
      <c r="W72" s="329"/>
      <c r="X72" s="329"/>
      <c r="Y72" s="362"/>
      <c r="AA72" s="362"/>
    </row>
    <row r="73" spans="1:27">
      <c r="A73" s="324" t="s">
        <v>395</v>
      </c>
      <c r="B73" s="322"/>
      <c r="C73" s="322"/>
      <c r="D73" s="322"/>
      <c r="E73" s="322"/>
      <c r="F73" s="322"/>
      <c r="G73" s="322"/>
      <c r="H73" s="322"/>
      <c r="I73" s="322"/>
      <c r="J73" s="322"/>
      <c r="K73" s="322"/>
      <c r="L73" s="322"/>
      <c r="M73" s="322"/>
      <c r="N73" s="322"/>
      <c r="O73" s="322"/>
      <c r="P73" s="322"/>
      <c r="Q73" s="322"/>
      <c r="R73" s="322"/>
      <c r="S73" s="322"/>
      <c r="T73" s="322"/>
      <c r="U73" s="322"/>
      <c r="V73" s="322"/>
      <c r="W73" s="322"/>
      <c r="X73" s="322"/>
      <c r="Y73" s="358"/>
      <c r="AA73" s="358"/>
    </row>
    <row r="74" spans="1:27">
      <c r="A74" s="324" t="s">
        <v>451</v>
      </c>
      <c r="B74" s="363">
        <f t="shared" ref="B74:W74" si="34">B16-B29-B30-B31-B32-B37</f>
        <v>-128870624.61367595</v>
      </c>
      <c r="C74" s="322"/>
      <c r="D74" s="322">
        <f t="shared" si="34"/>
        <v>76162.936761149875</v>
      </c>
      <c r="E74" s="322">
        <f t="shared" si="34"/>
        <v>2384.5495485985193</v>
      </c>
      <c r="F74" s="322">
        <f t="shared" si="34"/>
        <v>-1875.4871471939318</v>
      </c>
      <c r="G74" s="322">
        <f t="shared" si="34"/>
        <v>620386.85236558272</v>
      </c>
      <c r="H74" s="322">
        <f t="shared" si="34"/>
        <v>373515.45859484898</v>
      </c>
      <c r="I74" s="322">
        <f t="shared" si="34"/>
        <v>-446121.00235534128</v>
      </c>
      <c r="J74" s="322">
        <f t="shared" si="34"/>
        <v>-166501.2550825318</v>
      </c>
      <c r="K74" s="322">
        <f t="shared" si="34"/>
        <v>12028.769165632602</v>
      </c>
      <c r="L74" s="322">
        <f t="shared" si="34"/>
        <v>0</v>
      </c>
      <c r="M74" s="322">
        <f t="shared" si="34"/>
        <v>-259301.63246118967</v>
      </c>
      <c r="N74" s="322">
        <f t="shared" si="34"/>
        <v>2865353.2690872904</v>
      </c>
      <c r="O74" s="322">
        <f t="shared" si="34"/>
        <v>-236763.53157223531</v>
      </c>
      <c r="P74" s="322">
        <f t="shared" si="34"/>
        <v>239635.5854621944</v>
      </c>
      <c r="Q74" s="322">
        <f t="shared" si="34"/>
        <v>19038.902082089131</v>
      </c>
      <c r="R74" s="322">
        <f t="shared" si="34"/>
        <v>220983.18731571693</v>
      </c>
      <c r="S74" s="322">
        <f t="shared" si="34"/>
        <v>349229.28189460747</v>
      </c>
      <c r="T74" s="322">
        <f t="shared" si="34"/>
        <v>12836.128277056694</v>
      </c>
      <c r="U74" s="322">
        <f t="shared" si="34"/>
        <v>-274088.70870542643</v>
      </c>
      <c r="V74" s="322">
        <f t="shared" si="34"/>
        <v>124445.24615472263</v>
      </c>
      <c r="W74" s="322">
        <f t="shared" si="34"/>
        <v>119286.48903537798</v>
      </c>
      <c r="X74" s="322">
        <f t="shared" ref="X74:Y74" si="35">X16-X29-X30-X31-X32-X37</f>
        <v>-990173.31843128207</v>
      </c>
      <c r="Y74" s="358">
        <f t="shared" si="35"/>
        <v>2660461.7199896676</v>
      </c>
      <c r="AA74" s="363">
        <f t="shared" ref="AA74" si="36">AA16-AA29-AA30-AA31-AA32-AA37</f>
        <v>-126210162.89368626</v>
      </c>
    </row>
    <row r="75" spans="1:27">
      <c r="A75" s="324" t="s">
        <v>397</v>
      </c>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58"/>
      <c r="AA75" s="358"/>
    </row>
    <row r="76" spans="1:27">
      <c r="A76" s="324" t="s">
        <v>398</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59"/>
      <c r="AA76" s="359"/>
    </row>
    <row r="77" spans="1:27">
      <c r="A77" s="324" t="s">
        <v>399</v>
      </c>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59"/>
      <c r="AA77" s="359"/>
    </row>
    <row r="78" spans="1:27">
      <c r="A78" s="324" t="s">
        <v>400</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59"/>
      <c r="AA78" s="359"/>
    </row>
    <row r="79" spans="1:27">
      <c r="A79" s="324" t="s">
        <v>401</v>
      </c>
      <c r="B79" s="322"/>
      <c r="C79" s="325"/>
      <c r="D79" s="322"/>
      <c r="E79" s="322"/>
      <c r="F79" s="322"/>
      <c r="G79" s="322"/>
      <c r="H79" s="322"/>
      <c r="I79" s="322"/>
      <c r="J79" s="322"/>
      <c r="K79" s="322"/>
      <c r="L79" s="322"/>
      <c r="M79" s="322"/>
      <c r="N79" s="322"/>
      <c r="O79" s="322"/>
      <c r="P79" s="322"/>
      <c r="Q79" s="322"/>
      <c r="R79" s="322"/>
      <c r="S79" s="322"/>
      <c r="T79" s="322"/>
      <c r="U79" s="322"/>
      <c r="V79" s="322"/>
      <c r="W79" s="322"/>
      <c r="X79" s="322"/>
      <c r="Y79" s="358"/>
      <c r="AA79" s="358"/>
    </row>
    <row r="80" spans="1:27">
      <c r="A80" s="324" t="s">
        <v>402</v>
      </c>
      <c r="B80" s="322">
        <f t="shared" ref="B80:W80" si="37">B74-B76-B77+B78-B79</f>
        <v>-128870624.61367595</v>
      </c>
      <c r="C80" s="322"/>
      <c r="D80" s="322">
        <f t="shared" si="37"/>
        <v>76162.936761149875</v>
      </c>
      <c r="E80" s="322">
        <f t="shared" si="37"/>
        <v>2384.5495485985193</v>
      </c>
      <c r="F80" s="322">
        <f t="shared" si="37"/>
        <v>-1875.4871471939318</v>
      </c>
      <c r="G80" s="322">
        <f t="shared" si="37"/>
        <v>620386.85236558272</v>
      </c>
      <c r="H80" s="322">
        <f t="shared" si="37"/>
        <v>373515.45859484898</v>
      </c>
      <c r="I80" s="322">
        <f t="shared" si="37"/>
        <v>-446121.00235534128</v>
      </c>
      <c r="J80" s="322">
        <f t="shared" si="37"/>
        <v>-166501.2550825318</v>
      </c>
      <c r="K80" s="322">
        <f t="shared" si="37"/>
        <v>12028.769165632602</v>
      </c>
      <c r="L80" s="322">
        <f t="shared" si="37"/>
        <v>0</v>
      </c>
      <c r="M80" s="322">
        <f t="shared" si="37"/>
        <v>-259301.63246118967</v>
      </c>
      <c r="N80" s="322">
        <f t="shared" si="37"/>
        <v>2865353.2690872904</v>
      </c>
      <c r="O80" s="322">
        <f t="shared" si="37"/>
        <v>-236763.53157223531</v>
      </c>
      <c r="P80" s="322">
        <f t="shared" si="37"/>
        <v>239635.5854621944</v>
      </c>
      <c r="Q80" s="322">
        <f t="shared" si="37"/>
        <v>19038.902082089131</v>
      </c>
      <c r="R80" s="322">
        <f t="shared" si="37"/>
        <v>220983.18731571693</v>
      </c>
      <c r="S80" s="322">
        <f t="shared" si="37"/>
        <v>349229.28189460747</v>
      </c>
      <c r="T80" s="322">
        <f t="shared" si="37"/>
        <v>12836.128277056694</v>
      </c>
      <c r="U80" s="322">
        <f t="shared" si="37"/>
        <v>-274088.70870542643</v>
      </c>
      <c r="V80" s="322">
        <f t="shared" si="37"/>
        <v>124445.24615472263</v>
      </c>
      <c r="W80" s="322">
        <f t="shared" si="37"/>
        <v>119286.48903537798</v>
      </c>
      <c r="X80" s="322">
        <f t="shared" ref="X80:Y80" si="38">X74-X76-X77+X78-X79</f>
        <v>-990173.31843128207</v>
      </c>
      <c r="Y80" s="358">
        <f t="shared" si="38"/>
        <v>2660461.7199896676</v>
      </c>
      <c r="AA80" s="358">
        <f t="shared" ref="AA80" si="39">AA74-AA76-AA77+AA78-AA79</f>
        <v>-126210162.89368626</v>
      </c>
    </row>
    <row r="81" spans="1:27">
      <c r="A81" s="324"/>
      <c r="B81" s="322"/>
      <c r="C81" s="322"/>
      <c r="D81" s="322"/>
      <c r="E81" s="322"/>
      <c r="F81" s="322"/>
      <c r="G81" s="322"/>
      <c r="H81" s="322"/>
      <c r="I81" s="322"/>
      <c r="J81" s="322"/>
      <c r="K81" s="322"/>
      <c r="L81" s="322"/>
      <c r="M81" s="322"/>
      <c r="N81" s="322"/>
      <c r="O81" s="322"/>
      <c r="P81" s="322"/>
      <c r="Q81" s="322"/>
      <c r="R81" s="322"/>
      <c r="S81" s="322"/>
      <c r="T81" s="322"/>
      <c r="U81" s="322"/>
      <c r="V81" s="322"/>
      <c r="W81" s="322"/>
      <c r="X81" s="322"/>
      <c r="Y81" s="358"/>
      <c r="AA81" s="358"/>
    </row>
    <row r="82" spans="1:27">
      <c r="A82" s="324" t="s">
        <v>403</v>
      </c>
      <c r="B82" s="322">
        <v>0</v>
      </c>
      <c r="C82" s="322"/>
      <c r="D82" s="322">
        <v>0</v>
      </c>
      <c r="E82" s="322">
        <v>0</v>
      </c>
      <c r="F82" s="322">
        <v>0</v>
      </c>
      <c r="G82" s="322">
        <v>0</v>
      </c>
      <c r="H82" s="322">
        <v>0</v>
      </c>
      <c r="I82" s="322">
        <v>0</v>
      </c>
      <c r="J82" s="322">
        <v>0</v>
      </c>
      <c r="K82" s="322">
        <v>0</v>
      </c>
      <c r="L82" s="322">
        <v>0</v>
      </c>
      <c r="M82" s="322">
        <v>0</v>
      </c>
      <c r="N82" s="322">
        <v>0</v>
      </c>
      <c r="O82" s="322">
        <v>0</v>
      </c>
      <c r="P82" s="322">
        <v>0</v>
      </c>
      <c r="Q82" s="322">
        <v>0</v>
      </c>
      <c r="R82" s="322">
        <v>0</v>
      </c>
      <c r="S82" s="322">
        <v>0</v>
      </c>
      <c r="T82" s="322">
        <v>0</v>
      </c>
      <c r="U82" s="322">
        <v>0</v>
      </c>
      <c r="V82" s="322">
        <v>0</v>
      </c>
      <c r="W82" s="322">
        <v>0</v>
      </c>
      <c r="X82" s="322">
        <v>0</v>
      </c>
      <c r="Y82" s="358">
        <v>0</v>
      </c>
      <c r="AA82" s="358">
        <v>0</v>
      </c>
    </row>
    <row r="83" spans="1:27">
      <c r="A83" s="324" t="s">
        <v>404</v>
      </c>
      <c r="B83" s="322">
        <f t="shared" ref="B83" si="40">B80-B82</f>
        <v>-128870624.61367595</v>
      </c>
      <c r="C83" s="322"/>
      <c r="D83" s="322">
        <f t="shared" ref="D83" si="41">D80-D82</f>
        <v>76162.936761149875</v>
      </c>
      <c r="E83" s="322">
        <f t="shared" ref="E83" si="42">E80-E82</f>
        <v>2384.5495485985193</v>
      </c>
      <c r="F83" s="322">
        <f t="shared" ref="F83" si="43">F80-F82</f>
        <v>-1875.4871471939318</v>
      </c>
      <c r="G83" s="322">
        <f t="shared" ref="G83" si="44">G80-G82</f>
        <v>620386.85236558272</v>
      </c>
      <c r="H83" s="322">
        <f t="shared" ref="H83" si="45">H80-H82</f>
        <v>373515.45859484898</v>
      </c>
      <c r="I83" s="322">
        <f t="shared" ref="I83" si="46">I80-I82</f>
        <v>-446121.00235534128</v>
      </c>
      <c r="J83" s="322">
        <f t="shared" ref="J83" si="47">J80-J82</f>
        <v>-166501.2550825318</v>
      </c>
      <c r="K83" s="322">
        <f t="shared" ref="K83" si="48">K80-K82</f>
        <v>12028.769165632602</v>
      </c>
      <c r="L83" s="322">
        <f t="shared" ref="L83" si="49">L80-L82</f>
        <v>0</v>
      </c>
      <c r="M83" s="322">
        <f t="shared" ref="M83" si="50">M80-M82</f>
        <v>-259301.63246118967</v>
      </c>
      <c r="N83" s="322">
        <f t="shared" ref="N83" si="51">N80-N82</f>
        <v>2865353.2690872904</v>
      </c>
      <c r="O83" s="322">
        <f t="shared" ref="O83" si="52">O80-O82</f>
        <v>-236763.53157223531</v>
      </c>
      <c r="P83" s="322">
        <f t="shared" ref="P83" si="53">P80-P82</f>
        <v>239635.5854621944</v>
      </c>
      <c r="Q83" s="322">
        <f t="shared" ref="Q83" si="54">Q80-Q82</f>
        <v>19038.902082089131</v>
      </c>
      <c r="R83" s="322">
        <f t="shared" ref="R83" si="55">R80-R82</f>
        <v>220983.18731571693</v>
      </c>
      <c r="S83" s="322">
        <f t="shared" ref="S83" si="56">S80-S82</f>
        <v>349229.28189460747</v>
      </c>
      <c r="T83" s="322">
        <f t="shared" ref="T83" si="57">T80-T82</f>
        <v>12836.128277056694</v>
      </c>
      <c r="U83" s="322">
        <f t="shared" ref="U83" si="58">U80-U82</f>
        <v>-274088.70870542643</v>
      </c>
      <c r="V83" s="322">
        <f t="shared" ref="V83" si="59">V80-V82</f>
        <v>124445.24615472263</v>
      </c>
      <c r="W83" s="322">
        <f t="shared" ref="W83:Y83" si="60">W80-W82</f>
        <v>119286.48903537798</v>
      </c>
      <c r="X83" s="322">
        <f t="shared" si="60"/>
        <v>-990173.31843128207</v>
      </c>
      <c r="Y83" s="358">
        <f t="shared" si="60"/>
        <v>2660461.7199896676</v>
      </c>
      <c r="AA83" s="358">
        <f t="shared" ref="AA83" si="61">AA80-AA82</f>
        <v>-126210162.89368626</v>
      </c>
    </row>
    <row r="84" spans="1:27">
      <c r="A84" s="324"/>
      <c r="B84" s="322"/>
      <c r="C84" s="322"/>
      <c r="D84" s="322"/>
      <c r="E84" s="322"/>
      <c r="F84" s="322"/>
      <c r="G84" s="322"/>
      <c r="H84" s="322"/>
      <c r="I84" s="322"/>
      <c r="J84" s="322"/>
      <c r="K84" s="322"/>
      <c r="L84" s="322"/>
      <c r="M84" s="322"/>
      <c r="N84" s="322"/>
      <c r="O84" s="322"/>
      <c r="P84" s="322"/>
      <c r="Q84" s="322"/>
      <c r="R84" s="322"/>
      <c r="S84" s="322"/>
      <c r="T84" s="322"/>
      <c r="U84" s="322"/>
      <c r="V84" s="322"/>
      <c r="W84" s="322"/>
      <c r="X84" s="322"/>
      <c r="Y84" s="358"/>
      <c r="AA84" s="358"/>
    </row>
    <row r="85" spans="1:27">
      <c r="A85" s="324" t="s">
        <v>405</v>
      </c>
      <c r="B85" s="322">
        <f t="shared" ref="B85:W85" si="62">B83*0.35</f>
        <v>-45104718.61478658</v>
      </c>
      <c r="C85" s="322"/>
      <c r="D85" s="322">
        <f t="shared" si="62"/>
        <v>26657.027866402455</v>
      </c>
      <c r="E85" s="322">
        <f t="shared" si="62"/>
        <v>834.59234200948174</v>
      </c>
      <c r="F85" s="322">
        <f t="shared" si="62"/>
        <v>-656.42050151787612</v>
      </c>
      <c r="G85" s="322">
        <f t="shared" si="62"/>
        <v>217135.39832795394</v>
      </c>
      <c r="H85" s="322">
        <f t="shared" si="62"/>
        <v>130730.41050819714</v>
      </c>
      <c r="I85" s="322">
        <f t="shared" si="62"/>
        <v>-156142.35082436944</v>
      </c>
      <c r="J85" s="322">
        <f t="shared" si="62"/>
        <v>-58275.43927888613</v>
      </c>
      <c r="K85" s="322">
        <f t="shared" si="62"/>
        <v>4210.0692079714108</v>
      </c>
      <c r="L85" s="322">
        <f t="shared" si="62"/>
        <v>0</v>
      </c>
      <c r="M85" s="322">
        <f t="shared" si="62"/>
        <v>-90755.571361416383</v>
      </c>
      <c r="N85" s="322">
        <f t="shared" si="62"/>
        <v>1002873.6441805515</v>
      </c>
      <c r="O85" s="322">
        <f t="shared" si="62"/>
        <v>-82867.236050282358</v>
      </c>
      <c r="P85" s="322">
        <f t="shared" si="62"/>
        <v>83872.454911768029</v>
      </c>
      <c r="Q85" s="322">
        <f t="shared" si="62"/>
        <v>6663.6157287311953</v>
      </c>
      <c r="R85" s="322">
        <f t="shared" si="62"/>
        <v>77344.115560500926</v>
      </c>
      <c r="S85" s="322">
        <f t="shared" si="62"/>
        <v>122230.24866311261</v>
      </c>
      <c r="T85" s="322">
        <f t="shared" si="62"/>
        <v>4492.6448969698422</v>
      </c>
      <c r="U85" s="322">
        <f t="shared" si="62"/>
        <v>-95931.048046899246</v>
      </c>
      <c r="V85" s="322">
        <f t="shared" si="62"/>
        <v>43555.836154152916</v>
      </c>
      <c r="W85" s="322">
        <f t="shared" si="62"/>
        <v>41750.271162382291</v>
      </c>
      <c r="X85" s="322">
        <f t="shared" ref="X85:Y85" si="63">X83*0.35</f>
        <v>-346560.66145094868</v>
      </c>
      <c r="Y85" s="358">
        <f t="shared" si="63"/>
        <v>931161.60199638363</v>
      </c>
      <c r="AA85" s="358">
        <f t="shared" ref="AA85" si="64">AA83*0.35</f>
        <v>-44173557.012790188</v>
      </c>
    </row>
    <row r="86" spans="1:27">
      <c r="A86" s="324" t="s">
        <v>406</v>
      </c>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58"/>
      <c r="AA86" s="358"/>
    </row>
    <row r="87" spans="1:27" s="319" customFormat="1">
      <c r="A87" s="324" t="s">
        <v>407</v>
      </c>
      <c r="B87" s="322">
        <f t="shared" ref="B87" si="65">B85+B86</f>
        <v>-45104718.61478658</v>
      </c>
      <c r="C87" s="322"/>
      <c r="D87" s="322">
        <f t="shared" ref="D87" si="66">D85+D86</f>
        <v>26657.027866402455</v>
      </c>
      <c r="E87" s="322">
        <f t="shared" ref="E87" si="67">E85+E86</f>
        <v>834.59234200948174</v>
      </c>
      <c r="F87" s="322">
        <f t="shared" ref="F87" si="68">F85+F86</f>
        <v>-656.42050151787612</v>
      </c>
      <c r="G87" s="322">
        <f t="shared" ref="G87" si="69">G85+G86</f>
        <v>217135.39832795394</v>
      </c>
      <c r="H87" s="322">
        <f t="shared" ref="H87" si="70">H85+H86</f>
        <v>130730.41050819714</v>
      </c>
      <c r="I87" s="322">
        <f t="shared" ref="I87" si="71">I85+I86</f>
        <v>-156142.35082436944</v>
      </c>
      <c r="J87" s="322">
        <f t="shared" ref="J87" si="72">J85+J86</f>
        <v>-58275.43927888613</v>
      </c>
      <c r="K87" s="322">
        <f t="shared" ref="K87" si="73">K85+K86</f>
        <v>4210.0692079714108</v>
      </c>
      <c r="L87" s="322">
        <f t="shared" ref="L87" si="74">L85+L86</f>
        <v>0</v>
      </c>
      <c r="M87" s="322">
        <f t="shared" ref="M87" si="75">M85+M86</f>
        <v>-90755.571361416383</v>
      </c>
      <c r="N87" s="322">
        <f t="shared" ref="N87" si="76">N85+N86</f>
        <v>1002873.6441805515</v>
      </c>
      <c r="O87" s="322">
        <f t="shared" ref="O87" si="77">O85+O86</f>
        <v>-82867.236050282358</v>
      </c>
      <c r="P87" s="322">
        <f t="shared" ref="P87" si="78">P85+P86</f>
        <v>83872.454911768029</v>
      </c>
      <c r="Q87" s="322">
        <f t="shared" ref="Q87" si="79">Q85+Q86</f>
        <v>6663.6157287311953</v>
      </c>
      <c r="R87" s="322">
        <f t="shared" ref="R87" si="80">R85+R86</f>
        <v>77344.115560500926</v>
      </c>
      <c r="S87" s="322">
        <f t="shared" ref="S87" si="81">S85+S86</f>
        <v>122230.24866311261</v>
      </c>
      <c r="T87" s="322">
        <f t="shared" ref="T87" si="82">T85+T86</f>
        <v>4492.6448969698422</v>
      </c>
      <c r="U87" s="322">
        <f t="shared" ref="U87" si="83">U85+U86</f>
        <v>-95931.048046899246</v>
      </c>
      <c r="V87" s="322">
        <f t="shared" ref="V87" si="84">V85+V86</f>
        <v>43555.836154152916</v>
      </c>
      <c r="W87" s="322">
        <f t="shared" ref="W87:Y87" si="85">W85+W86</f>
        <v>41750.271162382291</v>
      </c>
      <c r="X87" s="322">
        <f t="shared" si="85"/>
        <v>-346560.66145094868</v>
      </c>
      <c r="Y87" s="358">
        <f t="shared" si="85"/>
        <v>931161.60199638363</v>
      </c>
      <c r="AA87" s="358">
        <f t="shared" ref="AA87" si="86">AA85+AA86</f>
        <v>-44173557.012790188</v>
      </c>
    </row>
    <row r="88" spans="1:27" s="319" customFormat="1">
      <c r="A88" s="324"/>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AA88" s="322"/>
    </row>
    <row r="89" spans="1:27" s="319" customFormat="1">
      <c r="A89" s="324"/>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AA89" s="322"/>
    </row>
    <row r="90" spans="1:27" s="319" customFormat="1">
      <c r="A90" s="330"/>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AA90" s="322"/>
    </row>
    <row r="91" spans="1:27" s="319" customFormat="1">
      <c r="A91" s="324"/>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AA91" s="322"/>
    </row>
    <row r="92" spans="1:27" s="319" customFormat="1">
      <c r="A92" s="324"/>
    </row>
    <row r="93" spans="1:27" s="319" customFormat="1">
      <c r="A93" s="331"/>
    </row>
    <row r="94" spans="1:27" s="319" customFormat="1"/>
  </sheetData>
  <pageMargins left="0.45" right="0.25" top="0.75" bottom="0.5" header="0.4" footer="0.5"/>
  <pageSetup scale="60" fitToWidth="6" orientation="portrait" r:id="rId1"/>
  <headerFooter alignWithMargins="0">
    <oddHeader xml:space="preserve">&amp;L&amp;12PacifiCorp
Washington General Rate Case - December 2009
Summary Rebuttal Net Power Cost Adjustments 
(From Initial Forecast)&amp;R&amp;12Exhibit No.___(RBD-6) - Revised 12/10/10
Page 12.6.&amp;P+4
</oddHeader>
  </headerFooter>
</worksheet>
</file>

<file path=xl/worksheets/sheet8.xml><?xml version="1.0" encoding="utf-8"?>
<worksheet xmlns="http://schemas.openxmlformats.org/spreadsheetml/2006/main" xmlns:r="http://schemas.openxmlformats.org/officeDocument/2006/relationships">
  <sheetPr codeName="Sheet20">
    <tabColor indexed="44"/>
    <pageSetUpPr fitToPage="1"/>
  </sheetPr>
  <dimension ref="A1:ED45"/>
  <sheetViews>
    <sheetView zoomScale="85" zoomScaleNormal="85" workbookViewId="0"/>
  </sheetViews>
  <sheetFormatPr defaultRowHeight="12.75"/>
  <cols>
    <col min="1" max="1" width="29.28515625" style="59" customWidth="1"/>
    <col min="2" max="2" width="9" style="58" bestFit="1" customWidth="1"/>
    <col min="3" max="3" width="8.140625" style="58" bestFit="1" customWidth="1"/>
    <col min="4" max="4" width="9.42578125" style="58" bestFit="1" customWidth="1"/>
    <col min="5" max="5" width="1.85546875" style="70" customWidth="1"/>
    <col min="6" max="6" width="13.85546875" style="58" customWidth="1"/>
    <col min="7" max="7" width="15.42578125" style="58" customWidth="1"/>
    <col min="8" max="8" width="1.85546875" style="70" customWidth="1"/>
    <col min="9" max="10" width="13.85546875" style="58" customWidth="1"/>
    <col min="11" max="11" width="1.85546875" style="70" customWidth="1"/>
    <col min="12" max="13" width="13.85546875" style="58" customWidth="1"/>
    <col min="14" max="14" width="1.85546875" style="70" customWidth="1"/>
    <col min="15" max="16" width="13.85546875" style="58" customWidth="1"/>
    <col min="17" max="17" width="1.85546875" style="70" customWidth="1"/>
    <col min="18" max="19" width="13.85546875" style="58" customWidth="1"/>
    <col min="20" max="20" width="1.85546875" style="70" customWidth="1"/>
    <col min="21" max="22" width="13.85546875" style="58" customWidth="1"/>
    <col min="23" max="23" width="1.85546875" style="70" customWidth="1"/>
    <col min="24" max="25" width="13.85546875" style="58" customWidth="1"/>
    <col min="26" max="26" width="1.85546875" style="70" customWidth="1"/>
    <col min="27" max="28" width="13.85546875" style="58" customWidth="1"/>
    <col min="29" max="29" width="1.85546875" style="70" customWidth="1"/>
    <col min="30" max="31" width="13.85546875" style="58" customWidth="1"/>
    <col min="32" max="32" width="1.85546875" style="70" customWidth="1"/>
    <col min="33" max="34" width="13.85546875" style="58" customWidth="1"/>
    <col min="35" max="35" width="1.85546875" style="70" customWidth="1"/>
    <col min="36" max="37" width="13.85546875" style="58" customWidth="1"/>
    <col min="38" max="38" width="1.85546875" style="70" customWidth="1"/>
    <col min="39" max="40" width="13.85546875" style="58" customWidth="1"/>
    <col min="41" max="41" width="1.85546875" style="70" customWidth="1"/>
    <col min="42" max="43" width="13.85546875" style="58" customWidth="1"/>
    <col min="44" max="44" width="1.85546875" style="70" customWidth="1"/>
    <col min="45" max="46" width="13.85546875" style="58" customWidth="1"/>
    <col min="47" max="47" width="1.85546875" style="70" customWidth="1"/>
    <col min="48" max="49" width="13.85546875" style="58" customWidth="1"/>
    <col min="50" max="50" width="1.85546875" style="70" customWidth="1"/>
    <col min="51" max="52" width="13.85546875" style="58" customWidth="1"/>
    <col min="53" max="53" width="1.85546875" style="70" customWidth="1"/>
    <col min="54" max="55" width="13.85546875" style="58" customWidth="1"/>
    <col min="56" max="56" width="1.85546875" style="70" customWidth="1"/>
    <col min="57" max="58" width="13.85546875" style="58" customWidth="1"/>
    <col min="59" max="59" width="1.85546875" style="70" customWidth="1"/>
    <col min="60" max="61" width="13.85546875" style="58" customWidth="1"/>
    <col min="62" max="62" width="1.85546875" style="70" customWidth="1"/>
    <col min="63" max="64" width="13.85546875" style="58" customWidth="1"/>
    <col min="65" max="65" width="1.85546875" style="70" customWidth="1"/>
    <col min="66" max="67" width="13.85546875" style="58" customWidth="1"/>
    <col min="68" max="68" width="1.85546875" style="70" customWidth="1"/>
    <col min="69" max="70" width="13.85546875" style="58" customWidth="1"/>
    <col min="71" max="71" width="1.85546875" style="70" customWidth="1"/>
    <col min="72" max="73" width="13.85546875" style="58" customWidth="1"/>
    <col min="74" max="74" width="1.85546875" style="70" customWidth="1"/>
    <col min="75" max="76" width="13.85546875" style="58" customWidth="1"/>
    <col min="77" max="77" width="1.85546875" style="70" customWidth="1"/>
    <col min="78" max="79" width="13.85546875" style="58" customWidth="1"/>
    <col min="80" max="80" width="1.85546875" style="70" customWidth="1"/>
    <col min="81" max="82" width="13.85546875" style="58" customWidth="1"/>
    <col min="83" max="83" width="1.85546875" style="70" customWidth="1"/>
    <col min="84" max="85" width="13.85546875" style="58" customWidth="1"/>
    <col min="86" max="86" width="1.85546875" style="70" customWidth="1"/>
    <col min="87" max="88" width="13.85546875" style="58" customWidth="1"/>
    <col min="89" max="89" width="1.85546875" style="70" customWidth="1"/>
    <col min="90" max="91" width="13.85546875" style="58" customWidth="1"/>
    <col min="92" max="92" width="1.85546875" style="70" customWidth="1"/>
    <col min="93" max="94" width="13.85546875" style="58" customWidth="1"/>
    <col min="95" max="95" width="1.85546875" style="70" customWidth="1"/>
    <col min="96" max="97" width="13.85546875" style="58" customWidth="1"/>
    <col min="98" max="98" width="1.85546875" style="70" customWidth="1"/>
    <col min="99" max="100" width="13.85546875" style="58" customWidth="1"/>
    <col min="101" max="101" width="1.85546875" style="70" customWidth="1"/>
    <col min="102" max="103" width="13.85546875" style="58" customWidth="1"/>
    <col min="104" max="104" width="1.85546875" style="70" customWidth="1"/>
    <col min="105" max="106" width="13.85546875" style="58" customWidth="1"/>
    <col min="107" max="107" width="1.85546875" style="70" customWidth="1"/>
    <col min="108" max="109" width="13.85546875" style="58" customWidth="1"/>
    <col min="110" max="110" width="1.85546875" style="70" customWidth="1"/>
    <col min="111" max="112" width="13.85546875" style="58" customWidth="1"/>
    <col min="113" max="113" width="1.85546875" style="70" customWidth="1"/>
    <col min="114" max="115" width="13.85546875" style="58" customWidth="1"/>
    <col min="116" max="116" width="1.85546875" style="70" customWidth="1"/>
    <col min="117" max="118" width="13.85546875" style="58" customWidth="1"/>
    <col min="119" max="119" width="1.85546875" style="70" customWidth="1"/>
    <col min="120" max="121" width="13.85546875" style="58" customWidth="1"/>
    <col min="122" max="122" width="1.85546875" style="70" customWidth="1"/>
    <col min="123" max="124" width="13.85546875" style="58" customWidth="1"/>
    <col min="125" max="125" width="1.85546875" style="70" customWidth="1"/>
    <col min="126" max="127" width="15.28515625" style="58" customWidth="1"/>
    <col min="128" max="128" width="1.85546875" style="70" customWidth="1"/>
    <col min="129" max="129" width="15.140625" style="58" customWidth="1"/>
    <col min="130" max="130" width="14.85546875" style="58" customWidth="1"/>
    <col min="131" max="131" width="1.85546875" style="70" customWidth="1"/>
    <col min="132" max="133" width="9.140625" style="59"/>
    <col min="134" max="134" width="1.85546875" style="70" customWidth="1"/>
    <col min="135" max="16384" width="9.140625" style="59"/>
  </cols>
  <sheetData>
    <row r="1" spans="1:134">
      <c r="A1" s="57" t="s">
        <v>0</v>
      </c>
    </row>
    <row r="2" spans="1:134">
      <c r="A2" s="60" t="s">
        <v>132</v>
      </c>
    </row>
    <row r="3" spans="1:134">
      <c r="A3" s="57" t="s">
        <v>21</v>
      </c>
    </row>
    <row r="4" spans="1:134" s="275" customFormat="1">
      <c r="A4" s="268"/>
      <c r="B4" s="269"/>
      <c r="C4" s="269"/>
      <c r="D4" s="269"/>
      <c r="E4" s="270"/>
      <c r="F4" s="269"/>
      <c r="G4" s="269"/>
      <c r="H4" s="270"/>
      <c r="I4" s="269"/>
      <c r="J4" s="269"/>
      <c r="K4" s="270"/>
      <c r="L4" s="271"/>
      <c r="M4" s="272"/>
      <c r="N4" s="270"/>
      <c r="O4" s="269"/>
      <c r="P4" s="269"/>
      <c r="Q4" s="273"/>
      <c r="R4" s="272"/>
      <c r="S4" s="272"/>
      <c r="T4" s="270"/>
      <c r="U4" s="269"/>
      <c r="V4" s="269"/>
      <c r="W4" s="273"/>
      <c r="X4" s="272"/>
      <c r="Y4" s="272"/>
      <c r="Z4" s="270"/>
      <c r="AA4" s="269"/>
      <c r="AB4" s="269"/>
      <c r="AC4" s="273"/>
      <c r="AD4" s="271"/>
      <c r="AE4" s="271"/>
      <c r="AF4" s="270"/>
      <c r="AG4" s="269"/>
      <c r="AH4" s="269"/>
      <c r="AI4" s="274"/>
      <c r="AJ4" s="271"/>
      <c r="AK4" s="271"/>
      <c r="AL4" s="270"/>
      <c r="AM4" s="269"/>
      <c r="AN4" s="269"/>
      <c r="AO4" s="274"/>
      <c r="AP4" s="271"/>
      <c r="AQ4" s="271"/>
      <c r="AR4" s="270"/>
      <c r="AS4" s="269"/>
      <c r="AT4" s="269"/>
      <c r="AU4" s="274"/>
      <c r="AV4" s="271"/>
      <c r="AW4" s="271"/>
      <c r="AX4" s="270"/>
      <c r="AY4" s="269"/>
      <c r="AZ4" s="269"/>
      <c r="BA4" s="274"/>
      <c r="BB4" s="271"/>
      <c r="BC4" s="271"/>
      <c r="BD4" s="270"/>
      <c r="BE4" s="269"/>
      <c r="BF4" s="269"/>
      <c r="BG4" s="270"/>
      <c r="BH4" s="269"/>
      <c r="BI4" s="269"/>
      <c r="BJ4" s="270"/>
      <c r="BK4" s="269"/>
      <c r="BL4" s="269"/>
      <c r="BM4" s="270"/>
      <c r="BN4" s="269"/>
      <c r="BO4" s="269"/>
      <c r="BP4" s="270"/>
      <c r="BQ4" s="269"/>
      <c r="BR4" s="269"/>
      <c r="BS4" s="270"/>
      <c r="BT4" s="269"/>
      <c r="BU4" s="269"/>
      <c r="BV4" s="270"/>
      <c r="BW4" s="269"/>
      <c r="BX4" s="269"/>
      <c r="BY4" s="270"/>
      <c r="BZ4" s="269"/>
      <c r="CA4" s="269"/>
      <c r="CB4" s="270"/>
      <c r="CC4" s="269"/>
      <c r="CD4" s="269"/>
      <c r="CE4" s="270"/>
      <c r="CF4" s="269"/>
      <c r="CG4" s="269"/>
      <c r="CH4" s="270"/>
      <c r="CI4" s="269"/>
      <c r="CJ4" s="269"/>
      <c r="CK4" s="270"/>
      <c r="CL4" s="269"/>
      <c r="CM4" s="269"/>
      <c r="CN4" s="270"/>
      <c r="CO4" s="269"/>
      <c r="CP4" s="269"/>
      <c r="CQ4" s="270"/>
      <c r="CR4" s="269"/>
      <c r="CS4" s="269"/>
      <c r="CT4" s="270"/>
      <c r="CU4" s="269"/>
      <c r="CV4" s="269"/>
      <c r="CW4" s="270"/>
      <c r="CX4" s="269"/>
      <c r="CY4" s="269"/>
      <c r="CZ4" s="270"/>
      <c r="DA4" s="269"/>
      <c r="DB4" s="269"/>
      <c r="DC4" s="270"/>
      <c r="DD4" s="269"/>
      <c r="DE4" s="269"/>
      <c r="DF4" s="270"/>
      <c r="DG4" s="269"/>
      <c r="DH4" s="269"/>
      <c r="DI4" s="270"/>
      <c r="DJ4" s="269"/>
      <c r="DK4" s="269"/>
      <c r="DL4" s="270"/>
      <c r="DM4" s="269"/>
      <c r="DN4" s="269"/>
      <c r="DO4" s="270"/>
      <c r="DP4" s="269"/>
      <c r="DQ4" s="269"/>
      <c r="DR4" s="270"/>
      <c r="DS4" s="269"/>
      <c r="DT4" s="269"/>
      <c r="DU4" s="270"/>
      <c r="DV4" s="269"/>
      <c r="DW4" s="269"/>
      <c r="DX4" s="270"/>
      <c r="DY4" s="269"/>
      <c r="DZ4" s="269"/>
      <c r="EA4" s="270"/>
      <c r="ED4" s="270"/>
    </row>
    <row r="5" spans="1:134" s="139" customFormat="1" ht="5.25" customHeight="1">
      <c r="A5" s="138"/>
      <c r="B5" s="145"/>
      <c r="C5" s="145"/>
      <c r="D5" s="145"/>
      <c r="E5" s="147"/>
      <c r="F5" s="146"/>
      <c r="G5" s="146"/>
      <c r="H5" s="147"/>
      <c r="I5" s="146"/>
      <c r="J5" s="146"/>
      <c r="K5" s="147"/>
      <c r="L5" s="146"/>
      <c r="M5" s="146"/>
      <c r="N5" s="147"/>
      <c r="O5" s="146"/>
      <c r="P5" s="146"/>
      <c r="Q5" s="147"/>
      <c r="R5" s="146"/>
      <c r="S5" s="146"/>
      <c r="T5" s="147"/>
      <c r="U5" s="146"/>
      <c r="V5" s="146"/>
      <c r="W5" s="147"/>
      <c r="X5" s="146"/>
      <c r="Y5" s="146"/>
      <c r="Z5" s="147"/>
      <c r="AA5" s="146"/>
      <c r="AB5" s="146"/>
      <c r="AC5" s="147"/>
      <c r="AD5" s="146"/>
      <c r="AE5" s="146"/>
      <c r="AF5" s="147"/>
      <c r="AG5" s="146"/>
      <c r="AH5" s="146"/>
      <c r="AI5" s="147"/>
      <c r="AJ5" s="146"/>
      <c r="AK5" s="146"/>
      <c r="AL5" s="147"/>
      <c r="AM5" s="146"/>
      <c r="AN5" s="146"/>
      <c r="AO5" s="147"/>
      <c r="AP5" s="146"/>
      <c r="AQ5" s="146"/>
      <c r="AR5" s="147"/>
      <c r="AS5" s="146"/>
      <c r="AT5" s="146"/>
      <c r="AU5" s="147"/>
      <c r="AV5" s="146"/>
      <c r="AW5" s="146"/>
      <c r="AX5" s="147"/>
      <c r="AY5" s="146"/>
      <c r="AZ5" s="146"/>
      <c r="BA5" s="147"/>
      <c r="BB5" s="146"/>
      <c r="BC5" s="146"/>
      <c r="BD5" s="147"/>
      <c r="BE5" s="146"/>
      <c r="BF5" s="146"/>
      <c r="BG5" s="147"/>
      <c r="BH5" s="146"/>
      <c r="BI5" s="146"/>
      <c r="BJ5" s="147"/>
      <c r="BK5" s="146"/>
      <c r="BL5" s="146"/>
      <c r="BM5" s="147"/>
      <c r="BN5" s="146"/>
      <c r="BO5" s="146"/>
      <c r="BP5" s="147"/>
      <c r="BQ5" s="146"/>
      <c r="BR5" s="146"/>
      <c r="BS5" s="147"/>
      <c r="BT5" s="146"/>
      <c r="BU5" s="146"/>
      <c r="BV5" s="147"/>
      <c r="BW5" s="146"/>
      <c r="BX5" s="146"/>
      <c r="BY5" s="147"/>
      <c r="BZ5" s="146"/>
      <c r="CA5" s="146"/>
      <c r="CB5" s="147"/>
      <c r="CC5" s="146"/>
      <c r="CD5" s="146"/>
      <c r="CE5" s="147"/>
      <c r="CF5" s="146"/>
      <c r="CG5" s="146"/>
      <c r="CH5" s="147"/>
      <c r="CI5" s="146"/>
      <c r="CJ5" s="146"/>
      <c r="CK5" s="147"/>
      <c r="CL5" s="146"/>
      <c r="CM5" s="146"/>
      <c r="CN5" s="147"/>
      <c r="CO5" s="146"/>
      <c r="CP5" s="146"/>
      <c r="CQ5" s="147"/>
      <c r="CR5" s="146"/>
      <c r="CS5" s="146"/>
      <c r="CT5" s="147"/>
      <c r="CU5" s="146"/>
      <c r="CV5" s="146"/>
      <c r="CW5" s="147"/>
      <c r="CX5" s="146"/>
      <c r="CY5" s="146"/>
      <c r="CZ5" s="147"/>
      <c r="DA5" s="146"/>
      <c r="DB5" s="146"/>
      <c r="DC5" s="147"/>
      <c r="DD5" s="146"/>
      <c r="DE5" s="146"/>
      <c r="DF5" s="147"/>
      <c r="DG5" s="146"/>
      <c r="DH5" s="146"/>
      <c r="DI5" s="147"/>
      <c r="DJ5" s="146"/>
      <c r="DK5" s="146"/>
      <c r="DL5" s="147"/>
      <c r="DM5" s="146"/>
      <c r="DN5" s="146"/>
      <c r="DO5" s="147"/>
      <c r="DP5" s="146"/>
      <c r="DQ5" s="146"/>
      <c r="DR5" s="147"/>
      <c r="DS5" s="146"/>
      <c r="DT5" s="146"/>
      <c r="DU5" s="147"/>
      <c r="DV5" s="146"/>
      <c r="DW5" s="146"/>
      <c r="DX5" s="147"/>
      <c r="DY5" s="146"/>
      <c r="DZ5" s="146"/>
      <c r="EA5" s="147"/>
      <c r="ED5" s="147"/>
    </row>
    <row r="6" spans="1:134" s="60" customFormat="1" ht="13.5" thickBot="1">
      <c r="A6" s="57"/>
      <c r="D6" s="62"/>
      <c r="E6" s="111"/>
      <c r="F6" s="143"/>
      <c r="G6" s="143"/>
      <c r="H6" s="144"/>
      <c r="I6" s="143"/>
      <c r="J6" s="143"/>
      <c r="K6" s="144"/>
      <c r="L6" s="222" t="s">
        <v>314</v>
      </c>
      <c r="M6" s="223"/>
      <c r="N6" s="144"/>
      <c r="O6" s="143"/>
      <c r="P6" s="143"/>
      <c r="Q6" s="111"/>
      <c r="R6" s="222" t="s">
        <v>314</v>
      </c>
      <c r="S6" s="223"/>
      <c r="T6" s="144"/>
      <c r="U6" s="143"/>
      <c r="V6" s="143"/>
      <c r="W6" s="111"/>
      <c r="X6" s="222" t="s">
        <v>314</v>
      </c>
      <c r="Y6" s="223"/>
      <c r="Z6" s="111"/>
      <c r="AA6" s="143"/>
      <c r="AB6" s="143"/>
      <c r="AC6" s="111"/>
      <c r="AD6" s="222" t="s">
        <v>337</v>
      </c>
      <c r="AE6" s="223"/>
      <c r="AF6" s="144"/>
      <c r="AG6" s="143"/>
      <c r="AH6" s="143"/>
      <c r="AI6" s="111"/>
      <c r="AJ6" s="222" t="s">
        <v>337</v>
      </c>
      <c r="AK6" s="223"/>
      <c r="AL6" s="144"/>
      <c r="AM6" s="143"/>
      <c r="AN6" s="143"/>
      <c r="AO6" s="111"/>
      <c r="AP6" s="222" t="s">
        <v>337</v>
      </c>
      <c r="AQ6" s="223"/>
      <c r="AR6" s="144"/>
      <c r="AS6" s="143"/>
      <c r="AT6" s="143"/>
      <c r="AU6" s="111"/>
      <c r="AV6" s="222" t="s">
        <v>337</v>
      </c>
      <c r="AW6" s="223"/>
      <c r="AX6" s="144"/>
      <c r="AY6" s="143"/>
      <c r="AZ6" s="143"/>
      <c r="BA6" s="111"/>
      <c r="BB6" s="222" t="s">
        <v>337</v>
      </c>
      <c r="BC6" s="223"/>
      <c r="BD6" s="144"/>
      <c r="BE6" s="143"/>
      <c r="BF6" s="143"/>
      <c r="BG6" s="111"/>
      <c r="BH6" s="222" t="s">
        <v>314</v>
      </c>
      <c r="BI6" s="223"/>
      <c r="BJ6" s="144"/>
      <c r="BK6" s="143"/>
      <c r="BL6" s="143"/>
      <c r="BM6" s="111"/>
      <c r="BN6" s="222" t="s">
        <v>338</v>
      </c>
      <c r="BO6" s="223"/>
      <c r="BP6" s="144"/>
      <c r="BQ6" s="143"/>
      <c r="BR6" s="143"/>
      <c r="BS6" s="111"/>
      <c r="BT6" s="222" t="s">
        <v>338</v>
      </c>
      <c r="BU6" s="223"/>
      <c r="BV6" s="144"/>
      <c r="BW6" s="143"/>
      <c r="BX6" s="143"/>
      <c r="BY6" s="111"/>
      <c r="BZ6" s="222" t="s">
        <v>338</v>
      </c>
      <c r="CA6" s="223"/>
      <c r="CB6" s="144"/>
      <c r="CC6" s="143"/>
      <c r="CD6" s="143"/>
      <c r="CE6" s="111"/>
      <c r="CF6" s="222" t="s">
        <v>338</v>
      </c>
      <c r="CG6" s="223"/>
      <c r="CH6" s="144"/>
      <c r="CI6" s="143"/>
      <c r="CJ6" s="143"/>
      <c r="CK6" s="111"/>
      <c r="CL6" s="222" t="s">
        <v>338</v>
      </c>
      <c r="CM6" s="223"/>
      <c r="CN6" s="144"/>
      <c r="CO6" s="143"/>
      <c r="CP6" s="143"/>
      <c r="CQ6" s="111"/>
      <c r="CR6" s="222" t="s">
        <v>338</v>
      </c>
      <c r="CS6" s="223"/>
      <c r="CT6" s="144"/>
      <c r="CU6" s="143"/>
      <c r="CV6" s="143"/>
      <c r="CW6" s="111"/>
      <c r="CX6" s="222" t="s">
        <v>338</v>
      </c>
      <c r="CY6" s="223"/>
      <c r="CZ6" s="144"/>
      <c r="DA6" s="143"/>
      <c r="DB6" s="143"/>
      <c r="DC6" s="111"/>
      <c r="DD6" s="222" t="s">
        <v>338</v>
      </c>
      <c r="DE6" s="223"/>
      <c r="DF6" s="144"/>
      <c r="DG6" s="143"/>
      <c r="DH6" s="143"/>
      <c r="DI6" s="111"/>
      <c r="DJ6" s="222" t="s">
        <v>338</v>
      </c>
      <c r="DK6" s="223"/>
      <c r="DL6" s="144"/>
      <c r="DM6" s="143"/>
      <c r="DN6" s="143"/>
      <c r="DO6" s="111"/>
      <c r="DP6" s="222" t="s">
        <v>338</v>
      </c>
      <c r="DQ6" s="223"/>
      <c r="DR6" s="144"/>
      <c r="DS6" s="143"/>
      <c r="DT6" s="143"/>
      <c r="DU6" s="111"/>
      <c r="DV6" s="222"/>
      <c r="DW6" s="223"/>
      <c r="DX6" s="111"/>
      <c r="DY6" s="143"/>
      <c r="DZ6" s="143"/>
      <c r="EA6" s="111"/>
      <c r="ED6" s="111"/>
    </row>
    <row r="7" spans="1:134" s="62" customFormat="1">
      <c r="A7" s="61"/>
      <c r="E7" s="111"/>
      <c r="F7" s="199" t="s">
        <v>277</v>
      </c>
      <c r="G7" s="200"/>
      <c r="H7" s="111"/>
      <c r="I7" s="286" t="s">
        <v>315</v>
      </c>
      <c r="J7" s="286"/>
      <c r="K7" s="111"/>
      <c r="L7" s="199" t="s">
        <v>258</v>
      </c>
      <c r="M7" s="200"/>
      <c r="N7" s="111"/>
      <c r="O7" s="286" t="s">
        <v>316</v>
      </c>
      <c r="P7" s="286"/>
      <c r="Q7" s="111"/>
      <c r="R7" s="199" t="s">
        <v>259</v>
      </c>
      <c r="S7" s="200"/>
      <c r="T7" s="111"/>
      <c r="U7" s="286" t="s">
        <v>317</v>
      </c>
      <c r="V7" s="286"/>
      <c r="W7" s="111"/>
      <c r="X7" s="199" t="s">
        <v>260</v>
      </c>
      <c r="Y7" s="200"/>
      <c r="Z7" s="111"/>
      <c r="AA7" s="286" t="s">
        <v>318</v>
      </c>
      <c r="AB7" s="286"/>
      <c r="AC7" s="111"/>
      <c r="AD7" s="199" t="s">
        <v>261</v>
      </c>
      <c r="AE7" s="200"/>
      <c r="AF7" s="111"/>
      <c r="AG7" s="286" t="s">
        <v>319</v>
      </c>
      <c r="AH7" s="286"/>
      <c r="AI7" s="111"/>
      <c r="AJ7" s="199" t="s">
        <v>262</v>
      </c>
      <c r="AK7" s="200"/>
      <c r="AL7" s="111"/>
      <c r="AM7" s="286" t="s">
        <v>320</v>
      </c>
      <c r="AN7" s="286"/>
      <c r="AO7" s="111"/>
      <c r="AP7" s="199" t="s">
        <v>263</v>
      </c>
      <c r="AQ7" s="200"/>
      <c r="AR7" s="111"/>
      <c r="AS7" s="286" t="s">
        <v>321</v>
      </c>
      <c r="AT7" s="286"/>
      <c r="AU7" s="111"/>
      <c r="AV7" s="199" t="s">
        <v>264</v>
      </c>
      <c r="AW7" s="200"/>
      <c r="AX7" s="111"/>
      <c r="AY7" s="286" t="s">
        <v>322</v>
      </c>
      <c r="AZ7" s="286"/>
      <c r="BA7" s="111"/>
      <c r="BB7" s="199" t="s">
        <v>265</v>
      </c>
      <c r="BC7" s="200"/>
      <c r="BD7" s="111"/>
      <c r="BE7" s="286" t="s">
        <v>323</v>
      </c>
      <c r="BF7" s="286"/>
      <c r="BG7" s="111"/>
      <c r="BH7" s="199" t="s">
        <v>266</v>
      </c>
      <c r="BI7" s="200"/>
      <c r="BJ7" s="111"/>
      <c r="BK7" s="286" t="s">
        <v>325</v>
      </c>
      <c r="BL7" s="286"/>
      <c r="BM7" s="111"/>
      <c r="BN7" s="199" t="s">
        <v>267</v>
      </c>
      <c r="BO7" s="200"/>
      <c r="BP7" s="111"/>
      <c r="BQ7" s="286" t="s">
        <v>326</v>
      </c>
      <c r="BR7" s="286"/>
      <c r="BS7" s="111"/>
      <c r="BT7" s="199" t="s">
        <v>268</v>
      </c>
      <c r="BU7" s="200"/>
      <c r="BV7" s="111"/>
      <c r="BW7" s="286" t="s">
        <v>334</v>
      </c>
      <c r="BX7" s="286"/>
      <c r="BY7" s="111"/>
      <c r="BZ7" s="199" t="s">
        <v>269</v>
      </c>
      <c r="CA7" s="200"/>
      <c r="CB7" s="111"/>
      <c r="CC7" s="286" t="s">
        <v>333</v>
      </c>
      <c r="CD7" s="286"/>
      <c r="CE7" s="111"/>
      <c r="CF7" s="199" t="s">
        <v>270</v>
      </c>
      <c r="CG7" s="200"/>
      <c r="CH7" s="111"/>
      <c r="CI7" s="286" t="s">
        <v>332</v>
      </c>
      <c r="CJ7" s="286"/>
      <c r="CK7" s="111"/>
      <c r="CL7" s="199" t="s">
        <v>271</v>
      </c>
      <c r="CM7" s="200"/>
      <c r="CN7" s="111"/>
      <c r="CO7" s="286" t="s">
        <v>331</v>
      </c>
      <c r="CP7" s="286"/>
      <c r="CQ7" s="111"/>
      <c r="CR7" s="199" t="s">
        <v>272</v>
      </c>
      <c r="CS7" s="200"/>
      <c r="CT7" s="111"/>
      <c r="CU7" s="286" t="s">
        <v>330</v>
      </c>
      <c r="CV7" s="286"/>
      <c r="CW7" s="111"/>
      <c r="CX7" s="199" t="s">
        <v>273</v>
      </c>
      <c r="CY7" s="200"/>
      <c r="CZ7" s="111"/>
      <c r="DA7" s="286" t="s">
        <v>329</v>
      </c>
      <c r="DB7" s="286"/>
      <c r="DC7" s="111"/>
      <c r="DD7" s="199" t="s">
        <v>274</v>
      </c>
      <c r="DE7" s="200"/>
      <c r="DF7" s="111"/>
      <c r="DG7" s="286" t="s">
        <v>328</v>
      </c>
      <c r="DH7" s="286"/>
      <c r="DI7" s="111"/>
      <c r="DJ7" s="199" t="s">
        <v>275</v>
      </c>
      <c r="DK7" s="200"/>
      <c r="DL7" s="111"/>
      <c r="DM7" s="286" t="s">
        <v>327</v>
      </c>
      <c r="DN7" s="286"/>
      <c r="DO7" s="111"/>
      <c r="DP7" s="199" t="s">
        <v>276</v>
      </c>
      <c r="DQ7" s="200"/>
      <c r="DR7" s="111"/>
      <c r="DS7" s="286" t="s">
        <v>439</v>
      </c>
      <c r="DT7" s="286"/>
      <c r="DU7" s="111"/>
      <c r="DV7" s="199" t="s">
        <v>335</v>
      </c>
      <c r="DW7" s="200"/>
      <c r="DX7" s="111"/>
      <c r="DY7" s="278" t="s">
        <v>339</v>
      </c>
      <c r="DZ7" s="278"/>
      <c r="EA7" s="111"/>
      <c r="ED7" s="111"/>
    </row>
    <row r="8" spans="1:134" s="62" customFormat="1">
      <c r="A8" s="61"/>
      <c r="E8" s="111"/>
      <c r="F8" s="148" t="s">
        <v>229</v>
      </c>
      <c r="G8" s="115"/>
      <c r="H8" s="111"/>
      <c r="I8" s="287"/>
      <c r="J8" s="287"/>
      <c r="K8" s="111"/>
      <c r="L8" s="148" t="s">
        <v>229</v>
      </c>
      <c r="M8" s="115"/>
      <c r="N8" s="111"/>
      <c r="O8" s="287"/>
      <c r="P8" s="287"/>
      <c r="Q8" s="111"/>
      <c r="R8" s="148" t="s">
        <v>229</v>
      </c>
      <c r="S8" s="115"/>
      <c r="T8" s="111"/>
      <c r="U8" s="287"/>
      <c r="V8" s="287"/>
      <c r="W8" s="111"/>
      <c r="X8" s="148" t="s">
        <v>229</v>
      </c>
      <c r="Y8" s="115"/>
      <c r="Z8" s="111"/>
      <c r="AA8" s="287"/>
      <c r="AB8" s="287"/>
      <c r="AC8" s="111"/>
      <c r="AD8" s="148" t="s">
        <v>229</v>
      </c>
      <c r="AE8" s="115"/>
      <c r="AF8" s="111"/>
      <c r="AG8" s="287"/>
      <c r="AH8" s="287"/>
      <c r="AI8" s="111"/>
      <c r="AJ8" s="148" t="s">
        <v>229</v>
      </c>
      <c r="AK8" s="115"/>
      <c r="AL8" s="111"/>
      <c r="AM8" s="287"/>
      <c r="AN8" s="287"/>
      <c r="AO8" s="111"/>
      <c r="AP8" s="148" t="s">
        <v>229</v>
      </c>
      <c r="AQ8" s="115"/>
      <c r="AR8" s="111"/>
      <c r="AS8" s="287"/>
      <c r="AT8" s="287"/>
      <c r="AU8" s="111"/>
      <c r="AV8" s="148" t="s">
        <v>229</v>
      </c>
      <c r="AW8" s="115"/>
      <c r="AX8" s="111"/>
      <c r="AY8" s="287"/>
      <c r="AZ8" s="287"/>
      <c r="BA8" s="111"/>
      <c r="BB8" s="148" t="s">
        <v>229</v>
      </c>
      <c r="BC8" s="115"/>
      <c r="BD8" s="111"/>
      <c r="BE8" s="286" t="s">
        <v>324</v>
      </c>
      <c r="BF8" s="287"/>
      <c r="BG8" s="111"/>
      <c r="BH8" s="148" t="s">
        <v>229</v>
      </c>
      <c r="BI8" s="115"/>
      <c r="BJ8" s="111"/>
      <c r="BK8" s="286"/>
      <c r="BL8" s="287"/>
      <c r="BM8" s="111"/>
      <c r="BN8" s="148" t="s">
        <v>229</v>
      </c>
      <c r="BO8" s="115"/>
      <c r="BP8" s="111"/>
      <c r="BQ8" s="286"/>
      <c r="BR8" s="287"/>
      <c r="BS8" s="111"/>
      <c r="BT8" s="148" t="s">
        <v>229</v>
      </c>
      <c r="BU8" s="115"/>
      <c r="BV8" s="111"/>
      <c r="BW8" s="286"/>
      <c r="BX8" s="287"/>
      <c r="BY8" s="111"/>
      <c r="BZ8" s="148" t="s">
        <v>229</v>
      </c>
      <c r="CA8" s="115"/>
      <c r="CB8" s="111"/>
      <c r="CC8" s="286"/>
      <c r="CD8" s="287"/>
      <c r="CE8" s="111"/>
      <c r="CF8" s="148" t="s">
        <v>229</v>
      </c>
      <c r="CG8" s="115"/>
      <c r="CH8" s="111"/>
      <c r="CI8" s="286"/>
      <c r="CJ8" s="287"/>
      <c r="CK8" s="111"/>
      <c r="CL8" s="148" t="s">
        <v>229</v>
      </c>
      <c r="CM8" s="115"/>
      <c r="CN8" s="111"/>
      <c r="CO8" s="286"/>
      <c r="CP8" s="287"/>
      <c r="CQ8" s="111"/>
      <c r="CR8" s="148" t="s">
        <v>229</v>
      </c>
      <c r="CS8" s="115"/>
      <c r="CT8" s="111"/>
      <c r="CU8" s="286"/>
      <c r="CV8" s="287"/>
      <c r="CW8" s="111"/>
      <c r="CX8" s="148" t="s">
        <v>229</v>
      </c>
      <c r="CY8" s="115"/>
      <c r="CZ8" s="111"/>
      <c r="DA8" s="286"/>
      <c r="DB8" s="287"/>
      <c r="DC8" s="111"/>
      <c r="DD8" s="148" t="s">
        <v>229</v>
      </c>
      <c r="DE8" s="115"/>
      <c r="DF8" s="111"/>
      <c r="DG8" s="286"/>
      <c r="DH8" s="287"/>
      <c r="DI8" s="111"/>
      <c r="DJ8" s="148" t="s">
        <v>229</v>
      </c>
      <c r="DK8" s="115"/>
      <c r="DL8" s="111"/>
      <c r="DM8" s="286"/>
      <c r="DN8" s="287"/>
      <c r="DO8" s="111"/>
      <c r="DP8" s="148" t="s">
        <v>229</v>
      </c>
      <c r="DQ8" s="115"/>
      <c r="DR8" s="111"/>
      <c r="DS8" s="286" t="s">
        <v>324</v>
      </c>
      <c r="DT8" s="287"/>
      <c r="DU8" s="111"/>
      <c r="DV8" s="148" t="s">
        <v>229</v>
      </c>
      <c r="DW8" s="115"/>
      <c r="DX8" s="111"/>
      <c r="DY8" s="278" t="s">
        <v>340</v>
      </c>
      <c r="DZ8" s="260"/>
      <c r="EA8" s="111"/>
      <c r="ED8" s="111"/>
    </row>
    <row r="9" spans="1:134" s="62" customFormat="1">
      <c r="A9" s="61"/>
      <c r="E9" s="111"/>
      <c r="F9" s="116"/>
      <c r="G9" s="117"/>
      <c r="H9" s="111"/>
      <c r="I9" s="288"/>
      <c r="J9" s="288"/>
      <c r="K9" s="111"/>
      <c r="L9" s="116"/>
      <c r="M9" s="117"/>
      <c r="N9" s="111"/>
      <c r="O9" s="288"/>
      <c r="P9" s="288"/>
      <c r="Q9" s="111"/>
      <c r="R9" s="116"/>
      <c r="S9" s="117"/>
      <c r="T9" s="111"/>
      <c r="U9" s="288"/>
      <c r="V9" s="288"/>
      <c r="W9" s="111"/>
      <c r="X9" s="116"/>
      <c r="Y9" s="117"/>
      <c r="Z9" s="111"/>
      <c r="AA9" s="288"/>
      <c r="AB9" s="288"/>
      <c r="AC9" s="111"/>
      <c r="AD9" s="116"/>
      <c r="AE9" s="117"/>
      <c r="AF9" s="111"/>
      <c r="AG9" s="288"/>
      <c r="AH9" s="288"/>
      <c r="AI9" s="111"/>
      <c r="AJ9" s="116"/>
      <c r="AK9" s="117"/>
      <c r="AL9" s="111"/>
      <c r="AM9" s="288"/>
      <c r="AN9" s="288"/>
      <c r="AO9" s="111"/>
      <c r="AP9" s="116"/>
      <c r="AQ9" s="117"/>
      <c r="AR9" s="111"/>
      <c r="AS9" s="288"/>
      <c r="AT9" s="288"/>
      <c r="AU9" s="111"/>
      <c r="AV9" s="116"/>
      <c r="AW9" s="117"/>
      <c r="AX9" s="111"/>
      <c r="AY9" s="288"/>
      <c r="AZ9" s="288"/>
      <c r="BA9" s="111"/>
      <c r="BB9" s="116"/>
      <c r="BC9" s="117"/>
      <c r="BD9" s="111"/>
      <c r="BE9" s="288"/>
      <c r="BF9" s="288"/>
      <c r="BG9" s="111"/>
      <c r="BH9" s="116"/>
      <c r="BI9" s="117"/>
      <c r="BJ9" s="111"/>
      <c r="BK9" s="288"/>
      <c r="BL9" s="288"/>
      <c r="BM9" s="111"/>
      <c r="BN9" s="116"/>
      <c r="BO9" s="117"/>
      <c r="BP9" s="111"/>
      <c r="BQ9" s="288"/>
      <c r="BR9" s="288"/>
      <c r="BS9" s="111"/>
      <c r="BT9" s="116"/>
      <c r="BU9" s="117"/>
      <c r="BV9" s="111"/>
      <c r="BW9" s="288"/>
      <c r="BX9" s="288"/>
      <c r="BY9" s="111"/>
      <c r="BZ9" s="116"/>
      <c r="CA9" s="117"/>
      <c r="CB9" s="111"/>
      <c r="CC9" s="288"/>
      <c r="CD9" s="288"/>
      <c r="CE9" s="111"/>
      <c r="CF9" s="116"/>
      <c r="CG9" s="117"/>
      <c r="CH9" s="111"/>
      <c r="CI9" s="288"/>
      <c r="CJ9" s="288"/>
      <c r="CK9" s="111"/>
      <c r="CL9" s="116"/>
      <c r="CM9" s="117"/>
      <c r="CN9" s="111"/>
      <c r="CO9" s="288"/>
      <c r="CP9" s="288"/>
      <c r="CQ9" s="111"/>
      <c r="CR9" s="116"/>
      <c r="CS9" s="117"/>
      <c r="CT9" s="111"/>
      <c r="CU9" s="288"/>
      <c r="CV9" s="288"/>
      <c r="CW9" s="111"/>
      <c r="CX9" s="116"/>
      <c r="CY9" s="117"/>
      <c r="CZ9" s="111"/>
      <c r="DA9" s="288"/>
      <c r="DB9" s="288"/>
      <c r="DC9" s="111"/>
      <c r="DD9" s="116"/>
      <c r="DE9" s="117"/>
      <c r="DF9" s="111"/>
      <c r="DG9" s="288"/>
      <c r="DH9" s="288"/>
      <c r="DI9" s="111"/>
      <c r="DJ9" s="116"/>
      <c r="DK9" s="117"/>
      <c r="DL9" s="111"/>
      <c r="DM9" s="288"/>
      <c r="DN9" s="288"/>
      <c r="DO9" s="111"/>
      <c r="DP9" s="116"/>
      <c r="DQ9" s="117"/>
      <c r="DR9" s="111"/>
      <c r="DS9" s="288"/>
      <c r="DT9" s="288"/>
      <c r="DU9" s="111"/>
      <c r="DV9" s="116"/>
      <c r="DW9" s="117"/>
      <c r="DX9" s="111"/>
      <c r="DY9" s="279"/>
      <c r="DZ9" s="279"/>
      <c r="EA9" s="111"/>
      <c r="ED9" s="111"/>
    </row>
    <row r="10" spans="1:134" s="62" customFormat="1">
      <c r="C10" s="62" t="s">
        <v>22</v>
      </c>
      <c r="D10" s="62" t="s">
        <v>15</v>
      </c>
      <c r="E10" s="111"/>
      <c r="F10" s="118"/>
      <c r="G10" s="119"/>
      <c r="H10" s="111"/>
      <c r="I10" s="289"/>
      <c r="J10" s="289"/>
      <c r="K10" s="111"/>
      <c r="L10" s="118"/>
      <c r="M10" s="119"/>
      <c r="N10" s="111"/>
      <c r="O10" s="289"/>
      <c r="P10" s="289"/>
      <c r="Q10" s="111"/>
      <c r="R10" s="118"/>
      <c r="S10" s="119"/>
      <c r="T10" s="111"/>
      <c r="U10" s="289"/>
      <c r="V10" s="289"/>
      <c r="W10" s="111"/>
      <c r="X10" s="118"/>
      <c r="Y10" s="119"/>
      <c r="Z10" s="111"/>
      <c r="AA10" s="289"/>
      <c r="AB10" s="289"/>
      <c r="AC10" s="111"/>
      <c r="AD10" s="118"/>
      <c r="AE10" s="119"/>
      <c r="AF10" s="111"/>
      <c r="AG10" s="289"/>
      <c r="AH10" s="289"/>
      <c r="AI10" s="111"/>
      <c r="AJ10" s="118"/>
      <c r="AK10" s="119"/>
      <c r="AL10" s="111"/>
      <c r="AM10" s="289"/>
      <c r="AN10" s="289"/>
      <c r="AO10" s="111"/>
      <c r="AP10" s="118"/>
      <c r="AQ10" s="119"/>
      <c r="AR10" s="111"/>
      <c r="AS10" s="289"/>
      <c r="AT10" s="289"/>
      <c r="AU10" s="111"/>
      <c r="AV10" s="118"/>
      <c r="AW10" s="119"/>
      <c r="AX10" s="111"/>
      <c r="AY10" s="289"/>
      <c r="AZ10" s="289"/>
      <c r="BA10" s="111"/>
      <c r="BB10" s="118"/>
      <c r="BC10" s="119"/>
      <c r="BD10" s="111"/>
      <c r="BE10" s="289"/>
      <c r="BF10" s="289"/>
      <c r="BG10" s="111"/>
      <c r="BH10" s="118"/>
      <c r="BI10" s="119"/>
      <c r="BJ10" s="111"/>
      <c r="BK10" s="289"/>
      <c r="BL10" s="289"/>
      <c r="BM10" s="111"/>
      <c r="BN10" s="118"/>
      <c r="BO10" s="119"/>
      <c r="BP10" s="111"/>
      <c r="BQ10" s="289"/>
      <c r="BR10" s="289"/>
      <c r="BS10" s="111"/>
      <c r="BT10" s="118"/>
      <c r="BU10" s="119"/>
      <c r="BV10" s="111"/>
      <c r="BW10" s="289"/>
      <c r="BX10" s="289"/>
      <c r="BY10" s="111"/>
      <c r="BZ10" s="118"/>
      <c r="CA10" s="119"/>
      <c r="CB10" s="111"/>
      <c r="CC10" s="289"/>
      <c r="CD10" s="289"/>
      <c r="CE10" s="111"/>
      <c r="CF10" s="118"/>
      <c r="CG10" s="119"/>
      <c r="CH10" s="111"/>
      <c r="CI10" s="289"/>
      <c r="CJ10" s="289"/>
      <c r="CK10" s="111"/>
      <c r="CL10" s="118"/>
      <c r="CM10" s="119"/>
      <c r="CN10" s="111"/>
      <c r="CO10" s="289"/>
      <c r="CP10" s="289"/>
      <c r="CQ10" s="111"/>
      <c r="CR10" s="118"/>
      <c r="CS10" s="119"/>
      <c r="CT10" s="111"/>
      <c r="CU10" s="289"/>
      <c r="CV10" s="289"/>
      <c r="CW10" s="111"/>
      <c r="CX10" s="118"/>
      <c r="CY10" s="119"/>
      <c r="CZ10" s="111"/>
      <c r="DA10" s="289"/>
      <c r="DB10" s="289"/>
      <c r="DC10" s="111"/>
      <c r="DD10" s="118"/>
      <c r="DE10" s="119"/>
      <c r="DF10" s="111"/>
      <c r="DG10" s="289"/>
      <c r="DH10" s="289"/>
      <c r="DI10" s="111"/>
      <c r="DJ10" s="118"/>
      <c r="DK10" s="119"/>
      <c r="DL10" s="111"/>
      <c r="DM10" s="289"/>
      <c r="DN10" s="289"/>
      <c r="DO10" s="111"/>
      <c r="DP10" s="118"/>
      <c r="DQ10" s="119"/>
      <c r="DR10" s="111"/>
      <c r="DS10" s="289"/>
      <c r="DT10" s="289"/>
      <c r="DU10" s="111"/>
      <c r="DV10" s="118"/>
      <c r="DW10" s="119"/>
      <c r="DX10" s="111"/>
      <c r="DY10" s="280"/>
      <c r="DZ10" s="280"/>
      <c r="EA10" s="111"/>
      <c r="ED10" s="111"/>
    </row>
    <row r="11" spans="1:134" s="62" customFormat="1">
      <c r="B11" s="62" t="s">
        <v>24</v>
      </c>
      <c r="C11" s="62" t="s">
        <v>230</v>
      </c>
      <c r="D11" s="62" t="s">
        <v>230</v>
      </c>
      <c r="E11" s="111"/>
      <c r="F11" s="116" t="s">
        <v>200</v>
      </c>
      <c r="G11" s="117" t="s">
        <v>23</v>
      </c>
      <c r="H11" s="111"/>
      <c r="I11" s="288" t="s">
        <v>200</v>
      </c>
      <c r="J11" s="288" t="s">
        <v>23</v>
      </c>
      <c r="K11" s="111"/>
      <c r="L11" s="116" t="s">
        <v>200</v>
      </c>
      <c r="M11" s="117" t="s">
        <v>23</v>
      </c>
      <c r="N11" s="111"/>
      <c r="O11" s="288" t="s">
        <v>200</v>
      </c>
      <c r="P11" s="288" t="s">
        <v>23</v>
      </c>
      <c r="Q11" s="111"/>
      <c r="R11" s="116" t="s">
        <v>200</v>
      </c>
      <c r="S11" s="117" t="s">
        <v>23</v>
      </c>
      <c r="T11" s="111"/>
      <c r="U11" s="288" t="s">
        <v>200</v>
      </c>
      <c r="V11" s="288" t="s">
        <v>23</v>
      </c>
      <c r="W11" s="111"/>
      <c r="X11" s="116" t="s">
        <v>200</v>
      </c>
      <c r="Y11" s="117" t="s">
        <v>23</v>
      </c>
      <c r="Z11" s="111"/>
      <c r="AA11" s="288" t="s">
        <v>200</v>
      </c>
      <c r="AB11" s="288" t="s">
        <v>23</v>
      </c>
      <c r="AC11" s="111"/>
      <c r="AD11" s="116" t="s">
        <v>200</v>
      </c>
      <c r="AE11" s="117" t="s">
        <v>23</v>
      </c>
      <c r="AF11" s="111"/>
      <c r="AG11" s="288" t="s">
        <v>200</v>
      </c>
      <c r="AH11" s="288" t="s">
        <v>23</v>
      </c>
      <c r="AI11" s="111"/>
      <c r="AJ11" s="116" t="s">
        <v>200</v>
      </c>
      <c r="AK11" s="117" t="s">
        <v>23</v>
      </c>
      <c r="AL11" s="111"/>
      <c r="AM11" s="288" t="s">
        <v>200</v>
      </c>
      <c r="AN11" s="288" t="s">
        <v>23</v>
      </c>
      <c r="AO11" s="111"/>
      <c r="AP11" s="116" t="s">
        <v>200</v>
      </c>
      <c r="AQ11" s="117" t="s">
        <v>23</v>
      </c>
      <c r="AR11" s="111"/>
      <c r="AS11" s="288" t="s">
        <v>200</v>
      </c>
      <c r="AT11" s="288" t="s">
        <v>23</v>
      </c>
      <c r="AU11" s="111"/>
      <c r="AV11" s="116" t="s">
        <v>200</v>
      </c>
      <c r="AW11" s="117" t="s">
        <v>23</v>
      </c>
      <c r="AX11" s="111"/>
      <c r="AY11" s="288" t="s">
        <v>200</v>
      </c>
      <c r="AZ11" s="288" t="s">
        <v>23</v>
      </c>
      <c r="BA11" s="111"/>
      <c r="BB11" s="116" t="s">
        <v>200</v>
      </c>
      <c r="BC11" s="117" t="s">
        <v>23</v>
      </c>
      <c r="BD11" s="111"/>
      <c r="BE11" s="288" t="s">
        <v>200</v>
      </c>
      <c r="BF11" s="288" t="s">
        <v>23</v>
      </c>
      <c r="BG11" s="111"/>
      <c r="BH11" s="116" t="s">
        <v>200</v>
      </c>
      <c r="BI11" s="117" t="s">
        <v>23</v>
      </c>
      <c r="BJ11" s="111"/>
      <c r="BK11" s="288" t="s">
        <v>200</v>
      </c>
      <c r="BL11" s="288" t="s">
        <v>23</v>
      </c>
      <c r="BM11" s="111"/>
      <c r="BN11" s="116" t="s">
        <v>200</v>
      </c>
      <c r="BO11" s="117" t="s">
        <v>23</v>
      </c>
      <c r="BP11" s="111"/>
      <c r="BQ11" s="288" t="s">
        <v>200</v>
      </c>
      <c r="BR11" s="288" t="s">
        <v>23</v>
      </c>
      <c r="BS11" s="111"/>
      <c r="BT11" s="116" t="s">
        <v>200</v>
      </c>
      <c r="BU11" s="117" t="s">
        <v>23</v>
      </c>
      <c r="BV11" s="111"/>
      <c r="BW11" s="288" t="s">
        <v>200</v>
      </c>
      <c r="BX11" s="288" t="s">
        <v>23</v>
      </c>
      <c r="BY11" s="111"/>
      <c r="BZ11" s="116" t="s">
        <v>200</v>
      </c>
      <c r="CA11" s="117" t="s">
        <v>23</v>
      </c>
      <c r="CB11" s="111"/>
      <c r="CC11" s="288" t="s">
        <v>200</v>
      </c>
      <c r="CD11" s="288" t="s">
        <v>23</v>
      </c>
      <c r="CE11" s="111"/>
      <c r="CF11" s="116" t="s">
        <v>200</v>
      </c>
      <c r="CG11" s="117" t="s">
        <v>23</v>
      </c>
      <c r="CH11" s="111"/>
      <c r="CI11" s="288" t="s">
        <v>200</v>
      </c>
      <c r="CJ11" s="288" t="s">
        <v>23</v>
      </c>
      <c r="CK11" s="111"/>
      <c r="CL11" s="116" t="s">
        <v>200</v>
      </c>
      <c r="CM11" s="117" t="s">
        <v>23</v>
      </c>
      <c r="CN11" s="111"/>
      <c r="CO11" s="288" t="s">
        <v>200</v>
      </c>
      <c r="CP11" s="288" t="s">
        <v>23</v>
      </c>
      <c r="CQ11" s="111"/>
      <c r="CR11" s="116" t="s">
        <v>200</v>
      </c>
      <c r="CS11" s="117" t="s">
        <v>23</v>
      </c>
      <c r="CT11" s="111"/>
      <c r="CU11" s="288" t="s">
        <v>200</v>
      </c>
      <c r="CV11" s="288" t="s">
        <v>23</v>
      </c>
      <c r="CW11" s="111"/>
      <c r="CX11" s="116" t="s">
        <v>200</v>
      </c>
      <c r="CY11" s="117" t="s">
        <v>23</v>
      </c>
      <c r="CZ11" s="111"/>
      <c r="DA11" s="288" t="s">
        <v>200</v>
      </c>
      <c r="DB11" s="288" t="s">
        <v>23</v>
      </c>
      <c r="DC11" s="111"/>
      <c r="DD11" s="116" t="s">
        <v>200</v>
      </c>
      <c r="DE11" s="117" t="s">
        <v>23</v>
      </c>
      <c r="DF11" s="111"/>
      <c r="DG11" s="288" t="s">
        <v>200</v>
      </c>
      <c r="DH11" s="288" t="s">
        <v>23</v>
      </c>
      <c r="DI11" s="111"/>
      <c r="DJ11" s="116" t="s">
        <v>200</v>
      </c>
      <c r="DK11" s="117" t="s">
        <v>23</v>
      </c>
      <c r="DL11" s="111"/>
      <c r="DM11" s="288" t="s">
        <v>200</v>
      </c>
      <c r="DN11" s="288" t="s">
        <v>23</v>
      </c>
      <c r="DO11" s="111"/>
      <c r="DP11" s="116" t="s">
        <v>200</v>
      </c>
      <c r="DQ11" s="117" t="s">
        <v>23</v>
      </c>
      <c r="DR11" s="111"/>
      <c r="DS11" s="288" t="s">
        <v>200</v>
      </c>
      <c r="DT11" s="288" t="s">
        <v>23</v>
      </c>
      <c r="DU11" s="111"/>
      <c r="DV11" s="116" t="s">
        <v>200</v>
      </c>
      <c r="DW11" s="117" t="s">
        <v>23</v>
      </c>
      <c r="DX11" s="111"/>
      <c r="DY11" s="279" t="s">
        <v>200</v>
      </c>
      <c r="DZ11" s="279" t="s">
        <v>23</v>
      </c>
      <c r="EA11" s="111"/>
      <c r="ED11" s="111"/>
    </row>
    <row r="12" spans="1:134" s="62" customFormat="1">
      <c r="A12" s="63" t="s">
        <v>26</v>
      </c>
      <c r="B12" s="63" t="s">
        <v>232</v>
      </c>
      <c r="C12" s="63" t="s">
        <v>27</v>
      </c>
      <c r="D12" s="63" t="s">
        <v>231</v>
      </c>
      <c r="E12" s="137"/>
      <c r="F12" s="120" t="s">
        <v>201</v>
      </c>
      <c r="G12" s="121" t="s">
        <v>25</v>
      </c>
      <c r="H12" s="137"/>
      <c r="I12" s="288" t="s">
        <v>201</v>
      </c>
      <c r="J12" s="288" t="s">
        <v>25</v>
      </c>
      <c r="K12" s="137"/>
      <c r="L12" s="120" t="s">
        <v>201</v>
      </c>
      <c r="M12" s="121" t="s">
        <v>25</v>
      </c>
      <c r="N12" s="137"/>
      <c r="O12" s="288" t="s">
        <v>201</v>
      </c>
      <c r="P12" s="288" t="s">
        <v>25</v>
      </c>
      <c r="Q12" s="137"/>
      <c r="R12" s="120" t="s">
        <v>201</v>
      </c>
      <c r="S12" s="121" t="s">
        <v>25</v>
      </c>
      <c r="T12" s="137"/>
      <c r="U12" s="288" t="s">
        <v>201</v>
      </c>
      <c r="V12" s="288" t="s">
        <v>25</v>
      </c>
      <c r="W12" s="137"/>
      <c r="X12" s="120" t="s">
        <v>201</v>
      </c>
      <c r="Y12" s="121" t="s">
        <v>25</v>
      </c>
      <c r="Z12" s="137"/>
      <c r="AA12" s="288" t="s">
        <v>201</v>
      </c>
      <c r="AB12" s="288" t="s">
        <v>25</v>
      </c>
      <c r="AC12" s="137"/>
      <c r="AD12" s="120" t="s">
        <v>201</v>
      </c>
      <c r="AE12" s="121" t="s">
        <v>25</v>
      </c>
      <c r="AF12" s="137"/>
      <c r="AG12" s="288" t="s">
        <v>201</v>
      </c>
      <c r="AH12" s="288" t="s">
        <v>25</v>
      </c>
      <c r="AI12" s="137"/>
      <c r="AJ12" s="120" t="s">
        <v>201</v>
      </c>
      <c r="AK12" s="121" t="s">
        <v>25</v>
      </c>
      <c r="AL12" s="137"/>
      <c r="AM12" s="288" t="s">
        <v>201</v>
      </c>
      <c r="AN12" s="288" t="s">
        <v>25</v>
      </c>
      <c r="AO12" s="137"/>
      <c r="AP12" s="120" t="s">
        <v>201</v>
      </c>
      <c r="AQ12" s="121" t="s">
        <v>25</v>
      </c>
      <c r="AR12" s="137"/>
      <c r="AS12" s="288" t="s">
        <v>201</v>
      </c>
      <c r="AT12" s="288" t="s">
        <v>25</v>
      </c>
      <c r="AU12" s="137"/>
      <c r="AV12" s="120" t="s">
        <v>201</v>
      </c>
      <c r="AW12" s="121" t="s">
        <v>25</v>
      </c>
      <c r="AX12" s="137"/>
      <c r="AY12" s="288" t="s">
        <v>201</v>
      </c>
      <c r="AZ12" s="288" t="s">
        <v>25</v>
      </c>
      <c r="BA12" s="137"/>
      <c r="BB12" s="120" t="s">
        <v>201</v>
      </c>
      <c r="BC12" s="121" t="s">
        <v>25</v>
      </c>
      <c r="BD12" s="137"/>
      <c r="BE12" s="288" t="s">
        <v>201</v>
      </c>
      <c r="BF12" s="288" t="s">
        <v>25</v>
      </c>
      <c r="BG12" s="137"/>
      <c r="BH12" s="120" t="s">
        <v>201</v>
      </c>
      <c r="BI12" s="121" t="s">
        <v>25</v>
      </c>
      <c r="BJ12" s="137"/>
      <c r="BK12" s="288" t="s">
        <v>201</v>
      </c>
      <c r="BL12" s="288" t="s">
        <v>25</v>
      </c>
      <c r="BM12" s="137"/>
      <c r="BN12" s="120" t="s">
        <v>201</v>
      </c>
      <c r="BO12" s="121" t="s">
        <v>25</v>
      </c>
      <c r="BP12" s="137"/>
      <c r="BQ12" s="288" t="s">
        <v>201</v>
      </c>
      <c r="BR12" s="288" t="s">
        <v>25</v>
      </c>
      <c r="BS12" s="137"/>
      <c r="BT12" s="120" t="s">
        <v>201</v>
      </c>
      <c r="BU12" s="121" t="s">
        <v>25</v>
      </c>
      <c r="BV12" s="137"/>
      <c r="BW12" s="288" t="s">
        <v>201</v>
      </c>
      <c r="BX12" s="288" t="s">
        <v>25</v>
      </c>
      <c r="BY12" s="137"/>
      <c r="BZ12" s="120" t="s">
        <v>201</v>
      </c>
      <c r="CA12" s="121" t="s">
        <v>25</v>
      </c>
      <c r="CB12" s="137"/>
      <c r="CC12" s="288" t="s">
        <v>201</v>
      </c>
      <c r="CD12" s="288" t="s">
        <v>25</v>
      </c>
      <c r="CE12" s="137"/>
      <c r="CF12" s="120" t="s">
        <v>201</v>
      </c>
      <c r="CG12" s="121" t="s">
        <v>25</v>
      </c>
      <c r="CH12" s="137"/>
      <c r="CI12" s="288" t="s">
        <v>201</v>
      </c>
      <c r="CJ12" s="288" t="s">
        <v>25</v>
      </c>
      <c r="CK12" s="137"/>
      <c r="CL12" s="120" t="s">
        <v>201</v>
      </c>
      <c r="CM12" s="121" t="s">
        <v>25</v>
      </c>
      <c r="CN12" s="137"/>
      <c r="CO12" s="288" t="s">
        <v>201</v>
      </c>
      <c r="CP12" s="288" t="s">
        <v>25</v>
      </c>
      <c r="CQ12" s="137"/>
      <c r="CR12" s="120" t="s">
        <v>201</v>
      </c>
      <c r="CS12" s="121" t="s">
        <v>25</v>
      </c>
      <c r="CT12" s="137"/>
      <c r="CU12" s="288" t="s">
        <v>201</v>
      </c>
      <c r="CV12" s="288" t="s">
        <v>25</v>
      </c>
      <c r="CW12" s="137"/>
      <c r="CX12" s="120" t="s">
        <v>201</v>
      </c>
      <c r="CY12" s="121" t="s">
        <v>25</v>
      </c>
      <c r="CZ12" s="137"/>
      <c r="DA12" s="288" t="s">
        <v>201</v>
      </c>
      <c r="DB12" s="288" t="s">
        <v>25</v>
      </c>
      <c r="DC12" s="137"/>
      <c r="DD12" s="120" t="s">
        <v>201</v>
      </c>
      <c r="DE12" s="121" t="s">
        <v>25</v>
      </c>
      <c r="DF12" s="137"/>
      <c r="DG12" s="288" t="s">
        <v>201</v>
      </c>
      <c r="DH12" s="288" t="s">
        <v>25</v>
      </c>
      <c r="DI12" s="137"/>
      <c r="DJ12" s="120" t="s">
        <v>201</v>
      </c>
      <c r="DK12" s="121" t="s">
        <v>25</v>
      </c>
      <c r="DL12" s="137"/>
      <c r="DM12" s="288" t="s">
        <v>201</v>
      </c>
      <c r="DN12" s="288" t="s">
        <v>25</v>
      </c>
      <c r="DO12" s="137"/>
      <c r="DP12" s="120" t="s">
        <v>201</v>
      </c>
      <c r="DQ12" s="121" t="s">
        <v>25</v>
      </c>
      <c r="DR12" s="137"/>
      <c r="DS12" s="288" t="s">
        <v>201</v>
      </c>
      <c r="DT12" s="288" t="s">
        <v>25</v>
      </c>
      <c r="DU12" s="137"/>
      <c r="DV12" s="120" t="s">
        <v>201</v>
      </c>
      <c r="DW12" s="121" t="s">
        <v>25</v>
      </c>
      <c r="DX12" s="137"/>
      <c r="DY12" s="279" t="s">
        <v>201</v>
      </c>
      <c r="DZ12" s="279" t="s">
        <v>25</v>
      </c>
      <c r="EA12" s="137"/>
      <c r="ED12" s="137"/>
    </row>
    <row r="13" spans="1:134">
      <c r="F13" s="122"/>
      <c r="G13" s="123"/>
      <c r="I13" s="290"/>
      <c r="J13" s="290"/>
      <c r="L13" s="122"/>
      <c r="M13" s="123"/>
      <c r="O13" s="290"/>
      <c r="P13" s="290"/>
      <c r="R13" s="122"/>
      <c r="S13" s="123"/>
      <c r="U13" s="290"/>
      <c r="V13" s="290"/>
      <c r="X13" s="122"/>
      <c r="Y13" s="123"/>
      <c r="AA13" s="290"/>
      <c r="AB13" s="290"/>
      <c r="AD13" s="122"/>
      <c r="AE13" s="123"/>
      <c r="AG13" s="290"/>
      <c r="AH13" s="290"/>
      <c r="AJ13" s="122"/>
      <c r="AK13" s="123"/>
      <c r="AM13" s="290"/>
      <c r="AN13" s="290"/>
      <c r="AP13" s="122"/>
      <c r="AQ13" s="123"/>
      <c r="AS13" s="290"/>
      <c r="AT13" s="290"/>
      <c r="AV13" s="122"/>
      <c r="AW13" s="123"/>
      <c r="AY13" s="290"/>
      <c r="AZ13" s="290"/>
      <c r="BB13" s="122"/>
      <c r="BC13" s="123"/>
      <c r="BE13" s="290"/>
      <c r="BF13" s="290"/>
      <c r="BH13" s="122"/>
      <c r="BI13" s="123"/>
      <c r="BK13" s="290"/>
      <c r="BL13" s="290"/>
      <c r="BN13" s="122"/>
      <c r="BO13" s="123"/>
      <c r="BQ13" s="290"/>
      <c r="BR13" s="290"/>
      <c r="BT13" s="122"/>
      <c r="BU13" s="123"/>
      <c r="BW13" s="290"/>
      <c r="BX13" s="290"/>
      <c r="BZ13" s="122"/>
      <c r="CA13" s="123"/>
      <c r="CC13" s="290"/>
      <c r="CD13" s="290"/>
      <c r="CF13" s="122"/>
      <c r="CG13" s="123"/>
      <c r="CI13" s="290"/>
      <c r="CJ13" s="290"/>
      <c r="CL13" s="122"/>
      <c r="CM13" s="123"/>
      <c r="CO13" s="290"/>
      <c r="CP13" s="290"/>
      <c r="CR13" s="122"/>
      <c r="CS13" s="123"/>
      <c r="CU13" s="290"/>
      <c r="CV13" s="290"/>
      <c r="CX13" s="122"/>
      <c r="CY13" s="123"/>
      <c r="DA13" s="290"/>
      <c r="DB13" s="290"/>
      <c r="DD13" s="122"/>
      <c r="DE13" s="123"/>
      <c r="DG13" s="290"/>
      <c r="DH13" s="290"/>
      <c r="DJ13" s="122"/>
      <c r="DK13" s="123"/>
      <c r="DM13" s="290"/>
      <c r="DN13" s="290"/>
      <c r="DP13" s="122"/>
      <c r="DQ13" s="123"/>
      <c r="DS13" s="290"/>
      <c r="DT13" s="290"/>
      <c r="DV13" s="122"/>
      <c r="DW13" s="123"/>
      <c r="DY13" s="281"/>
      <c r="DZ13" s="281"/>
    </row>
    <row r="14" spans="1:134">
      <c r="A14" s="59" t="s">
        <v>9</v>
      </c>
      <c r="F14" s="122"/>
      <c r="G14" s="123"/>
      <c r="I14" s="290"/>
      <c r="J14" s="290"/>
      <c r="L14" s="122"/>
      <c r="M14" s="123"/>
      <c r="O14" s="290"/>
      <c r="P14" s="290"/>
      <c r="R14" s="122"/>
      <c r="S14" s="123"/>
      <c r="U14" s="290"/>
      <c r="V14" s="290"/>
      <c r="X14" s="122"/>
      <c r="Y14" s="123"/>
      <c r="AA14" s="290"/>
      <c r="AB14" s="290"/>
      <c r="AD14" s="122"/>
      <c r="AE14" s="123"/>
      <c r="AG14" s="290"/>
      <c r="AH14" s="290"/>
      <c r="AJ14" s="122"/>
      <c r="AK14" s="123"/>
      <c r="AM14" s="290"/>
      <c r="AN14" s="290"/>
      <c r="AP14" s="122"/>
      <c r="AQ14" s="123"/>
      <c r="AS14" s="290"/>
      <c r="AT14" s="290"/>
      <c r="AV14" s="122"/>
      <c r="AW14" s="123"/>
      <c r="AY14" s="290"/>
      <c r="AZ14" s="290"/>
      <c r="BB14" s="122"/>
      <c r="BC14" s="123"/>
      <c r="BE14" s="290"/>
      <c r="BF14" s="290"/>
      <c r="BH14" s="122"/>
      <c r="BI14" s="123"/>
      <c r="BK14" s="290"/>
      <c r="BL14" s="290"/>
      <c r="BN14" s="122"/>
      <c r="BO14" s="123"/>
      <c r="BQ14" s="290"/>
      <c r="BR14" s="290"/>
      <c r="BT14" s="122"/>
      <c r="BU14" s="123"/>
      <c r="BW14" s="290"/>
      <c r="BX14" s="290"/>
      <c r="BZ14" s="122"/>
      <c r="CA14" s="123"/>
      <c r="CC14" s="290"/>
      <c r="CD14" s="290"/>
      <c r="CF14" s="122"/>
      <c r="CG14" s="123"/>
      <c r="CI14" s="290"/>
      <c r="CJ14" s="290"/>
      <c r="CL14" s="122"/>
      <c r="CM14" s="123"/>
      <c r="CO14" s="290"/>
      <c r="CP14" s="290"/>
      <c r="CR14" s="122"/>
      <c r="CS14" s="123"/>
      <c r="CU14" s="290"/>
      <c r="CV14" s="290"/>
      <c r="CX14" s="122"/>
      <c r="CY14" s="123"/>
      <c r="DA14" s="290"/>
      <c r="DB14" s="290"/>
      <c r="DD14" s="122"/>
      <c r="DE14" s="123"/>
      <c r="DG14" s="290"/>
      <c r="DH14" s="290"/>
      <c r="DJ14" s="122"/>
      <c r="DK14" s="123"/>
      <c r="DM14" s="290"/>
      <c r="DN14" s="290"/>
      <c r="DP14" s="122"/>
      <c r="DQ14" s="123"/>
      <c r="DS14" s="290"/>
      <c r="DT14" s="290"/>
      <c r="DV14" s="122"/>
      <c r="DW14" s="123"/>
      <c r="DY14" s="281"/>
      <c r="DZ14" s="281"/>
    </row>
    <row r="15" spans="1:134">
      <c r="A15" s="64" t="s">
        <v>28</v>
      </c>
      <c r="B15" s="65" t="s">
        <v>166</v>
      </c>
      <c r="C15" s="58" t="s">
        <v>10</v>
      </c>
      <c r="D15" s="66">
        <v>0.220870814871235</v>
      </c>
      <c r="E15" s="71"/>
      <c r="F15" s="124">
        <f>'Pro Forma 3 2012 - Initial Fili'!F10</f>
        <v>13316300</v>
      </c>
      <c r="G15" s="125">
        <f>F15*$D15</f>
        <v>2941182.0320698265</v>
      </c>
      <c r="H15" s="71"/>
      <c r="I15" s="291">
        <f>L15-F15</f>
        <v>0</v>
      </c>
      <c r="J15" s="291">
        <f>I15*$D15</f>
        <v>0</v>
      </c>
      <c r="K15" s="71"/>
      <c r="L15" s="124">
        <f>'PrePost Reb 01'!$F$8</f>
        <v>13316300</v>
      </c>
      <c r="M15" s="125">
        <f>L15*$D15</f>
        <v>2941182.0320698265</v>
      </c>
      <c r="N15" s="71"/>
      <c r="O15" s="291">
        <f>R15-L15</f>
        <v>0</v>
      </c>
      <c r="P15" s="291">
        <f>O15*$D15</f>
        <v>0</v>
      </c>
      <c r="Q15" s="71"/>
      <c r="R15" s="124">
        <f>'PrePost Reb 02'!$F$8</f>
        <v>13316300</v>
      </c>
      <c r="S15" s="125">
        <f>R15*$D15</f>
        <v>2941182.0320698265</v>
      </c>
      <c r="T15" s="71"/>
      <c r="U15" s="291">
        <f>X15-R15</f>
        <v>0</v>
      </c>
      <c r="V15" s="291">
        <f>U15*$D15</f>
        <v>0</v>
      </c>
      <c r="W15" s="71"/>
      <c r="X15" s="124">
        <f>'PrePost Reb 03'!$F$8</f>
        <v>13316300</v>
      </c>
      <c r="Y15" s="125">
        <f>X15*$D15</f>
        <v>2941182.0320698265</v>
      </c>
      <c r="Z15" s="71"/>
      <c r="AA15" s="291">
        <f>AD15-X15</f>
        <v>-40700</v>
      </c>
      <c r="AB15" s="291">
        <f>AA15*$D15</f>
        <v>-8989.4421652592646</v>
      </c>
      <c r="AC15" s="71"/>
      <c r="AD15" s="124">
        <f>'PrePost Reb 04'!$F$8</f>
        <v>13275600</v>
      </c>
      <c r="AE15" s="125">
        <f>AD15*$D15</f>
        <v>2932192.5899045672</v>
      </c>
      <c r="AF15" s="71"/>
      <c r="AG15" s="291">
        <f>AJ15-$X15</f>
        <v>0</v>
      </c>
      <c r="AH15" s="291">
        <f>AG15*$D15</f>
        <v>0</v>
      </c>
      <c r="AI15" s="71"/>
      <c r="AJ15" s="124">
        <f>'PrePost Reb 05'!$F$8</f>
        <v>13316300</v>
      </c>
      <c r="AK15" s="125">
        <f>AJ15*$D15</f>
        <v>2941182.0320698265</v>
      </c>
      <c r="AL15" s="71"/>
      <c r="AM15" s="291">
        <f>AP15-$X15</f>
        <v>0</v>
      </c>
      <c r="AN15" s="291">
        <f>AM15*$D15</f>
        <v>0</v>
      </c>
      <c r="AO15" s="71"/>
      <c r="AP15" s="124">
        <f>'PrePost Reb 06'!$F$8</f>
        <v>13316300</v>
      </c>
      <c r="AQ15" s="125">
        <f>AP15*$D15</f>
        <v>2941182.0320698265</v>
      </c>
      <c r="AR15" s="71"/>
      <c r="AS15" s="291">
        <f>AV15-$X15</f>
        <v>0</v>
      </c>
      <c r="AT15" s="291">
        <f>AS15*$D15</f>
        <v>0</v>
      </c>
      <c r="AU15" s="71"/>
      <c r="AV15" s="124">
        <f>'PrePost Reb 07'!$F$8</f>
        <v>13316300</v>
      </c>
      <c r="AW15" s="125">
        <f>AV15*$D15</f>
        <v>2941182.0320698265</v>
      </c>
      <c r="AX15" s="71"/>
      <c r="AY15" s="291">
        <f>BB15-$X15</f>
        <v>0</v>
      </c>
      <c r="AZ15" s="291">
        <f>AY15*$D15</f>
        <v>0</v>
      </c>
      <c r="BA15" s="71"/>
      <c r="BB15" s="124">
        <f>'PrePost Reb 08'!$F$8</f>
        <v>13316300</v>
      </c>
      <c r="BC15" s="125">
        <f>BB15*$D15</f>
        <v>2941182.0320698265</v>
      </c>
      <c r="BD15" s="71"/>
      <c r="BE15" s="291">
        <f>(BH15-F15)-SUM(I15,O15,U15,AA15,AG15,AM15,AS15,AY15)</f>
        <v>0</v>
      </c>
      <c r="BF15" s="291">
        <f>BE15*$D15</f>
        <v>0</v>
      </c>
      <c r="BG15" s="71"/>
      <c r="BH15" s="124">
        <f>'PrePost Reb 10'!$F$8</f>
        <v>13275600</v>
      </c>
      <c r="BI15" s="125">
        <f>BH15*$D15</f>
        <v>2932192.5899045672</v>
      </c>
      <c r="BJ15" s="71"/>
      <c r="BK15" s="291">
        <f>BN15-$BH15</f>
        <v>51800</v>
      </c>
      <c r="BL15" s="291">
        <f>BK15*$D15</f>
        <v>11441.108210329972</v>
      </c>
      <c r="BM15" s="71"/>
      <c r="BN15" s="124">
        <f>'PrePost Reb 11'!$F$8</f>
        <v>13327400</v>
      </c>
      <c r="BO15" s="125">
        <f>BN15*$D15</f>
        <v>2943633.6981148971</v>
      </c>
      <c r="BP15" s="71"/>
      <c r="BQ15" s="291">
        <f>BT15-$BH15</f>
        <v>0</v>
      </c>
      <c r="BR15" s="291">
        <f>BQ15*$D15</f>
        <v>0</v>
      </c>
      <c r="BS15" s="71"/>
      <c r="BT15" s="124">
        <f>'PrePost Reb 12'!$F$8</f>
        <v>13275600</v>
      </c>
      <c r="BU15" s="125">
        <f>BT15*$D15</f>
        <v>2932192.5899045672</v>
      </c>
      <c r="BV15" s="71"/>
      <c r="BW15" s="291">
        <f>BZ15-$BH15</f>
        <v>0</v>
      </c>
      <c r="BX15" s="291">
        <f>BW15*$D15</f>
        <v>0</v>
      </c>
      <c r="BY15" s="71"/>
      <c r="BZ15" s="124">
        <f>'PrePost Reb 13'!$F$8</f>
        <v>13275600</v>
      </c>
      <c r="CA15" s="125">
        <f>BZ15*$D15</f>
        <v>2932192.5899045672</v>
      </c>
      <c r="CB15" s="71"/>
      <c r="CC15" s="291">
        <f>CF15-$BH15</f>
        <v>-310800</v>
      </c>
      <c r="CD15" s="291">
        <f>CC15*$D15</f>
        <v>-68646.649261979837</v>
      </c>
      <c r="CE15" s="71"/>
      <c r="CF15" s="124">
        <f>'PrePost Reb 14'!$F$8</f>
        <v>12964800</v>
      </c>
      <c r="CG15" s="125">
        <f>CF15*$D15</f>
        <v>2863545.9406425874</v>
      </c>
      <c r="CH15" s="71"/>
      <c r="CI15" s="291">
        <f>CL15-$BH15</f>
        <v>0</v>
      </c>
      <c r="CJ15" s="291">
        <f>CI15*$D15</f>
        <v>0</v>
      </c>
      <c r="CK15" s="71"/>
      <c r="CL15" s="124">
        <f>'PrePost Reb 15'!$F$8</f>
        <v>13275600</v>
      </c>
      <c r="CM15" s="125">
        <f>CL15*$D15</f>
        <v>2932192.5899045672</v>
      </c>
      <c r="CN15" s="71"/>
      <c r="CO15" s="291">
        <f>CR15-$BH15</f>
        <v>0</v>
      </c>
      <c r="CP15" s="291">
        <f>CO15*$D15</f>
        <v>0</v>
      </c>
      <c r="CQ15" s="71"/>
      <c r="CR15" s="124">
        <f>'PrePost Reb 16'!$F$8</f>
        <v>13275600</v>
      </c>
      <c r="CS15" s="125">
        <f>CR15*$D15</f>
        <v>2932192.5899045672</v>
      </c>
      <c r="CT15" s="71"/>
      <c r="CU15" s="291">
        <f>CX15-$BH15</f>
        <v>0</v>
      </c>
      <c r="CV15" s="291">
        <f>CU15*$D15</f>
        <v>0</v>
      </c>
      <c r="CW15" s="71"/>
      <c r="CX15" s="124">
        <f>'PrePost Reb 17'!$F$8</f>
        <v>13275600</v>
      </c>
      <c r="CY15" s="125">
        <f>CX15*$D15</f>
        <v>2932192.5899045672</v>
      </c>
      <c r="CZ15" s="71"/>
      <c r="DA15" s="291">
        <f>DD15-$BH15</f>
        <v>0</v>
      </c>
      <c r="DB15" s="291">
        <f>DA15*$D15</f>
        <v>0</v>
      </c>
      <c r="DC15" s="71"/>
      <c r="DD15" s="124">
        <f>'PrePost Reb 18'!$F$8</f>
        <v>13275600</v>
      </c>
      <c r="DE15" s="125">
        <f>DD15*$D15</f>
        <v>2932192.5899045672</v>
      </c>
      <c r="DF15" s="71"/>
      <c r="DG15" s="291">
        <f>DJ15-$BH15</f>
        <v>0</v>
      </c>
      <c r="DH15" s="291">
        <f>DG15*$D15</f>
        <v>0</v>
      </c>
      <c r="DI15" s="71"/>
      <c r="DJ15" s="124">
        <f>'PrePost Reb 19'!$F$8</f>
        <v>13275600</v>
      </c>
      <c r="DK15" s="125">
        <f>DJ15*$D15</f>
        <v>2932192.5899045672</v>
      </c>
      <c r="DL15" s="71"/>
      <c r="DM15" s="291">
        <f>DP15-$BH15</f>
        <v>0</v>
      </c>
      <c r="DN15" s="291">
        <f>DM15*$D15</f>
        <v>0</v>
      </c>
      <c r="DO15" s="71"/>
      <c r="DP15" s="124">
        <f>'PrePost Reb 20'!$F$8</f>
        <v>13275600</v>
      </c>
      <c r="DQ15" s="125">
        <f>DP15*$D15</f>
        <v>2932192.5899045672</v>
      </c>
      <c r="DR15" s="71"/>
      <c r="DS15" s="291">
        <f>(DV15-BH15)-SUM(BK15,BQ15,BW15,CC15,CI15,CO15,CU15,DA15,DG15,DM15)</f>
        <v>-51800</v>
      </c>
      <c r="DT15" s="291">
        <f>DS15*$D15</f>
        <v>-11441.108210329972</v>
      </c>
      <c r="DU15" s="71"/>
      <c r="DV15" s="124">
        <f>'Proforma 3-2012 (Rebuttal)'!$F$11</f>
        <v>12964800</v>
      </c>
      <c r="DW15" s="125">
        <f>DV15*$D15</f>
        <v>2863545.9406425874</v>
      </c>
      <c r="DX15" s="71"/>
      <c r="DY15" s="282">
        <f>SUM(DS15,DM15,DG15,DA15,CU15,CO15,CI15,CC15,BW15,BQ15,BK15,BE15,AY15,AS15,AM15,AG15,AA15,U15,O15,I15)</f>
        <v>-351500</v>
      </c>
      <c r="DZ15" s="282">
        <f>DY15*$D15</f>
        <v>-77636.091427239109</v>
      </c>
      <c r="EA15" s="71"/>
      <c r="ED15" s="71"/>
    </row>
    <row r="16" spans="1:134">
      <c r="A16" s="64" t="s">
        <v>29</v>
      </c>
      <c r="B16" s="65" t="s">
        <v>166</v>
      </c>
      <c r="C16" s="58" t="s">
        <v>10</v>
      </c>
      <c r="D16" s="66">
        <v>0.220870814871235</v>
      </c>
      <c r="E16" s="71"/>
      <c r="F16" s="124">
        <f>'Pro Forma 3 2012 - Initial Fili'!I18</f>
        <v>163438640.13999999</v>
      </c>
      <c r="G16" s="125">
        <f t="shared" ref="G16:G17" si="0">F16*$D16</f>
        <v>36098825.629168332</v>
      </c>
      <c r="H16" s="71"/>
      <c r="I16" s="291">
        <f t="shared" ref="I16:I17" si="1">L16-F16</f>
        <v>1.0000020265579224E-2</v>
      </c>
      <c r="J16" s="291">
        <f t="shared" ref="J16:J17" si="2">I16*$D16</f>
        <v>2.2087126247873471E-3</v>
      </c>
      <c r="K16" s="71"/>
      <c r="L16" s="124">
        <f>'PrePost Reb 01'!$I$16</f>
        <v>163438640.15000001</v>
      </c>
      <c r="M16" s="125">
        <f t="shared" ref="M16:M17" si="3">L16*$D16</f>
        <v>36098825.631377049</v>
      </c>
      <c r="N16" s="71"/>
      <c r="O16" s="291">
        <f t="shared" ref="O16:O17" si="4">R16-L16</f>
        <v>0</v>
      </c>
      <c r="P16" s="291">
        <f t="shared" ref="P16:P17" si="5">O16*$D16</f>
        <v>0</v>
      </c>
      <c r="Q16" s="71"/>
      <c r="R16" s="124">
        <f>'PrePost Reb 02'!$I$16</f>
        <v>163438640.15000001</v>
      </c>
      <c r="S16" s="125">
        <f t="shared" ref="S16:S17" si="6">R16*$D16</f>
        <v>36098825.631377049</v>
      </c>
      <c r="T16" s="71"/>
      <c r="U16" s="291">
        <f t="shared" ref="U16:U17" si="7">X16-R16</f>
        <v>-7660.1899999976158</v>
      </c>
      <c r="V16" s="291">
        <f t="shared" ref="V16:V17" si="8">U16*$D16</f>
        <v>-1691.9124073679591</v>
      </c>
      <c r="W16" s="71"/>
      <c r="X16" s="124">
        <f>'PrePost Reb 03'!$I$16</f>
        <v>163430979.96000001</v>
      </c>
      <c r="Y16" s="125">
        <f t="shared" ref="Y16:Y17" si="9">X16*$D16</f>
        <v>36097133.71896968</v>
      </c>
      <c r="Z16" s="71"/>
      <c r="AA16" s="291">
        <f t="shared" ref="AA16:AA17" si="10">AD16-X16</f>
        <v>-173443.74000000954</v>
      </c>
      <c r="AB16" s="291">
        <f t="shared" ref="AB16:AB17" si="11">AA16*$D16</f>
        <v>-38308.660188116723</v>
      </c>
      <c r="AC16" s="71"/>
      <c r="AD16" s="124">
        <f>'PrePost Reb 04'!$I$16</f>
        <v>163257536.22</v>
      </c>
      <c r="AE16" s="125">
        <f t="shared" ref="AE16:AE17" si="12">AD16*$D16</f>
        <v>36058825.058781564</v>
      </c>
      <c r="AF16" s="71"/>
      <c r="AG16" s="291">
        <f t="shared" ref="AG16:AG17" si="13">AJ16-$X16</f>
        <v>0</v>
      </c>
      <c r="AH16" s="291">
        <f t="shared" ref="AH16:AH17" si="14">AG16*$D16</f>
        <v>0</v>
      </c>
      <c r="AI16" s="71"/>
      <c r="AJ16" s="124">
        <f>'PrePost Reb 05'!$I$16</f>
        <v>163430979.96000001</v>
      </c>
      <c r="AK16" s="125">
        <f t="shared" ref="AK16:AK17" si="15">AJ16*$D16</f>
        <v>36097133.71896968</v>
      </c>
      <c r="AL16" s="71"/>
      <c r="AM16" s="291">
        <f t="shared" ref="AM16:AM17" si="16">AP16-$X16</f>
        <v>125459.04999998212</v>
      </c>
      <c r="AN16" s="291">
        <f t="shared" ref="AN16:AN17" si="17">AM16*$D16</f>
        <v>27710.242606467065</v>
      </c>
      <c r="AO16" s="71"/>
      <c r="AP16" s="124">
        <f>'PrePost Reb 06'!$I$16</f>
        <v>163556439.00999999</v>
      </c>
      <c r="AQ16" s="125">
        <f t="shared" ref="AQ16:AQ17" si="18">AP16*$D16</f>
        <v>36124843.961576149</v>
      </c>
      <c r="AR16" s="71"/>
      <c r="AS16" s="291">
        <f t="shared" ref="AS16:AS17" si="19">AV16-$X16</f>
        <v>0</v>
      </c>
      <c r="AT16" s="291">
        <f t="shared" ref="AT16:AT17" si="20">AS16*$D16</f>
        <v>0</v>
      </c>
      <c r="AU16" s="71"/>
      <c r="AV16" s="124">
        <f>'PrePost Reb 07'!$I$16</f>
        <v>163430979.96000001</v>
      </c>
      <c r="AW16" s="125">
        <f t="shared" ref="AW16:AW17" si="21">AV16*$D16</f>
        <v>36097133.71896968</v>
      </c>
      <c r="AX16" s="71"/>
      <c r="AY16" s="291">
        <f t="shared" ref="AY16:AY17" si="22">BB16-$X16</f>
        <v>0</v>
      </c>
      <c r="AZ16" s="291">
        <f t="shared" ref="AZ16:AZ17" si="23">AY16*$D16</f>
        <v>0</v>
      </c>
      <c r="BA16" s="71"/>
      <c r="BB16" s="124">
        <f>'PrePost Reb 08'!$I$16</f>
        <v>163430979.96000001</v>
      </c>
      <c r="BC16" s="125">
        <f t="shared" ref="BC16:BC17" si="24">BB16*$D16</f>
        <v>36097133.71896968</v>
      </c>
      <c r="BD16" s="71"/>
      <c r="BE16" s="291">
        <f t="shared" ref="BE16:BE17" si="25">(BH16-F16)-SUM(I16,O16,U16,AA16,AG16,AM16,AS16,AY16)</f>
        <v>-1982564.2399999797</v>
      </c>
      <c r="BF16" s="291">
        <f t="shared" ref="BF16:BF17" si="26">BE16*$D16</f>
        <v>-437890.57922336622</v>
      </c>
      <c r="BG16" s="71"/>
      <c r="BH16" s="124">
        <f>'PrePost Reb 10'!$I$16</f>
        <v>161400431.03</v>
      </c>
      <c r="BI16" s="125">
        <f t="shared" ref="BI16:BI17" si="27">BH16*$D16</f>
        <v>35648644.722164661</v>
      </c>
      <c r="BJ16" s="71"/>
      <c r="BK16" s="291">
        <f t="shared" ref="BK16:BK17" si="28">BN16-$BH16</f>
        <v>-19398131.560000002</v>
      </c>
      <c r="BL16" s="291">
        <f t="shared" ref="BL16:BL17" si="29">BK16*$D16</f>
        <v>-4284481.1246366212</v>
      </c>
      <c r="BM16" s="71"/>
      <c r="BN16" s="124">
        <f>'PrePost Reb 11'!$I$16</f>
        <v>142002299.47</v>
      </c>
      <c r="BO16" s="125">
        <f t="shared" ref="BO16:BO17" si="30">BN16*$D16</f>
        <v>31364163.59752804</v>
      </c>
      <c r="BP16" s="71"/>
      <c r="BQ16" s="291">
        <f t="shared" ref="BQ16:BQ17" si="31">BT16-$BH16</f>
        <v>0</v>
      </c>
      <c r="BR16" s="291">
        <f t="shared" ref="BR16:BR17" si="32">BQ16*$D16</f>
        <v>0</v>
      </c>
      <c r="BS16" s="71"/>
      <c r="BT16" s="124">
        <f>'PrePost Reb 12'!$I$16</f>
        <v>161400431.03</v>
      </c>
      <c r="BU16" s="125">
        <f t="shared" ref="BU16:BU17" si="33">BT16*$D16</f>
        <v>35648644.722164661</v>
      </c>
      <c r="BV16" s="71"/>
      <c r="BW16" s="291">
        <f t="shared" ref="BW16:BW17" si="34">BZ16-$BH16</f>
        <v>13244573.900000006</v>
      </c>
      <c r="BX16" s="291">
        <f t="shared" ref="BX16:BX17" si="35">BW16*$D16</f>
        <v>2925339.8299152921</v>
      </c>
      <c r="BY16" s="71"/>
      <c r="BZ16" s="124">
        <f>'PrePost Reb 13'!$I$16</f>
        <v>174645004.93000001</v>
      </c>
      <c r="CA16" s="125">
        <f t="shared" ref="CA16:CA17" si="36">BZ16*$D16</f>
        <v>38573984.552079953</v>
      </c>
      <c r="CB16" s="71"/>
      <c r="CC16" s="291">
        <f t="shared" ref="CC16:CC17" si="37">CF16-$BH16</f>
        <v>361884.70000001788</v>
      </c>
      <c r="CD16" s="291">
        <f t="shared" ref="CD16:CD17" si="38">CC16*$D16</f>
        <v>79929.768578436371</v>
      </c>
      <c r="CE16" s="71"/>
      <c r="CF16" s="124">
        <f>'PrePost Reb 14'!$I$16</f>
        <v>161762315.73000002</v>
      </c>
      <c r="CG16" s="125">
        <f t="shared" ref="CG16:CG17" si="39">CF16*$D16</f>
        <v>35728574.490743101</v>
      </c>
      <c r="CH16" s="71"/>
      <c r="CI16" s="291">
        <f t="shared" ref="CI16:CI17" si="40">CL16-$BH16</f>
        <v>0</v>
      </c>
      <c r="CJ16" s="291">
        <f t="shared" ref="CJ16:CJ17" si="41">CI16*$D16</f>
        <v>0</v>
      </c>
      <c r="CK16" s="71"/>
      <c r="CL16" s="124">
        <f>'PrePost Reb 15'!$I$16</f>
        <v>161400431.03</v>
      </c>
      <c r="CM16" s="125">
        <f t="shared" ref="CM16:CM17" si="42">CL16*$D16</f>
        <v>35648644.722164661</v>
      </c>
      <c r="CN16" s="71"/>
      <c r="CO16" s="291">
        <f t="shared" ref="CO16:CO17" si="43">CR16-$BH16</f>
        <v>25495.299999982119</v>
      </c>
      <c r="CP16" s="291">
        <f t="shared" ref="CP16:CP17" si="44">CO16*$D16</f>
        <v>5631.1676863826478</v>
      </c>
      <c r="CQ16" s="71"/>
      <c r="CR16" s="124">
        <f>'PrePost Reb 16'!$I$16</f>
        <v>161425926.32999998</v>
      </c>
      <c r="CS16" s="125">
        <f t="shared" ref="CS16:CS17" si="45">CR16*$D16</f>
        <v>35654275.889851049</v>
      </c>
      <c r="CT16" s="71"/>
      <c r="CU16" s="291">
        <f t="shared" ref="CU16:CU17" si="46">CX16-$BH16</f>
        <v>0</v>
      </c>
      <c r="CV16" s="291">
        <f t="shared" ref="CV16:CV17" si="47">CU16*$D16</f>
        <v>0</v>
      </c>
      <c r="CW16" s="71"/>
      <c r="CX16" s="124">
        <f>'PrePost Reb 17'!$I$16</f>
        <v>161400431.03</v>
      </c>
      <c r="CY16" s="125">
        <f t="shared" ref="CY16:CY17" si="48">CX16*$D16</f>
        <v>35648644.722164661</v>
      </c>
      <c r="CZ16" s="71"/>
      <c r="DA16" s="291">
        <f t="shared" ref="DA16:DA17" si="49">DD16-$BH16</f>
        <v>490838.65000000596</v>
      </c>
      <c r="DB16" s="291">
        <f t="shared" ref="DB16:DB17" si="50">DA16*$D16</f>
        <v>108411.93259579822</v>
      </c>
      <c r="DC16" s="71"/>
      <c r="DD16" s="124">
        <f>'PrePost Reb 18'!$I$16</f>
        <v>161891269.68000001</v>
      </c>
      <c r="DE16" s="125">
        <f t="shared" ref="DE16:DE17" si="51">DD16*$D16</f>
        <v>35757056.654760465</v>
      </c>
      <c r="DF16" s="71"/>
      <c r="DG16" s="291">
        <f t="shared" ref="DG16:DG17" si="52">DJ16-$BH16</f>
        <v>0</v>
      </c>
      <c r="DH16" s="291">
        <f t="shared" ref="DH16:DH17" si="53">DG16*$D16</f>
        <v>0</v>
      </c>
      <c r="DI16" s="71"/>
      <c r="DJ16" s="124">
        <f>'PrePost Reb 19'!$I$16</f>
        <v>161400431.03</v>
      </c>
      <c r="DK16" s="125">
        <f t="shared" ref="DK16:DK17" si="54">DJ16*$D16</f>
        <v>35648644.722164661</v>
      </c>
      <c r="DL16" s="71"/>
      <c r="DM16" s="291">
        <f t="shared" ref="DM16:DM17" si="55">DP16-$BH16</f>
        <v>288882.43999999762</v>
      </c>
      <c r="DN16" s="291">
        <f t="shared" ref="DN16:DN17" si="56">DM16*$D16</f>
        <v>63805.699924790126</v>
      </c>
      <c r="DO16" s="71"/>
      <c r="DP16" s="124">
        <f>'PrePost Reb 20'!$I$16</f>
        <v>161689313.47</v>
      </c>
      <c r="DQ16" s="125">
        <f t="shared" ref="DQ16:DQ17" si="57">DP16*$D16</f>
        <v>35712450.42208945</v>
      </c>
      <c r="DR16" s="71"/>
      <c r="DS16" s="291">
        <f t="shared" ref="DS16:DS17" si="58">(DV16-BH16)-SUM(BK16,BQ16,BW16,CC16,CI16,CO16,CU16,DA16,DG16,DM16)</f>
        <v>-4685666.1200000048</v>
      </c>
      <c r="DT16" s="291">
        <f t="shared" ref="DT16:DT17" si="59">DS16*$D16</f>
        <v>-1034926.8941389391</v>
      </c>
      <c r="DU16" s="71"/>
      <c r="DV16" s="124">
        <f>'Proforma 3-2012 (Rebuttal)'!$I$19</f>
        <v>151728308.34</v>
      </c>
      <c r="DW16" s="125">
        <f t="shared" ref="DW16:DW17" si="60">DV16*$D16</f>
        <v>33512355.102089804</v>
      </c>
      <c r="DX16" s="71"/>
      <c r="DY16" s="282">
        <f t="shared" ref="DY16:DY17" si="61">SUM(DS16,DM16,DG16,DA16,CU16,CO16,CI16,CC16,BW16,BQ16,BK16,BE16,AY16,AS16,AM16,AG16,AA16,U16,O16,I16)</f>
        <v>-11710331.799999982</v>
      </c>
      <c r="DZ16" s="282">
        <f t="shared" ref="DZ16:DZ17" si="62">DY16*$D16</f>
        <v>-2586470.5270785321</v>
      </c>
      <c r="EA16" s="71"/>
      <c r="ED16" s="71"/>
    </row>
    <row r="17" spans="1:134">
      <c r="A17" s="64" t="s">
        <v>30</v>
      </c>
      <c r="B17" s="65" t="s">
        <v>166</v>
      </c>
      <c r="C17" s="58" t="s">
        <v>13</v>
      </c>
      <c r="D17" s="66">
        <v>0.22270549443887661</v>
      </c>
      <c r="E17" s="71"/>
      <c r="F17" s="124">
        <v>0</v>
      </c>
      <c r="G17" s="125">
        <f t="shared" si="0"/>
        <v>0</v>
      </c>
      <c r="H17" s="71"/>
      <c r="I17" s="291">
        <f t="shared" si="1"/>
        <v>0</v>
      </c>
      <c r="J17" s="291">
        <f t="shared" si="2"/>
        <v>0</v>
      </c>
      <c r="K17" s="71"/>
      <c r="L17" s="124">
        <v>0</v>
      </c>
      <c r="M17" s="125">
        <f t="shared" si="3"/>
        <v>0</v>
      </c>
      <c r="N17" s="71"/>
      <c r="O17" s="291">
        <f t="shared" si="4"/>
        <v>0</v>
      </c>
      <c r="P17" s="291">
        <f t="shared" si="5"/>
        <v>0</v>
      </c>
      <c r="Q17" s="71"/>
      <c r="R17" s="124">
        <v>0</v>
      </c>
      <c r="S17" s="125">
        <f t="shared" si="6"/>
        <v>0</v>
      </c>
      <c r="T17" s="71"/>
      <c r="U17" s="291">
        <f t="shared" si="7"/>
        <v>0</v>
      </c>
      <c r="V17" s="291">
        <f t="shared" si="8"/>
        <v>0</v>
      </c>
      <c r="W17" s="71"/>
      <c r="X17" s="124">
        <v>0</v>
      </c>
      <c r="Y17" s="125">
        <f t="shared" si="9"/>
        <v>0</v>
      </c>
      <c r="Z17" s="71"/>
      <c r="AA17" s="291">
        <f t="shared" si="10"/>
        <v>0</v>
      </c>
      <c r="AB17" s="291">
        <f t="shared" si="11"/>
        <v>0</v>
      </c>
      <c r="AC17" s="71"/>
      <c r="AD17" s="124">
        <v>0</v>
      </c>
      <c r="AE17" s="125">
        <f t="shared" si="12"/>
        <v>0</v>
      </c>
      <c r="AF17" s="71"/>
      <c r="AG17" s="291">
        <f t="shared" si="13"/>
        <v>0</v>
      </c>
      <c r="AH17" s="291">
        <f t="shared" si="14"/>
        <v>0</v>
      </c>
      <c r="AI17" s="71"/>
      <c r="AJ17" s="124">
        <v>0</v>
      </c>
      <c r="AK17" s="125">
        <f t="shared" si="15"/>
        <v>0</v>
      </c>
      <c r="AL17" s="71"/>
      <c r="AM17" s="291">
        <f t="shared" si="16"/>
        <v>0</v>
      </c>
      <c r="AN17" s="291">
        <f t="shared" si="17"/>
        <v>0</v>
      </c>
      <c r="AO17" s="71"/>
      <c r="AP17" s="124">
        <v>0</v>
      </c>
      <c r="AQ17" s="125">
        <f t="shared" si="18"/>
        <v>0</v>
      </c>
      <c r="AR17" s="71"/>
      <c r="AS17" s="291">
        <f t="shared" si="19"/>
        <v>0</v>
      </c>
      <c r="AT17" s="291">
        <f t="shared" si="20"/>
        <v>0</v>
      </c>
      <c r="AU17" s="71"/>
      <c r="AV17" s="124">
        <v>0</v>
      </c>
      <c r="AW17" s="125">
        <f t="shared" si="21"/>
        <v>0</v>
      </c>
      <c r="AX17" s="71"/>
      <c r="AY17" s="291">
        <f t="shared" si="22"/>
        <v>0</v>
      </c>
      <c r="AZ17" s="291">
        <f t="shared" si="23"/>
        <v>0</v>
      </c>
      <c r="BA17" s="71"/>
      <c r="BB17" s="124">
        <v>0</v>
      </c>
      <c r="BC17" s="125">
        <f t="shared" si="24"/>
        <v>0</v>
      </c>
      <c r="BD17" s="71"/>
      <c r="BE17" s="291">
        <f t="shared" si="25"/>
        <v>0</v>
      </c>
      <c r="BF17" s="291">
        <f t="shared" si="26"/>
        <v>0</v>
      </c>
      <c r="BG17" s="71"/>
      <c r="BH17" s="124">
        <v>0</v>
      </c>
      <c r="BI17" s="125">
        <f t="shared" si="27"/>
        <v>0</v>
      </c>
      <c r="BJ17" s="71"/>
      <c r="BK17" s="291">
        <f t="shared" si="28"/>
        <v>0</v>
      </c>
      <c r="BL17" s="291">
        <f t="shared" si="29"/>
        <v>0</v>
      </c>
      <c r="BM17" s="71"/>
      <c r="BN17" s="124">
        <v>0</v>
      </c>
      <c r="BO17" s="125">
        <f t="shared" si="30"/>
        <v>0</v>
      </c>
      <c r="BP17" s="71"/>
      <c r="BQ17" s="291">
        <f t="shared" si="31"/>
        <v>0</v>
      </c>
      <c r="BR17" s="291">
        <f t="shared" si="32"/>
        <v>0</v>
      </c>
      <c r="BS17" s="71"/>
      <c r="BT17" s="124">
        <v>0</v>
      </c>
      <c r="BU17" s="125">
        <f t="shared" si="33"/>
        <v>0</v>
      </c>
      <c r="BV17" s="71"/>
      <c r="BW17" s="291">
        <f t="shared" si="34"/>
        <v>0</v>
      </c>
      <c r="BX17" s="291">
        <f t="shared" si="35"/>
        <v>0</v>
      </c>
      <c r="BY17" s="71"/>
      <c r="BZ17" s="124">
        <v>0</v>
      </c>
      <c r="CA17" s="125">
        <f t="shared" si="36"/>
        <v>0</v>
      </c>
      <c r="CB17" s="71"/>
      <c r="CC17" s="291">
        <f t="shared" si="37"/>
        <v>0</v>
      </c>
      <c r="CD17" s="291">
        <f t="shared" si="38"/>
        <v>0</v>
      </c>
      <c r="CE17" s="71"/>
      <c r="CF17" s="124">
        <v>0</v>
      </c>
      <c r="CG17" s="125">
        <f t="shared" si="39"/>
        <v>0</v>
      </c>
      <c r="CH17" s="71"/>
      <c r="CI17" s="291">
        <f t="shared" si="40"/>
        <v>0</v>
      </c>
      <c r="CJ17" s="291">
        <f t="shared" si="41"/>
        <v>0</v>
      </c>
      <c r="CK17" s="71"/>
      <c r="CL17" s="124">
        <v>0</v>
      </c>
      <c r="CM17" s="125">
        <f t="shared" si="42"/>
        <v>0</v>
      </c>
      <c r="CN17" s="71"/>
      <c r="CO17" s="291">
        <f t="shared" si="43"/>
        <v>0</v>
      </c>
      <c r="CP17" s="291">
        <f t="shared" si="44"/>
        <v>0</v>
      </c>
      <c r="CQ17" s="71"/>
      <c r="CR17" s="124">
        <v>0</v>
      </c>
      <c r="CS17" s="125">
        <f t="shared" si="45"/>
        <v>0</v>
      </c>
      <c r="CT17" s="71"/>
      <c r="CU17" s="291">
        <f t="shared" si="46"/>
        <v>0</v>
      </c>
      <c r="CV17" s="291">
        <f t="shared" si="47"/>
        <v>0</v>
      </c>
      <c r="CW17" s="71"/>
      <c r="CX17" s="124">
        <v>0</v>
      </c>
      <c r="CY17" s="125">
        <f t="shared" si="48"/>
        <v>0</v>
      </c>
      <c r="CZ17" s="71"/>
      <c r="DA17" s="291">
        <f t="shared" si="49"/>
        <v>0</v>
      </c>
      <c r="DB17" s="291">
        <f t="shared" si="50"/>
        <v>0</v>
      </c>
      <c r="DC17" s="71"/>
      <c r="DD17" s="124">
        <v>0</v>
      </c>
      <c r="DE17" s="125">
        <f t="shared" si="51"/>
        <v>0</v>
      </c>
      <c r="DF17" s="71"/>
      <c r="DG17" s="291">
        <f t="shared" si="52"/>
        <v>0</v>
      </c>
      <c r="DH17" s="291">
        <f t="shared" si="53"/>
        <v>0</v>
      </c>
      <c r="DI17" s="71"/>
      <c r="DJ17" s="124">
        <v>0</v>
      </c>
      <c r="DK17" s="125">
        <f t="shared" si="54"/>
        <v>0</v>
      </c>
      <c r="DL17" s="71"/>
      <c r="DM17" s="291">
        <f t="shared" si="55"/>
        <v>0</v>
      </c>
      <c r="DN17" s="291">
        <f t="shared" si="56"/>
        <v>0</v>
      </c>
      <c r="DO17" s="71"/>
      <c r="DP17" s="124">
        <v>0</v>
      </c>
      <c r="DQ17" s="125">
        <f t="shared" si="57"/>
        <v>0</v>
      </c>
      <c r="DR17" s="71"/>
      <c r="DS17" s="291">
        <f t="shared" si="58"/>
        <v>0</v>
      </c>
      <c r="DT17" s="291">
        <f t="shared" si="59"/>
        <v>0</v>
      </c>
      <c r="DU17" s="71"/>
      <c r="DV17" s="124">
        <v>0</v>
      </c>
      <c r="DW17" s="125">
        <f t="shared" si="60"/>
        <v>0</v>
      </c>
      <c r="DX17" s="71"/>
      <c r="DY17" s="282">
        <f t="shared" si="61"/>
        <v>0</v>
      </c>
      <c r="DZ17" s="282">
        <f t="shared" si="62"/>
        <v>0</v>
      </c>
      <c r="EA17" s="71"/>
      <c r="ED17" s="71"/>
    </row>
    <row r="18" spans="1:134">
      <c r="A18" s="59" t="s">
        <v>31</v>
      </c>
      <c r="E18" s="69"/>
      <c r="F18" s="126">
        <f>SUM(F15:F17)</f>
        <v>176754940.13999999</v>
      </c>
      <c r="G18" s="127">
        <f>SUM(G15:G17)</f>
        <v>39040007.661238156</v>
      </c>
      <c r="H18" s="69"/>
      <c r="I18" s="292">
        <f t="shared" ref="I18:J18" si="63">SUM(I15:I17)</f>
        <v>1.0000020265579224E-2</v>
      </c>
      <c r="J18" s="292">
        <f t="shared" si="63"/>
        <v>2.2087126247873471E-3</v>
      </c>
      <c r="K18" s="69"/>
      <c r="L18" s="126">
        <f>SUM(L15:L17)</f>
        <v>176754940.15000001</v>
      </c>
      <c r="M18" s="127">
        <f>SUM(M15:M17)</f>
        <v>39040007.663446873</v>
      </c>
      <c r="N18" s="69"/>
      <c r="O18" s="292">
        <f t="shared" ref="O18" si="64">SUM(O15:O17)</f>
        <v>0</v>
      </c>
      <c r="P18" s="292">
        <f t="shared" ref="P18" si="65">SUM(P15:P17)</f>
        <v>0</v>
      </c>
      <c r="Q18" s="69"/>
      <c r="R18" s="126">
        <f>SUM(R15:R17)</f>
        <v>176754940.15000001</v>
      </c>
      <c r="S18" s="127">
        <f>SUM(S15:S17)</f>
        <v>39040007.663446873</v>
      </c>
      <c r="T18" s="69"/>
      <c r="U18" s="292">
        <f t="shared" ref="U18" si="66">SUM(U15:U17)</f>
        <v>-7660.1899999976158</v>
      </c>
      <c r="V18" s="292">
        <f t="shared" ref="V18" si="67">SUM(V15:V17)</f>
        <v>-1691.9124073679591</v>
      </c>
      <c r="W18" s="69"/>
      <c r="X18" s="126">
        <f>SUM(X15:X17)</f>
        <v>176747279.96000001</v>
      </c>
      <c r="Y18" s="127">
        <f>SUM(Y15:Y17)</f>
        <v>39038315.751039505</v>
      </c>
      <c r="Z18" s="69"/>
      <c r="AA18" s="292">
        <f t="shared" ref="AA18" si="68">SUM(AA15:AA17)</f>
        <v>-214143.74000000954</v>
      </c>
      <c r="AB18" s="292">
        <f t="shared" ref="AB18" si="69">SUM(AB15:AB17)</f>
        <v>-47298.102353375987</v>
      </c>
      <c r="AC18" s="69"/>
      <c r="AD18" s="126">
        <f>SUM(AD15:AD17)</f>
        <v>176533136.22</v>
      </c>
      <c r="AE18" s="127">
        <f>SUM(AE15:AE17)</f>
        <v>38991017.648686133</v>
      </c>
      <c r="AF18" s="69"/>
      <c r="AG18" s="292">
        <f t="shared" ref="AG18" si="70">SUM(AG15:AG17)</f>
        <v>0</v>
      </c>
      <c r="AH18" s="292">
        <f t="shared" ref="AH18" si="71">SUM(AH15:AH17)</f>
        <v>0</v>
      </c>
      <c r="AI18" s="69"/>
      <c r="AJ18" s="126">
        <f>SUM(AJ15:AJ17)</f>
        <v>176747279.96000001</v>
      </c>
      <c r="AK18" s="127">
        <f>SUM(AK15:AK17)</f>
        <v>39038315.751039505</v>
      </c>
      <c r="AL18" s="69"/>
      <c r="AM18" s="292">
        <f t="shared" ref="AM18" si="72">SUM(AM15:AM17)</f>
        <v>125459.04999998212</v>
      </c>
      <c r="AN18" s="292">
        <f t="shared" ref="AN18" si="73">SUM(AN15:AN17)</f>
        <v>27710.242606467065</v>
      </c>
      <c r="AO18" s="69"/>
      <c r="AP18" s="126">
        <f>SUM(AP15:AP17)</f>
        <v>176872739.00999999</v>
      </c>
      <c r="AQ18" s="127">
        <f>SUM(AQ15:AQ17)</f>
        <v>39066025.993645974</v>
      </c>
      <c r="AR18" s="69"/>
      <c r="AS18" s="292">
        <f t="shared" ref="AS18" si="74">SUM(AS15:AS17)</f>
        <v>0</v>
      </c>
      <c r="AT18" s="292">
        <f t="shared" ref="AT18" si="75">SUM(AT15:AT17)</f>
        <v>0</v>
      </c>
      <c r="AU18" s="69"/>
      <c r="AV18" s="126">
        <f>SUM(AV15:AV17)</f>
        <v>176747279.96000001</v>
      </c>
      <c r="AW18" s="127">
        <f>SUM(AW15:AW17)</f>
        <v>39038315.751039505</v>
      </c>
      <c r="AX18" s="69"/>
      <c r="AY18" s="292">
        <f t="shared" ref="AY18" si="76">SUM(AY15:AY17)</f>
        <v>0</v>
      </c>
      <c r="AZ18" s="292">
        <f t="shared" ref="AZ18" si="77">SUM(AZ15:AZ17)</f>
        <v>0</v>
      </c>
      <c r="BA18" s="69"/>
      <c r="BB18" s="126">
        <f>SUM(BB15:BB17)</f>
        <v>176747279.96000001</v>
      </c>
      <c r="BC18" s="127">
        <f>SUM(BC15:BC17)</f>
        <v>39038315.751039505</v>
      </c>
      <c r="BD18" s="69"/>
      <c r="BE18" s="292">
        <f t="shared" ref="BE18" si="78">SUM(BE15:BE17)</f>
        <v>-1982564.2399999797</v>
      </c>
      <c r="BF18" s="292">
        <f t="shared" ref="BF18" si="79">SUM(BF15:BF17)</f>
        <v>-437890.57922336622</v>
      </c>
      <c r="BG18" s="69"/>
      <c r="BH18" s="126">
        <f>SUM(BH15:BH17)</f>
        <v>174676031.03</v>
      </c>
      <c r="BI18" s="127">
        <f>SUM(BI15:BI17)</f>
        <v>38580837.31206923</v>
      </c>
      <c r="BJ18" s="69"/>
      <c r="BK18" s="292">
        <f t="shared" ref="BK18" si="80">SUM(BK15:BK17)</f>
        <v>-19346331.560000002</v>
      </c>
      <c r="BL18" s="292">
        <f t="shared" ref="BL18" si="81">SUM(BL15:BL17)</f>
        <v>-4273040.0164262913</v>
      </c>
      <c r="BM18" s="69"/>
      <c r="BN18" s="126">
        <f>SUM(BN15:BN17)</f>
        <v>155329699.47</v>
      </c>
      <c r="BO18" s="127">
        <f>SUM(BO15:BO17)</f>
        <v>34307797.295642935</v>
      </c>
      <c r="BP18" s="69"/>
      <c r="BQ18" s="292">
        <f t="shared" ref="BQ18" si="82">SUM(BQ15:BQ17)</f>
        <v>0</v>
      </c>
      <c r="BR18" s="292">
        <f t="shared" ref="BR18" si="83">SUM(BR15:BR17)</f>
        <v>0</v>
      </c>
      <c r="BS18" s="69"/>
      <c r="BT18" s="126">
        <f>SUM(BT15:BT17)</f>
        <v>174676031.03</v>
      </c>
      <c r="BU18" s="127">
        <f>SUM(BU15:BU17)</f>
        <v>38580837.31206923</v>
      </c>
      <c r="BV18" s="69"/>
      <c r="BW18" s="292">
        <f t="shared" ref="BW18" si="84">SUM(BW15:BW17)</f>
        <v>13244573.900000006</v>
      </c>
      <c r="BX18" s="292">
        <f t="shared" ref="BX18" si="85">SUM(BX15:BX17)</f>
        <v>2925339.8299152921</v>
      </c>
      <c r="BY18" s="69"/>
      <c r="BZ18" s="126">
        <f>SUM(BZ15:BZ17)</f>
        <v>187920604.93000001</v>
      </c>
      <c r="CA18" s="127">
        <f>SUM(CA15:CA17)</f>
        <v>41506177.141984522</v>
      </c>
      <c r="CB18" s="69"/>
      <c r="CC18" s="292">
        <f t="shared" ref="CC18" si="86">SUM(CC15:CC17)</f>
        <v>51084.700000017881</v>
      </c>
      <c r="CD18" s="292">
        <f t="shared" ref="CD18" si="87">SUM(CD15:CD17)</f>
        <v>11283.119316456534</v>
      </c>
      <c r="CE18" s="69"/>
      <c r="CF18" s="126">
        <f>SUM(CF15:CF17)</f>
        <v>174727115.73000002</v>
      </c>
      <c r="CG18" s="127">
        <f>SUM(CG15:CG17)</f>
        <v>38592120.431385688</v>
      </c>
      <c r="CH18" s="69"/>
      <c r="CI18" s="292">
        <f t="shared" ref="CI18" si="88">SUM(CI15:CI17)</f>
        <v>0</v>
      </c>
      <c r="CJ18" s="292">
        <f t="shared" ref="CJ18" si="89">SUM(CJ15:CJ17)</f>
        <v>0</v>
      </c>
      <c r="CK18" s="69"/>
      <c r="CL18" s="126">
        <f>SUM(CL15:CL17)</f>
        <v>174676031.03</v>
      </c>
      <c r="CM18" s="127">
        <f>SUM(CM15:CM17)</f>
        <v>38580837.31206923</v>
      </c>
      <c r="CN18" s="69"/>
      <c r="CO18" s="292">
        <f t="shared" ref="CO18" si="90">SUM(CO15:CO17)</f>
        <v>25495.299999982119</v>
      </c>
      <c r="CP18" s="292">
        <f t="shared" ref="CP18" si="91">SUM(CP15:CP17)</f>
        <v>5631.1676863826478</v>
      </c>
      <c r="CQ18" s="69"/>
      <c r="CR18" s="126">
        <f>SUM(CR15:CR17)</f>
        <v>174701526.32999998</v>
      </c>
      <c r="CS18" s="127">
        <f>SUM(CS15:CS17)</f>
        <v>38586468.479755618</v>
      </c>
      <c r="CT18" s="69"/>
      <c r="CU18" s="292">
        <f t="shared" ref="CU18" si="92">SUM(CU15:CU17)</f>
        <v>0</v>
      </c>
      <c r="CV18" s="292">
        <f t="shared" ref="CV18" si="93">SUM(CV15:CV17)</f>
        <v>0</v>
      </c>
      <c r="CW18" s="69"/>
      <c r="CX18" s="126">
        <f>SUM(CX15:CX17)</f>
        <v>174676031.03</v>
      </c>
      <c r="CY18" s="127">
        <f>SUM(CY15:CY17)</f>
        <v>38580837.31206923</v>
      </c>
      <c r="CZ18" s="69"/>
      <c r="DA18" s="292">
        <f t="shared" ref="DA18" si="94">SUM(DA15:DA17)</f>
        <v>490838.65000000596</v>
      </c>
      <c r="DB18" s="292">
        <f t="shared" ref="DB18" si="95">SUM(DB15:DB17)</f>
        <v>108411.93259579822</v>
      </c>
      <c r="DC18" s="69"/>
      <c r="DD18" s="126">
        <f>SUM(DD15:DD17)</f>
        <v>175166869.68000001</v>
      </c>
      <c r="DE18" s="127">
        <f>SUM(DE15:DE17)</f>
        <v>38689249.244665034</v>
      </c>
      <c r="DF18" s="69"/>
      <c r="DG18" s="292">
        <f t="shared" ref="DG18" si="96">SUM(DG15:DG17)</f>
        <v>0</v>
      </c>
      <c r="DH18" s="292">
        <f t="shared" ref="DH18" si="97">SUM(DH15:DH17)</f>
        <v>0</v>
      </c>
      <c r="DI18" s="69"/>
      <c r="DJ18" s="126">
        <f>SUM(DJ15:DJ17)</f>
        <v>174676031.03</v>
      </c>
      <c r="DK18" s="127">
        <f>SUM(DK15:DK17)</f>
        <v>38580837.31206923</v>
      </c>
      <c r="DL18" s="69"/>
      <c r="DM18" s="292">
        <f t="shared" ref="DM18" si="98">SUM(DM15:DM17)</f>
        <v>288882.43999999762</v>
      </c>
      <c r="DN18" s="292">
        <f t="shared" ref="DN18" si="99">SUM(DN15:DN17)</f>
        <v>63805.699924790126</v>
      </c>
      <c r="DO18" s="69"/>
      <c r="DP18" s="126">
        <f>SUM(DP15:DP17)</f>
        <v>174964913.47</v>
      </c>
      <c r="DQ18" s="127">
        <f>SUM(DQ15:DQ17)</f>
        <v>38644643.011994019</v>
      </c>
      <c r="DR18" s="69"/>
      <c r="DS18" s="292">
        <f t="shared" ref="DS18" si="100">SUM(DS15:DS17)</f>
        <v>-4737466.1200000048</v>
      </c>
      <c r="DT18" s="292">
        <f t="shared" ref="DT18" si="101">SUM(DT15:DT17)</f>
        <v>-1046368.0023492691</v>
      </c>
      <c r="DU18" s="69"/>
      <c r="DV18" s="126">
        <f>SUM(DV15:DV17)</f>
        <v>164693108.34</v>
      </c>
      <c r="DW18" s="127">
        <f>SUM(DW15:DW17)</f>
        <v>36375901.042732388</v>
      </c>
      <c r="DX18" s="69"/>
      <c r="DY18" s="283">
        <f t="shared" ref="DY18" si="102">SUM(DY15:DY17)</f>
        <v>-12061831.799999982</v>
      </c>
      <c r="DZ18" s="283">
        <f t="shared" ref="DZ18" si="103">SUM(DZ15:DZ17)</f>
        <v>-2664106.6185057713</v>
      </c>
      <c r="EA18" s="69"/>
      <c r="ED18" s="69"/>
    </row>
    <row r="19" spans="1:134">
      <c r="F19" s="122"/>
      <c r="G19" s="123"/>
      <c r="I19" s="290"/>
      <c r="J19" s="290"/>
      <c r="L19" s="122"/>
      <c r="M19" s="123"/>
      <c r="O19" s="290"/>
      <c r="P19" s="290"/>
      <c r="R19" s="122"/>
      <c r="S19" s="123"/>
      <c r="U19" s="290"/>
      <c r="V19" s="290"/>
      <c r="X19" s="122"/>
      <c r="Y19" s="123"/>
      <c r="AA19" s="290"/>
      <c r="AB19" s="290"/>
      <c r="AD19" s="122"/>
      <c r="AE19" s="123"/>
      <c r="AG19" s="290"/>
      <c r="AH19" s="290"/>
      <c r="AJ19" s="122"/>
      <c r="AK19" s="123"/>
      <c r="AM19" s="290"/>
      <c r="AN19" s="290"/>
      <c r="AP19" s="122"/>
      <c r="AQ19" s="123"/>
      <c r="AS19" s="290"/>
      <c r="AT19" s="290"/>
      <c r="AV19" s="122"/>
      <c r="AW19" s="123"/>
      <c r="AY19" s="290"/>
      <c r="AZ19" s="290"/>
      <c r="BB19" s="122"/>
      <c r="BC19" s="123"/>
      <c r="BE19" s="290"/>
      <c r="BF19" s="290"/>
      <c r="BH19" s="122"/>
      <c r="BI19" s="123"/>
      <c r="BK19" s="290"/>
      <c r="BL19" s="290"/>
      <c r="BN19" s="122"/>
      <c r="BO19" s="123"/>
      <c r="BQ19" s="290"/>
      <c r="BR19" s="290"/>
      <c r="BT19" s="122"/>
      <c r="BU19" s="123"/>
      <c r="BW19" s="290"/>
      <c r="BX19" s="290"/>
      <c r="BZ19" s="122"/>
      <c r="CA19" s="123"/>
      <c r="CC19" s="290"/>
      <c r="CD19" s="290"/>
      <c r="CF19" s="122"/>
      <c r="CG19" s="123"/>
      <c r="CI19" s="290"/>
      <c r="CJ19" s="290"/>
      <c r="CL19" s="122"/>
      <c r="CM19" s="123"/>
      <c r="CO19" s="290"/>
      <c r="CP19" s="290"/>
      <c r="CR19" s="122"/>
      <c r="CS19" s="123"/>
      <c r="CU19" s="290"/>
      <c r="CV19" s="290"/>
      <c r="CX19" s="122"/>
      <c r="CY19" s="123"/>
      <c r="DA19" s="290"/>
      <c r="DB19" s="290"/>
      <c r="DD19" s="122"/>
      <c r="DE19" s="123"/>
      <c r="DG19" s="290"/>
      <c r="DH19" s="290"/>
      <c r="DJ19" s="122"/>
      <c r="DK19" s="123"/>
      <c r="DM19" s="290"/>
      <c r="DN19" s="290"/>
      <c r="DP19" s="122"/>
      <c r="DQ19" s="123"/>
      <c r="DS19" s="290"/>
      <c r="DT19" s="290"/>
      <c r="DV19" s="122"/>
      <c r="DW19" s="123"/>
      <c r="DY19" s="281"/>
      <c r="DZ19" s="281"/>
    </row>
    <row r="20" spans="1:134">
      <c r="A20" s="59" t="s">
        <v>11</v>
      </c>
      <c r="F20" s="122"/>
      <c r="G20" s="123"/>
      <c r="I20" s="290"/>
      <c r="J20" s="290"/>
      <c r="L20" s="122"/>
      <c r="M20" s="123"/>
      <c r="O20" s="290"/>
      <c r="P20" s="290"/>
      <c r="R20" s="122"/>
      <c r="S20" s="123"/>
      <c r="U20" s="290"/>
      <c r="V20" s="290"/>
      <c r="X20" s="122"/>
      <c r="Y20" s="123"/>
      <c r="AA20" s="290"/>
      <c r="AB20" s="290"/>
      <c r="AD20" s="122"/>
      <c r="AE20" s="123"/>
      <c r="AG20" s="290"/>
      <c r="AH20" s="290"/>
      <c r="AJ20" s="122"/>
      <c r="AK20" s="123"/>
      <c r="AM20" s="290"/>
      <c r="AN20" s="290"/>
      <c r="AP20" s="122"/>
      <c r="AQ20" s="123"/>
      <c r="AS20" s="290"/>
      <c r="AT20" s="290"/>
      <c r="AV20" s="122"/>
      <c r="AW20" s="123"/>
      <c r="AY20" s="290"/>
      <c r="AZ20" s="290"/>
      <c r="BB20" s="122"/>
      <c r="BC20" s="123"/>
      <c r="BE20" s="290"/>
      <c r="BF20" s="290"/>
      <c r="BH20" s="122"/>
      <c r="BI20" s="123"/>
      <c r="BK20" s="290"/>
      <c r="BL20" s="290"/>
      <c r="BN20" s="122"/>
      <c r="BO20" s="123"/>
      <c r="BQ20" s="290"/>
      <c r="BR20" s="290"/>
      <c r="BT20" s="122"/>
      <c r="BU20" s="123"/>
      <c r="BW20" s="290"/>
      <c r="BX20" s="290"/>
      <c r="BZ20" s="122"/>
      <c r="CA20" s="123"/>
      <c r="CC20" s="290"/>
      <c r="CD20" s="290"/>
      <c r="CF20" s="122"/>
      <c r="CG20" s="123"/>
      <c r="CI20" s="290"/>
      <c r="CJ20" s="290"/>
      <c r="CL20" s="122"/>
      <c r="CM20" s="123"/>
      <c r="CO20" s="290"/>
      <c r="CP20" s="290"/>
      <c r="CR20" s="122"/>
      <c r="CS20" s="123"/>
      <c r="CU20" s="290"/>
      <c r="CV20" s="290"/>
      <c r="CX20" s="122"/>
      <c r="CY20" s="123"/>
      <c r="DA20" s="290"/>
      <c r="DB20" s="290"/>
      <c r="DD20" s="122"/>
      <c r="DE20" s="123"/>
      <c r="DG20" s="290"/>
      <c r="DH20" s="290"/>
      <c r="DJ20" s="122"/>
      <c r="DK20" s="123"/>
      <c r="DM20" s="290"/>
      <c r="DN20" s="290"/>
      <c r="DP20" s="122"/>
      <c r="DQ20" s="123"/>
      <c r="DS20" s="290"/>
      <c r="DT20" s="290"/>
      <c r="DV20" s="122"/>
      <c r="DW20" s="123"/>
      <c r="DY20" s="281"/>
      <c r="DZ20" s="281"/>
    </row>
    <row r="21" spans="1:134">
      <c r="A21" s="64" t="s">
        <v>32</v>
      </c>
      <c r="B21" s="65" t="s">
        <v>167</v>
      </c>
      <c r="C21" s="58" t="s">
        <v>10</v>
      </c>
      <c r="D21" s="66">
        <v>0.220870814871235</v>
      </c>
      <c r="E21" s="71"/>
      <c r="F21" s="124">
        <f>'Pro Forma 3 2012 - Initial Fili'!F28</f>
        <v>26575729.524420187</v>
      </c>
      <c r="G21" s="125">
        <f t="shared" ref="G21:G25" si="104">F21*$D21</f>
        <v>5869803.0358562255</v>
      </c>
      <c r="H21" s="71"/>
      <c r="I21" s="291">
        <f t="shared" ref="I21:I25" si="105">L21-F21</f>
        <v>0</v>
      </c>
      <c r="J21" s="291">
        <f t="shared" ref="J21:J25" si="106">I21*$D21</f>
        <v>0</v>
      </c>
      <c r="K21" s="71"/>
      <c r="L21" s="124">
        <f>'PrePost Reb 01'!$F$26</f>
        <v>26575729.524420187</v>
      </c>
      <c r="M21" s="125">
        <f t="shared" ref="M21:M25" si="107">L21*$D21</f>
        <v>5869803.0358562255</v>
      </c>
      <c r="N21" s="71"/>
      <c r="O21" s="291">
        <f t="shared" ref="O21:O25" si="108">R21-L21</f>
        <v>-2224.0717850290239</v>
      </c>
      <c r="P21" s="291">
        <f t="shared" ref="P21:P25" si="109">O21*$D21</f>
        <v>-491.23254749148271</v>
      </c>
      <c r="Q21" s="71"/>
      <c r="R21" s="124">
        <f>'PrePost Reb 02'!$F$26</f>
        <v>26573505.452635158</v>
      </c>
      <c r="S21" s="125">
        <f t="shared" ref="S21:S25" si="110">R21*$D21</f>
        <v>5869311.8033087337</v>
      </c>
      <c r="T21" s="71"/>
      <c r="U21" s="291">
        <f t="shared" ref="U21:U25" si="111">X21-R21</f>
        <v>0</v>
      </c>
      <c r="V21" s="291">
        <f t="shared" ref="V21:V25" si="112">U21*$D21</f>
        <v>0</v>
      </c>
      <c r="W21" s="71"/>
      <c r="X21" s="124">
        <f>'PrePost Reb 03'!$F$26</f>
        <v>26573505.452635158</v>
      </c>
      <c r="Y21" s="125">
        <f t="shared" ref="Y21:Y25" si="113">X21*$D21</f>
        <v>5869311.8033087337</v>
      </c>
      <c r="Z21" s="71"/>
      <c r="AA21" s="291">
        <f t="shared" ref="AA21:AA25" si="114">AD21-X21</f>
        <v>96182.861779116094</v>
      </c>
      <c r="AB21" s="291">
        <f t="shared" ref="AB21:AB25" si="115">AA21*$D21</f>
        <v>21243.987057800736</v>
      </c>
      <c r="AC21" s="71"/>
      <c r="AD21" s="124">
        <f>'PrePost Reb 04'!$F$26</f>
        <v>26669688.314414274</v>
      </c>
      <c r="AE21" s="125">
        <f t="shared" ref="AE21:AE25" si="116">AD21*$D21</f>
        <v>5890555.7903665341</v>
      </c>
      <c r="AF21" s="71"/>
      <c r="AG21" s="291">
        <f t="shared" ref="AG21:AG25" si="117">AJ21-$X21</f>
        <v>-504398.24399999902</v>
      </c>
      <c r="AH21" s="291">
        <f t="shared" ref="AH21:AH25" si="118">AG21*$D21</f>
        <v>-111406.85117189981</v>
      </c>
      <c r="AI21" s="71"/>
      <c r="AJ21" s="124">
        <f>'PrePost Reb 05'!$F$26</f>
        <v>26069107.208635159</v>
      </c>
      <c r="AK21" s="125">
        <f t="shared" ref="AK21:AK25" si="119">AJ21*$D21</f>
        <v>5757904.9521368342</v>
      </c>
      <c r="AL21" s="71"/>
      <c r="AM21" s="291">
        <f t="shared" ref="AM21:AM25" si="120">AP21-$X21</f>
        <v>0</v>
      </c>
      <c r="AN21" s="291">
        <f t="shared" ref="AN21:AN25" si="121">AM21*$D21</f>
        <v>0</v>
      </c>
      <c r="AO21" s="71"/>
      <c r="AP21" s="124">
        <f>'PrePost Reb 06'!$F$26</f>
        <v>26573505.452635158</v>
      </c>
      <c r="AQ21" s="125">
        <f t="shared" ref="AQ21:AQ25" si="122">AP21*$D21</f>
        <v>5869311.8033087337</v>
      </c>
      <c r="AR21" s="71"/>
      <c r="AS21" s="291">
        <f t="shared" ref="AS21:AS25" si="123">AV21-$X21</f>
        <v>0</v>
      </c>
      <c r="AT21" s="291">
        <f t="shared" ref="AT21:AT25" si="124">AS21*$D21</f>
        <v>0</v>
      </c>
      <c r="AU21" s="71"/>
      <c r="AV21" s="124">
        <f>'PrePost Reb 07'!$F$26</f>
        <v>26573505.452635158</v>
      </c>
      <c r="AW21" s="125">
        <f t="shared" ref="AW21:AW25" si="125">AV21*$D21</f>
        <v>5869311.8033087337</v>
      </c>
      <c r="AX21" s="71"/>
      <c r="AY21" s="291">
        <f t="shared" ref="AY21:AY25" si="126">BB21-$X21</f>
        <v>0</v>
      </c>
      <c r="AZ21" s="291">
        <f t="shared" ref="AZ21:AZ25" si="127">AY21*$D21</f>
        <v>0</v>
      </c>
      <c r="BA21" s="71"/>
      <c r="BB21" s="124">
        <f>'PrePost Reb 08'!$F$26</f>
        <v>26573505.452635158</v>
      </c>
      <c r="BC21" s="125">
        <f t="shared" ref="BC21:BC25" si="128">BB21*$D21</f>
        <v>5869311.8033087337</v>
      </c>
      <c r="BD21" s="71"/>
      <c r="BE21" s="291">
        <f t="shared" ref="BE21:BE25" si="129">(BH21-F21)-SUM(I21,O21,U21,AA21,AG21,AM21,AS21,AY21)</f>
        <v>13703.561999995261</v>
      </c>
      <c r="BF21" s="291">
        <f t="shared" ref="BF21:BF25" si="130">BE21*$D21</f>
        <v>3026.7169055774443</v>
      </c>
      <c r="BG21" s="71"/>
      <c r="BH21" s="124">
        <f>'PrePost Reb 10'!$F$26</f>
        <v>26178993.63241427</v>
      </c>
      <c r="BI21" s="125">
        <f t="shared" ref="BI21:BI25" si="131">BH21*$D21</f>
        <v>5782175.6561002126</v>
      </c>
      <c r="BJ21" s="71"/>
      <c r="BK21" s="291">
        <f t="shared" ref="BK21:BK25" si="132">BN21-$BH21</f>
        <v>1374579.3480000049</v>
      </c>
      <c r="BL21" s="291">
        <f t="shared" ref="BL21:BL25" si="133">BK21*$D21</f>
        <v>303604.46069793199</v>
      </c>
      <c r="BM21" s="71"/>
      <c r="BN21" s="124">
        <f>'PrePost Reb 11'!$F$26</f>
        <v>27553572.980414275</v>
      </c>
      <c r="BO21" s="125">
        <f t="shared" ref="BO21:BO25" si="134">BN21*$D21</f>
        <v>6085780.1167981438</v>
      </c>
      <c r="BP21" s="71"/>
      <c r="BQ21" s="291">
        <f t="shared" ref="BQ21:BQ25" si="135">BT21-$BH21</f>
        <v>0</v>
      </c>
      <c r="BR21" s="291">
        <f t="shared" ref="BR21:BR25" si="136">BQ21*$D21</f>
        <v>0</v>
      </c>
      <c r="BS21" s="71"/>
      <c r="BT21" s="124">
        <f>'PrePost Reb 12'!$F$26</f>
        <v>26178993.63241427</v>
      </c>
      <c r="BU21" s="125">
        <f t="shared" ref="BU21:BU25" si="137">BT21*$D21</f>
        <v>5782175.6561002126</v>
      </c>
      <c r="BV21" s="71"/>
      <c r="BW21" s="291">
        <f t="shared" ref="BW21:BW25" si="138">BZ21-$BH21</f>
        <v>0</v>
      </c>
      <c r="BX21" s="291">
        <f t="shared" ref="BX21:BX25" si="139">BW21*$D21</f>
        <v>0</v>
      </c>
      <c r="BY21" s="71"/>
      <c r="BZ21" s="124">
        <f>'PrePost Reb 13'!$F$26</f>
        <v>26178993.63241427</v>
      </c>
      <c r="CA21" s="125">
        <f t="shared" ref="CA21:CA25" si="140">BZ21*$D21</f>
        <v>5782175.6561002126</v>
      </c>
      <c r="CB21" s="71"/>
      <c r="CC21" s="291">
        <f t="shared" ref="CC21:CC25" si="141">CF21-$BH21</f>
        <v>0</v>
      </c>
      <c r="CD21" s="291">
        <f t="shared" ref="CD21:CD25" si="142">CC21*$D21</f>
        <v>0</v>
      </c>
      <c r="CE21" s="71"/>
      <c r="CF21" s="124">
        <f>'PrePost Reb 14'!$F$26</f>
        <v>26178993.63241427</v>
      </c>
      <c r="CG21" s="125">
        <f t="shared" ref="CG21:CG25" si="143">CF21*$D21</f>
        <v>5782175.6561002126</v>
      </c>
      <c r="CH21" s="71"/>
      <c r="CI21" s="291">
        <f t="shared" ref="CI21:CI25" si="144">CL21-$BH21</f>
        <v>0</v>
      </c>
      <c r="CJ21" s="291">
        <f t="shared" ref="CJ21:CJ25" si="145">CI21*$D21</f>
        <v>0</v>
      </c>
      <c r="CK21" s="71"/>
      <c r="CL21" s="124">
        <f>'PrePost Reb 15'!$F$26</f>
        <v>26178993.63241427</v>
      </c>
      <c r="CM21" s="125">
        <f t="shared" ref="CM21:CM25" si="146">CL21*$D21</f>
        <v>5782175.6561002126</v>
      </c>
      <c r="CN21" s="71"/>
      <c r="CO21" s="291">
        <f t="shared" ref="CO21:CO25" si="147">CR21-$BH21</f>
        <v>0</v>
      </c>
      <c r="CP21" s="291">
        <f t="shared" ref="CP21:CP25" si="148">CO21*$D21</f>
        <v>0</v>
      </c>
      <c r="CQ21" s="71"/>
      <c r="CR21" s="124">
        <f>'PrePost Reb 16'!$F$26</f>
        <v>26178993.63241427</v>
      </c>
      <c r="CS21" s="125">
        <f t="shared" ref="CS21:CS25" si="149">CR21*$D21</f>
        <v>5782175.6561002126</v>
      </c>
      <c r="CT21" s="71"/>
      <c r="CU21" s="291">
        <f t="shared" ref="CU21:CU25" si="150">CX21-$BH21</f>
        <v>0</v>
      </c>
      <c r="CV21" s="291">
        <f t="shared" ref="CV21:CV25" si="151">CU21*$D21</f>
        <v>0</v>
      </c>
      <c r="CW21" s="71"/>
      <c r="CX21" s="124">
        <f>'PrePost Reb 17'!$F$26</f>
        <v>26178993.63241427</v>
      </c>
      <c r="CY21" s="125">
        <f t="shared" ref="CY21:CY25" si="152">CX21*$D21</f>
        <v>5782175.6561002126</v>
      </c>
      <c r="CZ21" s="71"/>
      <c r="DA21" s="291">
        <f t="shared" ref="DA21:DA25" si="153">DD21-$BH21</f>
        <v>0</v>
      </c>
      <c r="DB21" s="291">
        <f t="shared" ref="DB21:DB25" si="154">DA21*$D21</f>
        <v>0</v>
      </c>
      <c r="DC21" s="71"/>
      <c r="DD21" s="124">
        <f>'PrePost Reb 18'!$F$26</f>
        <v>26178993.63241427</v>
      </c>
      <c r="DE21" s="125">
        <f t="shared" ref="DE21:DE25" si="155">DD21*$D21</f>
        <v>5782175.6561002126</v>
      </c>
      <c r="DF21" s="71"/>
      <c r="DG21" s="291">
        <f t="shared" ref="DG21:DG25" si="156">DJ21-$BH21</f>
        <v>0</v>
      </c>
      <c r="DH21" s="291">
        <f t="shared" ref="DH21:DH25" si="157">DG21*$D21</f>
        <v>0</v>
      </c>
      <c r="DI21" s="71"/>
      <c r="DJ21" s="124">
        <f>'PrePost Reb 19'!$F$26</f>
        <v>26178993.63241427</v>
      </c>
      <c r="DK21" s="125">
        <f t="shared" ref="DK21:DK25" si="158">DJ21*$D21</f>
        <v>5782175.6561002126</v>
      </c>
      <c r="DL21" s="71"/>
      <c r="DM21" s="291">
        <f t="shared" ref="DM21:DM25" si="159">DP21-$BH21</f>
        <v>0</v>
      </c>
      <c r="DN21" s="291">
        <f t="shared" ref="DN21:DN25" si="160">DM21*$D21</f>
        <v>0</v>
      </c>
      <c r="DO21" s="71"/>
      <c r="DP21" s="124">
        <f>'PrePost Reb 20'!$F$26</f>
        <v>26178993.63241427</v>
      </c>
      <c r="DQ21" s="125">
        <f t="shared" ref="DQ21:DQ25" si="161">DP21*$D21</f>
        <v>5782175.6561002126</v>
      </c>
      <c r="DR21" s="71"/>
      <c r="DS21" s="291">
        <f t="shared" ref="DS21:DS25" si="162">(DV21-BH21)-SUM(BK21,BQ21,BW21,CC21,CI21,CO21,CU21,DA21,DG21,DM21)</f>
        <v>0</v>
      </c>
      <c r="DT21" s="291">
        <f t="shared" ref="DT21:DT25" si="163">DS21*$D21</f>
        <v>0</v>
      </c>
      <c r="DU21" s="71"/>
      <c r="DV21" s="124">
        <f>'Proforma 3-2012 (Rebuttal)'!$F$29</f>
        <v>27553572.980414275</v>
      </c>
      <c r="DW21" s="125">
        <f t="shared" ref="DW21:DW25" si="164">DV21*$D21</f>
        <v>6085780.1167981438</v>
      </c>
      <c r="DX21" s="71"/>
      <c r="DY21" s="282">
        <f t="shared" ref="DY21:DY25" si="165">SUM(DS21,DM21,DG21,DA21,CU21,CO21,CI21,CC21,BW21,BQ21,BK21,BE21,AY21,AS21,AM21,AG21,AA21,U21,O21,I21)</f>
        <v>977843.4559940882</v>
      </c>
      <c r="DZ21" s="282">
        <f t="shared" ref="DZ21:DZ25" si="166">DY21*$D21</f>
        <v>215977.08094191889</v>
      </c>
      <c r="EA21" s="71"/>
      <c r="ED21" s="71"/>
    </row>
    <row r="22" spans="1:134">
      <c r="A22" s="64" t="s">
        <v>33</v>
      </c>
      <c r="B22" s="65" t="s">
        <v>167</v>
      </c>
      <c r="C22" s="58" t="s">
        <v>13</v>
      </c>
      <c r="D22" s="66">
        <v>0.22270549443887661</v>
      </c>
      <c r="E22" s="71"/>
      <c r="F22" s="124">
        <f>'Pro Forma 3 2012 - Initial Fili'!G28</f>
        <v>7949108.9455798157</v>
      </c>
      <c r="G22" s="125">
        <f t="shared" si="104"/>
        <v>1770310.2380738498</v>
      </c>
      <c r="H22" s="71"/>
      <c r="I22" s="291">
        <f t="shared" si="105"/>
        <v>0</v>
      </c>
      <c r="J22" s="291">
        <f t="shared" si="106"/>
        <v>0</v>
      </c>
      <c r="K22" s="71"/>
      <c r="L22" s="124">
        <f>'PrePost Reb 01'!$G$26</f>
        <v>7949108.9455798157</v>
      </c>
      <c r="M22" s="125">
        <f t="shared" si="107"/>
        <v>1770310.2380738498</v>
      </c>
      <c r="N22" s="71"/>
      <c r="O22" s="291">
        <f t="shared" si="108"/>
        <v>-8501.4382149726152</v>
      </c>
      <c r="P22" s="291">
        <f t="shared" si="109"/>
        <v>-1893.3170011070367</v>
      </c>
      <c r="Q22" s="71"/>
      <c r="R22" s="124">
        <f>'PrePost Reb 02'!$G$26</f>
        <v>7940607.507364843</v>
      </c>
      <c r="S22" s="125">
        <f t="shared" si="110"/>
        <v>1768416.9210727429</v>
      </c>
      <c r="T22" s="71"/>
      <c r="U22" s="291">
        <f t="shared" si="111"/>
        <v>0</v>
      </c>
      <c r="V22" s="291">
        <f t="shared" si="112"/>
        <v>0</v>
      </c>
      <c r="W22" s="71"/>
      <c r="X22" s="124">
        <f>'PrePost Reb 03'!$G$26</f>
        <v>7940607.507364843</v>
      </c>
      <c r="Y22" s="125">
        <f t="shared" si="113"/>
        <v>1768416.9210727429</v>
      </c>
      <c r="Z22" s="71"/>
      <c r="AA22" s="291">
        <f t="shared" si="114"/>
        <v>224426.66822088603</v>
      </c>
      <c r="AB22" s="291">
        <f t="shared" si="115"/>
        <v>49981.052111402139</v>
      </c>
      <c r="AC22" s="71"/>
      <c r="AD22" s="124">
        <f>'PrePost Reb 04'!$G$26</f>
        <v>8165034.1755857291</v>
      </c>
      <c r="AE22" s="125">
        <f t="shared" si="116"/>
        <v>1818397.9731841451</v>
      </c>
      <c r="AF22" s="71"/>
      <c r="AG22" s="291">
        <f t="shared" si="117"/>
        <v>-1176929.2359999996</v>
      </c>
      <c r="AH22" s="291">
        <f t="shared" si="118"/>
        <v>-262108.60742294919</v>
      </c>
      <c r="AI22" s="71"/>
      <c r="AJ22" s="124">
        <f>'PrePost Reb 05'!$G$26</f>
        <v>6763678.2713648435</v>
      </c>
      <c r="AK22" s="125">
        <f t="shared" si="119"/>
        <v>1506308.3136497936</v>
      </c>
      <c r="AL22" s="71"/>
      <c r="AM22" s="291">
        <f t="shared" si="120"/>
        <v>0</v>
      </c>
      <c r="AN22" s="291">
        <f t="shared" si="121"/>
        <v>0</v>
      </c>
      <c r="AO22" s="71"/>
      <c r="AP22" s="124">
        <f>'PrePost Reb 06'!$G$26</f>
        <v>7940607.507364843</v>
      </c>
      <c r="AQ22" s="125">
        <f t="shared" si="122"/>
        <v>1768416.9210727429</v>
      </c>
      <c r="AR22" s="71"/>
      <c r="AS22" s="291">
        <f t="shared" si="123"/>
        <v>0</v>
      </c>
      <c r="AT22" s="291">
        <f t="shared" si="124"/>
        <v>0</v>
      </c>
      <c r="AU22" s="71"/>
      <c r="AV22" s="124">
        <f>'PrePost Reb 07'!$G$26</f>
        <v>7940607.507364843</v>
      </c>
      <c r="AW22" s="125">
        <f t="shared" si="125"/>
        <v>1768416.9210727429</v>
      </c>
      <c r="AX22" s="71"/>
      <c r="AY22" s="291">
        <f t="shared" si="126"/>
        <v>0</v>
      </c>
      <c r="AZ22" s="291">
        <f t="shared" si="127"/>
        <v>0</v>
      </c>
      <c r="BA22" s="71"/>
      <c r="BB22" s="124">
        <f>'PrePost Reb 08'!$G$26</f>
        <v>7940607.507364843</v>
      </c>
      <c r="BC22" s="125">
        <f t="shared" si="128"/>
        <v>1768416.9210727429</v>
      </c>
      <c r="BD22" s="71"/>
      <c r="BE22" s="291">
        <f t="shared" si="129"/>
        <v>31974.977999997325</v>
      </c>
      <c r="BF22" s="291">
        <f t="shared" si="130"/>
        <v>7121.0032851616061</v>
      </c>
      <c r="BG22" s="71"/>
      <c r="BH22" s="124">
        <f>'PrePost Reb 10'!$G$26</f>
        <v>7020079.9175857268</v>
      </c>
      <c r="BI22" s="125">
        <f t="shared" si="131"/>
        <v>1563410.3690463575</v>
      </c>
      <c r="BJ22" s="71"/>
      <c r="BK22" s="291">
        <f t="shared" si="132"/>
        <v>3207351.8120000027</v>
      </c>
      <c r="BL22" s="291">
        <f t="shared" si="133"/>
        <v>714294.87113088742</v>
      </c>
      <c r="BM22" s="71"/>
      <c r="BN22" s="124">
        <f>'PrePost Reb 11'!$G$26</f>
        <v>10227431.72958573</v>
      </c>
      <c r="BO22" s="125">
        <f t="shared" si="134"/>
        <v>2277705.2401772449</v>
      </c>
      <c r="BP22" s="71"/>
      <c r="BQ22" s="291">
        <f t="shared" si="135"/>
        <v>0</v>
      </c>
      <c r="BR22" s="291">
        <f t="shared" si="136"/>
        <v>0</v>
      </c>
      <c r="BS22" s="71"/>
      <c r="BT22" s="124">
        <f>'PrePost Reb 12'!$G$26</f>
        <v>7020079.9175857268</v>
      </c>
      <c r="BU22" s="125">
        <f t="shared" si="137"/>
        <v>1563410.3690463575</v>
      </c>
      <c r="BV22" s="71"/>
      <c r="BW22" s="291">
        <f t="shared" si="138"/>
        <v>0</v>
      </c>
      <c r="BX22" s="291">
        <f t="shared" si="139"/>
        <v>0</v>
      </c>
      <c r="BY22" s="71"/>
      <c r="BZ22" s="124">
        <f>'PrePost Reb 13'!$G$26</f>
        <v>7020079.9175857268</v>
      </c>
      <c r="CA22" s="125">
        <f t="shared" si="140"/>
        <v>1563410.3690463575</v>
      </c>
      <c r="CB22" s="71"/>
      <c r="CC22" s="291">
        <f t="shared" si="141"/>
        <v>0</v>
      </c>
      <c r="CD22" s="291">
        <f t="shared" si="142"/>
        <v>0</v>
      </c>
      <c r="CE22" s="71"/>
      <c r="CF22" s="124">
        <f>'PrePost Reb 14'!$G$26</f>
        <v>7020079.9175857268</v>
      </c>
      <c r="CG22" s="125">
        <f t="shared" si="143"/>
        <v>1563410.3690463575</v>
      </c>
      <c r="CH22" s="71"/>
      <c r="CI22" s="291">
        <f t="shared" si="144"/>
        <v>0</v>
      </c>
      <c r="CJ22" s="291">
        <f t="shared" si="145"/>
        <v>0</v>
      </c>
      <c r="CK22" s="71"/>
      <c r="CL22" s="124">
        <f>'PrePost Reb 15'!$G$26</f>
        <v>7020079.9175857268</v>
      </c>
      <c r="CM22" s="125">
        <f t="shared" si="146"/>
        <v>1563410.3690463575</v>
      </c>
      <c r="CN22" s="71"/>
      <c r="CO22" s="291">
        <f t="shared" si="147"/>
        <v>0</v>
      </c>
      <c r="CP22" s="291">
        <f t="shared" si="148"/>
        <v>0</v>
      </c>
      <c r="CQ22" s="71"/>
      <c r="CR22" s="124">
        <f>'PrePost Reb 16'!$G$26</f>
        <v>7020079.9175857268</v>
      </c>
      <c r="CS22" s="125">
        <f t="shared" si="149"/>
        <v>1563410.3690463575</v>
      </c>
      <c r="CT22" s="71"/>
      <c r="CU22" s="291">
        <f t="shared" si="150"/>
        <v>0</v>
      </c>
      <c r="CV22" s="291">
        <f t="shared" si="151"/>
        <v>0</v>
      </c>
      <c r="CW22" s="71"/>
      <c r="CX22" s="124">
        <f>'PrePost Reb 17'!$G$26</f>
        <v>7020079.9175857268</v>
      </c>
      <c r="CY22" s="125">
        <f t="shared" si="152"/>
        <v>1563410.3690463575</v>
      </c>
      <c r="CZ22" s="71"/>
      <c r="DA22" s="291">
        <f t="shared" si="153"/>
        <v>0</v>
      </c>
      <c r="DB22" s="291">
        <f t="shared" si="154"/>
        <v>0</v>
      </c>
      <c r="DC22" s="71"/>
      <c r="DD22" s="124">
        <f>'PrePost Reb 18'!$G$26</f>
        <v>7020079.9175857268</v>
      </c>
      <c r="DE22" s="125">
        <f t="shared" si="155"/>
        <v>1563410.3690463575</v>
      </c>
      <c r="DF22" s="71"/>
      <c r="DG22" s="291">
        <f t="shared" si="156"/>
        <v>0</v>
      </c>
      <c r="DH22" s="291">
        <f t="shared" si="157"/>
        <v>0</v>
      </c>
      <c r="DI22" s="71"/>
      <c r="DJ22" s="124">
        <f>'PrePost Reb 19'!$G$26</f>
        <v>7020079.9175857268</v>
      </c>
      <c r="DK22" s="125">
        <f t="shared" si="158"/>
        <v>1563410.3690463575</v>
      </c>
      <c r="DL22" s="71"/>
      <c r="DM22" s="291">
        <f t="shared" si="159"/>
        <v>0</v>
      </c>
      <c r="DN22" s="291">
        <f t="shared" si="160"/>
        <v>0</v>
      </c>
      <c r="DO22" s="71"/>
      <c r="DP22" s="124">
        <f>'PrePost Reb 20'!$G$26</f>
        <v>7020079.9175857268</v>
      </c>
      <c r="DQ22" s="125">
        <f t="shared" si="161"/>
        <v>1563410.3690463575</v>
      </c>
      <c r="DR22" s="71"/>
      <c r="DS22" s="291">
        <f t="shared" si="162"/>
        <v>0</v>
      </c>
      <c r="DT22" s="291">
        <f t="shared" si="163"/>
        <v>0</v>
      </c>
      <c r="DU22" s="71"/>
      <c r="DV22" s="124">
        <f>'Proforma 3-2012 (Rebuttal)'!$G$29</f>
        <v>10227431.72958573</v>
      </c>
      <c r="DW22" s="125">
        <f t="shared" si="164"/>
        <v>2277705.2401772449</v>
      </c>
      <c r="DX22" s="71"/>
      <c r="DY22" s="282">
        <f t="shared" si="165"/>
        <v>2278322.7840059139</v>
      </c>
      <c r="DZ22" s="282">
        <f t="shared" si="166"/>
        <v>507395.00210339495</v>
      </c>
      <c r="EA22" s="71"/>
      <c r="ED22" s="71"/>
    </row>
    <row r="23" spans="1:134">
      <c r="A23" s="64" t="s">
        <v>14</v>
      </c>
      <c r="B23" s="65" t="s">
        <v>167</v>
      </c>
      <c r="C23" s="58" t="s">
        <v>15</v>
      </c>
      <c r="D23" s="67">
        <v>1</v>
      </c>
      <c r="E23" s="71"/>
      <c r="F23" s="124">
        <f>'Pro Forma 3 2012 - Initial Fili'!I26</f>
        <v>3054402.51</v>
      </c>
      <c r="G23" s="125">
        <f t="shared" si="104"/>
        <v>3054402.51</v>
      </c>
      <c r="H23" s="71"/>
      <c r="I23" s="291">
        <f t="shared" si="105"/>
        <v>0</v>
      </c>
      <c r="J23" s="291">
        <f t="shared" si="106"/>
        <v>0</v>
      </c>
      <c r="K23" s="71"/>
      <c r="L23" s="124">
        <f>'PrePost Reb 01'!$I$26</f>
        <v>3054402.51</v>
      </c>
      <c r="M23" s="125">
        <f t="shared" si="107"/>
        <v>3054402.51</v>
      </c>
      <c r="N23" s="71"/>
      <c r="O23" s="291">
        <f t="shared" si="108"/>
        <v>0</v>
      </c>
      <c r="P23" s="291">
        <f t="shared" si="109"/>
        <v>0</v>
      </c>
      <c r="Q23" s="71"/>
      <c r="R23" s="124">
        <f>'PrePost Reb 02'!$I$26</f>
        <v>3054402.51</v>
      </c>
      <c r="S23" s="125">
        <f t="shared" si="110"/>
        <v>3054402.51</v>
      </c>
      <c r="T23" s="71"/>
      <c r="U23" s="291">
        <f t="shared" si="111"/>
        <v>0</v>
      </c>
      <c r="V23" s="291">
        <f t="shared" si="112"/>
        <v>0</v>
      </c>
      <c r="W23" s="71"/>
      <c r="X23" s="124">
        <f>'PrePost Reb 03'!$I$26</f>
        <v>3054402.51</v>
      </c>
      <c r="Y23" s="125">
        <f t="shared" si="113"/>
        <v>3054402.51</v>
      </c>
      <c r="Z23" s="71"/>
      <c r="AA23" s="291">
        <f t="shared" si="114"/>
        <v>0</v>
      </c>
      <c r="AB23" s="291">
        <f t="shared" si="115"/>
        <v>0</v>
      </c>
      <c r="AC23" s="71"/>
      <c r="AD23" s="124">
        <f>'PrePost Reb 04'!$I$26</f>
        <v>3054402.51</v>
      </c>
      <c r="AE23" s="125">
        <f t="shared" si="116"/>
        <v>3054402.51</v>
      </c>
      <c r="AF23" s="71"/>
      <c r="AG23" s="291">
        <f t="shared" si="117"/>
        <v>0</v>
      </c>
      <c r="AH23" s="291">
        <f t="shared" si="118"/>
        <v>0</v>
      </c>
      <c r="AI23" s="71"/>
      <c r="AJ23" s="124">
        <f>'PrePost Reb 05'!$I$26</f>
        <v>3054402.51</v>
      </c>
      <c r="AK23" s="125">
        <f t="shared" si="119"/>
        <v>3054402.51</v>
      </c>
      <c r="AL23" s="71"/>
      <c r="AM23" s="291">
        <f t="shared" si="120"/>
        <v>0</v>
      </c>
      <c r="AN23" s="291">
        <f t="shared" si="121"/>
        <v>0</v>
      </c>
      <c r="AO23" s="71"/>
      <c r="AP23" s="124">
        <f>'PrePost Reb 06'!$I$26</f>
        <v>3054402.51</v>
      </c>
      <c r="AQ23" s="125">
        <f t="shared" si="122"/>
        <v>3054402.51</v>
      </c>
      <c r="AR23" s="71"/>
      <c r="AS23" s="291">
        <f t="shared" si="123"/>
        <v>0</v>
      </c>
      <c r="AT23" s="291">
        <f t="shared" si="124"/>
        <v>0</v>
      </c>
      <c r="AU23" s="71"/>
      <c r="AV23" s="124">
        <f>'PrePost Reb 07'!$I$26</f>
        <v>3054402.51</v>
      </c>
      <c r="AW23" s="125">
        <f t="shared" si="125"/>
        <v>3054402.51</v>
      </c>
      <c r="AX23" s="71"/>
      <c r="AY23" s="291">
        <f t="shared" si="126"/>
        <v>0</v>
      </c>
      <c r="AZ23" s="291">
        <f t="shared" si="127"/>
        <v>0</v>
      </c>
      <c r="BA23" s="71"/>
      <c r="BB23" s="124">
        <f>'PrePost Reb 08'!$I$26</f>
        <v>3054402.51</v>
      </c>
      <c r="BC23" s="125">
        <f t="shared" si="128"/>
        <v>3054402.51</v>
      </c>
      <c r="BD23" s="71"/>
      <c r="BE23" s="291">
        <f t="shared" si="129"/>
        <v>0</v>
      </c>
      <c r="BF23" s="291">
        <f t="shared" si="130"/>
        <v>0</v>
      </c>
      <c r="BG23" s="71"/>
      <c r="BH23" s="124">
        <f>'PrePost Reb 10'!$I$26</f>
        <v>3054402.51</v>
      </c>
      <c r="BI23" s="125">
        <f t="shared" si="131"/>
        <v>3054402.51</v>
      </c>
      <c r="BJ23" s="71"/>
      <c r="BK23" s="291">
        <f t="shared" si="132"/>
        <v>0</v>
      </c>
      <c r="BL23" s="291">
        <f t="shared" si="133"/>
        <v>0</v>
      </c>
      <c r="BM23" s="71"/>
      <c r="BN23" s="124">
        <f>'PrePost Reb 11'!$I$26</f>
        <v>3054402.51</v>
      </c>
      <c r="BO23" s="125">
        <f t="shared" si="134"/>
        <v>3054402.51</v>
      </c>
      <c r="BP23" s="71"/>
      <c r="BQ23" s="291">
        <f t="shared" si="135"/>
        <v>0</v>
      </c>
      <c r="BR23" s="291">
        <f t="shared" si="136"/>
        <v>0</v>
      </c>
      <c r="BS23" s="71"/>
      <c r="BT23" s="124">
        <f>'PrePost Reb 12'!$I$26</f>
        <v>3054402.51</v>
      </c>
      <c r="BU23" s="125">
        <f t="shared" si="137"/>
        <v>3054402.51</v>
      </c>
      <c r="BV23" s="71"/>
      <c r="BW23" s="291">
        <f t="shared" si="138"/>
        <v>0</v>
      </c>
      <c r="BX23" s="291">
        <f t="shared" si="139"/>
        <v>0</v>
      </c>
      <c r="BY23" s="71"/>
      <c r="BZ23" s="124">
        <f>'PrePost Reb 13'!$I$26</f>
        <v>3054402.51</v>
      </c>
      <c r="CA23" s="125">
        <f t="shared" si="140"/>
        <v>3054402.51</v>
      </c>
      <c r="CB23" s="71"/>
      <c r="CC23" s="291">
        <f t="shared" si="141"/>
        <v>0</v>
      </c>
      <c r="CD23" s="291">
        <f t="shared" si="142"/>
        <v>0</v>
      </c>
      <c r="CE23" s="71"/>
      <c r="CF23" s="124">
        <f>'PrePost Reb 14'!$I$26</f>
        <v>3054402.51</v>
      </c>
      <c r="CG23" s="125">
        <f t="shared" si="143"/>
        <v>3054402.51</v>
      </c>
      <c r="CH23" s="71"/>
      <c r="CI23" s="291">
        <f t="shared" si="144"/>
        <v>0</v>
      </c>
      <c r="CJ23" s="291">
        <f t="shared" si="145"/>
        <v>0</v>
      </c>
      <c r="CK23" s="71"/>
      <c r="CL23" s="124">
        <f>'PrePost Reb 15'!$I$26</f>
        <v>3054402.51</v>
      </c>
      <c r="CM23" s="125">
        <f t="shared" si="146"/>
        <v>3054402.51</v>
      </c>
      <c r="CN23" s="71"/>
      <c r="CO23" s="291">
        <f t="shared" si="147"/>
        <v>0</v>
      </c>
      <c r="CP23" s="291">
        <f t="shared" si="148"/>
        <v>0</v>
      </c>
      <c r="CQ23" s="71"/>
      <c r="CR23" s="124">
        <f>'PrePost Reb 16'!$I$26</f>
        <v>3054402.51</v>
      </c>
      <c r="CS23" s="125">
        <f t="shared" si="149"/>
        <v>3054402.51</v>
      </c>
      <c r="CT23" s="71"/>
      <c r="CU23" s="291">
        <f t="shared" si="150"/>
        <v>0</v>
      </c>
      <c r="CV23" s="291">
        <f t="shared" si="151"/>
        <v>0</v>
      </c>
      <c r="CW23" s="71"/>
      <c r="CX23" s="124">
        <f>'PrePost Reb 17'!$I$26</f>
        <v>3054402.51</v>
      </c>
      <c r="CY23" s="125">
        <f t="shared" si="152"/>
        <v>3054402.51</v>
      </c>
      <c r="CZ23" s="71"/>
      <c r="DA23" s="291">
        <f t="shared" si="153"/>
        <v>0</v>
      </c>
      <c r="DB23" s="291">
        <f t="shared" si="154"/>
        <v>0</v>
      </c>
      <c r="DC23" s="71"/>
      <c r="DD23" s="124">
        <f>'PrePost Reb 18'!$I$26</f>
        <v>3054402.51</v>
      </c>
      <c r="DE23" s="125">
        <f t="shared" si="155"/>
        <v>3054402.51</v>
      </c>
      <c r="DF23" s="71"/>
      <c r="DG23" s="291">
        <f t="shared" si="156"/>
        <v>0</v>
      </c>
      <c r="DH23" s="291">
        <f t="shared" si="157"/>
        <v>0</v>
      </c>
      <c r="DI23" s="71"/>
      <c r="DJ23" s="124">
        <f>'PrePost Reb 19'!$I$26</f>
        <v>3054402.51</v>
      </c>
      <c r="DK23" s="125">
        <f t="shared" si="158"/>
        <v>3054402.51</v>
      </c>
      <c r="DL23" s="71"/>
      <c r="DM23" s="291">
        <f t="shared" si="159"/>
        <v>0</v>
      </c>
      <c r="DN23" s="291">
        <f t="shared" si="160"/>
        <v>0</v>
      </c>
      <c r="DO23" s="71"/>
      <c r="DP23" s="124">
        <f>'PrePost Reb 20'!$I$26</f>
        <v>3054402.51</v>
      </c>
      <c r="DQ23" s="125">
        <f t="shared" si="161"/>
        <v>3054402.51</v>
      </c>
      <c r="DR23" s="71"/>
      <c r="DS23" s="291">
        <f t="shared" si="162"/>
        <v>0</v>
      </c>
      <c r="DT23" s="291">
        <f t="shared" si="163"/>
        <v>0</v>
      </c>
      <c r="DU23" s="71"/>
      <c r="DV23" s="124">
        <f>'Proforma 3-2012 (Rebuttal)'!$I$29</f>
        <v>3054402.51</v>
      </c>
      <c r="DW23" s="125">
        <f t="shared" si="164"/>
        <v>3054402.51</v>
      </c>
      <c r="DX23" s="71"/>
      <c r="DY23" s="282">
        <f t="shared" si="165"/>
        <v>0</v>
      </c>
      <c r="DZ23" s="282">
        <f t="shared" si="166"/>
        <v>0</v>
      </c>
      <c r="EA23" s="71"/>
      <c r="ED23" s="71"/>
    </row>
    <row r="24" spans="1:134">
      <c r="A24" s="64" t="s">
        <v>34</v>
      </c>
      <c r="B24" s="65" t="s">
        <v>167</v>
      </c>
      <c r="C24" s="58" t="s">
        <v>10</v>
      </c>
      <c r="D24" s="66">
        <v>0.220870814871235</v>
      </c>
      <c r="E24" s="71"/>
      <c r="F24" s="124">
        <f>'Pro Forma 3 2012 - Initial Fili'!I87-'Pro Forma 3 2012 - Initial Fili'!I84-'Pro Forma 3 2012 - Initial Fili'!I26</f>
        <v>263720103.25999999</v>
      </c>
      <c r="G24" s="125">
        <f t="shared" si="104"/>
        <v>58248074.104962438</v>
      </c>
      <c r="H24" s="71"/>
      <c r="I24" s="291">
        <f t="shared" si="105"/>
        <v>42161.500000029802</v>
      </c>
      <c r="J24" s="291">
        <f t="shared" si="106"/>
        <v>9312.2448612001572</v>
      </c>
      <c r="K24" s="71"/>
      <c r="L24" s="124">
        <f>'PrePost Reb 01'!$I$81</f>
        <v>263762264.76000002</v>
      </c>
      <c r="M24" s="125">
        <f t="shared" si="107"/>
        <v>58257386.349823639</v>
      </c>
      <c r="N24" s="71"/>
      <c r="O24" s="291">
        <f t="shared" si="108"/>
        <v>0</v>
      </c>
      <c r="P24" s="291">
        <f t="shared" si="109"/>
        <v>0</v>
      </c>
      <c r="Q24" s="71"/>
      <c r="R24" s="124">
        <f>'PrePost Reb 02'!$I$81</f>
        <v>263762264.76000002</v>
      </c>
      <c r="S24" s="125">
        <f t="shared" si="110"/>
        <v>58257386.349823639</v>
      </c>
      <c r="T24" s="71"/>
      <c r="U24" s="291">
        <f t="shared" si="111"/>
        <v>8732.0999999940395</v>
      </c>
      <c r="V24" s="291">
        <f t="shared" si="112"/>
        <v>1928.6660425357948</v>
      </c>
      <c r="W24" s="71"/>
      <c r="X24" s="124">
        <f>'PrePost Reb 03'!$I$81</f>
        <v>263770996.86000001</v>
      </c>
      <c r="Y24" s="125">
        <f t="shared" si="113"/>
        <v>58259315.015866168</v>
      </c>
      <c r="Z24" s="71"/>
      <c r="AA24" s="291">
        <f t="shared" si="114"/>
        <v>-34104190.530000031</v>
      </c>
      <c r="AB24" s="291">
        <f t="shared" si="115"/>
        <v>-7532620.3528849622</v>
      </c>
      <c r="AC24" s="71"/>
      <c r="AD24" s="124">
        <f>'PrePost Reb 04'!$I$81</f>
        <v>229666806.32999998</v>
      </c>
      <c r="AE24" s="125">
        <f t="shared" si="116"/>
        <v>50726694.662981212</v>
      </c>
      <c r="AF24" s="71"/>
      <c r="AG24" s="291">
        <f t="shared" si="117"/>
        <v>0</v>
      </c>
      <c r="AH24" s="291">
        <f t="shared" si="118"/>
        <v>0</v>
      </c>
      <c r="AI24" s="71"/>
      <c r="AJ24" s="124">
        <f>'PrePost Reb 05'!$I$81</f>
        <v>263770996.86000001</v>
      </c>
      <c r="AK24" s="125">
        <f t="shared" si="119"/>
        <v>58259315.015866168</v>
      </c>
      <c r="AL24" s="71"/>
      <c r="AM24" s="291">
        <f t="shared" si="120"/>
        <v>-766846.15999996662</v>
      </c>
      <c r="AN24" s="291">
        <f t="shared" si="121"/>
        <v>-169373.93624007009</v>
      </c>
      <c r="AO24" s="71"/>
      <c r="AP24" s="124">
        <f>'PrePost Reb 06'!$I$81</f>
        <v>263004150.70000005</v>
      </c>
      <c r="AQ24" s="125">
        <f t="shared" si="122"/>
        <v>58089941.079626098</v>
      </c>
      <c r="AR24" s="71"/>
      <c r="AS24" s="291">
        <f t="shared" si="123"/>
        <v>0</v>
      </c>
      <c r="AT24" s="291">
        <f t="shared" si="124"/>
        <v>0</v>
      </c>
      <c r="AU24" s="71"/>
      <c r="AV24" s="124">
        <f>'PrePost Reb 07'!$I$81</f>
        <v>263770996.86000001</v>
      </c>
      <c r="AW24" s="125">
        <f t="shared" si="125"/>
        <v>58259315.015866168</v>
      </c>
      <c r="AX24" s="71"/>
      <c r="AY24" s="291">
        <f t="shared" si="126"/>
        <v>0</v>
      </c>
      <c r="AZ24" s="291">
        <f t="shared" si="127"/>
        <v>0</v>
      </c>
      <c r="BA24" s="71"/>
      <c r="BB24" s="124">
        <f>'PrePost Reb 08'!$I$81</f>
        <v>263770996.86000001</v>
      </c>
      <c r="BC24" s="125">
        <f t="shared" si="128"/>
        <v>58259315.015866168</v>
      </c>
      <c r="BD24" s="71"/>
      <c r="BE24" s="291">
        <f t="shared" si="129"/>
        <v>15538204.129999995</v>
      </c>
      <c r="BF24" s="291">
        <f t="shared" si="130"/>
        <v>3431935.8078286881</v>
      </c>
      <c r="BG24" s="71"/>
      <c r="BH24" s="124">
        <f>'PrePost Reb 10'!$I$81</f>
        <v>244438164.30000001</v>
      </c>
      <c r="BI24" s="125">
        <f t="shared" si="131"/>
        <v>53989256.53456983</v>
      </c>
      <c r="BJ24" s="71"/>
      <c r="BK24" s="291">
        <f t="shared" si="132"/>
        <v>-11375659.449999988</v>
      </c>
      <c r="BL24" s="291">
        <f t="shared" si="133"/>
        <v>-2512551.1724191625</v>
      </c>
      <c r="BM24" s="71"/>
      <c r="BN24" s="124">
        <f>'PrePost Reb 11'!$I$81</f>
        <v>233062504.85000002</v>
      </c>
      <c r="BO24" s="125">
        <f t="shared" si="134"/>
        <v>51476705.362150662</v>
      </c>
      <c r="BP24" s="71"/>
      <c r="BQ24" s="291">
        <f t="shared" si="135"/>
        <v>0</v>
      </c>
      <c r="BR24" s="291">
        <f t="shared" si="136"/>
        <v>0</v>
      </c>
      <c r="BS24" s="71"/>
      <c r="BT24" s="124">
        <f>'PrePost Reb 12'!$I$81</f>
        <v>244438164.30000001</v>
      </c>
      <c r="BU24" s="125">
        <f t="shared" si="137"/>
        <v>53989256.53456983</v>
      </c>
      <c r="BV24" s="71"/>
      <c r="BW24" s="291">
        <f t="shared" si="138"/>
        <v>-38084670.860000014</v>
      </c>
      <c r="BX24" s="291">
        <f t="shared" si="139"/>
        <v>-8411792.2869509812</v>
      </c>
      <c r="BY24" s="71"/>
      <c r="BZ24" s="124">
        <f>'PrePost Reb 13'!$I$81</f>
        <v>206353493.44</v>
      </c>
      <c r="CA24" s="125">
        <f t="shared" si="140"/>
        <v>45577464.247618847</v>
      </c>
      <c r="CB24" s="71"/>
      <c r="CC24" s="291">
        <f t="shared" si="141"/>
        <v>-32143.530000001192</v>
      </c>
      <c r="CD24" s="291">
        <f t="shared" si="142"/>
        <v>-7099.5676639382518</v>
      </c>
      <c r="CE24" s="71"/>
      <c r="CF24" s="124">
        <f>'PrePost Reb 14'!$I$81</f>
        <v>244406020.77000001</v>
      </c>
      <c r="CG24" s="125">
        <f t="shared" si="143"/>
        <v>53982156.966905892</v>
      </c>
      <c r="CH24" s="71"/>
      <c r="CI24" s="291">
        <f t="shared" si="144"/>
        <v>0</v>
      </c>
      <c r="CJ24" s="291">
        <f t="shared" si="145"/>
        <v>0</v>
      </c>
      <c r="CK24" s="71"/>
      <c r="CL24" s="124">
        <f>'PrePost Reb 15'!$I$81</f>
        <v>244438164.30000001</v>
      </c>
      <c r="CM24" s="125">
        <f t="shared" si="146"/>
        <v>53989256.53456983</v>
      </c>
      <c r="CN24" s="71"/>
      <c r="CO24" s="291">
        <f t="shared" si="147"/>
        <v>-1556268.4000000358</v>
      </c>
      <c r="CP24" s="291">
        <f t="shared" si="148"/>
        <v>-343734.26966636098</v>
      </c>
      <c r="CQ24" s="71"/>
      <c r="CR24" s="124">
        <f>'PrePost Reb 16'!$I$81</f>
        <v>242881895.89999998</v>
      </c>
      <c r="CS24" s="125">
        <f t="shared" si="149"/>
        <v>53645522.264903463</v>
      </c>
      <c r="CT24" s="71"/>
      <c r="CU24" s="291">
        <f t="shared" si="150"/>
        <v>0</v>
      </c>
      <c r="CV24" s="291">
        <f t="shared" si="151"/>
        <v>0</v>
      </c>
      <c r="CW24" s="71"/>
      <c r="CX24" s="124">
        <f>'PrePost Reb 17'!$I$81</f>
        <v>244438164.30000001</v>
      </c>
      <c r="CY24" s="125">
        <f t="shared" si="152"/>
        <v>53989256.53456983</v>
      </c>
      <c r="CZ24" s="71"/>
      <c r="DA24" s="291">
        <f t="shared" si="153"/>
        <v>-1260698.9799999893</v>
      </c>
      <c r="DB24" s="291">
        <f t="shared" si="154"/>
        <v>-278451.61101993243</v>
      </c>
      <c r="DC24" s="71"/>
      <c r="DD24" s="124">
        <f>'PrePost Reb 18'!$I$81</f>
        <v>243177465.32000002</v>
      </c>
      <c r="DE24" s="125">
        <f t="shared" si="155"/>
        <v>53710804.923549898</v>
      </c>
      <c r="DF24" s="71"/>
      <c r="DG24" s="291">
        <f t="shared" si="156"/>
        <v>0</v>
      </c>
      <c r="DH24" s="291">
        <f t="shared" si="157"/>
        <v>0</v>
      </c>
      <c r="DI24" s="71"/>
      <c r="DJ24" s="124">
        <f>'PrePost Reb 19'!$I$81</f>
        <v>244438164.30000001</v>
      </c>
      <c r="DK24" s="125">
        <f t="shared" si="158"/>
        <v>53989256.53456983</v>
      </c>
      <c r="DL24" s="71"/>
      <c r="DM24" s="291">
        <f t="shared" si="159"/>
        <v>-243545.24000000954</v>
      </c>
      <c r="DN24" s="291">
        <f t="shared" si="160"/>
        <v>-53792.035616812602</v>
      </c>
      <c r="DO24" s="71"/>
      <c r="DP24" s="124">
        <f>'PrePost Reb 20'!$I$81</f>
        <v>244194619.06</v>
      </c>
      <c r="DQ24" s="125">
        <f t="shared" si="161"/>
        <v>53935464.498953015</v>
      </c>
      <c r="DR24" s="71"/>
      <c r="DS24" s="291">
        <f t="shared" si="162"/>
        <v>9612334.5800000429</v>
      </c>
      <c r="DT24" s="291">
        <f t="shared" si="163"/>
        <v>2123084.1714995601</v>
      </c>
      <c r="DU24" s="71"/>
      <c r="DV24" s="124">
        <f>'Proforma 3-2012 (Rebuttal)'!$I$84</f>
        <v>201497512.42000002</v>
      </c>
      <c r="DW24" s="125">
        <f t="shared" si="164"/>
        <v>44504919.7627322</v>
      </c>
      <c r="DX24" s="71"/>
      <c r="DY24" s="282">
        <f t="shared" si="165"/>
        <v>-62222590.839999974</v>
      </c>
      <c r="DZ24" s="282">
        <f t="shared" si="166"/>
        <v>-13743154.342230236</v>
      </c>
      <c r="EA24" s="71"/>
      <c r="ED24" s="71"/>
    </row>
    <row r="25" spans="1:134">
      <c r="A25" s="64" t="s">
        <v>35</v>
      </c>
      <c r="B25" s="65" t="s">
        <v>167</v>
      </c>
      <c r="C25" s="58" t="s">
        <v>10</v>
      </c>
      <c r="D25" s="66">
        <v>0.220870814871235</v>
      </c>
      <c r="E25" s="71"/>
      <c r="F25" s="124">
        <f>'Pro Forma 3 2012 - Initial Fili'!I84</f>
        <v>11379603.43</v>
      </c>
      <c r="G25" s="125">
        <f t="shared" si="104"/>
        <v>2513422.2824956006</v>
      </c>
      <c r="H25" s="71"/>
      <c r="I25" s="291">
        <f t="shared" si="105"/>
        <v>0</v>
      </c>
      <c r="J25" s="291">
        <f t="shared" si="106"/>
        <v>0</v>
      </c>
      <c r="K25" s="71"/>
      <c r="L25" s="124">
        <f>'PrePost Reb 01'!$I$82</f>
        <v>11379603.43</v>
      </c>
      <c r="M25" s="125">
        <f t="shared" si="107"/>
        <v>2513422.2824956006</v>
      </c>
      <c r="N25" s="71"/>
      <c r="O25" s="291">
        <f t="shared" si="108"/>
        <v>0</v>
      </c>
      <c r="P25" s="291">
        <f t="shared" si="109"/>
        <v>0</v>
      </c>
      <c r="Q25" s="71"/>
      <c r="R25" s="124">
        <f>'PrePost Reb 02'!$I$82</f>
        <v>11379603.43</v>
      </c>
      <c r="S25" s="125">
        <f t="shared" si="110"/>
        <v>2513422.2824956006</v>
      </c>
      <c r="T25" s="71"/>
      <c r="U25" s="291">
        <f t="shared" si="111"/>
        <v>0</v>
      </c>
      <c r="V25" s="291">
        <f t="shared" si="112"/>
        <v>0</v>
      </c>
      <c r="W25" s="71"/>
      <c r="X25" s="124">
        <f>'PrePost Reb 03'!$I$82</f>
        <v>11379603.43</v>
      </c>
      <c r="Y25" s="125">
        <f t="shared" si="113"/>
        <v>2513422.2824956006</v>
      </c>
      <c r="Z25" s="71"/>
      <c r="AA25" s="291">
        <f t="shared" si="114"/>
        <v>0</v>
      </c>
      <c r="AB25" s="291">
        <f t="shared" si="115"/>
        <v>0</v>
      </c>
      <c r="AC25" s="71"/>
      <c r="AD25" s="124">
        <f>'PrePost Reb 04'!$I$82</f>
        <v>11379603.43</v>
      </c>
      <c r="AE25" s="125">
        <f t="shared" si="116"/>
        <v>2513422.2824956006</v>
      </c>
      <c r="AF25" s="71"/>
      <c r="AG25" s="291">
        <f t="shared" si="117"/>
        <v>0</v>
      </c>
      <c r="AH25" s="291">
        <f t="shared" si="118"/>
        <v>0</v>
      </c>
      <c r="AI25" s="71"/>
      <c r="AJ25" s="124">
        <f>'PrePost Reb 05'!$I$82</f>
        <v>11379603.43</v>
      </c>
      <c r="AK25" s="125">
        <f t="shared" si="119"/>
        <v>2513422.2824956006</v>
      </c>
      <c r="AL25" s="71"/>
      <c r="AM25" s="291">
        <f t="shared" si="120"/>
        <v>0</v>
      </c>
      <c r="AN25" s="291">
        <f t="shared" si="121"/>
        <v>0</v>
      </c>
      <c r="AO25" s="71"/>
      <c r="AP25" s="124">
        <f>'PrePost Reb 06'!$I$82</f>
        <v>11379603.43</v>
      </c>
      <c r="AQ25" s="125">
        <f t="shared" si="122"/>
        <v>2513422.2824956006</v>
      </c>
      <c r="AR25" s="71"/>
      <c r="AS25" s="291">
        <f t="shared" si="123"/>
        <v>0</v>
      </c>
      <c r="AT25" s="291">
        <f t="shared" si="124"/>
        <v>0</v>
      </c>
      <c r="AU25" s="71"/>
      <c r="AV25" s="124">
        <f>'PrePost Reb 07'!$I$82</f>
        <v>11379603.43</v>
      </c>
      <c r="AW25" s="125">
        <f t="shared" si="125"/>
        <v>2513422.2824956006</v>
      </c>
      <c r="AX25" s="71"/>
      <c r="AY25" s="291">
        <f t="shared" si="126"/>
        <v>0</v>
      </c>
      <c r="AZ25" s="291">
        <f t="shared" si="127"/>
        <v>0</v>
      </c>
      <c r="BA25" s="71"/>
      <c r="BB25" s="124">
        <f>'PrePost Reb 08'!$I$82</f>
        <v>11379603.43</v>
      </c>
      <c r="BC25" s="125">
        <f t="shared" si="128"/>
        <v>2513422.2824956006</v>
      </c>
      <c r="BD25" s="71"/>
      <c r="BE25" s="291">
        <f t="shared" si="129"/>
        <v>0</v>
      </c>
      <c r="BF25" s="291">
        <f t="shared" si="130"/>
        <v>0</v>
      </c>
      <c r="BG25" s="71"/>
      <c r="BH25" s="124">
        <f>'PrePost Reb 10'!$I$82</f>
        <v>11379603.43</v>
      </c>
      <c r="BI25" s="125">
        <f t="shared" si="131"/>
        <v>2513422.2824956006</v>
      </c>
      <c r="BJ25" s="71"/>
      <c r="BK25" s="291">
        <f t="shared" si="132"/>
        <v>0</v>
      </c>
      <c r="BL25" s="291">
        <f t="shared" si="133"/>
        <v>0</v>
      </c>
      <c r="BM25" s="71"/>
      <c r="BN25" s="124">
        <f>'PrePost Reb 11'!$I$82</f>
        <v>11379603.43</v>
      </c>
      <c r="BO25" s="125">
        <f t="shared" si="134"/>
        <v>2513422.2824956006</v>
      </c>
      <c r="BP25" s="71"/>
      <c r="BQ25" s="291">
        <f t="shared" si="135"/>
        <v>0</v>
      </c>
      <c r="BR25" s="291">
        <f t="shared" si="136"/>
        <v>0</v>
      </c>
      <c r="BS25" s="71"/>
      <c r="BT25" s="124">
        <f>'PrePost Reb 12'!$I$82</f>
        <v>11379603.43</v>
      </c>
      <c r="BU25" s="125">
        <f t="shared" si="137"/>
        <v>2513422.2824956006</v>
      </c>
      <c r="BV25" s="71"/>
      <c r="BW25" s="291">
        <f t="shared" si="138"/>
        <v>0</v>
      </c>
      <c r="BX25" s="291">
        <f t="shared" si="139"/>
        <v>0</v>
      </c>
      <c r="BY25" s="71"/>
      <c r="BZ25" s="124">
        <f>'PrePost Reb 13'!$I$82</f>
        <v>11379603.43</v>
      </c>
      <c r="CA25" s="125">
        <f t="shared" si="140"/>
        <v>2513422.2824956006</v>
      </c>
      <c r="CB25" s="71"/>
      <c r="CC25" s="291">
        <f t="shared" si="141"/>
        <v>0</v>
      </c>
      <c r="CD25" s="291">
        <f t="shared" si="142"/>
        <v>0</v>
      </c>
      <c r="CE25" s="71"/>
      <c r="CF25" s="124">
        <f>'PrePost Reb 14'!$I$82</f>
        <v>11379603.43</v>
      </c>
      <c r="CG25" s="125">
        <f t="shared" si="143"/>
        <v>2513422.2824956006</v>
      </c>
      <c r="CH25" s="71"/>
      <c r="CI25" s="291">
        <f t="shared" si="144"/>
        <v>-1000508.7699999996</v>
      </c>
      <c r="CJ25" s="291">
        <f t="shared" si="145"/>
        <v>-220983.18731571693</v>
      </c>
      <c r="CK25" s="71"/>
      <c r="CL25" s="124">
        <f>'PrePost Reb 15'!$I$82</f>
        <v>10379094.66</v>
      </c>
      <c r="CM25" s="125">
        <f t="shared" si="146"/>
        <v>2292439.0951798838</v>
      </c>
      <c r="CN25" s="71"/>
      <c r="CO25" s="291">
        <f t="shared" si="147"/>
        <v>0</v>
      </c>
      <c r="CP25" s="291">
        <f t="shared" si="148"/>
        <v>0</v>
      </c>
      <c r="CQ25" s="71"/>
      <c r="CR25" s="124">
        <f>'PrePost Reb 16'!$I$82</f>
        <v>11379603.43</v>
      </c>
      <c r="CS25" s="125">
        <f t="shared" si="149"/>
        <v>2513422.2824956006</v>
      </c>
      <c r="CT25" s="71"/>
      <c r="CU25" s="291">
        <f t="shared" si="150"/>
        <v>0</v>
      </c>
      <c r="CV25" s="291">
        <f t="shared" si="151"/>
        <v>0</v>
      </c>
      <c r="CW25" s="71"/>
      <c r="CX25" s="124">
        <f>'PrePost Reb 17'!$I$82</f>
        <v>11379603.43</v>
      </c>
      <c r="CY25" s="125">
        <f t="shared" si="152"/>
        <v>2513422.2824956006</v>
      </c>
      <c r="CZ25" s="71"/>
      <c r="DA25" s="291">
        <f t="shared" si="153"/>
        <v>0</v>
      </c>
      <c r="DB25" s="291">
        <f t="shared" si="154"/>
        <v>0</v>
      </c>
      <c r="DC25" s="71"/>
      <c r="DD25" s="124">
        <f>'PrePost Reb 18'!$I$82</f>
        <v>11379603.43</v>
      </c>
      <c r="DE25" s="125">
        <f t="shared" si="155"/>
        <v>2513422.2824956006</v>
      </c>
      <c r="DF25" s="71"/>
      <c r="DG25" s="291">
        <f t="shared" si="156"/>
        <v>-563211.11999999918</v>
      </c>
      <c r="DH25" s="291">
        <f t="shared" si="157"/>
        <v>-124396.89901894073</v>
      </c>
      <c r="DI25" s="71"/>
      <c r="DJ25" s="124">
        <f>'PrePost Reb 19'!$I$82</f>
        <v>10816392.310000001</v>
      </c>
      <c r="DK25" s="125">
        <f t="shared" si="158"/>
        <v>2389025.3834766601</v>
      </c>
      <c r="DL25" s="71"/>
      <c r="DM25" s="291">
        <f t="shared" si="159"/>
        <v>0</v>
      </c>
      <c r="DN25" s="291">
        <f t="shared" si="160"/>
        <v>0</v>
      </c>
      <c r="DO25" s="71"/>
      <c r="DP25" s="124">
        <f>'PrePost Reb 20'!$I$82</f>
        <v>11379603.43</v>
      </c>
      <c r="DQ25" s="125">
        <f t="shared" si="161"/>
        <v>2513422.2824956006</v>
      </c>
      <c r="DR25" s="71"/>
      <c r="DS25" s="291">
        <f t="shared" si="162"/>
        <v>-1.862645149230957E-9</v>
      </c>
      <c r="DT25" s="291">
        <f t="shared" si="163"/>
        <v>-4.114039519265946E-10</v>
      </c>
      <c r="DU25" s="71"/>
      <c r="DV25" s="124">
        <f>'Proforma 3-2012 (Rebuttal)'!$I$85</f>
        <v>9815883.5399999991</v>
      </c>
      <c r="DW25" s="125">
        <f t="shared" si="164"/>
        <v>2168042.1961609428</v>
      </c>
      <c r="DX25" s="71"/>
      <c r="DY25" s="282">
        <f t="shared" si="165"/>
        <v>-1563719.8900000006</v>
      </c>
      <c r="DZ25" s="282">
        <f t="shared" si="166"/>
        <v>-345380.08633465809</v>
      </c>
      <c r="EA25" s="71"/>
      <c r="ED25" s="71"/>
    </row>
    <row r="26" spans="1:134">
      <c r="A26" s="72" t="s">
        <v>36</v>
      </c>
      <c r="B26" s="65"/>
      <c r="E26" s="69"/>
      <c r="F26" s="126">
        <f>SUM(F21:F25)</f>
        <v>312678947.67000002</v>
      </c>
      <c r="G26" s="127">
        <f>SUM(G21:G25)</f>
        <v>71456012.171388119</v>
      </c>
      <c r="H26" s="69"/>
      <c r="I26" s="292">
        <f>SUM(I21:I25)</f>
        <v>42161.500000029802</v>
      </c>
      <c r="J26" s="292">
        <f>SUM(J21:J25)</f>
        <v>9312.2448612001572</v>
      </c>
      <c r="K26" s="69"/>
      <c r="L26" s="126">
        <f>SUM(L21:L25)</f>
        <v>312721109.17000002</v>
      </c>
      <c r="M26" s="127">
        <f>SUM(M21:M25)</f>
        <v>71465324.41624932</v>
      </c>
      <c r="N26" s="69"/>
      <c r="O26" s="292">
        <f>SUM(O21:O25)</f>
        <v>-10725.510000001639</v>
      </c>
      <c r="P26" s="292">
        <f>SUM(P21:P25)</f>
        <v>-2384.5495485985193</v>
      </c>
      <c r="Q26" s="69"/>
      <c r="R26" s="126">
        <f>SUM(R21:R25)</f>
        <v>312710383.66000003</v>
      </c>
      <c r="S26" s="127">
        <f>SUM(S21:S25)</f>
        <v>71462939.866700724</v>
      </c>
      <c r="T26" s="69"/>
      <c r="U26" s="292">
        <f>SUM(U21:U25)</f>
        <v>8732.0999999940395</v>
      </c>
      <c r="V26" s="292">
        <f>SUM(V21:V25)</f>
        <v>1928.6660425357948</v>
      </c>
      <c r="W26" s="69"/>
      <c r="X26" s="126">
        <f>SUM(X21:X25)</f>
        <v>312719115.76000005</v>
      </c>
      <c r="Y26" s="127">
        <f>SUM(Y21:Y25)</f>
        <v>71464868.532743245</v>
      </c>
      <c r="Z26" s="69"/>
      <c r="AA26" s="292">
        <f>SUM(AA21:AA25)</f>
        <v>-33783581.00000003</v>
      </c>
      <c r="AB26" s="292">
        <f>SUM(AB21:AB25)</f>
        <v>-7461395.3137157597</v>
      </c>
      <c r="AC26" s="69"/>
      <c r="AD26" s="126">
        <f>SUM(AD21:AD25)</f>
        <v>278935534.75999999</v>
      </c>
      <c r="AE26" s="127">
        <f>SUM(AE21:AE25)</f>
        <v>64003473.219027489</v>
      </c>
      <c r="AF26" s="69"/>
      <c r="AG26" s="292">
        <f>SUM(AG21:AG25)</f>
        <v>-1681327.4799999986</v>
      </c>
      <c r="AH26" s="292">
        <f>SUM(AH21:AH25)</f>
        <v>-373515.45859484898</v>
      </c>
      <c r="AI26" s="69"/>
      <c r="AJ26" s="126">
        <f>SUM(AJ21:AJ25)</f>
        <v>311037788.28000003</v>
      </c>
      <c r="AK26" s="127">
        <f>SUM(AK21:AK25)</f>
        <v>71091353.074148402</v>
      </c>
      <c r="AL26" s="69"/>
      <c r="AM26" s="292">
        <f>SUM(AM21:AM25)</f>
        <v>-766846.15999996662</v>
      </c>
      <c r="AN26" s="292">
        <f>SUM(AN21:AN25)</f>
        <v>-169373.93624007009</v>
      </c>
      <c r="AO26" s="69"/>
      <c r="AP26" s="126">
        <f>SUM(AP21:AP25)</f>
        <v>311952269.60000008</v>
      </c>
      <c r="AQ26" s="127">
        <f>SUM(AQ21:AQ25)</f>
        <v>71295494.596503183</v>
      </c>
      <c r="AR26" s="69"/>
      <c r="AS26" s="292">
        <f>SUM(AS21:AS25)</f>
        <v>0</v>
      </c>
      <c r="AT26" s="292">
        <f>SUM(AT21:AT25)</f>
        <v>0</v>
      </c>
      <c r="AU26" s="69"/>
      <c r="AV26" s="126">
        <f>SUM(AV21:AV25)</f>
        <v>312719115.76000005</v>
      </c>
      <c r="AW26" s="127">
        <f>SUM(AW21:AW25)</f>
        <v>71464868.532743245</v>
      </c>
      <c r="AX26" s="69"/>
      <c r="AY26" s="292">
        <f>SUM(AY21:AY25)</f>
        <v>0</v>
      </c>
      <c r="AZ26" s="292">
        <f>SUM(AZ21:AZ25)</f>
        <v>0</v>
      </c>
      <c r="BA26" s="69"/>
      <c r="BB26" s="126">
        <f>SUM(BB21:BB25)</f>
        <v>312719115.76000005</v>
      </c>
      <c r="BC26" s="127">
        <f>SUM(BC21:BC25)</f>
        <v>71464868.532743245</v>
      </c>
      <c r="BD26" s="69"/>
      <c r="BE26" s="292">
        <f>SUM(BE21:BE25)</f>
        <v>15583882.669999987</v>
      </c>
      <c r="BF26" s="292">
        <f>SUM(BF21:BF25)</f>
        <v>3442083.5280194273</v>
      </c>
      <c r="BG26" s="69"/>
      <c r="BH26" s="126">
        <f>SUM(BH21:BH25)</f>
        <v>292071243.79000002</v>
      </c>
      <c r="BI26" s="127">
        <f>SUM(BI21:BI25)</f>
        <v>66902667.352212004</v>
      </c>
      <c r="BJ26" s="69"/>
      <c r="BK26" s="292">
        <f>SUM(BK21:BK25)</f>
        <v>-6793728.2899999805</v>
      </c>
      <c r="BL26" s="292">
        <f>SUM(BL21:BL25)</f>
        <v>-1494651.8405903431</v>
      </c>
      <c r="BM26" s="69"/>
      <c r="BN26" s="126">
        <f>SUM(BN21:BN25)</f>
        <v>285277515.50000006</v>
      </c>
      <c r="BO26" s="127">
        <f>SUM(BO21:BO25)</f>
        <v>65408015.511621654</v>
      </c>
      <c r="BP26" s="69"/>
      <c r="BQ26" s="292">
        <f>SUM(BQ21:BQ25)</f>
        <v>0</v>
      </c>
      <c r="BR26" s="292">
        <f>SUM(BR21:BR25)</f>
        <v>0</v>
      </c>
      <c r="BS26" s="69"/>
      <c r="BT26" s="126">
        <f>SUM(BT21:BT25)</f>
        <v>292071243.79000002</v>
      </c>
      <c r="BU26" s="127">
        <f>SUM(BU21:BU25)</f>
        <v>66902667.352212004</v>
      </c>
      <c r="BV26" s="69"/>
      <c r="BW26" s="292">
        <f>SUM(BW21:BW25)</f>
        <v>-38084670.860000014</v>
      </c>
      <c r="BX26" s="292">
        <f>SUM(BX21:BX25)</f>
        <v>-8411792.2869509812</v>
      </c>
      <c r="BY26" s="69"/>
      <c r="BZ26" s="126">
        <f>SUM(BZ21:BZ25)</f>
        <v>253986572.93000001</v>
      </c>
      <c r="CA26" s="127">
        <f>SUM(CA21:CA25)</f>
        <v>58490875.065261021</v>
      </c>
      <c r="CB26" s="69"/>
      <c r="CC26" s="292">
        <f>SUM(CC21:CC25)</f>
        <v>-32143.530000001192</v>
      </c>
      <c r="CD26" s="292">
        <f>SUM(CD21:CD25)</f>
        <v>-7099.5676639382518</v>
      </c>
      <c r="CE26" s="69"/>
      <c r="CF26" s="126">
        <f>SUM(CF21:CF25)</f>
        <v>292039100.25999999</v>
      </c>
      <c r="CG26" s="127">
        <f>SUM(CG21:CG25)</f>
        <v>66895567.784548067</v>
      </c>
      <c r="CH26" s="69"/>
      <c r="CI26" s="292">
        <f>SUM(CI21:CI25)</f>
        <v>-1000508.7699999996</v>
      </c>
      <c r="CJ26" s="292">
        <f>SUM(CJ21:CJ25)</f>
        <v>-220983.18731571693</v>
      </c>
      <c r="CK26" s="69"/>
      <c r="CL26" s="126">
        <f>SUM(CL21:CL25)</f>
        <v>291070735.02000004</v>
      </c>
      <c r="CM26" s="127">
        <f>SUM(CM21:CM25)</f>
        <v>66681684.164896287</v>
      </c>
      <c r="CN26" s="69"/>
      <c r="CO26" s="292">
        <f>SUM(CO21:CO25)</f>
        <v>-1556268.4000000358</v>
      </c>
      <c r="CP26" s="292">
        <f>SUM(CP21:CP25)</f>
        <v>-343734.26966636098</v>
      </c>
      <c r="CQ26" s="69"/>
      <c r="CR26" s="126">
        <f>SUM(CR21:CR25)</f>
        <v>290514975.38999999</v>
      </c>
      <c r="CS26" s="127">
        <f>SUM(CS21:CS25)</f>
        <v>66558933.082545638</v>
      </c>
      <c r="CT26" s="69"/>
      <c r="CU26" s="292">
        <f>SUM(CU21:CU25)</f>
        <v>0</v>
      </c>
      <c r="CV26" s="292">
        <f>SUM(CV21:CV25)</f>
        <v>0</v>
      </c>
      <c r="CW26" s="69"/>
      <c r="CX26" s="126">
        <f>SUM(CX21:CX25)</f>
        <v>292071243.79000002</v>
      </c>
      <c r="CY26" s="127">
        <f>SUM(CY21:CY25)</f>
        <v>66902667.352212004</v>
      </c>
      <c r="CZ26" s="69"/>
      <c r="DA26" s="292">
        <f>SUM(DA21:DA25)</f>
        <v>-1260698.9799999893</v>
      </c>
      <c r="DB26" s="292">
        <f>SUM(DB21:DB25)</f>
        <v>-278451.61101993243</v>
      </c>
      <c r="DC26" s="69"/>
      <c r="DD26" s="126">
        <f>SUM(DD21:DD25)</f>
        <v>290810544.81</v>
      </c>
      <c r="DE26" s="127">
        <f>SUM(DE21:DE25)</f>
        <v>66624215.741192073</v>
      </c>
      <c r="DF26" s="69"/>
      <c r="DG26" s="292">
        <f>SUM(DG21:DG25)</f>
        <v>-563211.11999999918</v>
      </c>
      <c r="DH26" s="292">
        <f>SUM(DH21:DH25)</f>
        <v>-124396.89901894073</v>
      </c>
      <c r="DI26" s="69"/>
      <c r="DJ26" s="126">
        <f>SUM(DJ21:DJ25)</f>
        <v>291508032.67000002</v>
      </c>
      <c r="DK26" s="127">
        <f>SUM(DK21:DK25)</f>
        <v>66778270.453193061</v>
      </c>
      <c r="DL26" s="69"/>
      <c r="DM26" s="292">
        <f>SUM(DM21:DM25)</f>
        <v>-243545.24000000954</v>
      </c>
      <c r="DN26" s="292">
        <f>SUM(DN21:DN25)</f>
        <v>-53792.035616812602</v>
      </c>
      <c r="DO26" s="69"/>
      <c r="DP26" s="126">
        <f>SUM(DP21:DP25)</f>
        <v>291827698.55000001</v>
      </c>
      <c r="DQ26" s="127">
        <f>SUM(DQ21:DQ25)</f>
        <v>66848875.316595189</v>
      </c>
      <c r="DR26" s="69"/>
      <c r="DS26" s="292">
        <f>SUM(DS21:DS25)</f>
        <v>9612334.5800000411</v>
      </c>
      <c r="DT26" s="292">
        <f>SUM(DT21:DT25)</f>
        <v>2123084.1714995597</v>
      </c>
      <c r="DU26" s="69"/>
      <c r="DV26" s="126">
        <f>SUM(DV21:DV25)</f>
        <v>252148803.18000001</v>
      </c>
      <c r="DW26" s="127">
        <f>SUM(DW21:DW25)</f>
        <v>58090849.825868532</v>
      </c>
      <c r="DX26" s="69"/>
      <c r="DY26" s="283">
        <f>SUM(DY21:DY25)</f>
        <v>-60530144.489999972</v>
      </c>
      <c r="DZ26" s="283">
        <f>SUM(DZ21:DZ25)</f>
        <v>-13365162.345519582</v>
      </c>
      <c r="EA26" s="69"/>
      <c r="ED26" s="69"/>
    </row>
    <row r="27" spans="1:134">
      <c r="F27" s="122"/>
      <c r="G27" s="123"/>
      <c r="I27" s="290"/>
      <c r="J27" s="290"/>
      <c r="L27" s="122"/>
      <c r="M27" s="123"/>
      <c r="O27" s="290"/>
      <c r="P27" s="290"/>
      <c r="R27" s="122"/>
      <c r="S27" s="123"/>
      <c r="U27" s="290"/>
      <c r="V27" s="290"/>
      <c r="X27" s="122"/>
      <c r="Y27" s="123"/>
      <c r="AA27" s="290"/>
      <c r="AB27" s="290"/>
      <c r="AD27" s="122"/>
      <c r="AE27" s="123"/>
      <c r="AG27" s="290"/>
      <c r="AH27" s="290"/>
      <c r="AJ27" s="122"/>
      <c r="AK27" s="123"/>
      <c r="AM27" s="290"/>
      <c r="AN27" s="290"/>
      <c r="AP27" s="122"/>
      <c r="AQ27" s="123"/>
      <c r="AS27" s="290"/>
      <c r="AT27" s="290"/>
      <c r="AV27" s="122"/>
      <c r="AW27" s="123"/>
      <c r="AY27" s="290"/>
      <c r="AZ27" s="290"/>
      <c r="BB27" s="122"/>
      <c r="BC27" s="123"/>
      <c r="BE27" s="290"/>
      <c r="BF27" s="290"/>
      <c r="BH27" s="122"/>
      <c r="BI27" s="123"/>
      <c r="BK27" s="290"/>
      <c r="BL27" s="290"/>
      <c r="BN27" s="122"/>
      <c r="BO27" s="123"/>
      <c r="BQ27" s="290"/>
      <c r="BR27" s="290"/>
      <c r="BT27" s="122"/>
      <c r="BU27" s="123"/>
      <c r="BW27" s="290"/>
      <c r="BX27" s="290"/>
      <c r="BZ27" s="122"/>
      <c r="CA27" s="123"/>
      <c r="CC27" s="290"/>
      <c r="CD27" s="290"/>
      <c r="CF27" s="122"/>
      <c r="CG27" s="123"/>
      <c r="CI27" s="290"/>
      <c r="CJ27" s="290"/>
      <c r="CL27" s="122"/>
      <c r="CM27" s="123"/>
      <c r="CO27" s="290"/>
      <c r="CP27" s="290"/>
      <c r="CR27" s="122"/>
      <c r="CS27" s="123"/>
      <c r="CU27" s="290"/>
      <c r="CV27" s="290"/>
      <c r="CX27" s="122"/>
      <c r="CY27" s="123"/>
      <c r="DA27" s="290"/>
      <c r="DB27" s="290"/>
      <c r="DD27" s="122"/>
      <c r="DE27" s="123"/>
      <c r="DG27" s="290"/>
      <c r="DH27" s="290"/>
      <c r="DJ27" s="122"/>
      <c r="DK27" s="123"/>
      <c r="DM27" s="290"/>
      <c r="DN27" s="290"/>
      <c r="DP27" s="122"/>
      <c r="DQ27" s="123"/>
      <c r="DS27" s="290"/>
      <c r="DT27" s="290"/>
      <c r="DV27" s="122"/>
      <c r="DW27" s="123"/>
      <c r="DY27" s="281"/>
      <c r="DZ27" s="281"/>
    </row>
    <row r="28" spans="1:134">
      <c r="A28" s="59" t="s">
        <v>16</v>
      </c>
      <c r="F28" s="122"/>
      <c r="G28" s="123"/>
      <c r="I28" s="290"/>
      <c r="J28" s="290"/>
      <c r="L28" s="122"/>
      <c r="M28" s="123"/>
      <c r="O28" s="290"/>
      <c r="P28" s="290"/>
      <c r="R28" s="122"/>
      <c r="S28" s="123"/>
      <c r="U28" s="290"/>
      <c r="V28" s="290"/>
      <c r="X28" s="122"/>
      <c r="Y28" s="123"/>
      <c r="AA28" s="290"/>
      <c r="AB28" s="290"/>
      <c r="AD28" s="122"/>
      <c r="AE28" s="123"/>
      <c r="AG28" s="290"/>
      <c r="AH28" s="290"/>
      <c r="AJ28" s="122"/>
      <c r="AK28" s="123"/>
      <c r="AM28" s="290"/>
      <c r="AN28" s="290"/>
      <c r="AP28" s="122"/>
      <c r="AQ28" s="123"/>
      <c r="AS28" s="290"/>
      <c r="AT28" s="290"/>
      <c r="AV28" s="122"/>
      <c r="AW28" s="123"/>
      <c r="AY28" s="290"/>
      <c r="AZ28" s="290"/>
      <c r="BB28" s="122"/>
      <c r="BC28" s="123"/>
      <c r="BE28" s="290"/>
      <c r="BF28" s="290"/>
      <c r="BH28" s="122"/>
      <c r="BI28" s="123"/>
      <c r="BK28" s="290"/>
      <c r="BL28" s="290"/>
      <c r="BN28" s="122"/>
      <c r="BO28" s="123"/>
      <c r="BQ28" s="290"/>
      <c r="BR28" s="290"/>
      <c r="BT28" s="122"/>
      <c r="BU28" s="123"/>
      <c r="BW28" s="290"/>
      <c r="BX28" s="290"/>
      <c r="BZ28" s="122"/>
      <c r="CA28" s="123"/>
      <c r="CC28" s="290"/>
      <c r="CD28" s="290"/>
      <c r="CF28" s="122"/>
      <c r="CG28" s="123"/>
      <c r="CI28" s="290"/>
      <c r="CJ28" s="290"/>
      <c r="CL28" s="122"/>
      <c r="CM28" s="123"/>
      <c r="CO28" s="290"/>
      <c r="CP28" s="290"/>
      <c r="CR28" s="122"/>
      <c r="CS28" s="123"/>
      <c r="CU28" s="290"/>
      <c r="CV28" s="290"/>
      <c r="CX28" s="122"/>
      <c r="CY28" s="123"/>
      <c r="DA28" s="290"/>
      <c r="DB28" s="290"/>
      <c r="DD28" s="122"/>
      <c r="DE28" s="123"/>
      <c r="DG28" s="290"/>
      <c r="DH28" s="290"/>
      <c r="DJ28" s="122"/>
      <c r="DK28" s="123"/>
      <c r="DM28" s="290"/>
      <c r="DN28" s="290"/>
      <c r="DP28" s="122"/>
      <c r="DQ28" s="123"/>
      <c r="DS28" s="290"/>
      <c r="DT28" s="290"/>
      <c r="DV28" s="122"/>
      <c r="DW28" s="123"/>
      <c r="DY28" s="281"/>
      <c r="DZ28" s="281"/>
    </row>
    <row r="29" spans="1:134">
      <c r="A29" s="64" t="s">
        <v>37</v>
      </c>
      <c r="B29" s="65" t="s">
        <v>168</v>
      </c>
      <c r="C29" s="58" t="s">
        <v>10</v>
      </c>
      <c r="D29" s="66">
        <v>0.220870814871235</v>
      </c>
      <c r="E29" s="71"/>
      <c r="F29" s="124">
        <f>'Pro Forma 3 2012 - Initial Fili'!F92</f>
        <v>27492324.290000007</v>
      </c>
      <c r="G29" s="125">
        <f t="shared" ref="G29:G31" si="167">F29*$D29</f>
        <v>6072252.0686365487</v>
      </c>
      <c r="H29" s="71"/>
      <c r="I29" s="291">
        <f t="shared" ref="I29:I31" si="168">L29-F29</f>
        <v>0</v>
      </c>
      <c r="J29" s="291">
        <f t="shared" ref="J29:J31" si="169">I29*$D29</f>
        <v>0</v>
      </c>
      <c r="K29" s="71"/>
      <c r="L29" s="124">
        <f>'PrePost Reb 01'!$F$90</f>
        <v>27492324.290000007</v>
      </c>
      <c r="M29" s="125">
        <f t="shared" ref="M29:M31" si="170">L29*$D29</f>
        <v>6072252.0686365487</v>
      </c>
      <c r="N29" s="71"/>
      <c r="O29" s="291">
        <f t="shared" ref="O29:O31" si="171">R29-L29</f>
        <v>0</v>
      </c>
      <c r="P29" s="291">
        <f t="shared" ref="P29:P31" si="172">O29*$D29</f>
        <v>0</v>
      </c>
      <c r="Q29" s="71"/>
      <c r="R29" s="124">
        <f>'PrePost Reb 02'!$F$90</f>
        <v>27492324.290000007</v>
      </c>
      <c r="S29" s="125">
        <f t="shared" ref="S29:S31" si="173">R29*$D29</f>
        <v>6072252.0686365487</v>
      </c>
      <c r="T29" s="71"/>
      <c r="U29" s="291">
        <f t="shared" ref="U29:U31" si="174">X29-R29</f>
        <v>0</v>
      </c>
      <c r="V29" s="291">
        <f t="shared" ref="V29:V31" si="175">U29*$D29</f>
        <v>0</v>
      </c>
      <c r="W29" s="71"/>
      <c r="X29" s="124">
        <f>'PrePost Reb 03'!$F$90</f>
        <v>27492324.290000007</v>
      </c>
      <c r="Y29" s="125">
        <f t="shared" ref="Y29:Y31" si="176">X29*$D29</f>
        <v>6072252.0686365487</v>
      </c>
      <c r="Z29" s="71"/>
      <c r="AA29" s="291">
        <f t="shared" ref="AA29:AA31" si="177">AD29-X29</f>
        <v>0</v>
      </c>
      <c r="AB29" s="291">
        <f t="shared" ref="AB29:AB31" si="178">AA29*$D29</f>
        <v>0</v>
      </c>
      <c r="AC29" s="71"/>
      <c r="AD29" s="124">
        <f>'PrePost Reb 04'!$F$90</f>
        <v>27492324.290000007</v>
      </c>
      <c r="AE29" s="125">
        <f t="shared" ref="AE29:AE31" si="179">AD29*$D29</f>
        <v>6072252.0686365487</v>
      </c>
      <c r="AF29" s="71"/>
      <c r="AG29" s="291">
        <f t="shared" ref="AG29:AG31" si="180">AJ29-$X29</f>
        <v>0</v>
      </c>
      <c r="AH29" s="291">
        <f t="shared" ref="AH29:AH31" si="181">AG29*$D29</f>
        <v>0</v>
      </c>
      <c r="AI29" s="71"/>
      <c r="AJ29" s="124">
        <f>'PrePost Reb 05'!$F$90</f>
        <v>27492324.290000007</v>
      </c>
      <c r="AK29" s="125">
        <f t="shared" ref="AK29:AK31" si="182">AJ29*$D29</f>
        <v>6072252.0686365487</v>
      </c>
      <c r="AL29" s="71"/>
      <c r="AM29" s="291">
        <f t="shared" ref="AM29:AM31" si="183">AP29-$X29</f>
        <v>0</v>
      </c>
      <c r="AN29" s="291">
        <f t="shared" ref="AN29:AN31" si="184">AM29*$D29</f>
        <v>0</v>
      </c>
      <c r="AO29" s="71"/>
      <c r="AP29" s="124">
        <f>'PrePost Reb 06'!$F$90</f>
        <v>27492324.290000007</v>
      </c>
      <c r="AQ29" s="125">
        <f t="shared" ref="AQ29:AQ31" si="185">AP29*$D29</f>
        <v>6072252.0686365487</v>
      </c>
      <c r="AR29" s="71"/>
      <c r="AS29" s="291">
        <f t="shared" ref="AS29:AS31" si="186">AV29-$X29</f>
        <v>0</v>
      </c>
      <c r="AT29" s="291">
        <f t="shared" ref="AT29:AT31" si="187">AS29*$D29</f>
        <v>0</v>
      </c>
      <c r="AU29" s="71"/>
      <c r="AV29" s="124">
        <f>'PrePost Reb 07'!$F$90</f>
        <v>27492324.290000007</v>
      </c>
      <c r="AW29" s="125">
        <f t="shared" ref="AW29:AW31" si="188">AV29*$D29</f>
        <v>6072252.0686365487</v>
      </c>
      <c r="AX29" s="71"/>
      <c r="AY29" s="291">
        <f t="shared" ref="AY29:AY31" si="189">BB29-$X29</f>
        <v>0</v>
      </c>
      <c r="AZ29" s="291">
        <f t="shared" ref="AZ29:AZ31" si="190">AY29*$D29</f>
        <v>0</v>
      </c>
      <c r="BA29" s="71"/>
      <c r="BB29" s="124">
        <f>'PrePost Reb 08'!$F$90</f>
        <v>27492324.290000007</v>
      </c>
      <c r="BC29" s="125">
        <f t="shared" ref="BC29:BC31" si="191">BB29*$D29</f>
        <v>6072252.0686365487</v>
      </c>
      <c r="BD29" s="71"/>
      <c r="BE29" s="291">
        <f t="shared" ref="BE29:BE31" si="192">(BH29-F29)-SUM(I29,O29,U29,AA29,AG29,AM29,AS29,AY29)</f>
        <v>0</v>
      </c>
      <c r="BF29" s="291">
        <f t="shared" ref="BF29:BF31" si="193">BE29*$D29</f>
        <v>0</v>
      </c>
      <c r="BG29" s="71"/>
      <c r="BH29" s="124">
        <f>'PrePost Reb 10'!$F$90</f>
        <v>27492324.290000007</v>
      </c>
      <c r="BI29" s="125">
        <f t="shared" ref="BI29:BI31" si="194">BH29*$D29</f>
        <v>6072252.0686365487</v>
      </c>
      <c r="BJ29" s="71"/>
      <c r="BK29" s="291">
        <f t="shared" ref="BK29:BK31" si="195">BN29-$BH29</f>
        <v>0</v>
      </c>
      <c r="BL29" s="291">
        <f t="shared" ref="BL29:BL31" si="196">BK29*$D29</f>
        <v>0</v>
      </c>
      <c r="BM29" s="71"/>
      <c r="BN29" s="124">
        <f>'PrePost Reb 11'!$F$90</f>
        <v>27492324.290000007</v>
      </c>
      <c r="BO29" s="125">
        <f t="shared" ref="BO29:BO31" si="197">BN29*$D29</f>
        <v>6072252.0686365487</v>
      </c>
      <c r="BP29" s="71"/>
      <c r="BQ29" s="291">
        <f t="shared" ref="BQ29:BQ31" si="198">BT29-$BH29</f>
        <v>0</v>
      </c>
      <c r="BR29" s="291">
        <f t="shared" ref="BR29:BR31" si="199">BQ29*$D29</f>
        <v>0</v>
      </c>
      <c r="BS29" s="71"/>
      <c r="BT29" s="124">
        <f>'PrePost Reb 12'!$F$90</f>
        <v>27492324.290000007</v>
      </c>
      <c r="BU29" s="125">
        <f t="shared" ref="BU29:BU31" si="200">BT29*$D29</f>
        <v>6072252.0686365487</v>
      </c>
      <c r="BV29" s="71"/>
      <c r="BW29" s="291">
        <f t="shared" ref="BW29:BW31" si="201">BZ29-$BH29</f>
        <v>0</v>
      </c>
      <c r="BX29" s="291">
        <f t="shared" ref="BX29:BX31" si="202">BW29*$D29</f>
        <v>0</v>
      </c>
      <c r="BY29" s="71"/>
      <c r="BZ29" s="124">
        <f>'PrePost Reb 13'!$F$90</f>
        <v>27492324.290000007</v>
      </c>
      <c r="CA29" s="125">
        <f t="shared" ref="CA29:CA31" si="203">BZ29*$D29</f>
        <v>6072252.0686365487</v>
      </c>
      <c r="CB29" s="71"/>
      <c r="CC29" s="291">
        <f t="shared" ref="CC29:CC31" si="204">CF29-$BH29</f>
        <v>0</v>
      </c>
      <c r="CD29" s="291">
        <f t="shared" ref="CD29:CD31" si="205">CC29*$D29</f>
        <v>0</v>
      </c>
      <c r="CE29" s="71"/>
      <c r="CF29" s="124">
        <f>'PrePost Reb 14'!$F$90</f>
        <v>27492324.290000007</v>
      </c>
      <c r="CG29" s="125">
        <f t="shared" ref="CG29:CG31" si="206">CF29*$D29</f>
        <v>6072252.0686365487</v>
      </c>
      <c r="CH29" s="71"/>
      <c r="CI29" s="291">
        <f t="shared" ref="CI29:CI31" si="207">CL29-$BH29</f>
        <v>0</v>
      </c>
      <c r="CJ29" s="291">
        <f t="shared" ref="CJ29:CJ31" si="208">CI29*$D29</f>
        <v>0</v>
      </c>
      <c r="CK29" s="71"/>
      <c r="CL29" s="124">
        <f>'PrePost Reb 15'!$F$90</f>
        <v>27492324.290000007</v>
      </c>
      <c r="CM29" s="125">
        <f t="shared" ref="CM29:CM31" si="209">CL29*$D29</f>
        <v>6072252.0686365487</v>
      </c>
      <c r="CN29" s="71"/>
      <c r="CO29" s="291">
        <f t="shared" ref="CO29:CO31" si="210">CR29-$BH29</f>
        <v>0</v>
      </c>
      <c r="CP29" s="291">
        <f t="shared" ref="CP29:CP31" si="211">CO29*$D29</f>
        <v>0</v>
      </c>
      <c r="CQ29" s="71"/>
      <c r="CR29" s="124">
        <f>'PrePost Reb 16'!$F$90</f>
        <v>27492324.290000007</v>
      </c>
      <c r="CS29" s="125">
        <f t="shared" ref="CS29:CS31" si="212">CR29*$D29</f>
        <v>6072252.0686365487</v>
      </c>
      <c r="CT29" s="71"/>
      <c r="CU29" s="291">
        <f t="shared" ref="CU29:CU31" si="213">CX29-$BH29</f>
        <v>0</v>
      </c>
      <c r="CV29" s="291">
        <f t="shared" ref="CV29:CV31" si="214">CU29*$D29</f>
        <v>0</v>
      </c>
      <c r="CW29" s="71"/>
      <c r="CX29" s="124">
        <f>'PrePost Reb 17'!$F$90</f>
        <v>27492324.290000007</v>
      </c>
      <c r="CY29" s="125">
        <f t="shared" ref="CY29:CY31" si="215">CX29*$D29</f>
        <v>6072252.0686365487</v>
      </c>
      <c r="CZ29" s="71"/>
      <c r="DA29" s="291">
        <f t="shared" ref="DA29:DA31" si="216">DD29-$BH29</f>
        <v>0</v>
      </c>
      <c r="DB29" s="291">
        <f t="shared" ref="DB29:DB31" si="217">DA29*$D29</f>
        <v>0</v>
      </c>
      <c r="DC29" s="71"/>
      <c r="DD29" s="124">
        <f>'PrePost Reb 18'!$F$90</f>
        <v>27492324.290000007</v>
      </c>
      <c r="DE29" s="125">
        <f t="shared" ref="DE29:DE31" si="218">DD29*$D29</f>
        <v>6072252.0686365487</v>
      </c>
      <c r="DF29" s="71"/>
      <c r="DG29" s="291">
        <f t="shared" ref="DG29:DG31" si="219">DJ29-$BH29</f>
        <v>0</v>
      </c>
      <c r="DH29" s="291">
        <f t="shared" ref="DH29:DH31" si="220">DG29*$D29</f>
        <v>0</v>
      </c>
      <c r="DI29" s="71"/>
      <c r="DJ29" s="124">
        <f>'PrePost Reb 19'!$F$90</f>
        <v>27492324.290000007</v>
      </c>
      <c r="DK29" s="125">
        <f t="shared" ref="DK29:DK31" si="221">DJ29*$D29</f>
        <v>6072252.0686365487</v>
      </c>
      <c r="DL29" s="71"/>
      <c r="DM29" s="291">
        <f t="shared" ref="DM29:DM31" si="222">DP29-$BH29</f>
        <v>0</v>
      </c>
      <c r="DN29" s="291">
        <f t="shared" ref="DN29:DN31" si="223">DM29*$D29</f>
        <v>0</v>
      </c>
      <c r="DO29" s="71"/>
      <c r="DP29" s="124">
        <f>'PrePost Reb 20'!$F$90</f>
        <v>27492324.290000007</v>
      </c>
      <c r="DQ29" s="125">
        <f t="shared" ref="DQ29:DQ31" si="224">DP29*$D29</f>
        <v>6072252.0686365487</v>
      </c>
      <c r="DR29" s="71"/>
      <c r="DS29" s="291">
        <f t="shared" ref="DS29:DS31" si="225">(DV29-BH29)-SUM(BK29,BQ29,BW29,CC29,CI29,CO29,CU29,DA29,DG29,DM29)</f>
        <v>-787930.41999999434</v>
      </c>
      <c r="DT29" s="291">
        <f t="shared" ref="DT29:DT31" si="226">DS29*$D29</f>
        <v>-174030.83392723318</v>
      </c>
      <c r="DU29" s="71"/>
      <c r="DV29" s="124">
        <f>'Proforma 3-2012 (Rebuttal)'!$F$93</f>
        <v>26704393.870000012</v>
      </c>
      <c r="DW29" s="125">
        <f t="shared" ref="DW29:DW31" si="227">DV29*$D29</f>
        <v>5898221.234709315</v>
      </c>
      <c r="DX29" s="71"/>
      <c r="DY29" s="282">
        <f t="shared" ref="DY29:DY31" si="228">SUM(DS29,DM29,DG29,DA29,CU29,CO29,CI29,CC29,BW29,BQ29,BK29,BE29,AY29,AS29,AM29,AG29,AA29,U29,O29,I29)</f>
        <v>-787930.41999999434</v>
      </c>
      <c r="DZ29" s="282">
        <f t="shared" ref="DZ29:DZ31" si="229">DY29*$D29</f>
        <v>-174030.83392723318</v>
      </c>
      <c r="EA29" s="71"/>
      <c r="ED29" s="71"/>
    </row>
    <row r="30" spans="1:134">
      <c r="A30" s="64" t="s">
        <v>38</v>
      </c>
      <c r="B30" s="65" t="s">
        <v>168</v>
      </c>
      <c r="C30" s="58" t="s">
        <v>10</v>
      </c>
      <c r="D30" s="66">
        <v>0.220870814871235</v>
      </c>
      <c r="E30" s="71"/>
      <c r="F30" s="124">
        <f>'Pro Forma 3 2012 - Initial Fili'!I96</f>
        <v>80078614.709999993</v>
      </c>
      <c r="G30" s="125">
        <f t="shared" si="167"/>
        <v>17687028.884757366</v>
      </c>
      <c r="H30" s="71"/>
      <c r="I30" s="291">
        <f t="shared" si="168"/>
        <v>0</v>
      </c>
      <c r="J30" s="291">
        <f t="shared" si="169"/>
        <v>0</v>
      </c>
      <c r="K30" s="71"/>
      <c r="L30" s="124">
        <f>'PrePost Reb 01'!$I$94</f>
        <v>80078614.709999993</v>
      </c>
      <c r="M30" s="125">
        <f t="shared" si="170"/>
        <v>17687028.884757366</v>
      </c>
      <c r="N30" s="71"/>
      <c r="O30" s="291">
        <f t="shared" si="171"/>
        <v>0</v>
      </c>
      <c r="P30" s="291">
        <f t="shared" si="172"/>
        <v>0</v>
      </c>
      <c r="Q30" s="71"/>
      <c r="R30" s="124">
        <f>'PrePost Reb 02'!$I$94</f>
        <v>80078614.709999993</v>
      </c>
      <c r="S30" s="125">
        <f t="shared" si="173"/>
        <v>17687028.884757366</v>
      </c>
      <c r="T30" s="71"/>
      <c r="U30" s="291">
        <f t="shared" si="174"/>
        <v>0</v>
      </c>
      <c r="V30" s="291">
        <f t="shared" si="175"/>
        <v>0</v>
      </c>
      <c r="W30" s="71"/>
      <c r="X30" s="124">
        <f>'PrePost Reb 03'!$I$94</f>
        <v>80078614.709999993</v>
      </c>
      <c r="Y30" s="125">
        <f t="shared" si="176"/>
        <v>17687028.884757366</v>
      </c>
      <c r="Z30" s="71"/>
      <c r="AA30" s="291">
        <f t="shared" si="177"/>
        <v>0</v>
      </c>
      <c r="AB30" s="291">
        <f t="shared" si="178"/>
        <v>0</v>
      </c>
      <c r="AC30" s="71"/>
      <c r="AD30" s="124">
        <f>'PrePost Reb 04'!$I$94</f>
        <v>80078614.709999993</v>
      </c>
      <c r="AE30" s="125">
        <f t="shared" si="179"/>
        <v>17687028.884757366</v>
      </c>
      <c r="AF30" s="71"/>
      <c r="AG30" s="291">
        <f t="shared" si="180"/>
        <v>0</v>
      </c>
      <c r="AH30" s="291">
        <f t="shared" si="181"/>
        <v>0</v>
      </c>
      <c r="AI30" s="71"/>
      <c r="AJ30" s="124">
        <f>'PrePost Reb 05'!$I$94</f>
        <v>80078614.709999993</v>
      </c>
      <c r="AK30" s="125">
        <f t="shared" si="182"/>
        <v>17687028.884757366</v>
      </c>
      <c r="AL30" s="71"/>
      <c r="AM30" s="291">
        <f t="shared" si="183"/>
        <v>0</v>
      </c>
      <c r="AN30" s="291">
        <f t="shared" si="184"/>
        <v>0</v>
      </c>
      <c r="AO30" s="71"/>
      <c r="AP30" s="124">
        <f>'PrePost Reb 06'!$I$94</f>
        <v>80078614.709999993</v>
      </c>
      <c r="AQ30" s="125">
        <f t="shared" si="185"/>
        <v>17687028.884757366</v>
      </c>
      <c r="AR30" s="71"/>
      <c r="AS30" s="291">
        <f t="shared" si="186"/>
        <v>753840</v>
      </c>
      <c r="AT30" s="291">
        <f t="shared" si="187"/>
        <v>166501.2550825318</v>
      </c>
      <c r="AU30" s="71"/>
      <c r="AV30" s="124">
        <f>'PrePost Reb 07'!$I$94</f>
        <v>80832454.709999993</v>
      </c>
      <c r="AW30" s="125">
        <f t="shared" si="188"/>
        <v>17853530.139839895</v>
      </c>
      <c r="AX30" s="71"/>
      <c r="AY30" s="291">
        <f t="shared" si="189"/>
        <v>0</v>
      </c>
      <c r="AZ30" s="291">
        <f t="shared" si="190"/>
        <v>0</v>
      </c>
      <c r="BA30" s="71"/>
      <c r="BB30" s="124">
        <f>'PrePost Reb 08'!$I$94</f>
        <v>80078614.709999993</v>
      </c>
      <c r="BC30" s="125">
        <f t="shared" si="191"/>
        <v>17687028.884757366</v>
      </c>
      <c r="BD30" s="71"/>
      <c r="BE30" s="291">
        <f t="shared" si="192"/>
        <v>0</v>
      </c>
      <c r="BF30" s="291">
        <f t="shared" si="193"/>
        <v>0</v>
      </c>
      <c r="BG30" s="71"/>
      <c r="BH30" s="124">
        <f>'PrePost Reb 10'!$I$94</f>
        <v>80832454.709999993</v>
      </c>
      <c r="BI30" s="125">
        <f t="shared" si="194"/>
        <v>17853530.139839895</v>
      </c>
      <c r="BJ30" s="71"/>
      <c r="BK30" s="291">
        <f t="shared" si="195"/>
        <v>0</v>
      </c>
      <c r="BL30" s="291">
        <f t="shared" si="196"/>
        <v>0</v>
      </c>
      <c r="BM30" s="71"/>
      <c r="BN30" s="124">
        <f>'PrePost Reb 11'!$I$94</f>
        <v>80832454.709999993</v>
      </c>
      <c r="BO30" s="125">
        <f t="shared" si="197"/>
        <v>17853530.139839895</v>
      </c>
      <c r="BP30" s="71"/>
      <c r="BQ30" s="291">
        <f t="shared" si="198"/>
        <v>0</v>
      </c>
      <c r="BR30" s="291">
        <f t="shared" si="199"/>
        <v>0</v>
      </c>
      <c r="BS30" s="71"/>
      <c r="BT30" s="124">
        <f>'PrePost Reb 12'!$I$94</f>
        <v>80832454.709999993</v>
      </c>
      <c r="BU30" s="125">
        <f t="shared" si="200"/>
        <v>17853530.139839895</v>
      </c>
      <c r="BV30" s="71"/>
      <c r="BW30" s="291">
        <f t="shared" si="201"/>
        <v>0</v>
      </c>
      <c r="BX30" s="291">
        <f t="shared" si="202"/>
        <v>0</v>
      </c>
      <c r="BY30" s="71"/>
      <c r="BZ30" s="124">
        <f>'PrePost Reb 13'!$I$94</f>
        <v>80832454.709999993</v>
      </c>
      <c r="CA30" s="125">
        <f t="shared" si="203"/>
        <v>17853530.139839895</v>
      </c>
      <c r="CB30" s="71"/>
      <c r="CC30" s="291">
        <f t="shared" si="204"/>
        <v>0</v>
      </c>
      <c r="CD30" s="291">
        <f t="shared" si="205"/>
        <v>0</v>
      </c>
      <c r="CE30" s="71"/>
      <c r="CF30" s="124">
        <f>'PrePost Reb 14'!$I$94</f>
        <v>80832454.709999993</v>
      </c>
      <c r="CG30" s="125">
        <f t="shared" si="206"/>
        <v>17853530.139839895</v>
      </c>
      <c r="CH30" s="71"/>
      <c r="CI30" s="291">
        <f t="shared" si="207"/>
        <v>0</v>
      </c>
      <c r="CJ30" s="291">
        <f t="shared" si="208"/>
        <v>0</v>
      </c>
      <c r="CK30" s="71"/>
      <c r="CL30" s="124">
        <f>'PrePost Reb 15'!$I$94</f>
        <v>80832454.709999993</v>
      </c>
      <c r="CM30" s="125">
        <f t="shared" si="209"/>
        <v>17853530.139839895</v>
      </c>
      <c r="CN30" s="71"/>
      <c r="CO30" s="291">
        <f t="shared" si="210"/>
        <v>0</v>
      </c>
      <c r="CP30" s="291">
        <f t="shared" si="211"/>
        <v>0</v>
      </c>
      <c r="CQ30" s="71"/>
      <c r="CR30" s="124">
        <f>'PrePost Reb 16'!$I$94</f>
        <v>80832454.709999993</v>
      </c>
      <c r="CS30" s="125">
        <f t="shared" si="212"/>
        <v>17853530.139839895</v>
      </c>
      <c r="CT30" s="71"/>
      <c r="CU30" s="291">
        <f t="shared" si="213"/>
        <v>-58116</v>
      </c>
      <c r="CV30" s="291">
        <f t="shared" si="214"/>
        <v>-12836.128277056694</v>
      </c>
      <c r="CW30" s="71"/>
      <c r="CX30" s="124">
        <f>'PrePost Reb 17'!$I$94</f>
        <v>80774338.709999993</v>
      </c>
      <c r="CY30" s="125">
        <f t="shared" si="215"/>
        <v>17840694.011562839</v>
      </c>
      <c r="CZ30" s="71"/>
      <c r="DA30" s="291">
        <f t="shared" si="216"/>
        <v>7.0000007748603821E-2</v>
      </c>
      <c r="DB30" s="291">
        <f t="shared" si="217"/>
        <v>1.546095875242689E-2</v>
      </c>
      <c r="DC30" s="71"/>
      <c r="DD30" s="124">
        <f>'PrePost Reb 18'!$I$94</f>
        <v>80832454.780000001</v>
      </c>
      <c r="DE30" s="125">
        <f t="shared" si="218"/>
        <v>17853530.155300856</v>
      </c>
      <c r="DF30" s="71"/>
      <c r="DG30" s="291">
        <f t="shared" si="219"/>
        <v>0</v>
      </c>
      <c r="DH30" s="291">
        <f t="shared" si="220"/>
        <v>0</v>
      </c>
      <c r="DI30" s="71"/>
      <c r="DJ30" s="124">
        <f>'PrePost Reb 19'!$I$94</f>
        <v>80832454.709999993</v>
      </c>
      <c r="DK30" s="125">
        <f t="shared" si="221"/>
        <v>17853530.139839895</v>
      </c>
      <c r="DL30" s="71"/>
      <c r="DM30" s="291">
        <f t="shared" si="222"/>
        <v>0</v>
      </c>
      <c r="DN30" s="291">
        <f t="shared" si="223"/>
        <v>0</v>
      </c>
      <c r="DO30" s="71"/>
      <c r="DP30" s="124">
        <f>'PrePost Reb 20'!$I$94</f>
        <v>80832454.709999993</v>
      </c>
      <c r="DQ30" s="125">
        <f t="shared" si="224"/>
        <v>17853530.139839895</v>
      </c>
      <c r="DR30" s="71"/>
      <c r="DS30" s="291">
        <f t="shared" si="225"/>
        <v>787930.41999998689</v>
      </c>
      <c r="DT30" s="291">
        <f t="shared" si="226"/>
        <v>174030.83392723155</v>
      </c>
      <c r="DU30" s="71"/>
      <c r="DV30" s="124">
        <f>'Proforma 3-2012 (Rebuttal)'!$I$97</f>
        <v>81562269.199999988</v>
      </c>
      <c r="DW30" s="125">
        <f t="shared" si="227"/>
        <v>18014724.860951029</v>
      </c>
      <c r="DX30" s="71"/>
      <c r="DY30" s="282">
        <f t="shared" si="228"/>
        <v>1483654.4899999946</v>
      </c>
      <c r="DZ30" s="282">
        <f t="shared" si="229"/>
        <v>327695.97619366541</v>
      </c>
      <c r="EA30" s="71"/>
      <c r="ED30" s="71"/>
    </row>
    <row r="31" spans="1:134">
      <c r="A31" s="64" t="s">
        <v>39</v>
      </c>
      <c r="B31" s="65" t="s">
        <v>168</v>
      </c>
      <c r="C31" s="58" t="s">
        <v>13</v>
      </c>
      <c r="D31" s="66">
        <v>0.22270549443887661</v>
      </c>
      <c r="E31" s="71"/>
      <c r="F31" s="124">
        <v>0</v>
      </c>
      <c r="G31" s="125">
        <f t="shared" si="167"/>
        <v>0</v>
      </c>
      <c r="H31" s="71"/>
      <c r="I31" s="291">
        <f t="shared" si="168"/>
        <v>0</v>
      </c>
      <c r="J31" s="291">
        <f t="shared" si="169"/>
        <v>0</v>
      </c>
      <c r="K31" s="71"/>
      <c r="L31" s="124">
        <f>'PrePost Reb 01'!$H$99</f>
        <v>0</v>
      </c>
      <c r="M31" s="125">
        <f t="shared" si="170"/>
        <v>0</v>
      </c>
      <c r="N31" s="71"/>
      <c r="O31" s="291">
        <f t="shared" si="171"/>
        <v>0</v>
      </c>
      <c r="P31" s="291">
        <f t="shared" si="172"/>
        <v>0</v>
      </c>
      <c r="Q31" s="71"/>
      <c r="R31" s="124">
        <f>'PrePost Reb 02'!$H$99</f>
        <v>0</v>
      </c>
      <c r="S31" s="125">
        <f t="shared" si="173"/>
        <v>0</v>
      </c>
      <c r="T31" s="71"/>
      <c r="U31" s="291">
        <f t="shared" si="174"/>
        <v>0</v>
      </c>
      <c r="V31" s="291">
        <f t="shared" si="175"/>
        <v>0</v>
      </c>
      <c r="W31" s="71"/>
      <c r="X31" s="124">
        <f>'PrePost Reb 03'!$H$99</f>
        <v>0</v>
      </c>
      <c r="Y31" s="125">
        <f t="shared" si="176"/>
        <v>0</v>
      </c>
      <c r="Z31" s="71"/>
      <c r="AA31" s="291">
        <f t="shared" si="177"/>
        <v>0</v>
      </c>
      <c r="AB31" s="291">
        <f t="shared" si="178"/>
        <v>0</v>
      </c>
      <c r="AC31" s="71"/>
      <c r="AD31" s="124">
        <f>'PrePost Reb 04'!$H$99</f>
        <v>0</v>
      </c>
      <c r="AE31" s="125">
        <f t="shared" si="179"/>
        <v>0</v>
      </c>
      <c r="AF31" s="71"/>
      <c r="AG31" s="291">
        <f t="shared" si="180"/>
        <v>0</v>
      </c>
      <c r="AH31" s="291">
        <f t="shared" si="181"/>
        <v>0</v>
      </c>
      <c r="AI31" s="71"/>
      <c r="AJ31" s="124">
        <f>'PrePost Reb 05'!$H$99</f>
        <v>0</v>
      </c>
      <c r="AK31" s="125">
        <f t="shared" si="182"/>
        <v>0</v>
      </c>
      <c r="AL31" s="71"/>
      <c r="AM31" s="291">
        <f t="shared" si="183"/>
        <v>0</v>
      </c>
      <c r="AN31" s="291">
        <f t="shared" si="184"/>
        <v>0</v>
      </c>
      <c r="AO31" s="71"/>
      <c r="AP31" s="124">
        <f>'PrePost Reb 06'!$H$99</f>
        <v>0</v>
      </c>
      <c r="AQ31" s="125">
        <f t="shared" si="185"/>
        <v>0</v>
      </c>
      <c r="AR31" s="71"/>
      <c r="AS31" s="291">
        <f t="shared" si="186"/>
        <v>0</v>
      </c>
      <c r="AT31" s="291">
        <f t="shared" si="187"/>
        <v>0</v>
      </c>
      <c r="AU31" s="71"/>
      <c r="AV31" s="124">
        <f>'PrePost Reb 07'!$H$99</f>
        <v>0</v>
      </c>
      <c r="AW31" s="125">
        <f t="shared" si="188"/>
        <v>0</v>
      </c>
      <c r="AX31" s="71"/>
      <c r="AY31" s="291">
        <f t="shared" si="189"/>
        <v>0</v>
      </c>
      <c r="AZ31" s="291">
        <f t="shared" si="190"/>
        <v>0</v>
      </c>
      <c r="BA31" s="71"/>
      <c r="BB31" s="124">
        <f>'PrePost Reb 08'!$H$99</f>
        <v>0</v>
      </c>
      <c r="BC31" s="125">
        <f t="shared" si="191"/>
        <v>0</v>
      </c>
      <c r="BD31" s="71"/>
      <c r="BE31" s="291">
        <f t="shared" si="192"/>
        <v>0</v>
      </c>
      <c r="BF31" s="291">
        <f t="shared" si="193"/>
        <v>0</v>
      </c>
      <c r="BG31" s="71"/>
      <c r="BH31" s="124">
        <f>'PrePost Reb 10'!$H$99</f>
        <v>0</v>
      </c>
      <c r="BI31" s="125">
        <f t="shared" si="194"/>
        <v>0</v>
      </c>
      <c r="BJ31" s="71"/>
      <c r="BK31" s="291">
        <f t="shared" si="195"/>
        <v>0</v>
      </c>
      <c r="BL31" s="291">
        <f t="shared" si="196"/>
        <v>0</v>
      </c>
      <c r="BM31" s="71"/>
      <c r="BN31" s="124">
        <f>'PrePost Reb 11'!$H$99</f>
        <v>0</v>
      </c>
      <c r="BO31" s="125">
        <f t="shared" si="197"/>
        <v>0</v>
      </c>
      <c r="BP31" s="71"/>
      <c r="BQ31" s="291">
        <f t="shared" si="198"/>
        <v>0</v>
      </c>
      <c r="BR31" s="291">
        <f t="shared" si="199"/>
        <v>0</v>
      </c>
      <c r="BS31" s="71"/>
      <c r="BT31" s="124">
        <f>'PrePost Reb 12'!$H$99</f>
        <v>0</v>
      </c>
      <c r="BU31" s="125">
        <f t="shared" si="200"/>
        <v>0</v>
      </c>
      <c r="BV31" s="71"/>
      <c r="BW31" s="291">
        <f t="shared" si="201"/>
        <v>0</v>
      </c>
      <c r="BX31" s="291">
        <f t="shared" si="202"/>
        <v>0</v>
      </c>
      <c r="BY31" s="71"/>
      <c r="BZ31" s="124">
        <f>'PrePost Reb 13'!$H$99</f>
        <v>0</v>
      </c>
      <c r="CA31" s="125">
        <f t="shared" si="203"/>
        <v>0</v>
      </c>
      <c r="CB31" s="71"/>
      <c r="CC31" s="291">
        <f t="shared" si="204"/>
        <v>0</v>
      </c>
      <c r="CD31" s="291">
        <f t="shared" si="205"/>
        <v>0</v>
      </c>
      <c r="CE31" s="71"/>
      <c r="CF31" s="124">
        <f>'PrePost Reb 14'!$H$99</f>
        <v>0</v>
      </c>
      <c r="CG31" s="125">
        <f t="shared" si="206"/>
        <v>0</v>
      </c>
      <c r="CH31" s="71"/>
      <c r="CI31" s="291">
        <f t="shared" si="207"/>
        <v>0</v>
      </c>
      <c r="CJ31" s="291">
        <f t="shared" si="208"/>
        <v>0</v>
      </c>
      <c r="CK31" s="71"/>
      <c r="CL31" s="124">
        <f>'PrePost Reb 15'!$H$99</f>
        <v>0</v>
      </c>
      <c r="CM31" s="125">
        <f t="shared" si="209"/>
        <v>0</v>
      </c>
      <c r="CN31" s="71"/>
      <c r="CO31" s="291">
        <f t="shared" si="210"/>
        <v>0</v>
      </c>
      <c r="CP31" s="291">
        <f t="shared" si="211"/>
        <v>0</v>
      </c>
      <c r="CQ31" s="71"/>
      <c r="CR31" s="124">
        <f>'PrePost Reb 16'!$H$99</f>
        <v>0</v>
      </c>
      <c r="CS31" s="125">
        <f t="shared" si="212"/>
        <v>0</v>
      </c>
      <c r="CT31" s="71"/>
      <c r="CU31" s="291">
        <f t="shared" si="213"/>
        <v>0</v>
      </c>
      <c r="CV31" s="291">
        <f t="shared" si="214"/>
        <v>0</v>
      </c>
      <c r="CW31" s="71"/>
      <c r="CX31" s="124">
        <f>'PrePost Reb 17'!$H$99</f>
        <v>0</v>
      </c>
      <c r="CY31" s="125">
        <f t="shared" si="215"/>
        <v>0</v>
      </c>
      <c r="CZ31" s="71"/>
      <c r="DA31" s="291">
        <f t="shared" si="216"/>
        <v>2475899.4299999997</v>
      </c>
      <c r="DB31" s="291">
        <f t="shared" si="217"/>
        <v>551396.40673908265</v>
      </c>
      <c r="DC31" s="71"/>
      <c r="DD31" s="124">
        <f>'PrePost Reb 18'!$H$99</f>
        <v>2475899.4299999997</v>
      </c>
      <c r="DE31" s="125">
        <f t="shared" si="218"/>
        <v>551396.40673908265</v>
      </c>
      <c r="DF31" s="71"/>
      <c r="DG31" s="291">
        <f t="shared" si="219"/>
        <v>0</v>
      </c>
      <c r="DH31" s="291">
        <f t="shared" si="220"/>
        <v>0</v>
      </c>
      <c r="DI31" s="71"/>
      <c r="DJ31" s="124">
        <f>'PrePost Reb 19'!$H$99</f>
        <v>0</v>
      </c>
      <c r="DK31" s="125">
        <f t="shared" si="221"/>
        <v>0</v>
      </c>
      <c r="DL31" s="71"/>
      <c r="DM31" s="291">
        <f t="shared" si="222"/>
        <v>0</v>
      </c>
      <c r="DN31" s="291">
        <f t="shared" si="223"/>
        <v>0</v>
      </c>
      <c r="DO31" s="71"/>
      <c r="DP31" s="124">
        <f>'PrePost Reb 20'!$H$99</f>
        <v>0</v>
      </c>
      <c r="DQ31" s="125">
        <f t="shared" si="224"/>
        <v>0</v>
      </c>
      <c r="DR31" s="71"/>
      <c r="DS31" s="291">
        <f t="shared" si="225"/>
        <v>0</v>
      </c>
      <c r="DT31" s="291">
        <f t="shared" si="226"/>
        <v>0</v>
      </c>
      <c r="DU31" s="71"/>
      <c r="DV31" s="124">
        <f>'Proforma 3-2012 (Rebuttal)'!$H$102</f>
        <v>2475899.4299999997</v>
      </c>
      <c r="DW31" s="125">
        <f t="shared" si="227"/>
        <v>551396.40673908265</v>
      </c>
      <c r="DX31" s="71"/>
      <c r="DY31" s="282">
        <f t="shared" si="228"/>
        <v>2475899.4299999997</v>
      </c>
      <c r="DZ31" s="282">
        <f t="shared" si="229"/>
        <v>551396.40673908265</v>
      </c>
      <c r="EA31" s="71"/>
      <c r="ED31" s="71"/>
    </row>
    <row r="32" spans="1:134">
      <c r="A32" s="59" t="s">
        <v>40</v>
      </c>
      <c r="E32" s="69"/>
      <c r="F32" s="126">
        <f>SUM(F29:F31)</f>
        <v>107570939</v>
      </c>
      <c r="G32" s="127">
        <f>SUM(G29:G31)</f>
        <v>23759280.953393914</v>
      </c>
      <c r="H32" s="69"/>
      <c r="I32" s="292">
        <f>SUM(I29:I31)</f>
        <v>0</v>
      </c>
      <c r="J32" s="292">
        <f>SUM(J29:J31)</f>
        <v>0</v>
      </c>
      <c r="K32" s="69"/>
      <c r="L32" s="126">
        <f>SUM(L29:L31)</f>
        <v>107570939</v>
      </c>
      <c r="M32" s="127">
        <f>SUM(M29:M31)</f>
        <v>23759280.953393914</v>
      </c>
      <c r="N32" s="69"/>
      <c r="O32" s="292">
        <f>SUM(O29:O31)</f>
        <v>0</v>
      </c>
      <c r="P32" s="292">
        <f>SUM(P29:P31)</f>
        <v>0</v>
      </c>
      <c r="Q32" s="69"/>
      <c r="R32" s="126">
        <f>SUM(R29:R31)</f>
        <v>107570939</v>
      </c>
      <c r="S32" s="127">
        <f>SUM(S29:S31)</f>
        <v>23759280.953393914</v>
      </c>
      <c r="T32" s="69"/>
      <c r="U32" s="292">
        <f>SUM(U29:U31)</f>
        <v>0</v>
      </c>
      <c r="V32" s="292">
        <f>SUM(V29:V31)</f>
        <v>0</v>
      </c>
      <c r="W32" s="69"/>
      <c r="X32" s="126">
        <f>SUM(X29:X31)</f>
        <v>107570939</v>
      </c>
      <c r="Y32" s="127">
        <f>SUM(Y29:Y31)</f>
        <v>23759280.953393914</v>
      </c>
      <c r="Z32" s="69"/>
      <c r="AA32" s="292">
        <f>SUM(AA29:AA31)</f>
        <v>0</v>
      </c>
      <c r="AB32" s="292">
        <f>SUM(AB29:AB31)</f>
        <v>0</v>
      </c>
      <c r="AC32" s="69"/>
      <c r="AD32" s="126">
        <f>SUM(AD29:AD31)</f>
        <v>107570939</v>
      </c>
      <c r="AE32" s="127">
        <f>SUM(AE29:AE31)</f>
        <v>23759280.953393914</v>
      </c>
      <c r="AF32" s="69"/>
      <c r="AG32" s="292">
        <f>SUM(AG29:AG31)</f>
        <v>0</v>
      </c>
      <c r="AH32" s="292">
        <f>SUM(AH29:AH31)</f>
        <v>0</v>
      </c>
      <c r="AI32" s="69"/>
      <c r="AJ32" s="126">
        <f>SUM(AJ29:AJ31)</f>
        <v>107570939</v>
      </c>
      <c r="AK32" s="127">
        <f>SUM(AK29:AK31)</f>
        <v>23759280.953393914</v>
      </c>
      <c r="AL32" s="69"/>
      <c r="AM32" s="292">
        <f>SUM(AM29:AM31)</f>
        <v>0</v>
      </c>
      <c r="AN32" s="292">
        <f>SUM(AN29:AN31)</f>
        <v>0</v>
      </c>
      <c r="AO32" s="69"/>
      <c r="AP32" s="126">
        <f>SUM(AP29:AP31)</f>
        <v>107570939</v>
      </c>
      <c r="AQ32" s="127">
        <f>SUM(AQ29:AQ31)</f>
        <v>23759280.953393914</v>
      </c>
      <c r="AR32" s="69"/>
      <c r="AS32" s="292">
        <f>SUM(AS29:AS31)</f>
        <v>753840</v>
      </c>
      <c r="AT32" s="292">
        <f>SUM(AT29:AT31)</f>
        <v>166501.2550825318</v>
      </c>
      <c r="AU32" s="69"/>
      <c r="AV32" s="126">
        <f>SUM(AV29:AV31)</f>
        <v>108324779</v>
      </c>
      <c r="AW32" s="127">
        <f>SUM(AW29:AW31)</f>
        <v>23925782.208476443</v>
      </c>
      <c r="AX32" s="69"/>
      <c r="AY32" s="292">
        <f>SUM(AY29:AY31)</f>
        <v>0</v>
      </c>
      <c r="AZ32" s="292">
        <f>SUM(AZ29:AZ31)</f>
        <v>0</v>
      </c>
      <c r="BA32" s="69"/>
      <c r="BB32" s="126">
        <f>SUM(BB29:BB31)</f>
        <v>107570939</v>
      </c>
      <c r="BC32" s="127">
        <f>SUM(BC29:BC31)</f>
        <v>23759280.953393914</v>
      </c>
      <c r="BD32" s="69"/>
      <c r="BE32" s="292">
        <f>SUM(BE29:BE31)</f>
        <v>0</v>
      </c>
      <c r="BF32" s="292">
        <f>SUM(BF29:BF31)</f>
        <v>0</v>
      </c>
      <c r="BG32" s="69"/>
      <c r="BH32" s="126">
        <f>SUM(BH29:BH31)</f>
        <v>108324779</v>
      </c>
      <c r="BI32" s="127">
        <f>SUM(BI29:BI31)</f>
        <v>23925782.208476443</v>
      </c>
      <c r="BJ32" s="69"/>
      <c r="BK32" s="292">
        <f>SUM(BK29:BK31)</f>
        <v>0</v>
      </c>
      <c r="BL32" s="292">
        <f>SUM(BL29:BL31)</f>
        <v>0</v>
      </c>
      <c r="BM32" s="69"/>
      <c r="BN32" s="126">
        <f>SUM(BN29:BN31)</f>
        <v>108324779</v>
      </c>
      <c r="BO32" s="127">
        <f>SUM(BO29:BO31)</f>
        <v>23925782.208476443</v>
      </c>
      <c r="BP32" s="69"/>
      <c r="BQ32" s="292">
        <f>SUM(BQ29:BQ31)</f>
        <v>0</v>
      </c>
      <c r="BR32" s="292">
        <f>SUM(BR29:BR31)</f>
        <v>0</v>
      </c>
      <c r="BS32" s="69"/>
      <c r="BT32" s="126">
        <f>SUM(BT29:BT31)</f>
        <v>108324779</v>
      </c>
      <c r="BU32" s="127">
        <f>SUM(BU29:BU31)</f>
        <v>23925782.208476443</v>
      </c>
      <c r="BV32" s="69"/>
      <c r="BW32" s="292">
        <f>SUM(BW29:BW31)</f>
        <v>0</v>
      </c>
      <c r="BX32" s="292">
        <f>SUM(BX29:BX31)</f>
        <v>0</v>
      </c>
      <c r="BY32" s="69"/>
      <c r="BZ32" s="126">
        <f>SUM(BZ29:BZ31)</f>
        <v>108324779</v>
      </c>
      <c r="CA32" s="127">
        <f>SUM(CA29:CA31)</f>
        <v>23925782.208476443</v>
      </c>
      <c r="CB32" s="69"/>
      <c r="CC32" s="292">
        <f>SUM(CC29:CC31)</f>
        <v>0</v>
      </c>
      <c r="CD32" s="292">
        <f>SUM(CD29:CD31)</f>
        <v>0</v>
      </c>
      <c r="CE32" s="69"/>
      <c r="CF32" s="126">
        <f>SUM(CF29:CF31)</f>
        <v>108324779</v>
      </c>
      <c r="CG32" s="127">
        <f>SUM(CG29:CG31)</f>
        <v>23925782.208476443</v>
      </c>
      <c r="CH32" s="69"/>
      <c r="CI32" s="292">
        <f>SUM(CI29:CI31)</f>
        <v>0</v>
      </c>
      <c r="CJ32" s="292">
        <f>SUM(CJ29:CJ31)</f>
        <v>0</v>
      </c>
      <c r="CK32" s="69"/>
      <c r="CL32" s="126">
        <f>SUM(CL29:CL31)</f>
        <v>108324779</v>
      </c>
      <c r="CM32" s="127">
        <f>SUM(CM29:CM31)</f>
        <v>23925782.208476443</v>
      </c>
      <c r="CN32" s="69"/>
      <c r="CO32" s="292">
        <f>SUM(CO29:CO31)</f>
        <v>0</v>
      </c>
      <c r="CP32" s="292">
        <f>SUM(CP29:CP31)</f>
        <v>0</v>
      </c>
      <c r="CQ32" s="69"/>
      <c r="CR32" s="126">
        <f>SUM(CR29:CR31)</f>
        <v>108324779</v>
      </c>
      <c r="CS32" s="127">
        <f>SUM(CS29:CS31)</f>
        <v>23925782.208476443</v>
      </c>
      <c r="CT32" s="69"/>
      <c r="CU32" s="292">
        <f>SUM(CU29:CU31)</f>
        <v>-58116</v>
      </c>
      <c r="CV32" s="292">
        <f>SUM(CV29:CV31)</f>
        <v>-12836.128277056694</v>
      </c>
      <c r="CW32" s="69"/>
      <c r="CX32" s="126">
        <f>SUM(CX29:CX31)</f>
        <v>108266663</v>
      </c>
      <c r="CY32" s="127">
        <f>SUM(CY29:CY31)</f>
        <v>23912946.080199387</v>
      </c>
      <c r="CZ32" s="69"/>
      <c r="DA32" s="292">
        <f>SUM(DA29:DA31)</f>
        <v>2475899.5000000075</v>
      </c>
      <c r="DB32" s="292">
        <f>SUM(DB29:DB31)</f>
        <v>551396.42220004136</v>
      </c>
      <c r="DC32" s="69"/>
      <c r="DD32" s="126">
        <f>SUM(DD29:DD31)</f>
        <v>110800678.5</v>
      </c>
      <c r="DE32" s="127">
        <f>SUM(DE29:DE31)</f>
        <v>24477178.630676486</v>
      </c>
      <c r="DF32" s="69"/>
      <c r="DG32" s="292">
        <f>SUM(DG29:DG31)</f>
        <v>0</v>
      </c>
      <c r="DH32" s="292">
        <f>SUM(DH29:DH31)</f>
        <v>0</v>
      </c>
      <c r="DI32" s="69"/>
      <c r="DJ32" s="126">
        <f>SUM(DJ29:DJ31)</f>
        <v>108324779</v>
      </c>
      <c r="DK32" s="127">
        <f>SUM(DK29:DK31)</f>
        <v>23925782.208476443</v>
      </c>
      <c r="DL32" s="69"/>
      <c r="DM32" s="292">
        <f>SUM(DM29:DM31)</f>
        <v>0</v>
      </c>
      <c r="DN32" s="292">
        <f>SUM(DN29:DN31)</f>
        <v>0</v>
      </c>
      <c r="DO32" s="69"/>
      <c r="DP32" s="126">
        <f>SUM(DP29:DP31)</f>
        <v>108324779</v>
      </c>
      <c r="DQ32" s="127">
        <f>SUM(DQ29:DQ31)</f>
        <v>23925782.208476443</v>
      </c>
      <c r="DR32" s="69"/>
      <c r="DS32" s="292">
        <f>SUM(DS29:DS31)</f>
        <v>-7.4505805969238281E-9</v>
      </c>
      <c r="DT32" s="292">
        <f>SUM(DT29:DT31)</f>
        <v>-1.6298145055770874E-9</v>
      </c>
      <c r="DU32" s="69"/>
      <c r="DV32" s="126">
        <f>SUM(DV29:DV31)</f>
        <v>110742562.5</v>
      </c>
      <c r="DW32" s="127">
        <f>SUM(DW29:DW31)</f>
        <v>24464342.502399426</v>
      </c>
      <c r="DX32" s="69"/>
      <c r="DY32" s="283">
        <f>SUM(DY29:DY31)</f>
        <v>3171623.5</v>
      </c>
      <c r="DZ32" s="283">
        <f>SUM(DZ29:DZ31)</f>
        <v>705061.54900551494</v>
      </c>
      <c r="EA32" s="69"/>
      <c r="ED32" s="69"/>
    </row>
    <row r="33" spans="1:134">
      <c r="F33" s="122"/>
      <c r="G33" s="123"/>
      <c r="I33" s="290"/>
      <c r="J33" s="290"/>
      <c r="L33" s="122"/>
      <c r="M33" s="123"/>
      <c r="O33" s="290"/>
      <c r="P33" s="290"/>
      <c r="R33" s="122"/>
      <c r="S33" s="123"/>
      <c r="U33" s="290"/>
      <c r="V33" s="290"/>
      <c r="X33" s="122"/>
      <c r="Y33" s="123"/>
      <c r="AA33" s="290"/>
      <c r="AB33" s="290"/>
      <c r="AD33" s="122"/>
      <c r="AE33" s="123"/>
      <c r="AG33" s="290"/>
      <c r="AH33" s="290"/>
      <c r="AJ33" s="122"/>
      <c r="AK33" s="123"/>
      <c r="AM33" s="290"/>
      <c r="AN33" s="290"/>
      <c r="AP33" s="122"/>
      <c r="AQ33" s="123"/>
      <c r="AS33" s="290"/>
      <c r="AT33" s="290"/>
      <c r="AV33" s="122"/>
      <c r="AW33" s="123"/>
      <c r="AY33" s="290"/>
      <c r="AZ33" s="290"/>
      <c r="BB33" s="122"/>
      <c r="BC33" s="123"/>
      <c r="BE33" s="290"/>
      <c r="BF33" s="290"/>
      <c r="BH33" s="122"/>
      <c r="BI33" s="123"/>
      <c r="BK33" s="290"/>
      <c r="BL33" s="290"/>
      <c r="BN33" s="122"/>
      <c r="BO33" s="123"/>
      <c r="BQ33" s="290"/>
      <c r="BR33" s="290"/>
      <c r="BT33" s="122"/>
      <c r="BU33" s="123"/>
      <c r="BW33" s="290"/>
      <c r="BX33" s="290"/>
      <c r="BZ33" s="122"/>
      <c r="CA33" s="123"/>
      <c r="CC33" s="290"/>
      <c r="CD33" s="290"/>
      <c r="CF33" s="122"/>
      <c r="CG33" s="123"/>
      <c r="CI33" s="290"/>
      <c r="CJ33" s="290"/>
      <c r="CL33" s="122"/>
      <c r="CM33" s="123"/>
      <c r="CO33" s="290"/>
      <c r="CP33" s="290"/>
      <c r="CR33" s="122"/>
      <c r="CS33" s="123"/>
      <c r="CU33" s="290"/>
      <c r="CV33" s="290"/>
      <c r="CX33" s="122"/>
      <c r="CY33" s="123"/>
      <c r="DA33" s="290"/>
      <c r="DB33" s="290"/>
      <c r="DD33" s="122"/>
      <c r="DE33" s="123"/>
      <c r="DG33" s="290"/>
      <c r="DH33" s="290"/>
      <c r="DJ33" s="122"/>
      <c r="DK33" s="123"/>
      <c r="DM33" s="290"/>
      <c r="DN33" s="290"/>
      <c r="DP33" s="122"/>
      <c r="DQ33" s="123"/>
      <c r="DS33" s="290"/>
      <c r="DT33" s="290"/>
      <c r="DV33" s="122"/>
      <c r="DW33" s="123"/>
      <c r="DY33" s="281"/>
      <c r="DZ33" s="281"/>
    </row>
    <row r="34" spans="1:134">
      <c r="A34" s="59" t="s">
        <v>17</v>
      </c>
      <c r="F34" s="122"/>
      <c r="G34" s="123"/>
      <c r="I34" s="290"/>
      <c r="J34" s="290"/>
      <c r="L34" s="122"/>
      <c r="M34" s="123"/>
      <c r="O34" s="290"/>
      <c r="P34" s="290"/>
      <c r="R34" s="122"/>
      <c r="S34" s="123"/>
      <c r="U34" s="290"/>
      <c r="V34" s="290"/>
      <c r="X34" s="122"/>
      <c r="Y34" s="123"/>
      <c r="AA34" s="290"/>
      <c r="AB34" s="290"/>
      <c r="AD34" s="122"/>
      <c r="AE34" s="123"/>
      <c r="AG34" s="290"/>
      <c r="AH34" s="290"/>
      <c r="AJ34" s="122"/>
      <c r="AK34" s="123"/>
      <c r="AM34" s="290"/>
      <c r="AN34" s="290"/>
      <c r="AP34" s="122"/>
      <c r="AQ34" s="123"/>
      <c r="AS34" s="290"/>
      <c r="AT34" s="290"/>
      <c r="AV34" s="122"/>
      <c r="AW34" s="123"/>
      <c r="AY34" s="290"/>
      <c r="AZ34" s="290"/>
      <c r="BB34" s="122"/>
      <c r="BC34" s="123"/>
      <c r="BE34" s="290"/>
      <c r="BF34" s="290"/>
      <c r="BH34" s="122"/>
      <c r="BI34" s="123"/>
      <c r="BK34" s="290"/>
      <c r="BL34" s="290"/>
      <c r="BN34" s="122"/>
      <c r="BO34" s="123"/>
      <c r="BQ34" s="290"/>
      <c r="BR34" s="290"/>
      <c r="BT34" s="122"/>
      <c r="BU34" s="123"/>
      <c r="BW34" s="290"/>
      <c r="BX34" s="290"/>
      <c r="BZ34" s="122"/>
      <c r="CA34" s="123"/>
      <c r="CC34" s="290"/>
      <c r="CD34" s="290"/>
      <c r="CF34" s="122"/>
      <c r="CG34" s="123"/>
      <c r="CI34" s="290"/>
      <c r="CJ34" s="290"/>
      <c r="CL34" s="122"/>
      <c r="CM34" s="123"/>
      <c r="CO34" s="290"/>
      <c r="CP34" s="290"/>
      <c r="CR34" s="122"/>
      <c r="CS34" s="123"/>
      <c r="CU34" s="290"/>
      <c r="CV34" s="290"/>
      <c r="CX34" s="122"/>
      <c r="CY34" s="123"/>
      <c r="DA34" s="290"/>
      <c r="DB34" s="290"/>
      <c r="DD34" s="122"/>
      <c r="DE34" s="123"/>
      <c r="DG34" s="290"/>
      <c r="DH34" s="290"/>
      <c r="DJ34" s="122"/>
      <c r="DK34" s="123"/>
      <c r="DM34" s="290"/>
      <c r="DN34" s="290"/>
      <c r="DP34" s="122"/>
      <c r="DQ34" s="123"/>
      <c r="DS34" s="290"/>
      <c r="DT34" s="290"/>
      <c r="DV34" s="122"/>
      <c r="DW34" s="123"/>
      <c r="DY34" s="281"/>
      <c r="DZ34" s="281"/>
    </row>
    <row r="35" spans="1:134">
      <c r="A35" s="64" t="s">
        <v>18</v>
      </c>
      <c r="B35" s="65" t="s">
        <v>169</v>
      </c>
      <c r="C35" s="58" t="s">
        <v>13</v>
      </c>
      <c r="D35" s="66">
        <v>0.22270549443887661</v>
      </c>
      <c r="E35" s="71"/>
      <c r="F35" s="124">
        <f>'Pro Forma 3 2012 - Initial Fili'!D106+'Pro Forma 3 2012 - Initial Fili'!D117</f>
        <v>173957508.69999999</v>
      </c>
      <c r="G35" s="125">
        <f t="shared" ref="G35:G36" si="230">F35*$D35</f>
        <v>38741292.986388676</v>
      </c>
      <c r="H35" s="71"/>
      <c r="I35" s="291">
        <f t="shared" ref="I35:I36" si="231">L35-F35</f>
        <v>-383803.63999998569</v>
      </c>
      <c r="J35" s="291">
        <f t="shared" ref="J35:J36" si="232">I35*$D35</f>
        <v>-85475.179413637408</v>
      </c>
      <c r="K35" s="71"/>
      <c r="L35" s="124">
        <f>'PrePost Reb 01'!$D$104+'PrePost Reb 01'!$D$115</f>
        <v>173573705.06</v>
      </c>
      <c r="M35" s="125">
        <f t="shared" ref="M35:M36" si="233">L35*$D35</f>
        <v>38655817.806975037</v>
      </c>
      <c r="N35" s="71"/>
      <c r="O35" s="291">
        <f t="shared" ref="O35:O36" si="234">R35-L35</f>
        <v>0</v>
      </c>
      <c r="P35" s="291">
        <f t="shared" ref="P35:P36" si="235">O35*$D35</f>
        <v>0</v>
      </c>
      <c r="Q35" s="71"/>
      <c r="R35" s="124">
        <f>'PrePost Reb 02'!$D$104+'PrePost Reb 02'!$D$115</f>
        <v>173573705.06</v>
      </c>
      <c r="S35" s="125">
        <f t="shared" ref="S35:S36" si="236">R35*$D35</f>
        <v>38655817.806975037</v>
      </c>
      <c r="T35" s="71"/>
      <c r="U35" s="291">
        <f t="shared" ref="U35:U36" si="237">X35-R35</f>
        <v>-2039.3499999940395</v>
      </c>
      <c r="V35" s="291">
        <f t="shared" ref="V35:V36" si="238">U35*$D35</f>
        <v>-454.17445008259557</v>
      </c>
      <c r="W35" s="71"/>
      <c r="X35" s="124">
        <f>'PrePost Reb 03'!$D$104+'PrePost Reb 03'!$D$115</f>
        <v>173571665.71000001</v>
      </c>
      <c r="Y35" s="125">
        <f t="shared" ref="Y35:Y36" si="239">X35*$D35</f>
        <v>38655363.63252496</v>
      </c>
      <c r="Z35" s="71"/>
      <c r="AA35" s="291">
        <f t="shared" ref="AA35:AA36" si="240">AD35-X35</f>
        <v>-773750.25999999046</v>
      </c>
      <c r="AB35" s="291">
        <f t="shared" ref="AB35:AB36" si="241">AA35*$D35</f>
        <v>-172318.4342255072</v>
      </c>
      <c r="AC35" s="71"/>
      <c r="AD35" s="124">
        <f>'PrePost Reb 04'!$D$104+'PrePost Reb 04'!$D$115</f>
        <v>172797915.45000002</v>
      </c>
      <c r="AE35" s="125">
        <f t="shared" ref="AE35:AE36" si="242">AD35*$D35</f>
        <v>38483045.198299445</v>
      </c>
      <c r="AF35" s="71"/>
      <c r="AG35" s="291">
        <f t="shared" ref="AG35:AG36" si="243">AJ35-$X35</f>
        <v>0</v>
      </c>
      <c r="AH35" s="291">
        <f t="shared" ref="AH35:AH36" si="244">AG35*$D35</f>
        <v>0</v>
      </c>
      <c r="AI35" s="71"/>
      <c r="AJ35" s="124">
        <f>'PrePost Reb 05'!$D$104+'PrePost Reb 05'!$D$115</f>
        <v>173571665.71000001</v>
      </c>
      <c r="AK35" s="125">
        <f t="shared" ref="AK35:AK36" si="245">AJ35*$D35</f>
        <v>38655363.63252496</v>
      </c>
      <c r="AL35" s="71"/>
      <c r="AM35" s="291">
        <f t="shared" ref="AM35:AM36" si="246">AP35-$X35</f>
        <v>-1089191.6000000238</v>
      </c>
      <c r="AN35" s="291">
        <f t="shared" ref="AN35:AN36" si="247">AM35*$D35</f>
        <v>-242568.95381667643</v>
      </c>
      <c r="AO35" s="71"/>
      <c r="AP35" s="124">
        <f>'PrePost Reb 06'!$D$104+'PrePost Reb 06'!$D$115</f>
        <v>172482474.10999998</v>
      </c>
      <c r="AQ35" s="125">
        <f t="shared" ref="AQ35:AQ36" si="248">AP35*$D35</f>
        <v>38412794.678708278</v>
      </c>
      <c r="AR35" s="71"/>
      <c r="AS35" s="291">
        <f t="shared" ref="AS35:AS36" si="249">AV35-$X35</f>
        <v>0</v>
      </c>
      <c r="AT35" s="291">
        <f t="shared" ref="AT35:AT36" si="250">AS35*$D35</f>
        <v>0</v>
      </c>
      <c r="AU35" s="71"/>
      <c r="AV35" s="124">
        <f>'PrePost Reb 07'!$D$104+'PrePost Reb 07'!$D$115</f>
        <v>173571665.71000001</v>
      </c>
      <c r="AW35" s="125">
        <f t="shared" ref="AW35:AW36" si="251">AV35*$D35</f>
        <v>38655363.63252496</v>
      </c>
      <c r="AX35" s="71"/>
      <c r="AY35" s="291">
        <f t="shared" ref="AY35:AY36" si="252">BB35-$X35</f>
        <v>0</v>
      </c>
      <c r="AZ35" s="291">
        <f t="shared" ref="AZ35:AZ36" si="253">AY35*$D35</f>
        <v>0</v>
      </c>
      <c r="BA35" s="71"/>
      <c r="BB35" s="124">
        <f>'PrePost Reb 08'!$D$104+'PrePost Reb 08'!$D$115</f>
        <v>173571665.71000001</v>
      </c>
      <c r="BC35" s="125">
        <f t="shared" ref="BC35:BC36" si="254">BB35*$D35</f>
        <v>38655363.63252496</v>
      </c>
      <c r="BD35" s="71"/>
      <c r="BE35" s="291">
        <f t="shared" ref="BE35:BE36" si="255">(BH35-F35)-SUM(I35,O35,U35,AA35,AG35,AM35,AS35,AY35)</f>
        <v>-154563.27000001073</v>
      </c>
      <c r="BF35" s="291">
        <f t="shared" ref="BF35:BF36" si="256">BE35*$D35</f>
        <v>-34422.089467441976</v>
      </c>
      <c r="BG35" s="71"/>
      <c r="BH35" s="124">
        <f>'PrePost Reb 10'!$D$104+'PrePost Reb 10'!$D$115</f>
        <v>171554160.57999998</v>
      </c>
      <c r="BI35" s="125">
        <f t="shared" ref="BI35:BI36" si="257">BH35*$D35</f>
        <v>38206054.155015327</v>
      </c>
      <c r="BJ35" s="71"/>
      <c r="BK35" s="291">
        <f t="shared" ref="BK35:BK36" si="258">BN35-$BH35</f>
        <v>-4039191.9799999893</v>
      </c>
      <c r="BL35" s="291">
        <f t="shared" ref="BL35:BL36" si="259">BK35*$D35</f>
        <v>-899550.24703944265</v>
      </c>
      <c r="BM35" s="71"/>
      <c r="BN35" s="124">
        <f>'PrePost Reb 11'!$D$104+'PrePost Reb 11'!$D$115</f>
        <v>167514968.59999999</v>
      </c>
      <c r="BO35" s="125">
        <f t="shared" ref="BO35:BO36" si="260">BN35*$D35</f>
        <v>37306503.90797589</v>
      </c>
      <c r="BP35" s="71"/>
      <c r="BQ35" s="291">
        <f t="shared" ref="BQ35:BQ36" si="261">BT35-$BH35</f>
        <v>1063123.8900000155</v>
      </c>
      <c r="BR35" s="291">
        <f t="shared" ref="BR35:BR36" si="262">BQ35*$D35</f>
        <v>236763.53157223531</v>
      </c>
      <c r="BS35" s="71"/>
      <c r="BT35" s="124">
        <f>'PrePost Reb 12'!$D$104+'PrePost Reb 12'!$D$115</f>
        <v>172617284.47</v>
      </c>
      <c r="BU35" s="125">
        <f t="shared" ref="BU35:BU36" si="263">BT35*$D35</f>
        <v>38442817.686587565</v>
      </c>
      <c r="BV35" s="71"/>
      <c r="BW35" s="291">
        <f t="shared" ref="BW35:BW36" si="264">BZ35-$BH35</f>
        <v>-735424.21999999881</v>
      </c>
      <c r="BX35" s="291">
        <f t="shared" ref="BX35:BX36" si="265">BW35*$D35</f>
        <v>-163783.0145374249</v>
      </c>
      <c r="BY35" s="71"/>
      <c r="BZ35" s="124">
        <f>'PrePost Reb 13'!$D$104+'PrePost Reb 13'!$D$115</f>
        <v>170818736.35999998</v>
      </c>
      <c r="CA35" s="125">
        <f t="shared" ref="CA35:CA36" si="266">BZ35*$D35</f>
        <v>38042271.140477903</v>
      </c>
      <c r="CB35" s="71"/>
      <c r="CC35" s="291">
        <f t="shared" ref="CC35:CC36" si="267">CF35-$BH35</f>
        <v>-2922.5499999821186</v>
      </c>
      <c r="CD35" s="291">
        <f t="shared" ref="CD35:CD36" si="268">CC35*$D35</f>
        <v>-650.86794276835656</v>
      </c>
      <c r="CE35" s="71"/>
      <c r="CF35" s="124">
        <f>'PrePost Reb 14'!$D$104+'PrePost Reb 14'!$D$115</f>
        <v>171551238.03</v>
      </c>
      <c r="CG35" s="125">
        <f t="shared" ref="CG35:CG36" si="269">CF35*$D35</f>
        <v>38205403.287072562</v>
      </c>
      <c r="CH35" s="71"/>
      <c r="CI35" s="291">
        <f t="shared" ref="CI35:CI36" si="270">CL35-$BH35</f>
        <v>0</v>
      </c>
      <c r="CJ35" s="291">
        <f t="shared" ref="CJ35:CJ36" si="271">CI35*$D35</f>
        <v>0</v>
      </c>
      <c r="CK35" s="71"/>
      <c r="CL35" s="124">
        <f>'PrePost Reb 15'!$D$104+'PrePost Reb 15'!$D$115</f>
        <v>171554160.57999998</v>
      </c>
      <c r="CM35" s="125">
        <f t="shared" ref="CM35:CM36" si="272">CL35*$D35</f>
        <v>38206054.155015327</v>
      </c>
      <c r="CN35" s="71"/>
      <c r="CO35" s="291">
        <f t="shared" ref="CO35:CO36" si="273">CR35-$BH35</f>
        <v>-314.34000000357628</v>
      </c>
      <c r="CP35" s="291">
        <f t="shared" ref="CP35:CP36" si="274">CO35*$D35</f>
        <v>-70.005245122712935</v>
      </c>
      <c r="CQ35" s="71"/>
      <c r="CR35" s="124">
        <f>'PrePost Reb 16'!$D$104+'PrePost Reb 16'!$D$115</f>
        <v>171553846.23999998</v>
      </c>
      <c r="CS35" s="125">
        <f t="shared" ref="CS35:CS36" si="275">CR35*$D35</f>
        <v>38205984.149770208</v>
      </c>
      <c r="CT35" s="71"/>
      <c r="CU35" s="291">
        <f t="shared" ref="CU35:CU36" si="276">CX35-$BH35</f>
        <v>0</v>
      </c>
      <c r="CV35" s="291">
        <f t="shared" ref="CV35:CV36" si="277">CU35*$D35</f>
        <v>0</v>
      </c>
      <c r="CW35" s="71"/>
      <c r="CX35" s="124">
        <f>'PrePost Reb 17'!$D$104+'PrePost Reb 17'!$D$115</f>
        <v>171554160.57999998</v>
      </c>
      <c r="CY35" s="125">
        <f t="shared" ref="CY35:CY36" si="278">CX35*$D35</f>
        <v>38206054.155015327</v>
      </c>
      <c r="CZ35" s="71"/>
      <c r="DA35" s="291">
        <f t="shared" ref="DA35:DA36" si="279">DD35-$BH35</f>
        <v>296038.87999999523</v>
      </c>
      <c r="DB35" s="291">
        <f t="shared" ref="DB35:DB36" si="280">DA35*$D35</f>
        <v>65929.485143530197</v>
      </c>
      <c r="DC35" s="71"/>
      <c r="DD35" s="124">
        <f>'PrePost Reb 18'!$D$104+'PrePost Reb 18'!$D$115</f>
        <v>171850199.45999998</v>
      </c>
      <c r="DE35" s="125">
        <f t="shared" ref="DE35:DE36" si="281">DD35*$D35</f>
        <v>38271983.640158862</v>
      </c>
      <c r="DF35" s="71"/>
      <c r="DG35" s="291">
        <f t="shared" ref="DG35:DG36" si="282">DJ35-$BH35</f>
        <v>-217.08999997377396</v>
      </c>
      <c r="DH35" s="291">
        <f t="shared" ref="DH35:DH36" si="283">DG35*$D35</f>
        <v>-48.347135781895041</v>
      </c>
      <c r="DI35" s="71"/>
      <c r="DJ35" s="124">
        <f>'PrePost Reb 19'!$D$104+'PrePost Reb 19'!$D$115</f>
        <v>171553943.49000001</v>
      </c>
      <c r="DK35" s="125">
        <f t="shared" ref="DK35:DK36" si="284">DJ35*$D35</f>
        <v>38206005.807879552</v>
      </c>
      <c r="DL35" s="71"/>
      <c r="DM35" s="291">
        <f t="shared" ref="DM35:DM36" si="285">DP35-$BH35</f>
        <v>30295.530000001192</v>
      </c>
      <c r="DN35" s="291">
        <f t="shared" ref="DN35:DN36" si="286">DM35*$D35</f>
        <v>6746.9809879380846</v>
      </c>
      <c r="DO35" s="71"/>
      <c r="DP35" s="124">
        <f>'PrePost Reb 20'!$D$104+'PrePost Reb 20'!$D$115</f>
        <v>171584456.10999998</v>
      </c>
      <c r="DQ35" s="125">
        <f t="shared" ref="DQ35:DQ36" si="287">DP35*$D35</f>
        <v>38212801.136003271</v>
      </c>
      <c r="DR35" s="71"/>
      <c r="DS35" s="291">
        <f t="shared" ref="DS35" si="288">(DV35-BH35)-SUM(BK35,BQ35,BW35,CC35,CI35,CO35,CU35,DA35,DG35,DM35)</f>
        <v>4451735.7699999511</v>
      </c>
      <c r="DT35" s="291">
        <f t="shared" ref="DT35:DT36" si="289">DS35*$D35</f>
        <v>991426.01576907223</v>
      </c>
      <c r="DU35" s="71"/>
      <c r="DV35" s="124">
        <f>'Proforma 3-2012 (Rebuttal)'!$D$107+'Proforma 3-2012 (Rebuttal)'!$D$118</f>
        <v>172617284.47</v>
      </c>
      <c r="DW35" s="125">
        <f t="shared" ref="DW35:DW36" si="290">DV35*$D35</f>
        <v>38442817.686587565</v>
      </c>
      <c r="DX35" s="71"/>
      <c r="DY35" s="282">
        <f t="shared" ref="DY35:DY36" si="291">SUM(DS35,DM35,DG35,DA35,CU35,CO35,CI35,CC35,BW35,BQ35,BK35,BE35,AY35,AS35,AM35,AG35,AA35,U35,O35,I35)</f>
        <v>-1340224.2299999893</v>
      </c>
      <c r="DZ35" s="282">
        <f t="shared" ref="DZ35:DZ36" si="292">DY35*$D35</f>
        <v>-298475.29980111029</v>
      </c>
      <c r="EA35" s="71"/>
      <c r="ED35" s="71"/>
    </row>
    <row r="36" spans="1:134">
      <c r="A36" s="64" t="s">
        <v>19</v>
      </c>
      <c r="B36" s="65" t="s">
        <v>170</v>
      </c>
      <c r="C36" s="58" t="s">
        <v>13</v>
      </c>
      <c r="D36" s="66">
        <v>0.22270549443887661</v>
      </c>
      <c r="E36" s="71"/>
      <c r="F36" s="124">
        <f>'Pro Forma 3 2012 - Initial Fili'!D114+'Pro Forma 3 2012 - Initial Fili'!D108</f>
        <v>152461645.58846295</v>
      </c>
      <c r="G36" s="125">
        <f t="shared" si="230"/>
        <v>33954046.163743414</v>
      </c>
      <c r="H36" s="71"/>
      <c r="I36" s="291">
        <f t="shared" si="231"/>
        <v>0</v>
      </c>
      <c r="J36" s="291">
        <f t="shared" si="232"/>
        <v>0</v>
      </c>
      <c r="K36" s="71"/>
      <c r="L36" s="124">
        <f>'PrePost Reb 01'!$D$112+'PrePost Reb 01'!$D$106</f>
        <v>152461645.58846295</v>
      </c>
      <c r="M36" s="125">
        <f t="shared" si="233"/>
        <v>33954046.163743414</v>
      </c>
      <c r="N36" s="71"/>
      <c r="O36" s="291">
        <f t="shared" si="234"/>
        <v>0</v>
      </c>
      <c r="P36" s="291">
        <f t="shared" si="235"/>
        <v>0</v>
      </c>
      <c r="Q36" s="71"/>
      <c r="R36" s="124">
        <f>'PrePost Reb 02'!$D$112+'PrePost Reb 02'!$D$106</f>
        <v>152461645.58846295</v>
      </c>
      <c r="S36" s="125">
        <f t="shared" si="236"/>
        <v>33954046.163743414</v>
      </c>
      <c r="T36" s="71"/>
      <c r="U36" s="291">
        <f t="shared" si="237"/>
        <v>-5796.5200000107288</v>
      </c>
      <c r="V36" s="291">
        <f t="shared" si="238"/>
        <v>-1290.9168526272265</v>
      </c>
      <c r="W36" s="71"/>
      <c r="X36" s="124">
        <f>'PrePost Reb 03'!$D$112+'PrePost Reb 03'!$D$106</f>
        <v>152455849.06846294</v>
      </c>
      <c r="Y36" s="125">
        <f t="shared" si="239"/>
        <v>33952755.246890783</v>
      </c>
      <c r="Z36" s="71"/>
      <c r="AA36" s="291">
        <f t="shared" si="240"/>
        <v>31279106.116235465</v>
      </c>
      <c r="AB36" s="291">
        <f t="shared" si="241"/>
        <v>6966028.7932223082</v>
      </c>
      <c r="AC36" s="71"/>
      <c r="AD36" s="124">
        <f>'PrePost Reb 04'!$D$112+'PrePost Reb 04'!$D$106</f>
        <v>183734955.1846984</v>
      </c>
      <c r="AE36" s="125">
        <f t="shared" si="242"/>
        <v>40918784.040113091</v>
      </c>
      <c r="AF36" s="71"/>
      <c r="AG36" s="291">
        <f t="shared" si="243"/>
        <v>0</v>
      </c>
      <c r="AH36" s="291">
        <f t="shared" si="244"/>
        <v>0</v>
      </c>
      <c r="AI36" s="71"/>
      <c r="AJ36" s="124">
        <f>'PrePost Reb 05'!$D$112+'PrePost Reb 05'!$D$106</f>
        <v>152455849.06846294</v>
      </c>
      <c r="AK36" s="125">
        <f t="shared" si="245"/>
        <v>33952755.246890783</v>
      </c>
      <c r="AL36" s="71"/>
      <c r="AM36" s="291">
        <f t="shared" si="246"/>
        <v>3977334</v>
      </c>
      <c r="AN36" s="291">
        <f t="shared" si="247"/>
        <v>885774.13501855487</v>
      </c>
      <c r="AO36" s="71"/>
      <c r="AP36" s="124">
        <f>'PrePost Reb 06'!$D$112+'PrePost Reb 06'!$D$106</f>
        <v>156433183.06846294</v>
      </c>
      <c r="AQ36" s="125">
        <f t="shared" si="248"/>
        <v>34838529.381909341</v>
      </c>
      <c r="AR36" s="71"/>
      <c r="AS36" s="291">
        <f t="shared" si="249"/>
        <v>0</v>
      </c>
      <c r="AT36" s="291">
        <f t="shared" si="250"/>
        <v>0</v>
      </c>
      <c r="AU36" s="71"/>
      <c r="AV36" s="124">
        <f>'PrePost Reb 07'!$D$112+'PrePost Reb 07'!$D$106</f>
        <v>152455849.06846294</v>
      </c>
      <c r="AW36" s="125">
        <f t="shared" si="251"/>
        <v>33952755.246890783</v>
      </c>
      <c r="AX36" s="71"/>
      <c r="AY36" s="291">
        <f t="shared" si="252"/>
        <v>-54012</v>
      </c>
      <c r="AZ36" s="291">
        <f t="shared" si="253"/>
        <v>-12028.769165632602</v>
      </c>
      <c r="BA36" s="71"/>
      <c r="BB36" s="124">
        <f>'PrePost Reb 08'!$D$112+'PrePost Reb 08'!$D$106</f>
        <v>152401837.06846294</v>
      </c>
      <c r="BC36" s="125">
        <f t="shared" si="254"/>
        <v>33940726.477725148</v>
      </c>
      <c r="BD36" s="71"/>
      <c r="BE36" s="291">
        <f t="shared" si="255"/>
        <v>-16103106.905152887</v>
      </c>
      <c r="BF36" s="291">
        <f t="shared" si="256"/>
        <v>-3586250.3853141619</v>
      </c>
      <c r="BG36" s="71"/>
      <c r="BH36" s="124">
        <f>'PrePost Reb 10'!$D$112+'PrePost Reb 10'!$D$106</f>
        <v>171555170.27954552</v>
      </c>
      <c r="BI36" s="125">
        <f t="shared" si="257"/>
        <v>38206279.020651855</v>
      </c>
      <c r="BJ36" s="71"/>
      <c r="BK36" s="291">
        <f t="shared" si="258"/>
        <v>-21302533.239411741</v>
      </c>
      <c r="BL36" s="291">
        <f t="shared" si="259"/>
        <v>-4744191.1978837959</v>
      </c>
      <c r="BM36" s="71"/>
      <c r="BN36" s="124">
        <f>'PrePost Reb 11'!$D$112+'PrePost Reb 11'!$D$106</f>
        <v>150252637.04013377</v>
      </c>
      <c r="BO36" s="125">
        <f t="shared" si="260"/>
        <v>33462087.822768059</v>
      </c>
      <c r="BP36" s="71"/>
      <c r="BQ36" s="291">
        <f t="shared" si="261"/>
        <v>0</v>
      </c>
      <c r="BR36" s="291">
        <f t="shared" si="262"/>
        <v>0</v>
      </c>
      <c r="BS36" s="71"/>
      <c r="BT36" s="124">
        <f>'PrePost Reb 12'!$D$112+'PrePost Reb 12'!$D$106</f>
        <v>171555170.27954552</v>
      </c>
      <c r="BU36" s="125">
        <f t="shared" si="263"/>
        <v>38206279.020651855</v>
      </c>
      <c r="BV36" s="71"/>
      <c r="BW36" s="291">
        <f t="shared" si="264"/>
        <v>50565791.267589301</v>
      </c>
      <c r="BX36" s="291">
        <f t="shared" si="265"/>
        <v>11261279.545941504</v>
      </c>
      <c r="BY36" s="71"/>
      <c r="BZ36" s="124">
        <f>'PrePost Reb 13'!$D$112+'PrePost Reb 13'!$D$106</f>
        <v>222120961.54713482</v>
      </c>
      <c r="CA36" s="125">
        <f t="shared" si="266"/>
        <v>49467558.566593356</v>
      </c>
      <c r="CB36" s="71"/>
      <c r="CC36" s="291">
        <f t="shared" si="267"/>
        <v>-24.010000020265579</v>
      </c>
      <c r="CD36" s="291">
        <f t="shared" si="268"/>
        <v>-5.3471589259906835</v>
      </c>
      <c r="CE36" s="71"/>
      <c r="CF36" s="124">
        <f>'PrePost Reb 14'!$D$112+'PrePost Reb 14'!$D$106</f>
        <v>171555146.2695455</v>
      </c>
      <c r="CG36" s="125">
        <f t="shared" si="269"/>
        <v>38206273.673492923</v>
      </c>
      <c r="CH36" s="71"/>
      <c r="CI36" s="291">
        <f t="shared" si="270"/>
        <v>0</v>
      </c>
      <c r="CJ36" s="291">
        <f t="shared" si="271"/>
        <v>0</v>
      </c>
      <c r="CK36" s="71"/>
      <c r="CL36" s="124">
        <f>'PrePost Reb 15'!$D$112+'PrePost Reb 15'!$D$106</f>
        <v>171555170.27954552</v>
      </c>
      <c r="CM36" s="125">
        <f t="shared" si="272"/>
        <v>38206279.020651855</v>
      </c>
      <c r="CN36" s="71"/>
      <c r="CO36" s="291">
        <f t="shared" si="273"/>
        <v>925.71000000834465</v>
      </c>
      <c r="CP36" s="291">
        <f t="shared" si="274"/>
        <v>206.16070325887085</v>
      </c>
      <c r="CQ36" s="71"/>
      <c r="CR36" s="124">
        <f>'PrePost Reb 16'!$D$112+'PrePost Reb 16'!$D$106</f>
        <v>171556095.98954552</v>
      </c>
      <c r="CS36" s="125">
        <f t="shared" si="275"/>
        <v>38206485.181355111</v>
      </c>
      <c r="CT36" s="71"/>
      <c r="CU36" s="291">
        <f t="shared" si="276"/>
        <v>0</v>
      </c>
      <c r="CV36" s="291">
        <f t="shared" si="277"/>
        <v>0</v>
      </c>
      <c r="CW36" s="71"/>
      <c r="CX36" s="124">
        <f>'PrePost Reb 17'!$D$112+'PrePost Reb 17'!$D$106</f>
        <v>171555170.27954552</v>
      </c>
      <c r="CY36" s="125">
        <f t="shared" si="278"/>
        <v>38206279.020651855</v>
      </c>
      <c r="CZ36" s="71"/>
      <c r="DA36" s="291">
        <f t="shared" si="279"/>
        <v>195892.53999999166</v>
      </c>
      <c r="DB36" s="291">
        <f t="shared" si="280"/>
        <v>43626.344977585555</v>
      </c>
      <c r="DC36" s="71"/>
      <c r="DD36" s="124">
        <f>'PrePost Reb 18'!$D$112+'PrePost Reb 18'!$D$106</f>
        <v>171751062.81954551</v>
      </c>
      <c r="DE36" s="125">
        <f t="shared" si="281"/>
        <v>38249905.365629442</v>
      </c>
      <c r="DF36" s="71"/>
      <c r="DG36" s="291">
        <f t="shared" si="282"/>
        <v>0</v>
      </c>
      <c r="DH36" s="291">
        <f t="shared" si="283"/>
        <v>0</v>
      </c>
      <c r="DI36" s="71"/>
      <c r="DJ36" s="124">
        <f>'PrePost Reb 19'!$D$112+'PrePost Reb 19'!$D$106</f>
        <v>171555170.27954552</v>
      </c>
      <c r="DK36" s="125">
        <f t="shared" si="284"/>
        <v>38206279.020651855</v>
      </c>
      <c r="DL36" s="71"/>
      <c r="DM36" s="291">
        <f t="shared" si="285"/>
        <v>-37878.42999997735</v>
      </c>
      <c r="DN36" s="291">
        <f t="shared" si="286"/>
        <v>-8435.7344817133326</v>
      </c>
      <c r="DO36" s="71"/>
      <c r="DP36" s="124">
        <f>'PrePost Reb 20'!$D$112+'PrePost Reb 20'!$D$106</f>
        <v>171517291.84954554</v>
      </c>
      <c r="DQ36" s="125">
        <f t="shared" si="287"/>
        <v>38197843.28617014</v>
      </c>
      <c r="DR36" s="71"/>
      <c r="DS36" s="291">
        <f>(DV36-BH36)-SUM(BK36,BQ36,BW36,CC36,CI36,CO36,CU36,DA36,DG36,DM36)</f>
        <v>-14237209.904387176</v>
      </c>
      <c r="DT36" s="291">
        <f t="shared" si="289"/>
        <v>-3170704.8711866173</v>
      </c>
      <c r="DU36" s="71"/>
      <c r="DV36" s="124">
        <f>'Proforma 3-2012 (Rebuttal)'!$D$115+'Proforma 3-2012 (Rebuttal)'!$D$109</f>
        <v>186740134.2133359</v>
      </c>
      <c r="DW36" s="125">
        <f t="shared" si="290"/>
        <v>41588053.921563148</v>
      </c>
      <c r="DX36" s="71"/>
      <c r="DY36" s="282">
        <f t="shared" si="291"/>
        <v>34278488.624872953</v>
      </c>
      <c r="DZ36" s="282">
        <f t="shared" si="292"/>
        <v>7634007.7578197382</v>
      </c>
      <c r="EA36" s="71"/>
      <c r="ED36" s="71"/>
    </row>
    <row r="37" spans="1:134">
      <c r="A37" s="59" t="s">
        <v>41</v>
      </c>
      <c r="E37" s="69"/>
      <c r="F37" s="126">
        <f>SUM(F35:F36)</f>
        <v>326419154.28846294</v>
      </c>
      <c r="G37" s="127">
        <f>SUM(G35:G36)</f>
        <v>72695339.15013209</v>
      </c>
      <c r="H37" s="69"/>
      <c r="I37" s="292">
        <f>SUM(I35:I36)</f>
        <v>-383803.63999998569</v>
      </c>
      <c r="J37" s="292">
        <f>SUM(J35:J36)</f>
        <v>-85475.179413637408</v>
      </c>
      <c r="K37" s="69"/>
      <c r="L37" s="126">
        <f>SUM(L35:L36)</f>
        <v>326035350.64846295</v>
      </c>
      <c r="M37" s="127">
        <f>SUM(M35:M36)</f>
        <v>72609863.970718443</v>
      </c>
      <c r="N37" s="69"/>
      <c r="O37" s="292">
        <f>SUM(O35:O36)</f>
        <v>0</v>
      </c>
      <c r="P37" s="292">
        <f>SUM(P35:P36)</f>
        <v>0</v>
      </c>
      <c r="Q37" s="69"/>
      <c r="R37" s="126">
        <f>SUM(R35:R36)</f>
        <v>326035350.64846295</v>
      </c>
      <c r="S37" s="127">
        <f>SUM(S35:S36)</f>
        <v>72609863.970718443</v>
      </c>
      <c r="T37" s="69"/>
      <c r="U37" s="292">
        <f>SUM(U35:U36)</f>
        <v>-7835.8700000047684</v>
      </c>
      <c r="V37" s="292">
        <f>SUM(V35:V36)</f>
        <v>-1745.091302709822</v>
      </c>
      <c r="W37" s="69"/>
      <c r="X37" s="126">
        <f>SUM(X35:X36)</f>
        <v>326027514.77846295</v>
      </c>
      <c r="Y37" s="127">
        <f>SUM(Y35:Y36)</f>
        <v>72608118.879415751</v>
      </c>
      <c r="Z37" s="69"/>
      <c r="AA37" s="292">
        <f>SUM(AA35:AA36)</f>
        <v>30505355.856235474</v>
      </c>
      <c r="AB37" s="292">
        <f>SUM(AB35:AB36)</f>
        <v>6793710.3589968011</v>
      </c>
      <c r="AC37" s="69"/>
      <c r="AD37" s="126">
        <f>SUM(AD35:AD36)</f>
        <v>356532870.63469839</v>
      </c>
      <c r="AE37" s="127">
        <f>SUM(AE35:AE36)</f>
        <v>79401829.238412529</v>
      </c>
      <c r="AF37" s="69"/>
      <c r="AG37" s="292">
        <f>SUM(AG35:AG36)</f>
        <v>0</v>
      </c>
      <c r="AH37" s="292">
        <f>SUM(AH35:AH36)</f>
        <v>0</v>
      </c>
      <c r="AI37" s="69"/>
      <c r="AJ37" s="126">
        <f>SUM(AJ35:AJ36)</f>
        <v>326027514.77846295</v>
      </c>
      <c r="AK37" s="127">
        <f>SUM(AK35:AK36)</f>
        <v>72608118.879415751</v>
      </c>
      <c r="AL37" s="69"/>
      <c r="AM37" s="292">
        <f>SUM(AM35:AM36)</f>
        <v>2888142.3999999762</v>
      </c>
      <c r="AN37" s="292">
        <f>SUM(AN35:AN36)</f>
        <v>643205.18120187847</v>
      </c>
      <c r="AO37" s="69"/>
      <c r="AP37" s="126">
        <f>SUM(AP35:AP36)</f>
        <v>328915657.17846292</v>
      </c>
      <c r="AQ37" s="127">
        <f>SUM(AQ35:AQ36)</f>
        <v>73251324.060617626</v>
      </c>
      <c r="AR37" s="69"/>
      <c r="AS37" s="292">
        <f>SUM(AS35:AS36)</f>
        <v>0</v>
      </c>
      <c r="AT37" s="292">
        <f>SUM(AT35:AT36)</f>
        <v>0</v>
      </c>
      <c r="AU37" s="69"/>
      <c r="AV37" s="126">
        <f>SUM(AV35:AV36)</f>
        <v>326027514.77846295</v>
      </c>
      <c r="AW37" s="127">
        <f>SUM(AW35:AW36)</f>
        <v>72608118.879415751</v>
      </c>
      <c r="AX37" s="69"/>
      <c r="AY37" s="292">
        <f>SUM(AY35:AY36)</f>
        <v>-54012</v>
      </c>
      <c r="AZ37" s="292">
        <f>SUM(AZ35:AZ36)</f>
        <v>-12028.769165632602</v>
      </c>
      <c r="BA37" s="69"/>
      <c r="BB37" s="126">
        <f>SUM(BB35:BB36)</f>
        <v>325973502.77846295</v>
      </c>
      <c r="BC37" s="127">
        <f>SUM(BC35:BC36)</f>
        <v>72596090.110250115</v>
      </c>
      <c r="BD37" s="69"/>
      <c r="BE37" s="292">
        <f>SUM(BE35:BE36)</f>
        <v>-16257670.175152898</v>
      </c>
      <c r="BF37" s="292">
        <f>SUM(BF35:BF36)</f>
        <v>-3620672.474781604</v>
      </c>
      <c r="BG37" s="69"/>
      <c r="BH37" s="126">
        <f>SUM(BH35:BH36)</f>
        <v>343109330.85954547</v>
      </c>
      <c r="BI37" s="127">
        <f>SUM(BI35:BI36)</f>
        <v>76412333.175667182</v>
      </c>
      <c r="BJ37" s="69"/>
      <c r="BK37" s="292">
        <f>SUM(BK35:BK36)</f>
        <v>-25341725.219411731</v>
      </c>
      <c r="BL37" s="292">
        <f>SUM(BL35:BL36)</f>
        <v>-5643741.4449232388</v>
      </c>
      <c r="BM37" s="69"/>
      <c r="BN37" s="126">
        <f>SUM(BN35:BN36)</f>
        <v>317767605.64013374</v>
      </c>
      <c r="BO37" s="127">
        <f>SUM(BO35:BO36)</f>
        <v>70768591.730743945</v>
      </c>
      <c r="BP37" s="69"/>
      <c r="BQ37" s="292">
        <f>SUM(BQ35:BQ36)</f>
        <v>1063123.8900000155</v>
      </c>
      <c r="BR37" s="292">
        <f>SUM(BR35:BR36)</f>
        <v>236763.53157223531</v>
      </c>
      <c r="BS37" s="69"/>
      <c r="BT37" s="126">
        <f>SUM(BT35:BT36)</f>
        <v>344172454.74954551</v>
      </c>
      <c r="BU37" s="127">
        <f>SUM(BU35:BU36)</f>
        <v>76649096.707239419</v>
      </c>
      <c r="BV37" s="69"/>
      <c r="BW37" s="292">
        <f>SUM(BW35:BW36)</f>
        <v>49830367.047589302</v>
      </c>
      <c r="BX37" s="292">
        <f>SUM(BX35:BX36)</f>
        <v>11097496.531404078</v>
      </c>
      <c r="BY37" s="69"/>
      <c r="BZ37" s="126">
        <f>SUM(BZ35:BZ36)</f>
        <v>392939697.90713477</v>
      </c>
      <c r="CA37" s="127">
        <f>SUM(CA35:CA36)</f>
        <v>87509829.70707126</v>
      </c>
      <c r="CB37" s="69"/>
      <c r="CC37" s="292">
        <f>SUM(CC35:CC36)</f>
        <v>-2946.5600000023842</v>
      </c>
      <c r="CD37" s="292">
        <f>SUM(CD35:CD36)</f>
        <v>-656.21510169434725</v>
      </c>
      <c r="CE37" s="69"/>
      <c r="CF37" s="126">
        <f>SUM(CF35:CF36)</f>
        <v>343106384.29954553</v>
      </c>
      <c r="CG37" s="127">
        <f>SUM(CG35:CG36)</f>
        <v>76411676.960565478</v>
      </c>
      <c r="CH37" s="69"/>
      <c r="CI37" s="292">
        <f>SUM(CI35:CI36)</f>
        <v>0</v>
      </c>
      <c r="CJ37" s="292">
        <f>SUM(CJ35:CJ36)</f>
        <v>0</v>
      </c>
      <c r="CK37" s="69"/>
      <c r="CL37" s="126">
        <f>SUM(CL35:CL36)</f>
        <v>343109330.85954547</v>
      </c>
      <c r="CM37" s="127">
        <f>SUM(CM35:CM36)</f>
        <v>76412333.175667182</v>
      </c>
      <c r="CN37" s="69"/>
      <c r="CO37" s="292">
        <f>SUM(CO35:CO36)</f>
        <v>611.37000000476837</v>
      </c>
      <c r="CP37" s="292">
        <f>SUM(CP35:CP36)</f>
        <v>136.1554581361579</v>
      </c>
      <c r="CQ37" s="69"/>
      <c r="CR37" s="126">
        <f>SUM(CR35:CR36)</f>
        <v>343109942.22954547</v>
      </c>
      <c r="CS37" s="127">
        <f>SUM(CS35:CS36)</f>
        <v>76412469.331125319</v>
      </c>
      <c r="CT37" s="69"/>
      <c r="CU37" s="292">
        <f>SUM(CU35:CU36)</f>
        <v>0</v>
      </c>
      <c r="CV37" s="292">
        <f>SUM(CV35:CV36)</f>
        <v>0</v>
      </c>
      <c r="CW37" s="69"/>
      <c r="CX37" s="126">
        <f>SUM(CX35:CX36)</f>
        <v>343109330.85954547</v>
      </c>
      <c r="CY37" s="127">
        <f>SUM(CY35:CY36)</f>
        <v>76412333.175667182</v>
      </c>
      <c r="CZ37" s="69"/>
      <c r="DA37" s="292">
        <f>SUM(DA35:DA36)</f>
        <v>491931.41999998689</v>
      </c>
      <c r="DB37" s="292">
        <f>SUM(DB35:DB36)</f>
        <v>109555.83012111575</v>
      </c>
      <c r="DC37" s="69"/>
      <c r="DD37" s="126">
        <f>SUM(DD35:DD36)</f>
        <v>343601262.27954549</v>
      </c>
      <c r="DE37" s="127">
        <f>SUM(DE35:DE36)</f>
        <v>76521889.005788296</v>
      </c>
      <c r="DF37" s="69"/>
      <c r="DG37" s="292">
        <f>SUM(DG35:DG36)</f>
        <v>-217.08999997377396</v>
      </c>
      <c r="DH37" s="292">
        <f>SUM(DH35:DH36)</f>
        <v>-48.347135781895041</v>
      </c>
      <c r="DI37" s="69"/>
      <c r="DJ37" s="126">
        <f>SUM(DJ35:DJ36)</f>
        <v>343109113.76954556</v>
      </c>
      <c r="DK37" s="127">
        <f>SUM(DK35:DK36)</f>
        <v>76412284.828531414</v>
      </c>
      <c r="DL37" s="69"/>
      <c r="DM37" s="292">
        <f>SUM(DM35:DM36)</f>
        <v>-7582.8999999761581</v>
      </c>
      <c r="DN37" s="292">
        <f>SUM(DN35:DN36)</f>
        <v>-1688.753493775248</v>
      </c>
      <c r="DO37" s="69"/>
      <c r="DP37" s="126">
        <f>SUM(DP35:DP36)</f>
        <v>343101747.95954549</v>
      </c>
      <c r="DQ37" s="127">
        <f>SUM(DQ35:DQ36)</f>
        <v>76410644.422173411</v>
      </c>
      <c r="DR37" s="69"/>
      <c r="DS37" s="292">
        <f>SUM(DS35:DS36)</f>
        <v>-9785474.1343872249</v>
      </c>
      <c r="DT37" s="292">
        <f>SUM(DT35:DT36)</f>
        <v>-2179278.855417545</v>
      </c>
      <c r="DU37" s="69"/>
      <c r="DV37" s="126">
        <f>SUM(DV35:DV36)</f>
        <v>359357418.6833359</v>
      </c>
      <c r="DW37" s="127">
        <f>SUM(DW35:DW36)</f>
        <v>80030871.608150721</v>
      </c>
      <c r="DX37" s="69"/>
      <c r="DY37" s="283">
        <f>SUM(DY35:DY36)</f>
        <v>32938264.394872963</v>
      </c>
      <c r="DZ37" s="283">
        <f>SUM(DZ35:DZ36)</f>
        <v>7335532.4580186279</v>
      </c>
      <c r="EA37" s="69"/>
      <c r="ED37" s="69"/>
    </row>
    <row r="38" spans="1:134">
      <c r="E38" s="69"/>
      <c r="F38" s="128"/>
      <c r="G38" s="129"/>
      <c r="H38" s="69"/>
      <c r="I38" s="293"/>
      <c r="J38" s="293"/>
      <c r="K38" s="69"/>
      <c r="L38" s="128"/>
      <c r="M38" s="129"/>
      <c r="N38" s="69"/>
      <c r="O38" s="293"/>
      <c r="P38" s="293"/>
      <c r="Q38" s="69"/>
      <c r="R38" s="128"/>
      <c r="S38" s="129"/>
      <c r="T38" s="69"/>
      <c r="U38" s="293"/>
      <c r="V38" s="293"/>
      <c r="W38" s="69"/>
      <c r="X38" s="128"/>
      <c r="Y38" s="129"/>
      <c r="Z38" s="69"/>
      <c r="AA38" s="293"/>
      <c r="AB38" s="293"/>
      <c r="AC38" s="69"/>
      <c r="AD38" s="128"/>
      <c r="AE38" s="129"/>
      <c r="AF38" s="69"/>
      <c r="AG38" s="293"/>
      <c r="AH38" s="293"/>
      <c r="AI38" s="69"/>
      <c r="AJ38" s="128"/>
      <c r="AK38" s="129"/>
      <c r="AL38" s="69"/>
      <c r="AM38" s="293"/>
      <c r="AN38" s="293"/>
      <c r="AO38" s="69"/>
      <c r="AP38" s="128"/>
      <c r="AQ38" s="129"/>
      <c r="AR38" s="69"/>
      <c r="AS38" s="293"/>
      <c r="AT38" s="293"/>
      <c r="AU38" s="69"/>
      <c r="AV38" s="128"/>
      <c r="AW38" s="129"/>
      <c r="AX38" s="69"/>
      <c r="AY38" s="293"/>
      <c r="AZ38" s="293"/>
      <c r="BA38" s="69"/>
      <c r="BB38" s="128"/>
      <c r="BC38" s="129"/>
      <c r="BD38" s="69"/>
      <c r="BE38" s="293"/>
      <c r="BF38" s="293"/>
      <c r="BG38" s="69"/>
      <c r="BH38" s="128"/>
      <c r="BI38" s="129"/>
      <c r="BJ38" s="69"/>
      <c r="BK38" s="293"/>
      <c r="BL38" s="293"/>
      <c r="BM38" s="69"/>
      <c r="BN38" s="128"/>
      <c r="BO38" s="129"/>
      <c r="BP38" s="69"/>
      <c r="BQ38" s="293"/>
      <c r="BR38" s="293"/>
      <c r="BS38" s="69"/>
      <c r="BT38" s="128"/>
      <c r="BU38" s="129"/>
      <c r="BV38" s="69"/>
      <c r="BW38" s="293"/>
      <c r="BX38" s="293"/>
      <c r="BY38" s="69"/>
      <c r="BZ38" s="128"/>
      <c r="CA38" s="129"/>
      <c r="CB38" s="69"/>
      <c r="CC38" s="293"/>
      <c r="CD38" s="293"/>
      <c r="CE38" s="69"/>
      <c r="CF38" s="128"/>
      <c r="CG38" s="129"/>
      <c r="CH38" s="69"/>
      <c r="CI38" s="293"/>
      <c r="CJ38" s="293"/>
      <c r="CK38" s="69"/>
      <c r="CL38" s="128"/>
      <c r="CM38" s="129"/>
      <c r="CN38" s="69"/>
      <c r="CO38" s="293"/>
      <c r="CP38" s="293"/>
      <c r="CQ38" s="69"/>
      <c r="CR38" s="128"/>
      <c r="CS38" s="129"/>
      <c r="CT38" s="69"/>
      <c r="CU38" s="293"/>
      <c r="CV38" s="293"/>
      <c r="CW38" s="69"/>
      <c r="CX38" s="128"/>
      <c r="CY38" s="129"/>
      <c r="CZ38" s="69"/>
      <c r="DA38" s="293"/>
      <c r="DB38" s="293"/>
      <c r="DC38" s="69"/>
      <c r="DD38" s="128"/>
      <c r="DE38" s="129"/>
      <c r="DF38" s="69"/>
      <c r="DG38" s="293"/>
      <c r="DH38" s="293"/>
      <c r="DI38" s="69"/>
      <c r="DJ38" s="128"/>
      <c r="DK38" s="129"/>
      <c r="DL38" s="69"/>
      <c r="DM38" s="293"/>
      <c r="DN38" s="293"/>
      <c r="DO38" s="69"/>
      <c r="DP38" s="128"/>
      <c r="DQ38" s="129"/>
      <c r="DR38" s="69"/>
      <c r="DS38" s="293"/>
      <c r="DT38" s="293"/>
      <c r="DU38" s="69"/>
      <c r="DV38" s="128"/>
      <c r="DW38" s="129"/>
      <c r="DX38" s="69"/>
      <c r="DY38" s="284"/>
      <c r="DZ38" s="284"/>
      <c r="EA38" s="69"/>
      <c r="ED38" s="69"/>
    </row>
    <row r="39" spans="1:134" s="60" customFormat="1" ht="13.5" thickBot="1">
      <c r="A39" s="62" t="s">
        <v>42</v>
      </c>
      <c r="B39" s="62"/>
      <c r="C39" s="62"/>
      <c r="D39" s="62"/>
      <c r="E39" s="74"/>
      <c r="F39" s="130">
        <f>SUM(-F18,F26,F32,F37)</f>
        <v>569914100.81846297</v>
      </c>
      <c r="G39" s="131">
        <f>SUM(-G18,G26,G32,G37)</f>
        <v>128870624.61367597</v>
      </c>
      <c r="H39" s="74"/>
      <c r="I39" s="295">
        <f>SUM(-I18,I26,I32,I37)</f>
        <v>-341642.14999997616</v>
      </c>
      <c r="J39" s="294">
        <f>SUM(-J18,J26,J32,J37)</f>
        <v>-76162.936761149875</v>
      </c>
      <c r="K39" s="74"/>
      <c r="L39" s="130">
        <f>SUM(-L18,L26,L32,L37)</f>
        <v>569572458.66846299</v>
      </c>
      <c r="M39" s="131">
        <f>SUM(-M18,M26,M32,M37)</f>
        <v>128794461.67691481</v>
      </c>
      <c r="N39" s="74"/>
      <c r="O39" s="295">
        <f>SUM(-O18,O26,O32,O37)</f>
        <v>-10725.510000001639</v>
      </c>
      <c r="P39" s="294">
        <f>SUM(-P18,P26,P32,P37)</f>
        <v>-2384.5495485985193</v>
      </c>
      <c r="Q39" s="74"/>
      <c r="R39" s="130">
        <f>SUM(-R18,R26,R32,R37)</f>
        <v>569561733.158463</v>
      </c>
      <c r="S39" s="131">
        <f>SUM(-S18,S26,S32,S37)</f>
        <v>128792077.12736621</v>
      </c>
      <c r="T39" s="74"/>
      <c r="U39" s="295">
        <f>SUM(-U18,U26,U32,U37)</f>
        <v>8556.419999986887</v>
      </c>
      <c r="V39" s="294">
        <f>SUM(-V18,V26,V32,V37)</f>
        <v>1875.4871471939316</v>
      </c>
      <c r="W39" s="74"/>
      <c r="X39" s="130">
        <f>SUM(-X18,X26,X32,X37)</f>
        <v>569570289.57846296</v>
      </c>
      <c r="Y39" s="131">
        <f>SUM(-Y18,Y26,Y32,Y37)</f>
        <v>128793952.6145134</v>
      </c>
      <c r="Z39" s="74"/>
      <c r="AA39" s="295">
        <f>SUM(-AA18,AA26,AA32,AA37)</f>
        <v>-3064081.4037645459</v>
      </c>
      <c r="AB39" s="294">
        <f>SUM(-AB18,AB26,AB32,AB37)</f>
        <v>-620386.85236558225</v>
      </c>
      <c r="AC39" s="74"/>
      <c r="AD39" s="130">
        <f>SUM(-AD18,AD26,AD32,AD37)</f>
        <v>566506208.17469835</v>
      </c>
      <c r="AE39" s="131">
        <f>SUM(-AE18,AE26,AE32,AE37)</f>
        <v>128173565.7621478</v>
      </c>
      <c r="AF39" s="74"/>
      <c r="AG39" s="295">
        <f>SUM(-AG18,AG26,AG32,AG37)</f>
        <v>-1681327.4799999986</v>
      </c>
      <c r="AH39" s="294">
        <f>SUM(-AH18,AH26,AH32,AH37)</f>
        <v>-373515.45859484898</v>
      </c>
      <c r="AI39" s="74"/>
      <c r="AJ39" s="130">
        <f>SUM(-AJ18,AJ26,AJ32,AJ37)</f>
        <v>567888962.09846294</v>
      </c>
      <c r="AK39" s="131">
        <f>SUM(-AK18,AK26,AK32,AK37)</f>
        <v>128420437.15591857</v>
      </c>
      <c r="AL39" s="74"/>
      <c r="AM39" s="295">
        <f>SUM(-AM18,AM26,AM32,AM37)</f>
        <v>1995837.1900000274</v>
      </c>
      <c r="AN39" s="294">
        <f>SUM(-AN18,AN26,AN32,AN37)</f>
        <v>446121.00235534133</v>
      </c>
      <c r="AO39" s="74"/>
      <c r="AP39" s="130">
        <f>SUM(-AP18,AP26,AP32,AP37)</f>
        <v>571566126.76846302</v>
      </c>
      <c r="AQ39" s="131">
        <f>SUM(-AQ18,AQ26,AQ32,AQ37)</f>
        <v>129240073.61686875</v>
      </c>
      <c r="AR39" s="74"/>
      <c r="AS39" s="295">
        <f>SUM(-AS18,AS26,AS32,AS37)</f>
        <v>753840</v>
      </c>
      <c r="AT39" s="294">
        <f>SUM(-AT18,AT26,AT32,AT37)</f>
        <v>166501.2550825318</v>
      </c>
      <c r="AU39" s="74"/>
      <c r="AV39" s="130">
        <f>SUM(-AV18,AV26,AV32,AV37)</f>
        <v>570324129.57846296</v>
      </c>
      <c r="AW39" s="131">
        <f>SUM(-AW18,AW26,AW32,AW37)</f>
        <v>128960453.86959593</v>
      </c>
      <c r="AX39" s="74"/>
      <c r="AY39" s="295">
        <f>SUM(-AY18,AY26,AY32,AY37)</f>
        <v>-54012</v>
      </c>
      <c r="AZ39" s="294">
        <f>SUM(-AZ18,AZ26,AZ32,AZ37)</f>
        <v>-12028.769165632602</v>
      </c>
      <c r="BA39" s="74"/>
      <c r="BB39" s="130">
        <f>SUM(-BB18,BB26,BB32,BB37)</f>
        <v>569516277.57846296</v>
      </c>
      <c r="BC39" s="131">
        <f>SUM(-BC18,BC26,BC32,BC37)</f>
        <v>128781923.84534776</v>
      </c>
      <c r="BD39" s="74"/>
      <c r="BE39" s="295">
        <f>SUM(-BE18,BE26,BE32,BE37)</f>
        <v>1308776.7348470688</v>
      </c>
      <c r="BF39" s="294">
        <f>SUM(-BF18,BF26,BF32,BF37)</f>
        <v>259301.63246118976</v>
      </c>
      <c r="BG39" s="74"/>
      <c r="BH39" s="130">
        <f>SUM(-BH18,BH26,BH32,BH37)</f>
        <v>568829322.61954546</v>
      </c>
      <c r="BI39" s="131">
        <f>SUM(-BI18,BI26,BI32,BI37)</f>
        <v>128659945.4242864</v>
      </c>
      <c r="BJ39" s="74"/>
      <c r="BK39" s="295">
        <f>SUM(-BK18,BK26,BK32,BK37)</f>
        <v>-12789121.949411709</v>
      </c>
      <c r="BL39" s="294">
        <f>SUM(-BL18,BL26,BL32,BL37)</f>
        <v>-2865353.2690872904</v>
      </c>
      <c r="BM39" s="74"/>
      <c r="BN39" s="130">
        <f>SUM(-BN18,BN26,BN32,BN37)</f>
        <v>556040200.67013383</v>
      </c>
      <c r="BO39" s="131">
        <f>SUM(-BO18,BO26,BO32,BO37)</f>
        <v>125794592.15519911</v>
      </c>
      <c r="BP39" s="74"/>
      <c r="BQ39" s="295">
        <f>SUM(-BQ18,BQ26,BQ32,BQ37)</f>
        <v>1063123.8900000155</v>
      </c>
      <c r="BR39" s="294">
        <f>SUM(-BR18,BR26,BR32,BR37)</f>
        <v>236763.53157223531</v>
      </c>
      <c r="BS39" s="74"/>
      <c r="BT39" s="130">
        <f>SUM(-BT18,BT26,BT32,BT37)</f>
        <v>569892446.50954556</v>
      </c>
      <c r="BU39" s="131">
        <f>SUM(-BU18,BU26,BU32,BU37)</f>
        <v>128896708.95585863</v>
      </c>
      <c r="BV39" s="74"/>
      <c r="BW39" s="295">
        <f>SUM(-BW18,BW26,BW32,BW37)</f>
        <v>-1498877.7124107182</v>
      </c>
      <c r="BX39" s="294">
        <f>SUM(-BX18,BX26,BX32,BX37)</f>
        <v>-239635.5854621958</v>
      </c>
      <c r="BY39" s="74"/>
      <c r="BZ39" s="130">
        <f>SUM(-BZ18,BZ26,BZ32,BZ37)</f>
        <v>567330444.90713477</v>
      </c>
      <c r="CA39" s="131">
        <f>SUM(-CA18,CA26,CA32,CA37)</f>
        <v>128420309.8388242</v>
      </c>
      <c r="CB39" s="74"/>
      <c r="CC39" s="295">
        <f>SUM(-CC18,CC26,CC32,CC37)</f>
        <v>-86174.790000021458</v>
      </c>
      <c r="CD39" s="294">
        <f>SUM(-CD18,CD26,CD32,CD37)</f>
        <v>-19038.902082089131</v>
      </c>
      <c r="CE39" s="74"/>
      <c r="CF39" s="130">
        <f>SUM(-CF18,CF26,CF32,CF37)</f>
        <v>568743147.8295455</v>
      </c>
      <c r="CG39" s="131">
        <f>SUM(-CG18,CG26,CG32,CG37)</f>
        <v>128640906.52220429</v>
      </c>
      <c r="CH39" s="74"/>
      <c r="CI39" s="295">
        <f>SUM(-CI18,CI26,CI32,CI37)</f>
        <v>-1000508.7699999996</v>
      </c>
      <c r="CJ39" s="294">
        <f>SUM(-CJ18,CJ26,CJ32,CJ37)</f>
        <v>-220983.18731571693</v>
      </c>
      <c r="CK39" s="74"/>
      <c r="CL39" s="130">
        <f>SUM(-CL18,CL26,CL32,CL37)</f>
        <v>567828813.84954548</v>
      </c>
      <c r="CM39" s="131">
        <f>SUM(-CM18,CM26,CM32,CM37)</f>
        <v>128438962.23697068</v>
      </c>
      <c r="CN39" s="74"/>
      <c r="CO39" s="295">
        <f>SUM(-CO18,CO26,CO32,CO37)</f>
        <v>-1581152.3300000131</v>
      </c>
      <c r="CP39" s="294">
        <f>SUM(-CP18,CP26,CP32,CP37)</f>
        <v>-349229.28189460747</v>
      </c>
      <c r="CQ39" s="74"/>
      <c r="CR39" s="130">
        <f>SUM(-CR18,CR26,CR32,CR37)</f>
        <v>567248170.28954554</v>
      </c>
      <c r="CS39" s="131">
        <f>SUM(-CS18,CS26,CS32,CS37)</f>
        <v>128310716.14239179</v>
      </c>
      <c r="CT39" s="74"/>
      <c r="CU39" s="295">
        <f>SUM(-CU18,CU26,CU32,CU37)</f>
        <v>-58116</v>
      </c>
      <c r="CV39" s="294">
        <f>SUM(-CV18,CV26,CV32,CV37)</f>
        <v>-12836.128277056694</v>
      </c>
      <c r="CW39" s="74"/>
      <c r="CX39" s="130">
        <f>SUM(-CX18,CX26,CX32,CX37)</f>
        <v>568771206.61954546</v>
      </c>
      <c r="CY39" s="131">
        <f>SUM(-CY18,CY26,CY32,CY37)</f>
        <v>128647109.29600935</v>
      </c>
      <c r="CZ39" s="74"/>
      <c r="DA39" s="295">
        <f>SUM(-DA18,DA26,DA32,DA37)</f>
        <v>1216293.2899999991</v>
      </c>
      <c r="DB39" s="294">
        <f>SUM(-DB18,DB26,DB32,DB37)</f>
        <v>274088.70870542643</v>
      </c>
      <c r="DC39" s="74"/>
      <c r="DD39" s="130">
        <f>SUM(-DD18,DD26,DD32,DD37)</f>
        <v>570045615.90954542</v>
      </c>
      <c r="DE39" s="131">
        <f>SUM(-DE18,DE26,DE32,DE37)</f>
        <v>128934034.13299182</v>
      </c>
      <c r="DF39" s="74"/>
      <c r="DG39" s="295">
        <f>SUM(-DG18,DG26,DG32,DG37)</f>
        <v>-563428.20999997295</v>
      </c>
      <c r="DH39" s="294">
        <f>SUM(-DH18,DH26,DH32,DH37)</f>
        <v>-124445.24615472263</v>
      </c>
      <c r="DI39" s="74"/>
      <c r="DJ39" s="130">
        <f>SUM(-DJ18,DJ26,DJ32,DJ37)</f>
        <v>568265894.40954554</v>
      </c>
      <c r="DK39" s="131">
        <f>SUM(-DK18,DK26,DK32,DK37)</f>
        <v>128535500.17813168</v>
      </c>
      <c r="DL39" s="74"/>
      <c r="DM39" s="295">
        <f>SUM(-DM18,DM26,DM32,DM37)</f>
        <v>-540010.57999998331</v>
      </c>
      <c r="DN39" s="294">
        <f>SUM(-DN18,DN26,DN32,DN37)</f>
        <v>-119286.48903537798</v>
      </c>
      <c r="DO39" s="74"/>
      <c r="DP39" s="130">
        <f>SUM(-DP18,DP26,DP32,DP37)</f>
        <v>568289312.03954554</v>
      </c>
      <c r="DQ39" s="131">
        <f>SUM(-DQ18,DQ26,DQ32,DQ37)</f>
        <v>128540658.93525103</v>
      </c>
      <c r="DR39" s="74"/>
      <c r="DS39" s="295">
        <f>SUM(-DS18,DS26,DS32,DS37)</f>
        <v>4564326.5656128135</v>
      </c>
      <c r="DT39" s="294">
        <f>SUM(-DT18,DT26,DT32,DT37)</f>
        <v>990173.31843128242</v>
      </c>
      <c r="DU39" s="74"/>
      <c r="DV39" s="130">
        <f>SUM(-DV18,DV26,DV32,DV37)</f>
        <v>557555676.02333593</v>
      </c>
      <c r="DW39" s="131">
        <f>SUM(-DW18,DW26,DW32,DW37)</f>
        <v>126210162.89368629</v>
      </c>
      <c r="DX39" s="74"/>
      <c r="DY39" s="313">
        <f>SUM(-DY18,DY26,DY32,DY37)</f>
        <v>-12358424.795127027</v>
      </c>
      <c r="DZ39" s="285">
        <f>SUM(-DZ18,DZ26,DZ32,DZ37)</f>
        <v>-2660461.7199896676</v>
      </c>
      <c r="EA39" s="74"/>
      <c r="ED39" s="74"/>
    </row>
    <row r="40" spans="1:134" ht="13.5" thickTop="1">
      <c r="C40" s="103"/>
      <c r="D40" s="103"/>
      <c r="E40" s="136"/>
      <c r="F40" s="224" t="s">
        <v>278</v>
      </c>
      <c r="G40" s="225"/>
      <c r="H40" s="136"/>
      <c r="I40" s="263"/>
      <c r="J40" s="263"/>
      <c r="K40" s="136"/>
      <c r="L40" s="202"/>
      <c r="M40" s="133"/>
      <c r="N40" s="136"/>
      <c r="O40" s="263"/>
      <c r="P40" s="263"/>
      <c r="Q40" s="136"/>
      <c r="R40" s="202"/>
      <c r="S40" s="133"/>
      <c r="T40" s="136"/>
      <c r="U40" s="263"/>
      <c r="V40" s="263"/>
      <c r="W40" s="136"/>
      <c r="X40" s="276"/>
      <c r="Y40" s="277"/>
      <c r="Z40" s="136"/>
      <c r="AA40" s="263"/>
      <c r="AB40" s="263"/>
      <c r="AC40" s="136"/>
      <c r="AD40" s="202"/>
      <c r="AE40" s="133"/>
      <c r="AF40" s="136"/>
      <c r="AG40" s="263"/>
      <c r="AH40" s="263"/>
      <c r="AI40" s="136"/>
      <c r="AJ40" s="202"/>
      <c r="AK40" s="133"/>
      <c r="AL40" s="136"/>
      <c r="AM40" s="263"/>
      <c r="AN40" s="263"/>
      <c r="AO40" s="136"/>
      <c r="AP40" s="202"/>
      <c r="AQ40" s="133"/>
      <c r="AR40" s="136"/>
      <c r="AS40" s="263"/>
      <c r="AT40" s="263"/>
      <c r="AU40" s="136"/>
      <c r="AV40" s="202"/>
      <c r="AW40" s="133"/>
      <c r="AX40" s="136"/>
      <c r="AY40" s="263"/>
      <c r="AZ40" s="263"/>
      <c r="BA40" s="136"/>
      <c r="BB40" s="202"/>
      <c r="BC40" s="133"/>
      <c r="BD40" s="136"/>
      <c r="BE40" s="263"/>
      <c r="BF40" s="263"/>
      <c r="BG40" s="136"/>
      <c r="BH40" s="202"/>
      <c r="BI40" s="133"/>
      <c r="BJ40" s="136"/>
      <c r="BK40" s="263"/>
      <c r="BL40" s="263"/>
      <c r="BM40" s="136"/>
      <c r="BN40" s="202"/>
      <c r="BO40" s="133"/>
      <c r="BP40" s="136"/>
      <c r="BQ40" s="263"/>
      <c r="BR40" s="263"/>
      <c r="BS40" s="136"/>
      <c r="BT40" s="202"/>
      <c r="BU40" s="133"/>
      <c r="BV40" s="136"/>
      <c r="BW40" s="263"/>
      <c r="BX40" s="263"/>
      <c r="BY40" s="136"/>
      <c r="BZ40" s="202"/>
      <c r="CA40" s="133"/>
      <c r="CB40" s="136"/>
      <c r="CC40" s="263"/>
      <c r="CD40" s="263"/>
      <c r="CE40" s="136"/>
      <c r="CF40" s="202"/>
      <c r="CG40" s="133"/>
      <c r="CH40" s="136"/>
      <c r="CI40" s="263"/>
      <c r="CJ40" s="263"/>
      <c r="CK40" s="136"/>
      <c r="CL40" s="202"/>
      <c r="CM40" s="133"/>
      <c r="CN40" s="136"/>
      <c r="CO40" s="263"/>
      <c r="CP40" s="263"/>
      <c r="CQ40" s="136"/>
      <c r="CR40" s="202"/>
      <c r="CS40" s="133"/>
      <c r="CT40" s="136"/>
      <c r="CU40" s="263"/>
      <c r="CV40" s="263"/>
      <c r="CW40" s="136"/>
      <c r="CX40" s="202"/>
      <c r="CY40" s="133"/>
      <c r="CZ40" s="136"/>
      <c r="DA40" s="263"/>
      <c r="DB40" s="263"/>
      <c r="DC40" s="136"/>
      <c r="DD40" s="202"/>
      <c r="DE40" s="133"/>
      <c r="DF40" s="136"/>
      <c r="DG40" s="263"/>
      <c r="DH40" s="263"/>
      <c r="DI40" s="136"/>
      <c r="DJ40" s="202"/>
      <c r="DK40" s="133"/>
      <c r="DL40" s="136"/>
      <c r="DM40" s="263"/>
      <c r="DN40" s="263"/>
      <c r="DO40" s="136"/>
      <c r="DP40" s="202"/>
      <c r="DQ40" s="133"/>
      <c r="DR40" s="136"/>
      <c r="DS40" s="263"/>
      <c r="DT40" s="263"/>
      <c r="DU40" s="136"/>
      <c r="DV40" s="224" t="s">
        <v>341</v>
      </c>
      <c r="DW40" s="225"/>
      <c r="DX40" s="136"/>
      <c r="DY40" s="263"/>
      <c r="DZ40" s="263"/>
      <c r="EA40" s="136"/>
      <c r="ED40" s="136"/>
    </row>
    <row r="41" spans="1:134">
      <c r="F41" s="122"/>
      <c r="G41" s="123"/>
      <c r="I41" s="70"/>
      <c r="J41" s="70"/>
      <c r="L41" s="264"/>
      <c r="M41" s="265"/>
      <c r="O41" s="70"/>
      <c r="P41" s="70"/>
      <c r="R41" s="264"/>
      <c r="S41" s="265"/>
      <c r="U41" s="70"/>
      <c r="V41" s="270"/>
      <c r="W41" s="270"/>
      <c r="X41" s="264"/>
      <c r="Y41" s="265"/>
      <c r="Z41" s="270"/>
      <c r="AA41" s="270"/>
      <c r="AB41" s="270"/>
      <c r="AC41" s="270"/>
      <c r="AD41" s="264"/>
      <c r="AE41" s="265"/>
      <c r="AF41" s="270"/>
      <c r="AG41" s="270"/>
      <c r="AH41" s="270"/>
      <c r="AI41" s="270"/>
      <c r="AJ41" s="264"/>
      <c r="AK41" s="265"/>
      <c r="AL41" s="270"/>
      <c r="AM41" s="270"/>
      <c r="AN41" s="270"/>
      <c r="AO41" s="270"/>
      <c r="AP41" s="264"/>
      <c r="AQ41" s="265"/>
      <c r="AR41" s="270"/>
      <c r="AS41" s="270"/>
      <c r="AT41" s="270"/>
      <c r="AU41" s="270"/>
      <c r="AV41" s="264"/>
      <c r="AW41" s="265"/>
      <c r="AX41" s="270"/>
      <c r="AY41" s="270"/>
      <c r="AZ41" s="270"/>
      <c r="BA41" s="270"/>
      <c r="BB41" s="264"/>
      <c r="BC41" s="265"/>
      <c r="BE41" s="70"/>
      <c r="BF41" s="70"/>
      <c r="BH41" s="122"/>
      <c r="BI41" s="123"/>
      <c r="BK41" s="70"/>
      <c r="BL41" s="70"/>
      <c r="BN41" s="122"/>
      <c r="BO41" s="123"/>
      <c r="BQ41" s="70"/>
      <c r="BR41" s="70"/>
      <c r="BT41" s="122"/>
      <c r="BU41" s="123"/>
      <c r="BW41" s="70"/>
      <c r="BX41" s="70"/>
      <c r="BZ41" s="122"/>
      <c r="CA41" s="123"/>
      <c r="CC41" s="70"/>
      <c r="CD41" s="70"/>
      <c r="CF41" s="122"/>
      <c r="CG41" s="123"/>
      <c r="CI41" s="70"/>
      <c r="CJ41" s="70"/>
      <c r="CL41" s="122"/>
      <c r="CM41" s="123"/>
      <c r="CO41" s="70"/>
      <c r="CP41" s="70"/>
      <c r="CR41" s="122"/>
      <c r="CS41" s="123"/>
      <c r="CU41" s="70"/>
      <c r="CV41" s="70"/>
      <c r="CX41" s="122"/>
      <c r="CY41" s="123"/>
      <c r="DA41" s="70"/>
      <c r="DB41" s="70"/>
      <c r="DD41" s="122"/>
      <c r="DE41" s="123"/>
      <c r="DG41" s="70"/>
      <c r="DH41" s="70"/>
      <c r="DJ41" s="122"/>
      <c r="DK41" s="123"/>
      <c r="DM41" s="70"/>
      <c r="DN41" s="70"/>
      <c r="DP41" s="122"/>
      <c r="DQ41" s="123"/>
      <c r="DS41" s="70"/>
      <c r="DT41" s="70"/>
      <c r="DV41" s="122"/>
      <c r="DW41" s="123"/>
      <c r="DY41" s="70"/>
      <c r="DZ41" s="70"/>
    </row>
    <row r="42" spans="1:134" ht="13.5" thickBot="1">
      <c r="A42" s="59" t="s">
        <v>202</v>
      </c>
      <c r="F42" s="134"/>
      <c r="G42" s="135"/>
      <c r="I42" s="70"/>
      <c r="J42" s="70"/>
      <c r="L42" s="266"/>
      <c r="M42" s="267"/>
      <c r="O42" s="70"/>
      <c r="P42" s="70"/>
      <c r="R42" s="266"/>
      <c r="S42" s="267"/>
      <c r="U42" s="70"/>
      <c r="V42" s="270"/>
      <c r="W42" s="270"/>
      <c r="X42" s="266"/>
      <c r="Y42" s="267"/>
      <c r="Z42" s="270"/>
      <c r="AA42" s="270"/>
      <c r="AB42" s="270"/>
      <c r="AC42" s="270"/>
      <c r="AD42" s="266"/>
      <c r="AE42" s="267"/>
      <c r="AF42" s="270"/>
      <c r="AG42" s="270"/>
      <c r="AH42" s="270"/>
      <c r="AI42" s="270"/>
      <c r="AJ42" s="266"/>
      <c r="AK42" s="267"/>
      <c r="AL42" s="270"/>
      <c r="AM42" s="270"/>
      <c r="AN42" s="270"/>
      <c r="AO42" s="270"/>
      <c r="AP42" s="266"/>
      <c r="AQ42" s="267"/>
      <c r="AR42" s="270"/>
      <c r="AS42" s="270"/>
      <c r="AT42" s="270"/>
      <c r="AU42" s="270"/>
      <c r="AV42" s="266"/>
      <c r="AW42" s="267"/>
      <c r="AX42" s="270"/>
      <c r="AY42" s="270"/>
      <c r="AZ42" s="270"/>
      <c r="BA42" s="270"/>
      <c r="BB42" s="266"/>
      <c r="BC42" s="267"/>
      <c r="BE42" s="70"/>
      <c r="BF42" s="70"/>
      <c r="BH42" s="134"/>
      <c r="BI42" s="135"/>
      <c r="BK42" s="70"/>
      <c r="BL42" s="70"/>
      <c r="BN42" s="134"/>
      <c r="BO42" s="135"/>
      <c r="BQ42" s="70"/>
      <c r="BR42" s="70"/>
      <c r="BT42" s="134"/>
      <c r="BU42" s="135"/>
      <c r="BW42" s="70"/>
      <c r="BX42" s="70"/>
      <c r="BZ42" s="134"/>
      <c r="CA42" s="135"/>
      <c r="CC42" s="70"/>
      <c r="CD42" s="70"/>
      <c r="CF42" s="134"/>
      <c r="CG42" s="135"/>
      <c r="CI42" s="70"/>
      <c r="CJ42" s="70"/>
      <c r="CL42" s="134"/>
      <c r="CM42" s="135"/>
      <c r="CO42" s="70"/>
      <c r="CP42" s="70"/>
      <c r="CR42" s="134"/>
      <c r="CS42" s="135"/>
      <c r="CU42" s="70"/>
      <c r="CV42" s="70"/>
      <c r="CX42" s="134"/>
      <c r="CY42" s="135"/>
      <c r="DA42" s="70"/>
      <c r="DB42" s="70"/>
      <c r="DD42" s="134"/>
      <c r="DE42" s="135"/>
      <c r="DG42" s="70"/>
      <c r="DH42" s="70"/>
      <c r="DJ42" s="134"/>
      <c r="DK42" s="135"/>
      <c r="DM42" s="70"/>
      <c r="DN42" s="70"/>
      <c r="DP42" s="134"/>
      <c r="DQ42" s="135"/>
      <c r="DS42" s="70"/>
      <c r="DT42" s="70"/>
      <c r="DV42" s="134"/>
      <c r="DW42" s="135"/>
      <c r="DY42" s="70"/>
      <c r="DZ42" s="70"/>
    </row>
    <row r="44" spans="1:134">
      <c r="B44" s="62"/>
      <c r="E44" s="111"/>
      <c r="F44" s="62"/>
      <c r="G44" s="62"/>
      <c r="H44" s="111"/>
      <c r="I44" s="62"/>
      <c r="J44" s="62"/>
      <c r="K44" s="111"/>
      <c r="L44" s="62"/>
      <c r="M44" s="62"/>
      <c r="N44" s="111"/>
      <c r="O44" s="62"/>
      <c r="P44" s="62"/>
      <c r="Q44" s="111"/>
      <c r="R44" s="62"/>
      <c r="S44" s="62"/>
      <c r="T44" s="111"/>
      <c r="U44" s="62"/>
      <c r="V44" s="62"/>
      <c r="W44" s="111"/>
      <c r="X44" s="62"/>
      <c r="Y44" s="62"/>
      <c r="Z44" s="111"/>
      <c r="AA44" s="62"/>
      <c r="AB44" s="62"/>
      <c r="AC44" s="111"/>
      <c r="AD44" s="62"/>
      <c r="AE44" s="62"/>
      <c r="AF44" s="111"/>
      <c r="AG44" s="62"/>
      <c r="AH44" s="62"/>
      <c r="AI44" s="111"/>
      <c r="AJ44" s="62"/>
      <c r="AK44" s="62"/>
      <c r="AL44" s="111"/>
      <c r="AM44" s="62"/>
      <c r="AN44" s="62"/>
      <c r="AO44" s="111"/>
      <c r="AP44" s="62"/>
      <c r="AQ44" s="62"/>
      <c r="AR44" s="111"/>
      <c r="AS44" s="62"/>
      <c r="AT44" s="62"/>
      <c r="AU44" s="111"/>
      <c r="AV44" s="62"/>
      <c r="AW44" s="62"/>
      <c r="AX44" s="111"/>
      <c r="AY44" s="62"/>
      <c r="AZ44" s="62"/>
      <c r="BA44" s="111"/>
      <c r="BB44" s="62"/>
      <c r="BC44" s="62"/>
      <c r="BD44" s="111"/>
      <c r="BE44" s="62"/>
      <c r="BF44" s="62"/>
      <c r="BG44" s="111"/>
      <c r="BH44" s="62"/>
      <c r="BI44" s="62"/>
      <c r="BJ44" s="111"/>
      <c r="BK44" s="62"/>
      <c r="BL44" s="62"/>
      <c r="BM44" s="111"/>
      <c r="BN44" s="62"/>
      <c r="BO44" s="62"/>
      <c r="BP44" s="111"/>
      <c r="BQ44" s="62"/>
      <c r="BR44" s="62"/>
      <c r="BS44" s="111"/>
      <c r="BT44" s="62"/>
      <c r="BU44" s="62"/>
      <c r="BV44" s="111"/>
      <c r="BW44" s="62"/>
      <c r="BX44" s="62"/>
      <c r="BY44" s="111"/>
      <c r="BZ44" s="62"/>
      <c r="CA44" s="62"/>
      <c r="CB44" s="111"/>
      <c r="CC44" s="62"/>
      <c r="CD44" s="62"/>
      <c r="CE44" s="111"/>
      <c r="CF44" s="62"/>
      <c r="CG44" s="62"/>
      <c r="CH44" s="111"/>
      <c r="CI44" s="62"/>
      <c r="CJ44" s="62"/>
      <c r="CK44" s="111"/>
      <c r="CL44" s="62"/>
      <c r="CM44" s="62"/>
      <c r="CN44" s="111"/>
      <c r="CO44" s="62"/>
      <c r="CP44" s="62"/>
      <c r="CQ44" s="111"/>
      <c r="CR44" s="62"/>
      <c r="CS44" s="62"/>
      <c r="CT44" s="111"/>
      <c r="CU44" s="62"/>
      <c r="CV44" s="62"/>
      <c r="CW44" s="111"/>
      <c r="CX44" s="62"/>
      <c r="CY44" s="62"/>
      <c r="CZ44" s="111"/>
      <c r="DA44" s="62"/>
      <c r="DB44" s="62"/>
      <c r="DC44" s="111"/>
      <c r="DD44" s="62"/>
      <c r="DE44" s="62"/>
      <c r="DF44" s="111"/>
      <c r="DG44" s="62"/>
      <c r="DH44" s="62"/>
      <c r="DI44" s="111"/>
      <c r="DJ44" s="62"/>
      <c r="DK44" s="62"/>
      <c r="DL44" s="111"/>
      <c r="DM44" s="62"/>
      <c r="DN44" s="62"/>
      <c r="DO44" s="111"/>
      <c r="DP44" s="62"/>
      <c r="DQ44" s="62"/>
      <c r="DR44" s="111"/>
      <c r="DS44" s="62"/>
      <c r="DT44" s="62"/>
      <c r="DU44" s="111"/>
      <c r="DV44" s="62"/>
      <c r="DW44" s="62"/>
      <c r="DX44" s="111"/>
      <c r="DY44" s="62"/>
      <c r="DZ44" s="62"/>
      <c r="EA44" s="111"/>
      <c r="ED44" s="111"/>
    </row>
    <row r="45" spans="1:134">
      <c r="BE45" s="62"/>
      <c r="BK45" s="62"/>
      <c r="BQ45" s="62"/>
      <c r="BW45" s="62"/>
      <c r="CC45" s="62"/>
      <c r="CI45" s="62"/>
      <c r="CO45" s="62"/>
      <c r="CU45" s="62"/>
      <c r="DA45" s="62"/>
      <c r="DG45" s="62"/>
      <c r="DM45" s="62"/>
      <c r="DS45" s="62"/>
      <c r="DY45" s="62"/>
    </row>
  </sheetData>
  <pageMargins left="0.65" right="0.72" top="1" bottom="1" header="0.5" footer="0.5"/>
  <pageSetup scale="47" fitToWidth="5" orientation="landscape" r:id="rId1"/>
  <headerFooter alignWithMargins="0">
    <oddFooter>&amp;C&amp;14 12.6.1 - Revised 12/10/10</oddFooter>
  </headerFooter>
</worksheet>
</file>

<file path=xl/worksheets/sheet9.xml><?xml version="1.0" encoding="utf-8"?>
<worksheet xmlns="http://schemas.openxmlformats.org/spreadsheetml/2006/main" xmlns:r="http://schemas.openxmlformats.org/officeDocument/2006/relationships">
  <sheetPr>
    <pageSetUpPr fitToPage="1"/>
  </sheetPr>
  <dimension ref="B1:F35"/>
  <sheetViews>
    <sheetView showGridLines="0" zoomScale="85" zoomScaleNormal="85" workbookViewId="0">
      <selection activeCell="U44" sqref="U44"/>
    </sheetView>
  </sheetViews>
  <sheetFormatPr defaultRowHeight="12.75"/>
  <cols>
    <col min="1" max="1" width="3.85546875" style="333" customWidth="1"/>
    <col min="2" max="5" width="15.7109375" style="333" customWidth="1"/>
    <col min="6" max="16384" width="9.140625" style="333"/>
  </cols>
  <sheetData>
    <row r="1" spans="2:5">
      <c r="B1" s="332" t="s">
        <v>0</v>
      </c>
    </row>
    <row r="2" spans="2:5">
      <c r="B2" s="332" t="s">
        <v>132</v>
      </c>
    </row>
    <row r="3" spans="2:5">
      <c r="B3" s="332" t="s">
        <v>408</v>
      </c>
    </row>
    <row r="6" spans="2:5">
      <c r="B6" s="334" t="s">
        <v>409</v>
      </c>
      <c r="C6" s="335"/>
      <c r="D6" s="335"/>
      <c r="E6" s="335"/>
    </row>
    <row r="7" spans="2:5" s="338" customFormat="1">
      <c r="B7" s="336"/>
      <c r="C7" s="336" t="s">
        <v>410</v>
      </c>
      <c r="D7" s="337" t="s">
        <v>411</v>
      </c>
      <c r="E7" s="336" t="s">
        <v>412</v>
      </c>
    </row>
    <row r="8" spans="2:5">
      <c r="B8" s="339" t="s">
        <v>413</v>
      </c>
      <c r="C8" s="340">
        <v>0.47599999999999998</v>
      </c>
      <c r="D8" s="341">
        <v>5.8900000000000001E-2</v>
      </c>
      <c r="E8" s="340">
        <f>C8*D8</f>
        <v>2.80364E-2</v>
      </c>
    </row>
    <row r="9" spans="2:5">
      <c r="B9" s="339" t="s">
        <v>414</v>
      </c>
      <c r="C9" s="340">
        <v>3.0000000000000001E-3</v>
      </c>
      <c r="D9" s="341">
        <v>5.4100000000000002E-2</v>
      </c>
      <c r="E9" s="340">
        <f>C9*D9</f>
        <v>1.6230000000000001E-4</v>
      </c>
    </row>
    <row r="10" spans="2:5">
      <c r="B10" s="342" t="s">
        <v>415</v>
      </c>
      <c r="C10" s="343">
        <v>0.52100000000000002</v>
      </c>
      <c r="D10" s="344">
        <v>0.106</v>
      </c>
      <c r="E10" s="343">
        <f>C10*D10</f>
        <v>5.5225999999999997E-2</v>
      </c>
    </row>
    <row r="11" spans="2:5">
      <c r="E11" s="345">
        <f>ROUND(SUM(E8:E10),4)</f>
        <v>8.3400000000000002E-2</v>
      </c>
    </row>
    <row r="16" spans="2:5">
      <c r="B16" s="346" t="s">
        <v>416</v>
      </c>
      <c r="C16" s="347"/>
    </row>
    <row r="17" spans="2:6">
      <c r="B17" s="333" t="s">
        <v>396</v>
      </c>
      <c r="D17" s="348">
        <v>1</v>
      </c>
    </row>
    <row r="18" spans="2:6">
      <c r="D18" s="348"/>
    </row>
    <row r="19" spans="2:6">
      <c r="B19" s="333" t="s">
        <v>417</v>
      </c>
      <c r="D19" s="348"/>
    </row>
    <row r="20" spans="2:6">
      <c r="B20" s="333" t="s">
        <v>418</v>
      </c>
      <c r="D20" s="348">
        <v>5.6100000000000004E-3</v>
      </c>
      <c r="F20" s="349"/>
    </row>
    <row r="21" spans="2:6">
      <c r="B21" s="333" t="s">
        <v>419</v>
      </c>
      <c r="D21" s="348">
        <v>2E-3</v>
      </c>
    </row>
    <row r="22" spans="2:6">
      <c r="B22" s="333" t="s">
        <v>420</v>
      </c>
      <c r="D22" s="348">
        <v>3.8730000000000001E-2</v>
      </c>
    </row>
    <row r="23" spans="2:6">
      <c r="B23" s="333" t="s">
        <v>421</v>
      </c>
      <c r="D23" s="341">
        <v>0</v>
      </c>
    </row>
    <row r="24" spans="2:6">
      <c r="B24" s="333" t="s">
        <v>422</v>
      </c>
      <c r="D24" s="344">
        <v>0</v>
      </c>
    </row>
    <row r="25" spans="2:6">
      <c r="D25" s="348"/>
    </row>
    <row r="26" spans="2:6">
      <c r="B26" s="333" t="s">
        <v>423</v>
      </c>
      <c r="D26" s="350">
        <f>D17-SUM(D19:D24)</f>
        <v>0.95365999999999995</v>
      </c>
    </row>
    <row r="27" spans="2:6">
      <c r="D27" s="348"/>
    </row>
    <row r="28" spans="2:6">
      <c r="B28" s="333" t="s">
        <v>424</v>
      </c>
      <c r="D28" s="344">
        <v>0</v>
      </c>
    </row>
    <row r="29" spans="2:6">
      <c r="D29" s="348"/>
    </row>
    <row r="30" spans="2:6">
      <c r="B30" s="333" t="s">
        <v>423</v>
      </c>
      <c r="D30" s="350">
        <f>D26-D28</f>
        <v>0.95365999999999995</v>
      </c>
    </row>
    <row r="31" spans="2:6">
      <c r="D31" s="348"/>
    </row>
    <row r="32" spans="2:6">
      <c r="B32" s="333" t="s">
        <v>425</v>
      </c>
      <c r="D32" s="344">
        <f>D30*0.35</f>
        <v>0.33378099999999994</v>
      </c>
    </row>
    <row r="33" spans="2:4">
      <c r="D33" s="351"/>
    </row>
    <row r="34" spans="2:4" ht="13.5" thickBot="1">
      <c r="B34" s="333" t="s">
        <v>426</v>
      </c>
      <c r="D34" s="352">
        <f>ROUND(D30-D32,5)</f>
        <v>0.61987999999999999</v>
      </c>
    </row>
    <row r="35" spans="2:4" ht="13.5" thickTop="1">
      <c r="D35" s="353"/>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4337A-F503-4866-96C0-BD548D62EA4A}"/>
</file>

<file path=customXml/itemProps2.xml><?xml version="1.0" encoding="utf-8"?>
<ds:datastoreItem xmlns:ds="http://schemas.openxmlformats.org/officeDocument/2006/customXml" ds:itemID="{D2321D99-8106-4E84-A085-83376A672D59}"/>
</file>

<file path=customXml/itemProps3.xml><?xml version="1.0" encoding="utf-8"?>
<ds:datastoreItem xmlns:ds="http://schemas.openxmlformats.org/officeDocument/2006/customXml" ds:itemID="{7E676ED2-A5BA-4917-8BEA-A2E600F7F42C}"/>
</file>

<file path=customXml/itemProps4.xml><?xml version="1.0" encoding="utf-8"?>
<ds:datastoreItem xmlns:ds="http://schemas.openxmlformats.org/officeDocument/2006/customXml" ds:itemID="{2584AB6E-6EDB-4F59-8001-8A794133DF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57</vt:i4>
      </vt:variant>
    </vt:vector>
  </HeadingPairs>
  <TitlesOfParts>
    <vt:vector size="88" baseType="lpstr">
      <vt:lpstr>Lead Sheet - 5.1</vt:lpstr>
      <vt:lpstr>Lead Sheet - 12.6</vt:lpstr>
      <vt:lpstr>NPC Summary 12.6.1 </vt:lpstr>
      <vt:lpstr>Proforma 3-2012 (Rebuttal)</vt:lpstr>
      <vt:lpstr>Variance Sum. from Init Forcast</vt:lpstr>
      <vt:lpstr>Summary WCA -  Duvall</vt:lpstr>
      <vt:lpstr>RevReq impact of Rebuttal Adj</vt:lpstr>
      <vt:lpstr>Adjustments to Initial Forecast</vt:lpstr>
      <vt:lpstr>Variables</vt:lpstr>
      <vt:lpstr>PrePost Reb 01</vt:lpstr>
      <vt:lpstr>PrePost Reb 02</vt:lpstr>
      <vt:lpstr>PrePost Reb 03</vt:lpstr>
      <vt:lpstr>PrePost Reb 04</vt:lpstr>
      <vt:lpstr>PrePost Reb 05</vt:lpstr>
      <vt:lpstr>PrePost Reb 06</vt:lpstr>
      <vt:lpstr>PrePost Reb 07</vt:lpstr>
      <vt:lpstr>PrePost Reb 08</vt:lpstr>
      <vt:lpstr>PrePost Reb 10</vt:lpstr>
      <vt:lpstr>PrePost Reb 11</vt:lpstr>
      <vt:lpstr>PrePost Reb 12</vt:lpstr>
      <vt:lpstr>PrePost Reb 13</vt:lpstr>
      <vt:lpstr>PrePost Reb 14</vt:lpstr>
      <vt:lpstr>PrePost Reb 15</vt:lpstr>
      <vt:lpstr>PrePost Reb 16</vt:lpstr>
      <vt:lpstr>PrePost Reb 17</vt:lpstr>
      <vt:lpstr>PrePost Reb 18</vt:lpstr>
      <vt:lpstr>PrePost Reb 19</vt:lpstr>
      <vt:lpstr>PrePost Reb 20</vt:lpstr>
      <vt:lpstr>2009 Unadjusted Results</vt:lpstr>
      <vt:lpstr>2009 Normalized Results</vt:lpstr>
      <vt:lpstr>Pro Forma 3 2012 - Initial Fili</vt:lpstr>
      <vt:lpstr>Cost_Debt</vt:lpstr>
      <vt:lpstr>Cost_equity</vt:lpstr>
      <vt:lpstr>Cost_pref</vt:lpstr>
      <vt:lpstr>gross_up_factor</vt:lpstr>
      <vt:lpstr>Overall_ROR</vt:lpstr>
      <vt:lpstr>Percent_common</vt:lpstr>
      <vt:lpstr>Percent_debt</vt:lpstr>
      <vt:lpstr>Percent_pref</vt:lpstr>
      <vt:lpstr>'PrePost Reb 01'!Print_Area</vt:lpstr>
      <vt:lpstr>'PrePost Reb 02'!Print_Area</vt:lpstr>
      <vt:lpstr>'PrePost Reb 03'!Print_Area</vt:lpstr>
      <vt:lpstr>'PrePost Reb 04'!Print_Area</vt:lpstr>
      <vt:lpstr>'PrePost Reb 05'!Print_Area</vt:lpstr>
      <vt:lpstr>'PrePost Reb 06'!Print_Area</vt:lpstr>
      <vt:lpstr>'PrePost Reb 07'!Print_Area</vt:lpstr>
      <vt:lpstr>'PrePost Reb 08'!Print_Area</vt:lpstr>
      <vt:lpstr>'PrePost Reb 10'!Print_Area</vt:lpstr>
      <vt:lpstr>'PrePost Reb 11'!Print_Area</vt:lpstr>
      <vt:lpstr>'PrePost Reb 12'!Print_Area</vt:lpstr>
      <vt:lpstr>'PrePost Reb 13'!Print_Area</vt:lpstr>
      <vt:lpstr>'PrePost Reb 14'!Print_Area</vt:lpstr>
      <vt:lpstr>'PrePost Reb 15'!Print_Area</vt:lpstr>
      <vt:lpstr>'PrePost Reb 16'!Print_Area</vt:lpstr>
      <vt:lpstr>'PrePost Reb 17'!Print_Area</vt:lpstr>
      <vt:lpstr>'PrePost Reb 18'!Print_Area</vt:lpstr>
      <vt:lpstr>'PrePost Reb 19'!Print_Area</vt:lpstr>
      <vt:lpstr>'PrePost Reb 20'!Print_Area</vt:lpstr>
      <vt:lpstr>'Proforma 3-2012 (Rebuttal)'!Print_Area</vt:lpstr>
      <vt:lpstr>'RevReq impact of Rebuttal Adj'!Print_Area</vt:lpstr>
      <vt:lpstr>'Summary WCA -  Duvall'!Print_Area</vt:lpstr>
      <vt:lpstr>'PrePost Reb 01'!Print_Titles</vt:lpstr>
      <vt:lpstr>'PrePost Reb 02'!Print_Titles</vt:lpstr>
      <vt:lpstr>'PrePost Reb 03'!Print_Titles</vt:lpstr>
      <vt:lpstr>'PrePost Reb 04'!Print_Titles</vt:lpstr>
      <vt:lpstr>'PrePost Reb 05'!Print_Titles</vt:lpstr>
      <vt:lpstr>'PrePost Reb 06'!Print_Titles</vt:lpstr>
      <vt:lpstr>'PrePost Reb 07'!Print_Titles</vt:lpstr>
      <vt:lpstr>'PrePost Reb 08'!Print_Titles</vt:lpstr>
      <vt:lpstr>'PrePost Reb 10'!Print_Titles</vt:lpstr>
      <vt:lpstr>'PrePost Reb 11'!Print_Titles</vt:lpstr>
      <vt:lpstr>'PrePost Reb 12'!Print_Titles</vt:lpstr>
      <vt:lpstr>'PrePost Reb 13'!Print_Titles</vt:lpstr>
      <vt:lpstr>'PrePost Reb 14'!Print_Titles</vt:lpstr>
      <vt:lpstr>'PrePost Reb 15'!Print_Titles</vt:lpstr>
      <vt:lpstr>'PrePost Reb 16'!Print_Titles</vt:lpstr>
      <vt:lpstr>'PrePost Reb 17'!Print_Titles</vt:lpstr>
      <vt:lpstr>'PrePost Reb 18'!Print_Titles</vt:lpstr>
      <vt:lpstr>'PrePost Reb 19'!Print_Titles</vt:lpstr>
      <vt:lpstr>'PrePost Reb 20'!Print_Titles</vt:lpstr>
      <vt:lpstr>'RevReq impact of Rebuttal Adj'!Print_Titles</vt:lpstr>
      <vt:lpstr>'Summary WCA -  Duvall'!Print_Titles</vt:lpstr>
      <vt:lpstr>uncollectible_perc</vt:lpstr>
      <vt:lpstr>WA_rev_tax_perc</vt:lpstr>
      <vt:lpstr>Weighted_cost_debt</vt:lpstr>
      <vt:lpstr>Weighted_cost_equity</vt:lpstr>
      <vt:lpstr>Weighted_cost_pref</vt:lpstr>
      <vt:lpstr>WUTC_reg_fee_perc</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Dalley</dc:creator>
  <cp:lastModifiedBy>R. Bryce Dalley</cp:lastModifiedBy>
  <cp:lastPrinted>2010-12-08T01:02:21Z</cp:lastPrinted>
  <dcterms:created xsi:type="dcterms:W3CDTF">2009-04-15T22:52:19Z</dcterms:created>
  <dcterms:modified xsi:type="dcterms:W3CDTF">2010-12-08T19:15:53Z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